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55" yWindow="420" windowWidth="13635" windowHeight="5520" tabRatio="972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H - Kultura fiz. i turyst" sheetId="9" r:id="rId8"/>
    <sheet name="Tab. 6G - Roln i ochrona środ." sheetId="8" r:id="rId9"/>
    <sheet name="Tab.6I - Planow. przestrz." sheetId="13" r:id="rId10"/>
    <sheet name="Arkusz1" sheetId="15" r:id="rId11"/>
  </sheets>
  <externalReferences>
    <externalReference r:id="rId12"/>
    <externalReference r:id="rId13"/>
    <externalReference r:id="rId14"/>
  </externalReferences>
  <definedNames>
    <definedName name="_xlnm._FilterDatabase" localSheetId="1" hidden="1">'Tab. 6A -Drogi'!$A$10:$DZ$543</definedName>
    <definedName name="_xlnm._FilterDatabase" localSheetId="2" hidden="1">'Tab. 6B Polit społ i rozwój prz'!#REF!</definedName>
    <definedName name="_xlnm._FilterDatabase" localSheetId="8" hidden="1">'Tab. 6G - Roln i ochrona środ.'!$A$3:$N$55</definedName>
    <definedName name="_xlnm.Print_Area" localSheetId="1">'Tab. 6A -Drogi'!$A$1:$N$681</definedName>
    <definedName name="_xlnm.Print_Area" localSheetId="2">'Tab. 6B Polit społ i rozwój prz'!$A$1:$N$390</definedName>
    <definedName name="_xlnm.Print_Area" localSheetId="3">'Tab. 6C - Ochrona zdrowia'!$A$1:$N$100</definedName>
    <definedName name="_xlnm.Print_Area" localSheetId="4">'Tab. 6D - Oświata'!$A$1:$N$102</definedName>
    <definedName name="_xlnm.Print_Area" localSheetId="5">'Tab. 6E - Administracja'!$A$1:$N$262</definedName>
    <definedName name="_xlnm.Print_Area" localSheetId="6">'Tab. 6F - Kultura'!$A$1:$N$179</definedName>
    <definedName name="_xlnm.Print_Area" localSheetId="8">'Tab. 6G - Roln i ochrona środ.'!$A$1:$N$140</definedName>
    <definedName name="_xlnm.Print_Area" localSheetId="7">'Tab. 6H - Kultura fiz. i turyst'!$A$1:$N$354</definedName>
    <definedName name="_xlnm.Print_Area" localSheetId="9">'Tab.6I - Planow. przestrz.'!$A$1:$N$133</definedName>
    <definedName name="_xlnm.Print_Area" localSheetId="0">'Tabela nr 6'!$A$1:$K$81</definedName>
    <definedName name="_xlnm.Print_Titles" localSheetId="1">'Tab. 6A -Drogi'!$4:$6</definedName>
    <definedName name="_xlnm.Print_Titles" localSheetId="2">'Tab. 6B Polit społ i rozwój prz'!$3:$5</definedName>
    <definedName name="_xlnm.Print_Titles" localSheetId="3">'Tab. 6C - Ochrona zdrowia'!$3:$4</definedName>
    <definedName name="_xlnm.Print_Titles" localSheetId="4">'Tab. 6D - Oświata'!$5:$7</definedName>
    <definedName name="_xlnm.Print_Titles" localSheetId="5">'Tab. 6E - Administracja'!$5:$7</definedName>
    <definedName name="_xlnm.Print_Titles" localSheetId="6">'Tab. 6F - Kultura'!$3:$5</definedName>
    <definedName name="_xlnm.Print_Titles" localSheetId="8">'Tab. 6G - Roln i ochrona środ.'!$4:$6</definedName>
    <definedName name="_xlnm.Print_Titles" localSheetId="7">'Tab. 6H - Kultura fiz. i turyst'!$3:$5</definedName>
    <definedName name="_xlnm.Print_Titles" localSheetId="9">'Tab.6I - Planow. przestrz.'!$4:$6</definedName>
  </definedNames>
  <calcPr calcId="145621"/>
</workbook>
</file>

<file path=xl/calcChain.xml><?xml version="1.0" encoding="utf-8"?>
<calcChain xmlns="http://schemas.openxmlformats.org/spreadsheetml/2006/main">
  <c r="F112" i="9" l="1"/>
  <c r="F102" i="6" l="1"/>
  <c r="F100" i="6"/>
  <c r="M343" i="9" l="1"/>
  <c r="K20" i="9"/>
  <c r="K19" i="9"/>
  <c r="K13" i="9"/>
  <c r="K12" i="9"/>
  <c r="K18" i="9" l="1"/>
  <c r="I115" i="7"/>
  <c r="I110" i="7"/>
  <c r="F660" i="2" l="1"/>
  <c r="F663" i="2" l="1"/>
  <c r="F112" i="6"/>
  <c r="F110" i="6"/>
  <c r="I110" i="13" l="1"/>
  <c r="I98" i="13"/>
  <c r="I97" i="13"/>
  <c r="I94" i="13"/>
  <c r="I93" i="13"/>
  <c r="H113" i="13"/>
  <c r="H111" i="13"/>
  <c r="H110" i="13"/>
  <c r="H106" i="13"/>
  <c r="H107" i="13"/>
  <c r="H102" i="13"/>
  <c r="H101" i="13"/>
  <c r="H98" i="13"/>
  <c r="H97" i="13"/>
  <c r="H94" i="13"/>
  <c r="H93" i="13"/>
  <c r="G110" i="13"/>
  <c r="G98" i="13"/>
  <c r="G97" i="13"/>
  <c r="G94" i="13"/>
  <c r="G93" i="13"/>
  <c r="F113" i="13"/>
  <c r="F111" i="13"/>
  <c r="F107" i="13"/>
  <c r="F106" i="13"/>
  <c r="F102" i="13"/>
  <c r="F101" i="13"/>
  <c r="F98" i="13"/>
  <c r="F97" i="13"/>
  <c r="F94" i="13"/>
  <c r="F93" i="13"/>
  <c r="I84" i="13"/>
  <c r="I78" i="13"/>
  <c r="I77" i="13"/>
  <c r="H87" i="13"/>
  <c r="H85" i="13"/>
  <c r="H84" i="13"/>
  <c r="H81" i="13"/>
  <c r="H79" i="13"/>
  <c r="H78" i="13"/>
  <c r="H77" i="13"/>
  <c r="G84" i="13"/>
  <c r="G81" i="13"/>
  <c r="G78" i="13"/>
  <c r="G77" i="13"/>
  <c r="F87" i="13"/>
  <c r="F85" i="13"/>
  <c r="F81" i="13"/>
  <c r="F79" i="13"/>
  <c r="F78" i="13"/>
  <c r="F77" i="13"/>
  <c r="G347" i="9" l="1"/>
  <c r="F347" i="9"/>
  <c r="I22" i="3"/>
  <c r="I19" i="3"/>
  <c r="J19" i="3"/>
  <c r="D372" i="3"/>
  <c r="D370" i="3"/>
  <c r="D369" i="3"/>
  <c r="D377" i="3"/>
  <c r="D376" i="3" s="1"/>
  <c r="L376" i="3"/>
  <c r="K376" i="3"/>
  <c r="J376" i="3"/>
  <c r="I376" i="3"/>
  <c r="H376" i="3"/>
  <c r="G376" i="3"/>
  <c r="F376" i="3"/>
  <c r="E376" i="3"/>
  <c r="D375" i="3"/>
  <c r="D374" i="3" s="1"/>
  <c r="L374" i="3"/>
  <c r="K374" i="3"/>
  <c r="J374" i="3"/>
  <c r="I374" i="3"/>
  <c r="H374" i="3"/>
  <c r="G374" i="3"/>
  <c r="F374" i="3"/>
  <c r="E374" i="3"/>
  <c r="K371" i="3"/>
  <c r="I371" i="3"/>
  <c r="H371" i="3"/>
  <c r="G371" i="3"/>
  <c r="E371" i="3"/>
  <c r="L371" i="3"/>
  <c r="J371" i="3"/>
  <c r="H368" i="3"/>
  <c r="L368" i="3"/>
  <c r="H44" i="2"/>
  <c r="G44" i="2"/>
  <c r="H37" i="2"/>
  <c r="G37" i="2"/>
  <c r="H295" i="2"/>
  <c r="G295" i="2"/>
  <c r="D347" i="9" l="1"/>
  <c r="E373" i="3"/>
  <c r="I373" i="3"/>
  <c r="K373" i="3"/>
  <c r="G373" i="3"/>
  <c r="J368" i="3"/>
  <c r="L367" i="3"/>
  <c r="H367" i="3"/>
  <c r="F373" i="3"/>
  <c r="J373" i="3"/>
  <c r="D373" i="3"/>
  <c r="I368" i="3"/>
  <c r="D371" i="3"/>
  <c r="D368" i="3"/>
  <c r="H373" i="3"/>
  <c r="L373" i="3"/>
  <c r="F368" i="3"/>
  <c r="F371" i="3"/>
  <c r="E368" i="3"/>
  <c r="G368" i="3"/>
  <c r="K368" i="3"/>
  <c r="K367" i="3" s="1"/>
  <c r="M370" i="3"/>
  <c r="M369" i="3"/>
  <c r="M372" i="3"/>
  <c r="M371" i="3" s="1"/>
  <c r="F86" i="4"/>
  <c r="E367" i="3" l="1"/>
  <c r="G367" i="3"/>
  <c r="I367" i="3"/>
  <c r="J367" i="3"/>
  <c r="D367" i="3"/>
  <c r="F367" i="3"/>
  <c r="M368" i="3"/>
  <c r="M367" i="3" s="1"/>
  <c r="F144" i="9"/>
  <c r="F142" i="9"/>
  <c r="G257" i="6"/>
  <c r="F257" i="6"/>
  <c r="J112" i="3"/>
  <c r="J22" i="3" s="1"/>
  <c r="J107" i="3"/>
  <c r="J104" i="3"/>
  <c r="H112" i="3"/>
  <c r="H107" i="3"/>
  <c r="H104" i="3"/>
  <c r="G112" i="3"/>
  <c r="G107" i="3"/>
  <c r="G104" i="3"/>
  <c r="D365" i="3"/>
  <c r="D364" i="3" s="1"/>
  <c r="L364" i="3"/>
  <c r="K364" i="3"/>
  <c r="J364" i="3"/>
  <c r="I364" i="3"/>
  <c r="H364" i="3"/>
  <c r="G364" i="3"/>
  <c r="F364" i="3"/>
  <c r="E364" i="3"/>
  <c r="D363" i="3"/>
  <c r="D362" i="3" s="1"/>
  <c r="L362" i="3"/>
  <c r="K362" i="3"/>
  <c r="J362" i="3"/>
  <c r="I362" i="3"/>
  <c r="H362" i="3"/>
  <c r="G362" i="3"/>
  <c r="F362" i="3"/>
  <c r="E362" i="3"/>
  <c r="M360" i="3"/>
  <c r="F358" i="3"/>
  <c r="K358" i="3"/>
  <c r="K357" i="3" s="1"/>
  <c r="J358" i="3"/>
  <c r="I358" i="3"/>
  <c r="H358" i="3"/>
  <c r="G358" i="3"/>
  <c r="L357" i="3"/>
  <c r="M356" i="3"/>
  <c r="M355" i="3"/>
  <c r="K354" i="3"/>
  <c r="J354" i="3"/>
  <c r="I354" i="3"/>
  <c r="H354" i="3"/>
  <c r="G354" i="3"/>
  <c r="M353" i="3"/>
  <c r="M352" i="3"/>
  <c r="K351" i="3"/>
  <c r="J351" i="3"/>
  <c r="I351" i="3"/>
  <c r="H351" i="3"/>
  <c r="G351" i="3"/>
  <c r="L350" i="3"/>
  <c r="J92" i="4"/>
  <c r="F92" i="4"/>
  <c r="E86" i="4"/>
  <c r="F87" i="4"/>
  <c r="F82" i="4"/>
  <c r="F81" i="4"/>
  <c r="E361" i="3" l="1"/>
  <c r="I361" i="3"/>
  <c r="J357" i="3"/>
  <c r="I357" i="3"/>
  <c r="H357" i="3"/>
  <c r="G357" i="3"/>
  <c r="L349" i="3"/>
  <c r="J350" i="3"/>
  <c r="I350" i="3"/>
  <c r="H350" i="3"/>
  <c r="D352" i="3"/>
  <c r="G350" i="3"/>
  <c r="K350" i="3"/>
  <c r="K349" i="3" s="1"/>
  <c r="F361" i="3"/>
  <c r="J361" i="3"/>
  <c r="D361" i="3"/>
  <c r="H361" i="3"/>
  <c r="L361" i="3"/>
  <c r="G361" i="3"/>
  <c r="K361" i="3"/>
  <c r="D353" i="3"/>
  <c r="D355" i="3"/>
  <c r="D359" i="3"/>
  <c r="D360" i="3"/>
  <c r="F351" i="3"/>
  <c r="D356" i="3"/>
  <c r="M359" i="3"/>
  <c r="M358" i="3"/>
  <c r="M357" i="3" s="1"/>
  <c r="F357" i="3"/>
  <c r="F354" i="3"/>
  <c r="M354" i="3" s="1"/>
  <c r="E354" i="3"/>
  <c r="E351" i="3"/>
  <c r="E358" i="3"/>
  <c r="M347" i="3"/>
  <c r="D347" i="3"/>
  <c r="D346" i="3" s="1"/>
  <c r="D345" i="3" s="1"/>
  <c r="L346" i="3"/>
  <c r="K346" i="3"/>
  <c r="K345" i="3" s="1"/>
  <c r="J346" i="3"/>
  <c r="I346" i="3"/>
  <c r="H346" i="3"/>
  <c r="G346" i="3"/>
  <c r="F346" i="3"/>
  <c r="E346" i="3"/>
  <c r="E345" i="3" s="1"/>
  <c r="M344" i="3"/>
  <c r="D344" i="3"/>
  <c r="M343" i="3"/>
  <c r="D343" i="3"/>
  <c r="K342" i="3"/>
  <c r="K341" i="3" s="1"/>
  <c r="J342" i="3"/>
  <c r="I342" i="3"/>
  <c r="H342" i="3"/>
  <c r="G342" i="3"/>
  <c r="F342" i="3"/>
  <c r="E342" i="3"/>
  <c r="E341" i="3" s="1"/>
  <c r="L341" i="3"/>
  <c r="M340" i="3"/>
  <c r="D340" i="3"/>
  <c r="M339" i="3"/>
  <c r="D339" i="3"/>
  <c r="K338" i="3"/>
  <c r="J338" i="3"/>
  <c r="J337" i="3" s="1"/>
  <c r="I338" i="3"/>
  <c r="I337" i="3" s="1"/>
  <c r="H338" i="3"/>
  <c r="G338" i="3"/>
  <c r="F338" i="3"/>
  <c r="F337" i="3" s="1"/>
  <c r="E338" i="3"/>
  <c r="E337" i="3" s="1"/>
  <c r="L337" i="3"/>
  <c r="L336" i="3" s="1"/>
  <c r="K337" i="3"/>
  <c r="K336" i="3" s="1"/>
  <c r="I213" i="6"/>
  <c r="F213" i="6"/>
  <c r="I206" i="6"/>
  <c r="F206" i="6"/>
  <c r="I201" i="6"/>
  <c r="F201" i="6"/>
  <c r="H179" i="6"/>
  <c r="H178" i="6"/>
  <c r="H186" i="6"/>
  <c r="H185" i="6"/>
  <c r="F186" i="6"/>
  <c r="F185" i="6"/>
  <c r="F179" i="6"/>
  <c r="F178" i="6"/>
  <c r="H174" i="6"/>
  <c r="F174" i="6"/>
  <c r="F341" i="3" l="1"/>
  <c r="J341" i="3"/>
  <c r="F345" i="3"/>
  <c r="J345" i="3"/>
  <c r="H349" i="3"/>
  <c r="I341" i="3"/>
  <c r="I345" i="3"/>
  <c r="H345" i="3"/>
  <c r="G349" i="3"/>
  <c r="I349" i="3"/>
  <c r="G341" i="3"/>
  <c r="G345" i="3"/>
  <c r="J349" i="3"/>
  <c r="F350" i="3"/>
  <c r="D354" i="3"/>
  <c r="O354" i="3" s="1"/>
  <c r="M351" i="3"/>
  <c r="M350" i="3" s="1"/>
  <c r="M349" i="3" s="1"/>
  <c r="G337" i="3"/>
  <c r="J336" i="3"/>
  <c r="E336" i="3"/>
  <c r="H341" i="3"/>
  <c r="E350" i="3"/>
  <c r="D351" i="3"/>
  <c r="E357" i="3"/>
  <c r="D358" i="3"/>
  <c r="I336" i="3"/>
  <c r="M338" i="3"/>
  <c r="M337" i="3" s="1"/>
  <c r="F336" i="3"/>
  <c r="H337" i="3"/>
  <c r="M346" i="3"/>
  <c r="M342" i="3"/>
  <c r="M341" i="3" s="1"/>
  <c r="D342" i="3"/>
  <c r="D338" i="3"/>
  <c r="G13" i="9"/>
  <c r="F147" i="9"/>
  <c r="F122" i="9"/>
  <c r="F120" i="9"/>
  <c r="G115" i="9"/>
  <c r="F117" i="9"/>
  <c r="F113" i="9"/>
  <c r="G138" i="6"/>
  <c r="F138" i="6"/>
  <c r="G129" i="6"/>
  <c r="F130" i="6"/>
  <c r="J119" i="6"/>
  <c r="I119" i="6"/>
  <c r="H119" i="6"/>
  <c r="G119" i="6"/>
  <c r="J112" i="6"/>
  <c r="I112" i="6"/>
  <c r="H112" i="6"/>
  <c r="G112" i="6"/>
  <c r="H114" i="6"/>
  <c r="G114" i="6"/>
  <c r="H111" i="6"/>
  <c r="H110" i="6"/>
  <c r="G110" i="6"/>
  <c r="J102" i="6"/>
  <c r="I102" i="6"/>
  <c r="H102" i="6"/>
  <c r="G102" i="6"/>
  <c r="F119" i="6"/>
  <c r="F114" i="6"/>
  <c r="F113" i="6"/>
  <c r="F111" i="6"/>
  <c r="G67" i="7"/>
  <c r="F67" i="7"/>
  <c r="G65" i="7"/>
  <c r="F65" i="7"/>
  <c r="G62" i="7"/>
  <c r="F62" i="7"/>
  <c r="G59" i="7"/>
  <c r="F59" i="7"/>
  <c r="G115" i="7"/>
  <c r="F115" i="7"/>
  <c r="G110" i="7"/>
  <c r="F110" i="7"/>
  <c r="G342" i="9"/>
  <c r="G341" i="9" s="1"/>
  <c r="H342" i="9"/>
  <c r="H341" i="9" s="1"/>
  <c r="I342" i="9"/>
  <c r="I341" i="9" s="1"/>
  <c r="O53" i="1"/>
  <c r="G139" i="8"/>
  <c r="G138" i="8" s="1"/>
  <c r="H139" i="8"/>
  <c r="H138" i="8" s="1"/>
  <c r="I139" i="8"/>
  <c r="I138" i="8" s="1"/>
  <c r="J139" i="8"/>
  <c r="J138" i="8" s="1"/>
  <c r="G136" i="8"/>
  <c r="G135" i="8" s="1"/>
  <c r="H136" i="8"/>
  <c r="H135" i="8" s="1"/>
  <c r="I136" i="8"/>
  <c r="I135" i="8" s="1"/>
  <c r="J136" i="8"/>
  <c r="J135" i="8" s="1"/>
  <c r="I132" i="8"/>
  <c r="I131" i="8" s="1"/>
  <c r="J132" i="8"/>
  <c r="J131" i="8" s="1"/>
  <c r="I129" i="8"/>
  <c r="I128" i="8" s="1"/>
  <c r="J129" i="8"/>
  <c r="J128" i="8" s="1"/>
  <c r="F35" i="6"/>
  <c r="F36" i="6"/>
  <c r="H156" i="8"/>
  <c r="I156" i="8"/>
  <c r="J156" i="8"/>
  <c r="I311" i="9"/>
  <c r="E115" i="8"/>
  <c r="F115" i="8"/>
  <c r="G115" i="8"/>
  <c r="H115" i="8"/>
  <c r="I115" i="8"/>
  <c r="J115" i="8"/>
  <c r="E139" i="8"/>
  <c r="E138" i="8" s="1"/>
  <c r="F139" i="8"/>
  <c r="F138" i="8" s="1"/>
  <c r="M137" i="8"/>
  <c r="M130" i="8"/>
  <c r="E132" i="8"/>
  <c r="E131" i="8" s="1"/>
  <c r="F132" i="8"/>
  <c r="F131" i="8" s="1"/>
  <c r="G132" i="8"/>
  <c r="G131" i="8" s="1"/>
  <c r="H132" i="8"/>
  <c r="H131" i="8" s="1"/>
  <c r="F109" i="8"/>
  <c r="D133" i="8"/>
  <c r="D132" i="8" s="1"/>
  <c r="D131" i="8" s="1"/>
  <c r="D357" i="3" l="1"/>
  <c r="O357" i="3"/>
  <c r="H336" i="3"/>
  <c r="G336" i="3"/>
  <c r="F349" i="3"/>
  <c r="D350" i="3"/>
  <c r="E349" i="3"/>
  <c r="M336" i="3"/>
  <c r="D341" i="3"/>
  <c r="D337" i="3"/>
  <c r="D336" i="3" s="1"/>
  <c r="G610" i="2"/>
  <c r="F611" i="2"/>
  <c r="F607" i="2"/>
  <c r="G606" i="2"/>
  <c r="F564" i="2"/>
  <c r="G544" i="2"/>
  <c r="G543" i="2"/>
  <c r="F544" i="2"/>
  <c r="F543" i="2"/>
  <c r="D334" i="3"/>
  <c r="D333" i="3" s="1"/>
  <c r="D332" i="3" s="1"/>
  <c r="M334" i="3"/>
  <c r="L333" i="3"/>
  <c r="K333" i="3"/>
  <c r="K332" i="3" s="1"/>
  <c r="J333" i="3"/>
  <c r="J332" i="3" s="1"/>
  <c r="I333" i="3"/>
  <c r="I332" i="3" s="1"/>
  <c r="H333" i="3"/>
  <c r="H332" i="3" s="1"/>
  <c r="G333" i="3"/>
  <c r="G332" i="3" s="1"/>
  <c r="F333" i="3"/>
  <c r="F332" i="3" s="1"/>
  <c r="E333" i="3"/>
  <c r="E332" i="3" s="1"/>
  <c r="M331" i="3"/>
  <c r="D331" i="3"/>
  <c r="M330" i="3"/>
  <c r="D330" i="3"/>
  <c r="K329" i="3"/>
  <c r="K328" i="3" s="1"/>
  <c r="J329" i="3"/>
  <c r="I329" i="3"/>
  <c r="H329" i="3"/>
  <c r="G329" i="3"/>
  <c r="F329" i="3"/>
  <c r="E329" i="3"/>
  <c r="L328" i="3"/>
  <c r="M327" i="3"/>
  <c r="D327" i="3"/>
  <c r="M326" i="3"/>
  <c r="D326" i="3"/>
  <c r="K325" i="3"/>
  <c r="J325" i="3"/>
  <c r="I325" i="3"/>
  <c r="H325" i="3"/>
  <c r="G325" i="3"/>
  <c r="F325" i="3"/>
  <c r="E325" i="3"/>
  <c r="L324" i="3"/>
  <c r="L323" i="3" s="1"/>
  <c r="K324" i="3"/>
  <c r="J324" i="3"/>
  <c r="F203" i="9"/>
  <c r="F200" i="9"/>
  <c r="F199" i="9"/>
  <c r="F196" i="9"/>
  <c r="F195" i="9"/>
  <c r="F662" i="2"/>
  <c r="F661" i="2" s="1"/>
  <c r="F262" i="6"/>
  <c r="H258" i="6"/>
  <c r="G258" i="6"/>
  <c r="G274" i="2"/>
  <c r="G269" i="2"/>
  <c r="G266" i="2"/>
  <c r="F274" i="2"/>
  <c r="F269" i="2"/>
  <c r="F266" i="2"/>
  <c r="G298" i="2"/>
  <c r="G293" i="2"/>
  <c r="G290" i="2"/>
  <c r="F298" i="2"/>
  <c r="F293" i="2"/>
  <c r="F290" i="2"/>
  <c r="F289" i="2" s="1"/>
  <c r="H310" i="2"/>
  <c r="G310" i="2"/>
  <c r="G305" i="2"/>
  <c r="G302" i="2"/>
  <c r="F310" i="2"/>
  <c r="F305" i="2"/>
  <c r="F302" i="2"/>
  <c r="H202" i="2"/>
  <c r="H197" i="2"/>
  <c r="H194" i="2"/>
  <c r="G202" i="2"/>
  <c r="G197" i="2"/>
  <c r="G194" i="2"/>
  <c r="F202" i="2"/>
  <c r="F197" i="2"/>
  <c r="F194" i="2"/>
  <c r="F226" i="2"/>
  <c r="F221" i="2"/>
  <c r="F218" i="2"/>
  <c r="F286" i="2"/>
  <c r="F281" i="2"/>
  <c r="F278" i="2"/>
  <c r="G35" i="9"/>
  <c r="G30" i="9"/>
  <c r="G27" i="9"/>
  <c r="F35" i="9"/>
  <c r="F30" i="9"/>
  <c r="F27" i="9"/>
  <c r="E30" i="9"/>
  <c r="E27" i="9"/>
  <c r="M43" i="9"/>
  <c r="M44" i="9"/>
  <c r="F211" i="9"/>
  <c r="M212" i="9"/>
  <c r="G49" i="9"/>
  <c r="F49" i="9"/>
  <c r="G42" i="9"/>
  <c r="F42" i="9"/>
  <c r="G39" i="9"/>
  <c r="F39" i="9"/>
  <c r="G20" i="9"/>
  <c r="H20" i="9"/>
  <c r="I20" i="9"/>
  <c r="J20" i="9"/>
  <c r="E20" i="9"/>
  <c r="F20" i="9"/>
  <c r="J13" i="9"/>
  <c r="H13" i="9"/>
  <c r="I13" i="9"/>
  <c r="F13" i="9"/>
  <c r="E13" i="9"/>
  <c r="F80" i="9"/>
  <c r="F77" i="9"/>
  <c r="F76" i="9" s="1"/>
  <c r="L97" i="9"/>
  <c r="L96" i="9" s="1"/>
  <c r="K96" i="9"/>
  <c r="J96" i="9"/>
  <c r="J93" i="9" s="1"/>
  <c r="I96" i="9"/>
  <c r="I93" i="9" s="1"/>
  <c r="H96" i="9"/>
  <c r="H93" i="9" s="1"/>
  <c r="G96" i="9"/>
  <c r="G93" i="9" s="1"/>
  <c r="F96" i="9"/>
  <c r="E96" i="9"/>
  <c r="D95" i="9"/>
  <c r="D94" i="9" s="1"/>
  <c r="L94" i="9"/>
  <c r="K94" i="9"/>
  <c r="J94" i="9"/>
  <c r="I94" i="9"/>
  <c r="H94" i="9"/>
  <c r="G94" i="9"/>
  <c r="F94" i="9"/>
  <c r="E94" i="9"/>
  <c r="F93" i="9"/>
  <c r="M92" i="9"/>
  <c r="M91" i="9" s="1"/>
  <c r="D92" i="9"/>
  <c r="D91" i="9" s="1"/>
  <c r="L91" i="9"/>
  <c r="K91" i="9"/>
  <c r="J91" i="9"/>
  <c r="I91" i="9"/>
  <c r="H91" i="9"/>
  <c r="G91" i="9"/>
  <c r="F91" i="9"/>
  <c r="E91" i="9"/>
  <c r="M90" i="9"/>
  <c r="D90" i="9"/>
  <c r="M89" i="9"/>
  <c r="E88" i="9"/>
  <c r="E87" i="9" s="1"/>
  <c r="D89" i="9"/>
  <c r="L88" i="9"/>
  <c r="K88" i="9"/>
  <c r="J88" i="9"/>
  <c r="I88" i="9"/>
  <c r="H88" i="9"/>
  <c r="G88" i="9"/>
  <c r="F88" i="9"/>
  <c r="G106" i="9"/>
  <c r="F106" i="9"/>
  <c r="F103" i="9"/>
  <c r="F101" i="9"/>
  <c r="G73" i="9"/>
  <c r="F73" i="9"/>
  <c r="G68" i="9"/>
  <c r="F68" i="9"/>
  <c r="G65" i="9"/>
  <c r="F65" i="9"/>
  <c r="G61" i="9"/>
  <c r="G56" i="9"/>
  <c r="G53" i="9"/>
  <c r="F61" i="9"/>
  <c r="F56" i="9"/>
  <c r="F53" i="9"/>
  <c r="G88" i="3"/>
  <c r="G83" i="3"/>
  <c r="G80" i="3"/>
  <c r="F88" i="3"/>
  <c r="F83" i="3"/>
  <c r="F80" i="3"/>
  <c r="E112" i="8"/>
  <c r="F112" i="8"/>
  <c r="G112" i="8"/>
  <c r="H112" i="8"/>
  <c r="I112" i="8"/>
  <c r="J112" i="8"/>
  <c r="G106" i="8"/>
  <c r="H106" i="8"/>
  <c r="I106" i="8"/>
  <c r="J106" i="8"/>
  <c r="E136" i="8"/>
  <c r="E135" i="8" s="1"/>
  <c r="E106" i="8" s="1"/>
  <c r="F136" i="8"/>
  <c r="E109" i="8"/>
  <c r="G109" i="8"/>
  <c r="H109" i="8"/>
  <c r="I109" i="8"/>
  <c r="J109" i="8"/>
  <c r="E117" i="8"/>
  <c r="F117" i="8"/>
  <c r="G117" i="8"/>
  <c r="H117" i="8"/>
  <c r="I117" i="8"/>
  <c r="J117" i="8"/>
  <c r="D130" i="8"/>
  <c r="D129" i="8" s="1"/>
  <c r="D128" i="8" s="1"/>
  <c r="H129" i="8"/>
  <c r="H128" i="8" s="1"/>
  <c r="E129" i="8"/>
  <c r="E128" i="8" s="1"/>
  <c r="F129" i="8"/>
  <c r="G129" i="8"/>
  <c r="G128" i="8" s="1"/>
  <c r="M110" i="8"/>
  <c r="D140" i="8"/>
  <c r="D115" i="8" s="1"/>
  <c r="D137" i="8"/>
  <c r="D126" i="8"/>
  <c r="D117" i="8" s="1"/>
  <c r="D122" i="8"/>
  <c r="D112" i="8" s="1"/>
  <c r="M310" i="9"/>
  <c r="D327" i="9"/>
  <c r="D326" i="9" s="1"/>
  <c r="L326" i="9"/>
  <c r="K326" i="9"/>
  <c r="J326" i="9"/>
  <c r="I326" i="9"/>
  <c r="H326" i="9"/>
  <c r="G326" i="9"/>
  <c r="F326" i="9"/>
  <c r="E326" i="9"/>
  <c r="D325" i="9"/>
  <c r="D324" i="9" s="1"/>
  <c r="L324" i="9"/>
  <c r="K324" i="9"/>
  <c r="J324" i="9"/>
  <c r="I324" i="9"/>
  <c r="H324" i="9"/>
  <c r="G324" i="9"/>
  <c r="F324" i="9"/>
  <c r="E324" i="9"/>
  <c r="H321" i="9"/>
  <c r="M322" i="9"/>
  <c r="M321" i="9" s="1"/>
  <c r="D322" i="9"/>
  <c r="D321" i="9" s="1"/>
  <c r="K321" i="9"/>
  <c r="J321" i="9"/>
  <c r="I321" i="9"/>
  <c r="F321" i="9"/>
  <c r="E321" i="9"/>
  <c r="M320" i="9"/>
  <c r="D320" i="9"/>
  <c r="M319" i="9"/>
  <c r="M318" i="9" s="1"/>
  <c r="D319" i="9"/>
  <c r="L318" i="9"/>
  <c r="L317" i="9" s="1"/>
  <c r="K318" i="9"/>
  <c r="J318" i="9"/>
  <c r="I318" i="9"/>
  <c r="H318" i="9"/>
  <c r="G318" i="9"/>
  <c r="F318" i="9"/>
  <c r="H315" i="9"/>
  <c r="D315" i="9" s="1"/>
  <c r="D314" i="9" s="1"/>
  <c r="D313" i="9" s="1"/>
  <c r="L314" i="9"/>
  <c r="L313" i="9" s="1"/>
  <c r="K314" i="9"/>
  <c r="K313" i="9" s="1"/>
  <c r="J314" i="9"/>
  <c r="I314" i="9"/>
  <c r="G314" i="9"/>
  <c r="F314" i="9"/>
  <c r="E314" i="9"/>
  <c r="E313" i="9"/>
  <c r="M312" i="9"/>
  <c r="M311" i="9" s="1"/>
  <c r="K311" i="9"/>
  <c r="H311" i="9"/>
  <c r="E311" i="9"/>
  <c r="G309" i="9"/>
  <c r="M309" i="9"/>
  <c r="L309" i="9"/>
  <c r="K309" i="9"/>
  <c r="J309" i="9"/>
  <c r="I309" i="9"/>
  <c r="H309" i="9"/>
  <c r="F309" i="9"/>
  <c r="E309" i="9"/>
  <c r="L308" i="9"/>
  <c r="I306" i="9"/>
  <c r="I305" i="9" s="1"/>
  <c r="H306" i="9"/>
  <c r="H301" i="9"/>
  <c r="H300" i="9" s="1"/>
  <c r="G301" i="9"/>
  <c r="D299" i="9"/>
  <c r="H298" i="9"/>
  <c r="G298" i="9"/>
  <c r="G306" i="9"/>
  <c r="F306" i="9"/>
  <c r="F301" i="9"/>
  <c r="E301" i="9"/>
  <c r="F298" i="9"/>
  <c r="E298" i="9"/>
  <c r="H294" i="9"/>
  <c r="I293" i="9"/>
  <c r="I292" i="9" s="1"/>
  <c r="H290" i="9"/>
  <c r="G291" i="9"/>
  <c r="G289" i="9"/>
  <c r="F289" i="9"/>
  <c r="H308" i="3"/>
  <c r="G308" i="3"/>
  <c r="F308" i="3"/>
  <c r="H306" i="3"/>
  <c r="G306" i="3"/>
  <c r="F306" i="3"/>
  <c r="H303" i="3"/>
  <c r="G303" i="3"/>
  <c r="F303" i="3"/>
  <c r="H302" i="3"/>
  <c r="G302" i="3"/>
  <c r="F302" i="3"/>
  <c r="H299" i="3"/>
  <c r="G299" i="3"/>
  <c r="F299" i="3"/>
  <c r="H298" i="3"/>
  <c r="G298" i="3"/>
  <c r="F298" i="3"/>
  <c r="B144" i="1"/>
  <c r="J144" i="1"/>
  <c r="I144" i="1"/>
  <c r="H144" i="1"/>
  <c r="G144" i="1"/>
  <c r="F144" i="1"/>
  <c r="E144" i="1"/>
  <c r="D144" i="1"/>
  <c r="C144" i="1"/>
  <c r="B132" i="1"/>
  <c r="K132" i="1"/>
  <c r="J132" i="1"/>
  <c r="I132" i="1"/>
  <c r="H132" i="1"/>
  <c r="G132" i="1"/>
  <c r="F132" i="1"/>
  <c r="E132" i="1"/>
  <c r="D132" i="1"/>
  <c r="C132" i="1"/>
  <c r="D109" i="8" l="1"/>
  <c r="J87" i="9"/>
  <c r="L87" i="9"/>
  <c r="D349" i="3"/>
  <c r="G328" i="3"/>
  <c r="F328" i="3"/>
  <c r="J328" i="3"/>
  <c r="E328" i="3"/>
  <c r="I328" i="3"/>
  <c r="H328" i="3"/>
  <c r="H324" i="3"/>
  <c r="H323" i="3" s="1"/>
  <c r="G324" i="3"/>
  <c r="G323" i="3" s="1"/>
  <c r="F324" i="3"/>
  <c r="F323" i="3" s="1"/>
  <c r="E324" i="3"/>
  <c r="E323" i="3" s="1"/>
  <c r="I324" i="3"/>
  <c r="I323" i="3" s="1"/>
  <c r="M325" i="3"/>
  <c r="M324" i="3" s="1"/>
  <c r="M109" i="8"/>
  <c r="I308" i="9"/>
  <c r="F313" i="9"/>
  <c r="F308" i="9" s="1"/>
  <c r="I313" i="9"/>
  <c r="F128" i="8"/>
  <c r="M129" i="8"/>
  <c r="H308" i="9"/>
  <c r="G313" i="9"/>
  <c r="J313" i="9"/>
  <c r="J308" i="9" s="1"/>
  <c r="J317" i="9"/>
  <c r="F135" i="8"/>
  <c r="F106" i="8" s="1"/>
  <c r="M106" i="8" s="1"/>
  <c r="M136" i="8"/>
  <c r="M135" i="8" s="1"/>
  <c r="I87" i="9"/>
  <c r="K87" i="9"/>
  <c r="J323" i="3"/>
  <c r="K323" i="3"/>
  <c r="H87" i="9"/>
  <c r="E93" i="9"/>
  <c r="K93" i="9"/>
  <c r="L93" i="9"/>
  <c r="M333" i="3"/>
  <c r="D325" i="3"/>
  <c r="M329" i="3"/>
  <c r="M328" i="3" s="1"/>
  <c r="D329" i="3"/>
  <c r="J323" i="9"/>
  <c r="E323" i="9"/>
  <c r="G323" i="9"/>
  <c r="M88" i="9"/>
  <c r="G87" i="9"/>
  <c r="D88" i="9"/>
  <c r="D87" i="9" s="1"/>
  <c r="F87" i="9"/>
  <c r="M87" i="9"/>
  <c r="D97" i="9"/>
  <c r="D96" i="9" s="1"/>
  <c r="D93" i="9" s="1"/>
  <c r="D136" i="8"/>
  <c r="D135" i="8" s="1"/>
  <c r="K323" i="9"/>
  <c r="I317" i="9"/>
  <c r="F323" i="9"/>
  <c r="F317" i="9"/>
  <c r="K308" i="9"/>
  <c r="M289" i="9"/>
  <c r="H314" i="9"/>
  <c r="K317" i="9"/>
  <c r="E308" i="9"/>
  <c r="G311" i="9"/>
  <c r="D312" i="9"/>
  <c r="D311" i="9" s="1"/>
  <c r="H323" i="9"/>
  <c r="L323" i="9"/>
  <c r="G308" i="9"/>
  <c r="D318" i="9"/>
  <c r="D317" i="9" s="1"/>
  <c r="I323" i="9"/>
  <c r="D323" i="9"/>
  <c r="H317" i="9"/>
  <c r="M308" i="9"/>
  <c r="M317" i="9"/>
  <c r="D310" i="9"/>
  <c r="D309" i="9" s="1"/>
  <c r="E318" i="9"/>
  <c r="E317" i="9" s="1"/>
  <c r="G321" i="9"/>
  <c r="G317" i="9" s="1"/>
  <c r="D328" i="3" l="1"/>
  <c r="D324" i="3"/>
  <c r="D323" i="3" s="1"/>
  <c r="H313" i="9"/>
  <c r="D106" i="8"/>
  <c r="M323" i="3"/>
  <c r="D308" i="9"/>
  <c r="O308" i="9" s="1"/>
  <c r="F83" i="6"/>
  <c r="F81" i="6"/>
  <c r="F78" i="6"/>
  <c r="F76" i="6"/>
  <c r="H213" i="6"/>
  <c r="H206" i="6"/>
  <c r="H201" i="6"/>
  <c r="G201" i="6"/>
  <c r="G174" i="6"/>
  <c r="H34" i="9" l="1"/>
  <c r="I34" i="9"/>
  <c r="J34" i="9"/>
  <c r="H29" i="9"/>
  <c r="I29" i="9"/>
  <c r="J29" i="9"/>
  <c r="H26" i="9"/>
  <c r="I26" i="9"/>
  <c r="J26" i="9"/>
  <c r="H48" i="9"/>
  <c r="I48" i="9"/>
  <c r="J48" i="9"/>
  <c r="H41" i="9"/>
  <c r="I41" i="9"/>
  <c r="J41" i="9"/>
  <c r="H38" i="9"/>
  <c r="I38" i="9"/>
  <c r="J38" i="9"/>
  <c r="H52" i="9"/>
  <c r="I52" i="9"/>
  <c r="J52" i="9"/>
  <c r="H55" i="9"/>
  <c r="I55" i="9"/>
  <c r="J55" i="9"/>
  <c r="H60" i="9"/>
  <c r="I60" i="9"/>
  <c r="J60" i="9"/>
  <c r="J57" i="9" s="1"/>
  <c r="H64" i="9"/>
  <c r="I64" i="9"/>
  <c r="J64" i="9"/>
  <c r="H67" i="9"/>
  <c r="I67" i="9"/>
  <c r="J67" i="9"/>
  <c r="H72" i="9"/>
  <c r="H69" i="9" s="1"/>
  <c r="I72" i="9"/>
  <c r="I69" i="9" s="1"/>
  <c r="J72" i="9"/>
  <c r="J69" i="9" s="1"/>
  <c r="G76" i="9"/>
  <c r="H76" i="9"/>
  <c r="I76" i="9"/>
  <c r="J76" i="9"/>
  <c r="G79" i="9"/>
  <c r="H79" i="9"/>
  <c r="I79" i="9"/>
  <c r="J79" i="9"/>
  <c r="G84" i="9"/>
  <c r="G81" i="9" s="1"/>
  <c r="H84" i="9"/>
  <c r="H81" i="9" s="1"/>
  <c r="I84" i="9"/>
  <c r="I81" i="9" s="1"/>
  <c r="J84" i="9"/>
  <c r="J81" i="9" s="1"/>
  <c r="H100" i="9"/>
  <c r="I100" i="9"/>
  <c r="J100" i="9"/>
  <c r="H102" i="9"/>
  <c r="I102" i="9"/>
  <c r="J102" i="9"/>
  <c r="H105" i="9"/>
  <c r="H104" i="9" s="1"/>
  <c r="I105" i="9"/>
  <c r="I104" i="9" s="1"/>
  <c r="J105" i="9"/>
  <c r="J104" i="9" s="1"/>
  <c r="G141" i="9"/>
  <c r="H141" i="9"/>
  <c r="I141" i="9"/>
  <c r="J141" i="9"/>
  <c r="G143" i="9"/>
  <c r="H143" i="9"/>
  <c r="I143" i="9"/>
  <c r="J143" i="9"/>
  <c r="G146" i="9"/>
  <c r="G145" i="9" s="1"/>
  <c r="H146" i="9"/>
  <c r="H145" i="9" s="1"/>
  <c r="I146" i="9"/>
  <c r="I145" i="9" s="1"/>
  <c r="J146" i="9"/>
  <c r="J145" i="9" s="1"/>
  <c r="F99" i="3"/>
  <c r="F96" i="3" s="1"/>
  <c r="G99" i="3"/>
  <c r="G96" i="3" s="1"/>
  <c r="H99" i="3"/>
  <c r="H96" i="3" s="1"/>
  <c r="I99" i="3"/>
  <c r="I96" i="3" s="1"/>
  <c r="J99" i="3"/>
  <c r="J96" i="3" s="1"/>
  <c r="F94" i="3"/>
  <c r="G94" i="3"/>
  <c r="H94" i="3"/>
  <c r="I94" i="3"/>
  <c r="J94" i="3"/>
  <c r="F91" i="3"/>
  <c r="G91" i="3"/>
  <c r="H91" i="3"/>
  <c r="I91" i="3"/>
  <c r="J91" i="3"/>
  <c r="K91" i="3"/>
  <c r="K90" i="3" s="1"/>
  <c r="L91" i="3"/>
  <c r="G680" i="2"/>
  <c r="G679" i="2" s="1"/>
  <c r="H680" i="2"/>
  <c r="H679" i="2" s="1"/>
  <c r="I680" i="2"/>
  <c r="I679" i="2" s="1"/>
  <c r="J680" i="2"/>
  <c r="J679" i="2" s="1"/>
  <c r="E680" i="2"/>
  <c r="E679" i="2" s="1"/>
  <c r="G677" i="2"/>
  <c r="H677" i="2"/>
  <c r="I677" i="2"/>
  <c r="J677" i="2"/>
  <c r="G676" i="2"/>
  <c r="H676" i="2"/>
  <c r="I676" i="2"/>
  <c r="J676" i="2"/>
  <c r="H567" i="2"/>
  <c r="H566" i="2" s="1"/>
  <c r="I567" i="2"/>
  <c r="I566" i="2" s="1"/>
  <c r="J567" i="2"/>
  <c r="J566" i="2" s="1"/>
  <c r="I422" i="2"/>
  <c r="I421" i="2" s="1"/>
  <c r="J422" i="2"/>
  <c r="J421" i="2" s="1"/>
  <c r="H417" i="2"/>
  <c r="I417" i="2"/>
  <c r="J417" i="2"/>
  <c r="H419" i="2"/>
  <c r="I419" i="2"/>
  <c r="J419" i="2"/>
  <c r="I395" i="2"/>
  <c r="I392" i="2" s="1"/>
  <c r="J395" i="2"/>
  <c r="J392" i="2" s="1"/>
  <c r="H387" i="2"/>
  <c r="I387" i="2"/>
  <c r="J387" i="2"/>
  <c r="H390" i="2"/>
  <c r="I390" i="2"/>
  <c r="J390" i="2"/>
  <c r="G321" i="2"/>
  <c r="H321" i="2"/>
  <c r="I321" i="2"/>
  <c r="J321" i="2"/>
  <c r="G318" i="2"/>
  <c r="H318" i="2"/>
  <c r="I318" i="2"/>
  <c r="J318" i="2"/>
  <c r="I313" i="2"/>
  <c r="J313" i="2"/>
  <c r="H316" i="2"/>
  <c r="I316" i="2"/>
  <c r="J316" i="2"/>
  <c r="I309" i="2"/>
  <c r="I306" i="2" s="1"/>
  <c r="J309" i="2"/>
  <c r="J306" i="2" s="1"/>
  <c r="I304" i="2"/>
  <c r="J304" i="2"/>
  <c r="I301" i="2"/>
  <c r="I300" i="2" s="1"/>
  <c r="J301" i="2"/>
  <c r="J300" i="2" s="1"/>
  <c r="I297" i="2"/>
  <c r="J297" i="2"/>
  <c r="I294" i="2"/>
  <c r="J294" i="2"/>
  <c r="I292" i="2"/>
  <c r="J292" i="2"/>
  <c r="I289" i="2"/>
  <c r="I288" i="2" s="1"/>
  <c r="J289" i="2"/>
  <c r="J288" i="2" s="1"/>
  <c r="G285" i="2"/>
  <c r="H285" i="2"/>
  <c r="I285" i="2"/>
  <c r="J285" i="2"/>
  <c r="G282" i="2"/>
  <c r="H282" i="2"/>
  <c r="I282" i="2"/>
  <c r="J282" i="2"/>
  <c r="G280" i="2"/>
  <c r="H280" i="2"/>
  <c r="I280" i="2"/>
  <c r="J280" i="2"/>
  <c r="G277" i="2"/>
  <c r="G276" i="2" s="1"/>
  <c r="H277" i="2"/>
  <c r="H276" i="2" s="1"/>
  <c r="I277" i="2"/>
  <c r="I276" i="2" s="1"/>
  <c r="J277" i="2"/>
  <c r="J276" i="2" s="1"/>
  <c r="H273" i="2"/>
  <c r="H270" i="2" s="1"/>
  <c r="I273" i="2"/>
  <c r="I270" i="2" s="1"/>
  <c r="J273" i="2"/>
  <c r="J270" i="2" s="1"/>
  <c r="H268" i="2"/>
  <c r="I268" i="2"/>
  <c r="J268" i="2"/>
  <c r="H265" i="2"/>
  <c r="I265" i="2"/>
  <c r="J265" i="2"/>
  <c r="H261" i="2"/>
  <c r="H258" i="2" s="1"/>
  <c r="I261" i="2"/>
  <c r="I258" i="2" s="1"/>
  <c r="J261" i="2"/>
  <c r="J258" i="2" s="1"/>
  <c r="H256" i="2"/>
  <c r="I256" i="2"/>
  <c r="J256" i="2"/>
  <c r="H253" i="2"/>
  <c r="I253" i="2"/>
  <c r="J253" i="2"/>
  <c r="F247" i="2"/>
  <c r="G247" i="2"/>
  <c r="H247" i="2"/>
  <c r="I247" i="2"/>
  <c r="J247" i="2"/>
  <c r="F249" i="2"/>
  <c r="G249" i="2"/>
  <c r="H249" i="2"/>
  <c r="I249" i="2"/>
  <c r="J249" i="2"/>
  <c r="F244" i="2"/>
  <c r="G244" i="2"/>
  <c r="H244" i="2"/>
  <c r="I244" i="2"/>
  <c r="J244" i="2"/>
  <c r="G241" i="2"/>
  <c r="G240" i="2" s="1"/>
  <c r="H241" i="2"/>
  <c r="H240" i="2" s="1"/>
  <c r="I241" i="2"/>
  <c r="I240" i="2" s="1"/>
  <c r="J241" i="2"/>
  <c r="J240" i="2" s="1"/>
  <c r="G225" i="2"/>
  <c r="H225" i="2"/>
  <c r="I225" i="2"/>
  <c r="J225" i="2"/>
  <c r="G223" i="2"/>
  <c r="G222" i="2" s="1"/>
  <c r="H223" i="2"/>
  <c r="H222" i="2" s="1"/>
  <c r="I223" i="2"/>
  <c r="I222" i="2" s="1"/>
  <c r="J223" i="2"/>
  <c r="J222" i="2" s="1"/>
  <c r="G217" i="2"/>
  <c r="H217" i="2"/>
  <c r="I217" i="2"/>
  <c r="J217" i="2"/>
  <c r="G220" i="2"/>
  <c r="H220" i="2"/>
  <c r="I220" i="2"/>
  <c r="J220" i="2"/>
  <c r="G213" i="2"/>
  <c r="H213" i="2"/>
  <c r="I213" i="2"/>
  <c r="J213" i="2"/>
  <c r="G211" i="2"/>
  <c r="G210" i="2" s="1"/>
  <c r="H211" i="2"/>
  <c r="H210" i="2" s="1"/>
  <c r="I211" i="2"/>
  <c r="I210" i="2" s="1"/>
  <c r="J211" i="2"/>
  <c r="J210" i="2" s="1"/>
  <c r="G208" i="2"/>
  <c r="H208" i="2"/>
  <c r="I208" i="2"/>
  <c r="J208" i="2"/>
  <c r="G205" i="2"/>
  <c r="G204" i="2" s="1"/>
  <c r="H205" i="2"/>
  <c r="H204" i="2" s="1"/>
  <c r="I205" i="2"/>
  <c r="I204" i="2" s="1"/>
  <c r="J205" i="2"/>
  <c r="J204" i="2" s="1"/>
  <c r="I201" i="2"/>
  <c r="I198" i="2" s="1"/>
  <c r="J201" i="2"/>
  <c r="J198" i="2" s="1"/>
  <c r="I196" i="2"/>
  <c r="J196" i="2"/>
  <c r="I193" i="2"/>
  <c r="I192" i="2" s="1"/>
  <c r="J193" i="2"/>
  <c r="J192" i="2" s="1"/>
  <c r="G189" i="2"/>
  <c r="H189" i="2"/>
  <c r="I189" i="2"/>
  <c r="J189" i="2"/>
  <c r="G186" i="2"/>
  <c r="H186" i="2"/>
  <c r="I186" i="2"/>
  <c r="J186" i="2"/>
  <c r="G184" i="2"/>
  <c r="H184" i="2"/>
  <c r="I184" i="2"/>
  <c r="J184" i="2"/>
  <c r="G181" i="2"/>
  <c r="G180" i="2" s="1"/>
  <c r="H181" i="2"/>
  <c r="H180" i="2" s="1"/>
  <c r="I181" i="2"/>
  <c r="I180" i="2" s="1"/>
  <c r="J181" i="2"/>
  <c r="J180" i="2" s="1"/>
  <c r="F140" i="2"/>
  <c r="G140" i="2"/>
  <c r="H140" i="2"/>
  <c r="I140" i="2"/>
  <c r="J140" i="2"/>
  <c r="F137" i="2"/>
  <c r="G137" i="2"/>
  <c r="H137" i="2"/>
  <c r="I137" i="2"/>
  <c r="J137" i="2"/>
  <c r="F133" i="2"/>
  <c r="G133" i="2"/>
  <c r="H133" i="2"/>
  <c r="I133" i="2"/>
  <c r="J133" i="2"/>
  <c r="G129" i="2"/>
  <c r="G128" i="2" s="1"/>
  <c r="H129" i="2"/>
  <c r="H128" i="2" s="1"/>
  <c r="I129" i="2"/>
  <c r="I128" i="2" s="1"/>
  <c r="J129" i="2"/>
  <c r="J128" i="2" s="1"/>
  <c r="I59" i="13"/>
  <c r="J59" i="13"/>
  <c r="I61" i="13"/>
  <c r="J61" i="13"/>
  <c r="H53" i="13"/>
  <c r="I53" i="13"/>
  <c r="J53" i="13"/>
  <c r="H47" i="13"/>
  <c r="I47" i="13"/>
  <c r="J47" i="13"/>
  <c r="I43" i="13"/>
  <c r="I42" i="13" s="1"/>
  <c r="J43" i="13"/>
  <c r="J42" i="13" s="1"/>
  <c r="H40" i="13"/>
  <c r="I40" i="13"/>
  <c r="J40" i="13"/>
  <c r="H38" i="13"/>
  <c r="I38" i="13"/>
  <c r="J38" i="13"/>
  <c r="H34" i="13"/>
  <c r="H33" i="13" s="1"/>
  <c r="I34" i="13"/>
  <c r="I33" i="13" s="1"/>
  <c r="J34" i="13"/>
  <c r="J33" i="13" s="1"/>
  <c r="G31" i="13"/>
  <c r="H31" i="13"/>
  <c r="I31" i="13"/>
  <c r="J31" i="13"/>
  <c r="G29" i="13"/>
  <c r="G28" i="13" s="1"/>
  <c r="H29" i="13"/>
  <c r="H28" i="13" s="1"/>
  <c r="I29" i="13"/>
  <c r="I28" i="13" s="1"/>
  <c r="J29" i="13"/>
  <c r="J28" i="13" s="1"/>
  <c r="J178" i="7"/>
  <c r="J175" i="7" s="1"/>
  <c r="J173" i="7"/>
  <c r="J170" i="7"/>
  <c r="J166" i="7"/>
  <c r="J164" i="7"/>
  <c r="J161" i="7"/>
  <c r="J158" i="7"/>
  <c r="J154" i="7"/>
  <c r="J150" i="7" s="1"/>
  <c r="J148" i="7"/>
  <c r="H116" i="7"/>
  <c r="I116" i="7"/>
  <c r="J116" i="7"/>
  <c r="H114" i="7"/>
  <c r="I114" i="7"/>
  <c r="J114" i="7"/>
  <c r="H108" i="7"/>
  <c r="I108" i="7"/>
  <c r="J108" i="7"/>
  <c r="H111" i="7"/>
  <c r="I111" i="7"/>
  <c r="J111" i="7"/>
  <c r="J101" i="7"/>
  <c r="J100" i="7" s="1"/>
  <c r="H90" i="7"/>
  <c r="H87" i="7" s="1"/>
  <c r="I90" i="7"/>
  <c r="I87" i="7" s="1"/>
  <c r="J90" i="7"/>
  <c r="J87" i="7" s="1"/>
  <c r="L90" i="7"/>
  <c r="H85" i="7"/>
  <c r="I85" i="7"/>
  <c r="J85" i="7"/>
  <c r="H82" i="7"/>
  <c r="I82" i="7"/>
  <c r="J82" i="7"/>
  <c r="I76" i="7"/>
  <c r="J76" i="7"/>
  <c r="I78" i="7"/>
  <c r="J78" i="7"/>
  <c r="I73" i="7"/>
  <c r="J73" i="7"/>
  <c r="I70" i="7"/>
  <c r="I69" i="7" s="1"/>
  <c r="J70" i="7"/>
  <c r="J69" i="7" s="1"/>
  <c r="I66" i="7"/>
  <c r="J66" i="7"/>
  <c r="I64" i="7"/>
  <c r="I63" i="7" s="1"/>
  <c r="J64" i="7"/>
  <c r="J63" i="7" s="1"/>
  <c r="I61" i="7"/>
  <c r="J61" i="7"/>
  <c r="I58" i="7"/>
  <c r="I57" i="7" s="1"/>
  <c r="J58" i="7"/>
  <c r="J57" i="7" s="1"/>
  <c r="J46" i="7"/>
  <c r="J49" i="7"/>
  <c r="J52" i="7"/>
  <c r="J54" i="7"/>
  <c r="G41" i="7"/>
  <c r="G40" i="7" s="1"/>
  <c r="G39" i="7" s="1"/>
  <c r="H41" i="7"/>
  <c r="H40" i="7" s="1"/>
  <c r="H39" i="7" s="1"/>
  <c r="I41" i="7"/>
  <c r="I40" i="7" s="1"/>
  <c r="I39" i="7" s="1"/>
  <c r="J41" i="7"/>
  <c r="J40" i="7" s="1"/>
  <c r="J39" i="7" s="1"/>
  <c r="G34" i="7"/>
  <c r="G33" i="7" s="1"/>
  <c r="H34" i="7"/>
  <c r="H33" i="7" s="1"/>
  <c r="I34" i="7"/>
  <c r="I33" i="7" s="1"/>
  <c r="J34" i="7"/>
  <c r="J33" i="7" s="1"/>
  <c r="H30" i="7"/>
  <c r="H29" i="7" s="1"/>
  <c r="I30" i="7"/>
  <c r="I29" i="7" s="1"/>
  <c r="J30" i="7"/>
  <c r="J29" i="7" s="1"/>
  <c r="H24" i="7"/>
  <c r="H23" i="7" s="1"/>
  <c r="I24" i="7"/>
  <c r="I23" i="7" s="1"/>
  <c r="J24" i="7"/>
  <c r="J23" i="7" s="1"/>
  <c r="H86" i="6"/>
  <c r="I86" i="6"/>
  <c r="J86" i="6"/>
  <c r="H88" i="6"/>
  <c r="I88" i="6"/>
  <c r="J88" i="6"/>
  <c r="H91" i="6"/>
  <c r="I91" i="6"/>
  <c r="J91" i="6"/>
  <c r="H93" i="6"/>
  <c r="I93" i="6"/>
  <c r="J93" i="6"/>
  <c r="H82" i="6"/>
  <c r="I82" i="6"/>
  <c r="J82" i="6"/>
  <c r="H80" i="6"/>
  <c r="I80" i="6"/>
  <c r="J80" i="6"/>
  <c r="H75" i="6"/>
  <c r="I75" i="6"/>
  <c r="J75" i="6"/>
  <c r="H77" i="6"/>
  <c r="I77" i="6"/>
  <c r="J77" i="6"/>
  <c r="H63" i="6"/>
  <c r="I63" i="6"/>
  <c r="J63" i="6"/>
  <c r="H66" i="6"/>
  <c r="I66" i="6"/>
  <c r="J66" i="6"/>
  <c r="H69" i="6"/>
  <c r="I69" i="6"/>
  <c r="J69" i="6"/>
  <c r="H71" i="6"/>
  <c r="I71" i="6"/>
  <c r="J71" i="6"/>
  <c r="I57" i="6"/>
  <c r="J57" i="6"/>
  <c r="I59" i="6"/>
  <c r="J59" i="6"/>
  <c r="J33" i="6"/>
  <c r="J32" i="6" s="1"/>
  <c r="J28" i="6"/>
  <c r="J27" i="6" s="1"/>
  <c r="I46" i="13" l="1"/>
  <c r="J136" i="2"/>
  <c r="H136" i="2"/>
  <c r="F136" i="2"/>
  <c r="I246" i="2"/>
  <c r="G246" i="2"/>
  <c r="I252" i="2"/>
  <c r="J264" i="2"/>
  <c r="H264" i="2"/>
  <c r="J51" i="7"/>
  <c r="J45" i="7"/>
  <c r="J113" i="7"/>
  <c r="J90" i="3"/>
  <c r="F90" i="3"/>
  <c r="J81" i="7"/>
  <c r="H81" i="7"/>
  <c r="I113" i="7"/>
  <c r="J157" i="7"/>
  <c r="J163" i="7"/>
  <c r="J37" i="13"/>
  <c r="H37" i="13"/>
  <c r="J46" i="13"/>
  <c r="H46" i="13"/>
  <c r="J246" i="2"/>
  <c r="H246" i="2"/>
  <c r="F246" i="2"/>
  <c r="J252" i="2"/>
  <c r="H252" i="2"/>
  <c r="I264" i="2"/>
  <c r="H79" i="6"/>
  <c r="H113" i="7"/>
  <c r="J90" i="6"/>
  <c r="J37" i="9"/>
  <c r="I79" i="6"/>
  <c r="J79" i="6"/>
  <c r="G90" i="3"/>
  <c r="H90" i="3"/>
  <c r="J75" i="9"/>
  <c r="H75" i="9"/>
  <c r="J63" i="9"/>
  <c r="H63" i="9"/>
  <c r="I57" i="9"/>
  <c r="H37" i="9"/>
  <c r="I75" i="9"/>
  <c r="G75" i="9"/>
  <c r="I63" i="9"/>
  <c r="H57" i="9"/>
  <c r="I37" i="9"/>
  <c r="J25" i="9"/>
  <c r="H25" i="9"/>
  <c r="I74" i="6"/>
  <c r="I416" i="2"/>
  <c r="J140" i="9"/>
  <c r="H140" i="9"/>
  <c r="I99" i="9"/>
  <c r="J51" i="9"/>
  <c r="H51" i="9"/>
  <c r="I56" i="6"/>
  <c r="J74" i="6"/>
  <c r="H74" i="6"/>
  <c r="H85" i="6"/>
  <c r="J416" i="2"/>
  <c r="H416" i="2"/>
  <c r="I140" i="9"/>
  <c r="G140" i="9"/>
  <c r="J99" i="9"/>
  <c r="H99" i="9"/>
  <c r="I51" i="9"/>
  <c r="I85" i="6"/>
  <c r="H90" i="6"/>
  <c r="J85" i="6"/>
  <c r="I90" i="6"/>
  <c r="J56" i="6"/>
  <c r="I62" i="6"/>
  <c r="I25" i="9"/>
  <c r="J75" i="7"/>
  <c r="I107" i="7"/>
  <c r="I58" i="13"/>
  <c r="J216" i="2"/>
  <c r="H216" i="2"/>
  <c r="J312" i="2"/>
  <c r="J386" i="2"/>
  <c r="H386" i="2"/>
  <c r="J26" i="6"/>
  <c r="I75" i="7"/>
  <c r="J107" i="7"/>
  <c r="H107" i="7"/>
  <c r="J58" i="13"/>
  <c r="I216" i="2"/>
  <c r="G216" i="2"/>
  <c r="I312" i="2"/>
  <c r="I386" i="2"/>
  <c r="I90" i="3"/>
  <c r="I136" i="2"/>
  <c r="G136" i="2"/>
  <c r="I37" i="13"/>
  <c r="J169" i="7"/>
  <c r="I81" i="7"/>
  <c r="H68" i="6"/>
  <c r="I68" i="6"/>
  <c r="J68" i="6"/>
  <c r="J62" i="6"/>
  <c r="H62" i="6"/>
  <c r="H18" i="13"/>
  <c r="I18" i="13"/>
  <c r="J18" i="13"/>
  <c r="E25" i="13"/>
  <c r="I25" i="13"/>
  <c r="J25" i="13"/>
  <c r="I26" i="13"/>
  <c r="J26" i="13"/>
  <c r="H55" i="7" l="1"/>
  <c r="G55" i="7"/>
  <c r="H53" i="7"/>
  <c r="G53" i="7"/>
  <c r="H50" i="7"/>
  <c r="G50" i="7"/>
  <c r="G48" i="7"/>
  <c r="G694" i="2" l="1"/>
  <c r="H694" i="2"/>
  <c r="I694" i="2"/>
  <c r="J694" i="2"/>
  <c r="D681" i="2"/>
  <c r="F680" i="2"/>
  <c r="F679" i="2" s="1"/>
  <c r="F694" i="2" s="1"/>
  <c r="F678" i="2"/>
  <c r="D680" i="2" l="1"/>
  <c r="D679" i="2" s="1"/>
  <c r="L680" i="2"/>
  <c r="L679" i="2" s="1"/>
  <c r="K680" i="2"/>
  <c r="K679" i="2" s="1"/>
  <c r="O71" i="1" l="1"/>
  <c r="O70" i="1"/>
  <c r="O68" i="1"/>
  <c r="O67" i="1"/>
  <c r="O66" i="1"/>
  <c r="O65" i="1"/>
  <c r="O64" i="1"/>
  <c r="O63" i="1"/>
  <c r="O62" i="1"/>
  <c r="O61" i="1"/>
  <c r="O59" i="1"/>
  <c r="O58" i="1"/>
  <c r="O57" i="1"/>
  <c r="O56" i="1"/>
  <c r="O55" i="1"/>
  <c r="O54" i="1"/>
  <c r="O52" i="1"/>
  <c r="O50" i="1"/>
  <c r="O49" i="1"/>
  <c r="O48" i="1"/>
  <c r="M161" i="9"/>
  <c r="O17" i="1"/>
  <c r="O16" i="1"/>
  <c r="O14" i="1"/>
  <c r="O13" i="1"/>
  <c r="O12" i="1"/>
  <c r="P15" i="1"/>
  <c r="O26" i="1"/>
  <c r="O25" i="1"/>
  <c r="O24" i="1"/>
  <c r="O23" i="1"/>
  <c r="O20" i="1"/>
  <c r="O19" i="1"/>
  <c r="O18" i="1"/>
  <c r="D263" i="6" l="1"/>
  <c r="D266" i="6"/>
  <c r="K261" i="6"/>
  <c r="K260" i="6" s="1"/>
  <c r="K65" i="5"/>
  <c r="K64" i="5" s="1"/>
  <c r="K62" i="5"/>
  <c r="L104" i="4"/>
  <c r="M104" i="4"/>
  <c r="N104" i="4"/>
  <c r="O104" i="4"/>
  <c r="P104" i="4"/>
  <c r="Q104" i="4"/>
  <c r="R104" i="4"/>
  <c r="S104" i="4"/>
  <c r="E101" i="8"/>
  <c r="E100" i="8" s="1"/>
  <c r="E98" i="8"/>
  <c r="E96" i="8"/>
  <c r="E92" i="8"/>
  <c r="E91" i="8" s="1"/>
  <c r="E90" i="8"/>
  <c r="E89" i="8" s="1"/>
  <c r="E88" i="8"/>
  <c r="E87" i="8" s="1"/>
  <c r="E84" i="8"/>
  <c r="E83" i="8" s="1"/>
  <c r="E82" i="8" s="1"/>
  <c r="E81" i="8"/>
  <c r="E80" i="8" s="1"/>
  <c r="E79" i="8"/>
  <c r="E78" i="8" s="1"/>
  <c r="E75" i="8"/>
  <c r="E74" i="8" s="1"/>
  <c r="E73" i="8" s="1"/>
  <c r="E156" i="8" s="1"/>
  <c r="E72" i="8"/>
  <c r="E70" i="8"/>
  <c r="E66" i="8"/>
  <c r="E64" i="8"/>
  <c r="E61" i="8"/>
  <c r="E59" i="8"/>
  <c r="E54" i="8"/>
  <c r="E51" i="8"/>
  <c r="E48" i="8"/>
  <c r="E46" i="8"/>
  <c r="E343" i="9"/>
  <c r="E280" i="9"/>
  <c r="E277" i="9"/>
  <c r="E264" i="9"/>
  <c r="E263" i="9" s="1"/>
  <c r="E262" i="9" s="1"/>
  <c r="E261" i="9"/>
  <c r="E260" i="9"/>
  <c r="E257" i="9"/>
  <c r="E256" i="9"/>
  <c r="E242" i="9"/>
  <c r="E241" i="9" s="1"/>
  <c r="E240" i="9" s="1"/>
  <c r="E239" i="9"/>
  <c r="E238" i="9"/>
  <c r="E235" i="9"/>
  <c r="E234" i="9"/>
  <c r="E203" i="9"/>
  <c r="E202" i="9" s="1"/>
  <c r="E201" i="9" s="1"/>
  <c r="E200" i="9"/>
  <c r="E199" i="9"/>
  <c r="E196" i="9"/>
  <c r="E195" i="9"/>
  <c r="E190" i="9"/>
  <c r="E189" i="9" s="1"/>
  <c r="E188" i="9" s="1"/>
  <c r="E187" i="9"/>
  <c r="E185" i="9"/>
  <c r="E181" i="9"/>
  <c r="E178" i="9"/>
  <c r="E177" i="9"/>
  <c r="E174" i="9"/>
  <c r="E173" i="9"/>
  <c r="E168" i="9"/>
  <c r="E167" i="9" s="1"/>
  <c r="E166" i="9"/>
  <c r="E165" i="9" s="1"/>
  <c r="E163" i="9"/>
  <c r="E160" i="9"/>
  <c r="E156" i="9"/>
  <c r="E153" i="9"/>
  <c r="E152" i="9" s="1"/>
  <c r="E151" i="9"/>
  <c r="E150" i="9" s="1"/>
  <c r="E146" i="9"/>
  <c r="E145" i="9" s="1"/>
  <c r="E144" i="9"/>
  <c r="E143" i="9" s="1"/>
  <c r="E142" i="9"/>
  <c r="E141" i="9" s="1"/>
  <c r="E137" i="9"/>
  <c r="E135" i="9"/>
  <c r="E133" i="9"/>
  <c r="E131" i="9" s="1"/>
  <c r="E128" i="9"/>
  <c r="E126" i="9" s="1"/>
  <c r="E125" i="9" s="1"/>
  <c r="E121" i="9"/>
  <c r="E119" i="9"/>
  <c r="E117" i="9"/>
  <c r="E115" i="9" s="1"/>
  <c r="E114" i="9" s="1"/>
  <c r="E112" i="9"/>
  <c r="E110" i="9" s="1"/>
  <c r="E109" i="9" s="1"/>
  <c r="E79" i="9"/>
  <c r="E77" i="9"/>
  <c r="E55" i="9"/>
  <c r="E52" i="9"/>
  <c r="E41" i="9"/>
  <c r="E39" i="9"/>
  <c r="E34" i="9"/>
  <c r="E32" i="9"/>
  <c r="E29" i="9"/>
  <c r="E26" i="9"/>
  <c r="E95" i="5"/>
  <c r="E94" i="5" s="1"/>
  <c r="E73" i="5"/>
  <c r="E70" i="5"/>
  <c r="E45" i="5"/>
  <c r="E40" i="5"/>
  <c r="E38" i="5"/>
  <c r="E91" i="4"/>
  <c r="E90" i="4" s="1"/>
  <c r="E89" i="4" s="1"/>
  <c r="E81" i="4"/>
  <c r="D81" i="4" s="1"/>
  <c r="E44" i="4"/>
  <c r="E43" i="4" s="1"/>
  <c r="E42" i="4"/>
  <c r="E41" i="4" s="1"/>
  <c r="E39" i="4"/>
  <c r="E38" i="4" s="1"/>
  <c r="E37" i="4"/>
  <c r="E36" i="4"/>
  <c r="E10" i="4" s="1"/>
  <c r="E32" i="4"/>
  <c r="E30" i="4"/>
  <c r="E27" i="4"/>
  <c r="E14" i="4" s="1"/>
  <c r="E25" i="4"/>
  <c r="E24" i="4"/>
  <c r="E11" i="4" s="1"/>
  <c r="E132" i="13"/>
  <c r="E128" i="13"/>
  <c r="E73" i="13"/>
  <c r="E72" i="13" s="1"/>
  <c r="E71" i="13"/>
  <c r="E70" i="13" s="1"/>
  <c r="E62" i="13"/>
  <c r="E60" i="13"/>
  <c r="E57" i="13"/>
  <c r="E56" i="13"/>
  <c r="E52" i="13"/>
  <c r="E51" i="13"/>
  <c r="E50" i="13"/>
  <c r="E44" i="13"/>
  <c r="E41" i="13"/>
  <c r="E39" i="13"/>
  <c r="E35" i="13"/>
  <c r="E32" i="13"/>
  <c r="E30" i="13"/>
  <c r="E26" i="13" l="1"/>
  <c r="E12" i="4"/>
  <c r="E155" i="9"/>
  <c r="E154" i="9" s="1"/>
  <c r="E130" i="9"/>
  <c r="E140" i="9"/>
  <c r="E25" i="9"/>
  <c r="E31" i="4"/>
  <c r="E19" i="4"/>
  <c r="E26" i="4"/>
  <c r="E29" i="4"/>
  <c r="E17" i="4"/>
  <c r="E35" i="4"/>
  <c r="E34" i="4" s="1"/>
  <c r="E6" i="4" s="1"/>
  <c r="E108" i="9"/>
  <c r="K61" i="5"/>
  <c r="E31" i="9"/>
  <c r="E51" i="9"/>
  <c r="E134" i="9"/>
  <c r="E40" i="4"/>
  <c r="E22" i="4"/>
  <c r="E21" i="4" s="1"/>
  <c r="E95" i="8"/>
  <c r="E86" i="8"/>
  <c r="E77" i="8"/>
  <c r="E149" i="9"/>
  <c r="E118" i="9"/>
  <c r="E164" i="9"/>
  <c r="E124" i="9"/>
  <c r="E69" i="13"/>
  <c r="D86" i="7"/>
  <c r="D84" i="7"/>
  <c r="D72" i="7"/>
  <c r="E179" i="7"/>
  <c r="E178" i="7" s="1"/>
  <c r="E177" i="7"/>
  <c r="E176" i="7" s="1"/>
  <c r="E174" i="7"/>
  <c r="E173" i="7" s="1"/>
  <c r="E172" i="7"/>
  <c r="E167" i="7"/>
  <c r="E166" i="7" s="1"/>
  <c r="E165" i="7"/>
  <c r="E164" i="7" s="1"/>
  <c r="E162" i="7"/>
  <c r="E161" i="7" s="1"/>
  <c r="E160" i="7"/>
  <c r="E155" i="7"/>
  <c r="E154" i="7" s="1"/>
  <c r="E153" i="7"/>
  <c r="E152" i="7"/>
  <c r="E149" i="7"/>
  <c r="E147" i="7"/>
  <c r="E115" i="7"/>
  <c r="E110" i="7"/>
  <c r="E101" i="7"/>
  <c r="E98" i="7"/>
  <c r="E95" i="7"/>
  <c r="E94" i="7" s="1"/>
  <c r="E91" i="7"/>
  <c r="E90" i="7" s="1"/>
  <c r="E88" i="7"/>
  <c r="E85" i="7"/>
  <c r="E82" i="7"/>
  <c r="E74" i="7"/>
  <c r="E73" i="7" s="1"/>
  <c r="E66" i="7"/>
  <c r="E65" i="7"/>
  <c r="E64" i="7" s="1"/>
  <c r="E61" i="7"/>
  <c r="E59" i="7"/>
  <c r="E58" i="7" s="1"/>
  <c r="E53" i="7"/>
  <c r="E48" i="7"/>
  <c r="E43" i="7"/>
  <c r="E42" i="7"/>
  <c r="E35" i="7"/>
  <c r="E256" i="6"/>
  <c r="E262" i="6"/>
  <c r="E261" i="6" s="1"/>
  <c r="E260" i="6" s="1"/>
  <c r="E185" i="6"/>
  <c r="E178" i="6"/>
  <c r="E174" i="6"/>
  <c r="E142" i="6" s="1"/>
  <c r="E138" i="6"/>
  <c r="E129" i="6"/>
  <c r="E113" i="6"/>
  <c r="E119" i="6"/>
  <c r="D119" i="6" s="1"/>
  <c r="E115" i="6"/>
  <c r="E114" i="6"/>
  <c r="E112" i="6"/>
  <c r="E111" i="6"/>
  <c r="E110" i="6"/>
  <c r="E105" i="6"/>
  <c r="E102" i="6"/>
  <c r="E100" i="6"/>
  <c r="E83" i="6"/>
  <c r="E81" i="6"/>
  <c r="E78" i="6"/>
  <c r="E76" i="6"/>
  <c r="E72" i="6"/>
  <c r="E71" i="6" s="1"/>
  <c r="E70" i="6"/>
  <c r="E69" i="6" s="1"/>
  <c r="E60" i="6"/>
  <c r="E59" i="6" s="1"/>
  <c r="E55" i="6"/>
  <c r="E54" i="6"/>
  <c r="E50" i="6"/>
  <c r="E49" i="6"/>
  <c r="E46" i="6"/>
  <c r="E45" i="6"/>
  <c r="K40" i="6"/>
  <c r="E39" i="6"/>
  <c r="E38" i="6" s="1"/>
  <c r="E36" i="6"/>
  <c r="E35" i="6"/>
  <c r="E30" i="6"/>
  <c r="K301" i="3"/>
  <c r="E308" i="3"/>
  <c r="E307" i="3" s="1"/>
  <c r="E306" i="3"/>
  <c r="E305" i="3" s="1"/>
  <c r="E303" i="3"/>
  <c r="E302" i="3"/>
  <c r="E299" i="3"/>
  <c r="E298" i="3"/>
  <c r="E294" i="3"/>
  <c r="E290" i="3"/>
  <c r="E289" i="3" s="1"/>
  <c r="E288" i="3"/>
  <c r="E287" i="3" s="1"/>
  <c r="E285" i="3"/>
  <c r="E284" i="3" s="1"/>
  <c r="E283" i="3"/>
  <c r="E282" i="3" s="1"/>
  <c r="E279" i="3"/>
  <c r="E278" i="3" s="1"/>
  <c r="E277" i="3"/>
  <c r="E276" i="3" s="1"/>
  <c r="E274" i="3"/>
  <c r="E273" i="3"/>
  <c r="E270" i="3"/>
  <c r="E269" i="3"/>
  <c r="E263" i="3"/>
  <c r="E261" i="3"/>
  <c r="E259" i="3"/>
  <c r="E258" i="3"/>
  <c r="E255" i="3"/>
  <c r="E254" i="3"/>
  <c r="E252" i="3"/>
  <c r="E251" i="3"/>
  <c r="E234" i="3"/>
  <c r="E232" i="3"/>
  <c r="E230" i="3"/>
  <c r="E229" i="3"/>
  <c r="E226" i="3"/>
  <c r="E225" i="3"/>
  <c r="E220" i="3"/>
  <c r="E219" i="3" s="1"/>
  <c r="E218" i="3"/>
  <c r="E217" i="3" s="1"/>
  <c r="E215" i="3"/>
  <c r="E214" i="3"/>
  <c r="E211" i="3"/>
  <c r="E210" i="3"/>
  <c r="E208" i="3"/>
  <c r="E207" i="3"/>
  <c r="E202" i="3"/>
  <c r="E201" i="3" s="1"/>
  <c r="E200" i="3"/>
  <c r="E199" i="3" s="1"/>
  <c r="E197" i="3"/>
  <c r="E196" i="3" s="1"/>
  <c r="E195" i="3"/>
  <c r="E194" i="3"/>
  <c r="E190" i="3"/>
  <c r="E189" i="3" s="1"/>
  <c r="E188" i="3"/>
  <c r="E185" i="3"/>
  <c r="E184" i="3"/>
  <c r="E181" i="3"/>
  <c r="E180" i="3"/>
  <c r="E178" i="3"/>
  <c r="E177" i="3"/>
  <c r="E172" i="3"/>
  <c r="E171" i="3" s="1"/>
  <c r="E170" i="3" s="1"/>
  <c r="E169" i="3"/>
  <c r="E162" i="3"/>
  <c r="E161" i="3" s="1"/>
  <c r="E160" i="3" s="1"/>
  <c r="E159" i="3"/>
  <c r="E156" i="3"/>
  <c r="E155" i="3"/>
  <c r="E150" i="3"/>
  <c r="E147" i="3"/>
  <c r="E146" i="3"/>
  <c r="E143" i="3"/>
  <c r="E142" i="3"/>
  <c r="E136" i="3"/>
  <c r="E134" i="3"/>
  <c r="E132" i="3"/>
  <c r="E131" i="3" s="1"/>
  <c r="E130" i="3"/>
  <c r="E129" i="3"/>
  <c r="E112" i="3"/>
  <c r="E107" i="3"/>
  <c r="E104" i="3"/>
  <c r="E88" i="3"/>
  <c r="E83" i="3"/>
  <c r="E80" i="3"/>
  <c r="E74" i="3"/>
  <c r="E72" i="3"/>
  <c r="E70" i="3"/>
  <c r="E69" i="3"/>
  <c r="E65" i="3"/>
  <c r="E64" i="3"/>
  <c r="E41" i="3"/>
  <c r="E35" i="3"/>
  <c r="E34" i="3"/>
  <c r="E29" i="3"/>
  <c r="E28" i="3"/>
  <c r="K677" i="2"/>
  <c r="E677" i="2"/>
  <c r="E676" i="2" s="1"/>
  <c r="E674" i="2"/>
  <c r="E663" i="2"/>
  <c r="E660" i="2"/>
  <c r="E659" i="2"/>
  <c r="E655" i="2"/>
  <c r="E652" i="2"/>
  <c r="E651" i="2"/>
  <c r="E643" i="2"/>
  <c r="E611" i="2"/>
  <c r="E610" i="2"/>
  <c r="E607" i="2"/>
  <c r="E606" i="2"/>
  <c r="E602" i="2"/>
  <c r="E583" i="2"/>
  <c r="E580" i="2"/>
  <c r="E568" i="2"/>
  <c r="E564" i="2"/>
  <c r="E547" i="2"/>
  <c r="E543" i="2"/>
  <c r="E544" i="2"/>
  <c r="E459" i="2"/>
  <c r="E458" i="2"/>
  <c r="E454" i="2"/>
  <c r="E453" i="2"/>
  <c r="E447" i="2"/>
  <c r="E444" i="2"/>
  <c r="E443" i="2"/>
  <c r="E439" i="2"/>
  <c r="E438" i="2"/>
  <c r="E281" i="2"/>
  <c r="E280" i="2" s="1"/>
  <c r="E278" i="2"/>
  <c r="E277" i="2" s="1"/>
  <c r="E269" i="2"/>
  <c r="E266" i="2"/>
  <c r="E262" i="2"/>
  <c r="E257" i="2"/>
  <c r="E254" i="2"/>
  <c r="E250" i="2"/>
  <c r="E245" i="2"/>
  <c r="E242" i="2"/>
  <c r="E226" i="2"/>
  <c r="E224" i="2"/>
  <c r="E221" i="2"/>
  <c r="E218" i="2"/>
  <c r="E214" i="2"/>
  <c r="E212" i="2"/>
  <c r="E209" i="2"/>
  <c r="E207" i="2"/>
  <c r="E206" i="2"/>
  <c r="E185" i="2"/>
  <c r="E182" i="2"/>
  <c r="E142" i="2"/>
  <c r="E130" i="2"/>
  <c r="D128" i="3"/>
  <c r="E19" i="3" l="1"/>
  <c r="E28" i="4"/>
  <c r="E187" i="3"/>
  <c r="E186" i="3" s="1"/>
  <c r="E206" i="3"/>
  <c r="E179" i="3"/>
  <c r="E183" i="3"/>
  <c r="E182" i="3" s="1"/>
  <c r="E250" i="3"/>
  <c r="E257" i="3"/>
  <c r="E256" i="3" s="1"/>
  <c r="E151" i="7"/>
  <c r="E37" i="6"/>
  <c r="E63" i="3"/>
  <c r="E198" i="3"/>
  <c r="E224" i="3"/>
  <c r="E223" i="3" s="1"/>
  <c r="E231" i="3"/>
  <c r="E301" i="3"/>
  <c r="E300" i="3" s="1"/>
  <c r="E57" i="7"/>
  <c r="E193" i="3"/>
  <c r="E192" i="3" s="1"/>
  <c r="E253" i="3"/>
  <c r="E249" i="3" s="1"/>
  <c r="E272" i="3"/>
  <c r="E271" i="3" s="1"/>
  <c r="E68" i="3"/>
  <c r="E275" i="3"/>
  <c r="E81" i="7"/>
  <c r="E87" i="7"/>
  <c r="E175" i="7"/>
  <c r="E63" i="7"/>
  <c r="E163" i="7"/>
  <c r="E93" i="7"/>
  <c r="E150" i="7"/>
  <c r="E68" i="6"/>
  <c r="E304" i="3"/>
  <c r="E216" i="3"/>
  <c r="E176" i="3"/>
  <c r="E209" i="3"/>
  <c r="E71" i="3"/>
  <c r="E127" i="3"/>
  <c r="E126" i="3" s="1"/>
  <c r="E268" i="3"/>
  <c r="E267" i="3" s="1"/>
  <c r="E213" i="3"/>
  <c r="E212" i="3" s="1"/>
  <c r="E228" i="3"/>
  <c r="E227" i="3" s="1"/>
  <c r="E260" i="3"/>
  <c r="E297" i="3"/>
  <c r="E293" i="3" s="1"/>
  <c r="E281" i="3"/>
  <c r="E286" i="3"/>
  <c r="E133" i="3"/>
  <c r="E276" i="2"/>
  <c r="K22" i="3"/>
  <c r="K19" i="3"/>
  <c r="D246" i="3"/>
  <c r="D245" i="3" s="1"/>
  <c r="L245" i="3"/>
  <c r="J245" i="3"/>
  <c r="I245" i="3"/>
  <c r="H245" i="3"/>
  <c r="G245" i="3"/>
  <c r="F245" i="3"/>
  <c r="K245" i="3"/>
  <c r="E245" i="3"/>
  <c r="D244" i="3"/>
  <c r="D243" i="3" s="1"/>
  <c r="L243" i="3"/>
  <c r="J243" i="3"/>
  <c r="I243" i="3"/>
  <c r="H243" i="3"/>
  <c r="G243" i="3"/>
  <c r="F243" i="3"/>
  <c r="K243" i="3"/>
  <c r="E243" i="3"/>
  <c r="M241" i="3"/>
  <c r="M240" i="3" s="1"/>
  <c r="D241" i="3"/>
  <c r="D240" i="3" s="1"/>
  <c r="L240" i="3"/>
  <c r="J240" i="3"/>
  <c r="I240" i="3"/>
  <c r="H240" i="3"/>
  <c r="G240" i="3"/>
  <c r="F240" i="3"/>
  <c r="K240" i="3"/>
  <c r="E240" i="3"/>
  <c r="M239" i="3"/>
  <c r="M238" i="3" s="1"/>
  <c r="D239" i="3"/>
  <c r="D238" i="3" s="1"/>
  <c r="L238" i="3"/>
  <c r="J238" i="3"/>
  <c r="I238" i="3"/>
  <c r="H238" i="3"/>
  <c r="G238" i="3"/>
  <c r="F238" i="3"/>
  <c r="K238" i="3"/>
  <c r="E238" i="3"/>
  <c r="H235" i="3"/>
  <c r="H22" i="3" s="1"/>
  <c r="G235" i="3"/>
  <c r="F235" i="3"/>
  <c r="H233" i="3"/>
  <c r="H19" i="3" s="1"/>
  <c r="G233" i="3"/>
  <c r="F233" i="3"/>
  <c r="H230" i="3"/>
  <c r="G230" i="3"/>
  <c r="F230" i="3"/>
  <c r="F229" i="3"/>
  <c r="H226" i="3"/>
  <c r="G226" i="3"/>
  <c r="F226" i="3"/>
  <c r="F225" i="3"/>
  <c r="M225" i="3" s="1"/>
  <c r="E12" i="3" l="1"/>
  <c r="E175" i="3"/>
  <c r="E174" i="3" s="1"/>
  <c r="E205" i="3"/>
  <c r="E248" i="3"/>
  <c r="E67" i="3"/>
  <c r="E62" i="3"/>
  <c r="E222" i="3"/>
  <c r="E292" i="3"/>
  <c r="E266" i="3"/>
  <c r="E204" i="3"/>
  <c r="E237" i="3"/>
  <c r="F242" i="3"/>
  <c r="J242" i="3"/>
  <c r="G237" i="3"/>
  <c r="D242" i="3"/>
  <c r="K237" i="3"/>
  <c r="I237" i="3"/>
  <c r="L237" i="3"/>
  <c r="M226" i="3"/>
  <c r="H237" i="3"/>
  <c r="K242" i="3"/>
  <c r="I242" i="3"/>
  <c r="G242" i="3"/>
  <c r="L242" i="3"/>
  <c r="F237" i="3"/>
  <c r="J237" i="3"/>
  <c r="E242" i="3"/>
  <c r="H242" i="3"/>
  <c r="M237" i="3"/>
  <c r="D237" i="3"/>
  <c r="E61" i="3" l="1"/>
  <c r="K112" i="13"/>
  <c r="F112" i="13"/>
  <c r="G112" i="13"/>
  <c r="H112" i="13"/>
  <c r="I112" i="13"/>
  <c r="J112" i="13"/>
  <c r="E112" i="13"/>
  <c r="D110" i="13"/>
  <c r="E109" i="13"/>
  <c r="K109" i="13"/>
  <c r="F109" i="13"/>
  <c r="G109" i="13"/>
  <c r="H109" i="13"/>
  <c r="I109" i="13"/>
  <c r="J109" i="13"/>
  <c r="F91" i="13"/>
  <c r="M107" i="13"/>
  <c r="M102" i="13"/>
  <c r="M101" i="13"/>
  <c r="M98" i="13"/>
  <c r="M97" i="13"/>
  <c r="M94" i="13"/>
  <c r="M93" i="13"/>
  <c r="M106" i="13"/>
  <c r="D107" i="13"/>
  <c r="D106" i="13"/>
  <c r="D102" i="13"/>
  <c r="D101" i="13"/>
  <c r="K104" i="13"/>
  <c r="K103" i="13" s="1"/>
  <c r="F104" i="13"/>
  <c r="G104" i="13"/>
  <c r="H104" i="13"/>
  <c r="I104" i="13"/>
  <c r="J104" i="13"/>
  <c r="E104" i="13"/>
  <c r="E99" i="13"/>
  <c r="K99" i="13"/>
  <c r="F99" i="13"/>
  <c r="G99" i="13"/>
  <c r="H99" i="13"/>
  <c r="I99" i="13"/>
  <c r="J99" i="13"/>
  <c r="E95" i="13"/>
  <c r="K95" i="13"/>
  <c r="F95" i="13"/>
  <c r="G95" i="13"/>
  <c r="H95" i="13"/>
  <c r="I95" i="13"/>
  <c r="J95" i="13"/>
  <c r="L95" i="13"/>
  <c r="K91" i="13"/>
  <c r="G91" i="13"/>
  <c r="H91" i="13"/>
  <c r="I91" i="13"/>
  <c r="J91" i="13"/>
  <c r="E91" i="13"/>
  <c r="D93" i="13"/>
  <c r="D94" i="13"/>
  <c r="D97" i="13"/>
  <c r="D98" i="13"/>
  <c r="I103" i="13" l="1"/>
  <c r="I17" i="13"/>
  <c r="E103" i="13"/>
  <c r="E17" i="13"/>
  <c r="G103" i="13"/>
  <c r="J103" i="13"/>
  <c r="J17" i="13"/>
  <c r="H103" i="13"/>
  <c r="M91" i="13"/>
  <c r="E108" i="13"/>
  <c r="E90" i="13"/>
  <c r="E89" i="13" s="1"/>
  <c r="H90" i="13"/>
  <c r="M104" i="13"/>
  <c r="M99" i="13"/>
  <c r="M95" i="13"/>
  <c r="I90" i="13"/>
  <c r="J90" i="13"/>
  <c r="K90" i="13"/>
  <c r="K89" i="13" s="1"/>
  <c r="F90" i="13"/>
  <c r="G90" i="13"/>
  <c r="F103" i="13"/>
  <c r="D95" i="13"/>
  <c r="E22" i="13"/>
  <c r="K22" i="13"/>
  <c r="F22" i="13"/>
  <c r="G22" i="13"/>
  <c r="H22" i="13"/>
  <c r="I22" i="13"/>
  <c r="J22" i="13"/>
  <c r="E14" i="13"/>
  <c r="K14" i="13"/>
  <c r="F14" i="13"/>
  <c r="G14" i="13"/>
  <c r="H14" i="13"/>
  <c r="I14" i="13"/>
  <c r="J14" i="13"/>
  <c r="H25" i="13"/>
  <c r="G87" i="13"/>
  <c r="G25" i="13" s="1"/>
  <c r="F25" i="13"/>
  <c r="I86" i="13"/>
  <c r="H83" i="13"/>
  <c r="G85" i="13"/>
  <c r="G83" i="13" s="1"/>
  <c r="F83" i="13"/>
  <c r="K83" i="13"/>
  <c r="I83" i="13"/>
  <c r="J83" i="13"/>
  <c r="E83" i="13"/>
  <c r="D84" i="13"/>
  <c r="D22" i="13" s="1"/>
  <c r="E76" i="13"/>
  <c r="K76" i="13"/>
  <c r="I76" i="13"/>
  <c r="J76" i="13"/>
  <c r="H17" i="13"/>
  <c r="G17" i="13"/>
  <c r="F17" i="13"/>
  <c r="G79" i="13"/>
  <c r="M78" i="13"/>
  <c r="D78" i="13"/>
  <c r="G137" i="3"/>
  <c r="F137" i="3"/>
  <c r="G135" i="3"/>
  <c r="F135" i="3"/>
  <c r="G132" i="3"/>
  <c r="F132" i="3"/>
  <c r="G130" i="3"/>
  <c r="F130" i="3"/>
  <c r="G129" i="3"/>
  <c r="F129" i="3"/>
  <c r="F89" i="13" l="1"/>
  <c r="G89" i="13"/>
  <c r="I89" i="13"/>
  <c r="H89" i="13"/>
  <c r="M103" i="13"/>
  <c r="J89" i="13"/>
  <c r="M90" i="13"/>
  <c r="M77" i="13"/>
  <c r="H76" i="13"/>
  <c r="D77" i="13"/>
  <c r="D81" i="13"/>
  <c r="F76" i="13"/>
  <c r="G76" i="13"/>
  <c r="D14" i="13"/>
  <c r="M14" i="13"/>
  <c r="F252" i="3"/>
  <c r="F255" i="3"/>
  <c r="F259" i="3"/>
  <c r="F258" i="3"/>
  <c r="F254" i="3"/>
  <c r="F251" i="3"/>
  <c r="F270" i="3"/>
  <c r="F269" i="3"/>
  <c r="G279" i="3"/>
  <c r="F279" i="3"/>
  <c r="G277" i="3"/>
  <c r="G19" i="3" s="1"/>
  <c r="F277" i="3"/>
  <c r="G274" i="3"/>
  <c r="F274" i="3"/>
  <c r="G273" i="3"/>
  <c r="F273" i="3"/>
  <c r="G270" i="3"/>
  <c r="G269" i="3"/>
  <c r="M89" i="13" l="1"/>
  <c r="J8" i="13"/>
  <c r="I8" i="13"/>
  <c r="H8" i="13"/>
  <c r="D251" i="3"/>
  <c r="D254" i="3"/>
  <c r="D255" i="3"/>
  <c r="D252" i="3"/>
  <c r="F30" i="7"/>
  <c r="F29" i="7" s="1"/>
  <c r="G31" i="7"/>
  <c r="G25" i="7"/>
  <c r="F25" i="7"/>
  <c r="D28" i="7"/>
  <c r="J11" i="7"/>
  <c r="I11" i="7"/>
  <c r="H11" i="7"/>
  <c r="G11" i="7"/>
  <c r="F11" i="7"/>
  <c r="G24" i="7"/>
  <c r="F24" i="7"/>
  <c r="F418" i="2"/>
  <c r="F388" i="2"/>
  <c r="H564" i="2" l="1"/>
  <c r="G564" i="2"/>
  <c r="H313" i="2"/>
  <c r="G314" i="2"/>
  <c r="F314" i="2"/>
  <c r="F322" i="2"/>
  <c r="E317" i="2"/>
  <c r="E314" i="2"/>
  <c r="M53" i="3"/>
  <c r="M54" i="3"/>
  <c r="M55" i="3"/>
  <c r="D48" i="3"/>
  <c r="M314" i="2" l="1"/>
  <c r="H312" i="2"/>
  <c r="D49" i="3"/>
  <c r="F538" i="2" l="1"/>
  <c r="F532" i="2"/>
  <c r="F602" i="2"/>
  <c r="K135" i="9"/>
  <c r="F135" i="9"/>
  <c r="G135" i="9"/>
  <c r="H135" i="9"/>
  <c r="I135" i="9"/>
  <c r="J135" i="9"/>
  <c r="D136" i="9"/>
  <c r="D135" i="9" s="1"/>
  <c r="M113" i="9"/>
  <c r="M129" i="9"/>
  <c r="D129" i="9"/>
  <c r="F128" i="9"/>
  <c r="K119" i="9"/>
  <c r="F119" i="9"/>
  <c r="G119" i="9"/>
  <c r="H119" i="9"/>
  <c r="I119" i="9"/>
  <c r="J119" i="9"/>
  <c r="D120" i="9"/>
  <c r="D119" i="9" s="1"/>
  <c r="D113" i="9"/>
  <c r="M321" i="3"/>
  <c r="L315" i="3"/>
  <c r="E320" i="3"/>
  <c r="E319" i="3" s="1"/>
  <c r="K320" i="3"/>
  <c r="K319" i="3" s="1"/>
  <c r="F320" i="3"/>
  <c r="G320" i="3"/>
  <c r="H320" i="3"/>
  <c r="I320" i="3"/>
  <c r="J320" i="3"/>
  <c r="L320" i="3"/>
  <c r="D321" i="3"/>
  <c r="D320" i="3" s="1"/>
  <c r="D319" i="3" s="1"/>
  <c r="M317" i="3"/>
  <c r="M318" i="3"/>
  <c r="D318" i="3"/>
  <c r="D317" i="3"/>
  <c r="D314" i="3"/>
  <c r="D313" i="3"/>
  <c r="J316" i="3"/>
  <c r="I316" i="3"/>
  <c r="H316" i="3"/>
  <c r="G316" i="3"/>
  <c r="F316" i="3"/>
  <c r="K316" i="3"/>
  <c r="E316" i="3"/>
  <c r="E315" i="3" s="1"/>
  <c r="L311" i="3"/>
  <c r="L310" i="3" s="1"/>
  <c r="J319" i="3" l="1"/>
  <c r="H319" i="3"/>
  <c r="F319" i="3"/>
  <c r="I319" i="3"/>
  <c r="G319" i="3"/>
  <c r="J315" i="3"/>
  <c r="D316" i="3"/>
  <c r="D315" i="3" s="1"/>
  <c r="M316" i="3"/>
  <c r="M315" i="3" s="1"/>
  <c r="F315" i="3"/>
  <c r="G315" i="3"/>
  <c r="M320" i="3"/>
  <c r="I315" i="3"/>
  <c r="H315" i="3"/>
  <c r="K315" i="3"/>
  <c r="D312" i="3"/>
  <c r="M314" i="3"/>
  <c r="M313" i="3"/>
  <c r="K312" i="3"/>
  <c r="F312" i="3"/>
  <c r="G312" i="3"/>
  <c r="H312" i="3"/>
  <c r="I312" i="3"/>
  <c r="J312" i="3"/>
  <c r="E312" i="3"/>
  <c r="I384" i="3"/>
  <c r="I383" i="3" s="1"/>
  <c r="I382" i="3" s="1"/>
  <c r="J384" i="3"/>
  <c r="J383" i="3" s="1"/>
  <c r="J382" i="3" s="1"/>
  <c r="L384" i="3"/>
  <c r="L383" i="3" s="1"/>
  <c r="L382" i="3" s="1"/>
  <c r="D311" i="3" l="1"/>
  <c r="D310" i="3" s="1"/>
  <c r="J311" i="3"/>
  <c r="G311" i="3"/>
  <c r="H311" i="3"/>
  <c r="M312" i="3"/>
  <c r="M311" i="3" s="1"/>
  <c r="M310" i="3" s="1"/>
  <c r="F311" i="3"/>
  <c r="E311" i="3"/>
  <c r="I311" i="3"/>
  <c r="K311" i="3"/>
  <c r="H62" i="13"/>
  <c r="H60" i="13"/>
  <c r="G62" i="13"/>
  <c r="G60" i="13"/>
  <c r="G56" i="13"/>
  <c r="G50" i="13"/>
  <c r="F62" i="13"/>
  <c r="F60" i="13"/>
  <c r="F57" i="13"/>
  <c r="F52" i="13"/>
  <c r="F51" i="13"/>
  <c r="L73" i="9"/>
  <c r="D73" i="9" s="1"/>
  <c r="D72" i="9" s="1"/>
  <c r="G72" i="9"/>
  <c r="F72" i="9"/>
  <c r="K72" i="9"/>
  <c r="E72" i="9"/>
  <c r="D71" i="9"/>
  <c r="D70" i="9" s="1"/>
  <c r="L70" i="9"/>
  <c r="G70" i="9"/>
  <c r="F70" i="9"/>
  <c r="K70" i="9"/>
  <c r="E70" i="9"/>
  <c r="M68" i="9"/>
  <c r="M67" i="9" s="1"/>
  <c r="D68" i="9"/>
  <c r="D67" i="9" s="1"/>
  <c r="L67" i="9"/>
  <c r="G67" i="9"/>
  <c r="F67" i="9"/>
  <c r="K67" i="9"/>
  <c r="E67" i="9"/>
  <c r="M66" i="9"/>
  <c r="D66" i="9"/>
  <c r="M65" i="9"/>
  <c r="M64" i="9" s="1"/>
  <c r="D65" i="9"/>
  <c r="L64" i="9"/>
  <c r="G64" i="9"/>
  <c r="F64" i="9"/>
  <c r="K64" i="9"/>
  <c r="E64" i="9"/>
  <c r="M56" i="9"/>
  <c r="M53" i="9"/>
  <c r="G55" i="9"/>
  <c r="F58" i="9"/>
  <c r="G58" i="9"/>
  <c r="G60" i="9"/>
  <c r="F52" i="9"/>
  <c r="G52" i="9"/>
  <c r="F55" i="9"/>
  <c r="K103" i="9"/>
  <c r="K101" i="9"/>
  <c r="F85" i="9"/>
  <c r="E310" i="3" l="1"/>
  <c r="J310" i="3"/>
  <c r="L72" i="9"/>
  <c r="L69" i="9" s="1"/>
  <c r="G310" i="3"/>
  <c r="I310" i="3"/>
  <c r="F310" i="3"/>
  <c r="H310" i="3"/>
  <c r="K310" i="3"/>
  <c r="F51" i="9"/>
  <c r="F69" i="9"/>
  <c r="E63" i="9"/>
  <c r="L63" i="9"/>
  <c r="K69" i="9"/>
  <c r="F63" i="9"/>
  <c r="K63" i="9"/>
  <c r="D69" i="9"/>
  <c r="D64" i="9"/>
  <c r="D63" i="9" s="1"/>
  <c r="G63" i="9"/>
  <c r="E69" i="9"/>
  <c r="M63" i="9"/>
  <c r="G69" i="9"/>
  <c r="G51" i="9"/>
  <c r="G57" i="9"/>
  <c r="B141" i="1" l="1"/>
  <c r="H141" i="1"/>
  <c r="C141" i="1"/>
  <c r="C142" i="1" s="1"/>
  <c r="D141" i="1"/>
  <c r="E141" i="1"/>
  <c r="F141" i="1"/>
  <c r="G141" i="1"/>
  <c r="I141" i="1"/>
  <c r="J141" i="1"/>
  <c r="K141" i="1"/>
  <c r="H543" i="2" l="1"/>
  <c r="M543" i="2" s="1"/>
  <c r="O153" i="6" l="1"/>
  <c r="L94" i="5" l="1"/>
  <c r="L98" i="5"/>
  <c r="J98" i="5"/>
  <c r="I98" i="5"/>
  <c r="H98" i="5"/>
  <c r="I18" i="7"/>
  <c r="I48" i="8" l="1"/>
  <c r="F112" i="3" l="1"/>
  <c r="F107" i="3"/>
  <c r="F104" i="3"/>
  <c r="D80" i="3" l="1"/>
  <c r="I55" i="7"/>
  <c r="F55" i="7"/>
  <c r="K55" i="7"/>
  <c r="F53" i="7"/>
  <c r="I50" i="7"/>
  <c r="K50" i="7"/>
  <c r="D229" i="9"/>
  <c r="H228" i="9"/>
  <c r="G219" i="9"/>
  <c r="M213" i="9"/>
  <c r="M208" i="9"/>
  <c r="M209" i="9"/>
  <c r="E224" i="9"/>
  <c r="K224" i="9"/>
  <c r="F224" i="9"/>
  <c r="G224" i="9"/>
  <c r="H224" i="9"/>
  <c r="I224" i="9"/>
  <c r="J224" i="9"/>
  <c r="E220" i="9"/>
  <c r="E219" i="9" s="1"/>
  <c r="K220" i="9"/>
  <c r="K219" i="9" s="1"/>
  <c r="F220" i="9"/>
  <c r="F219" i="9" s="1"/>
  <c r="H220" i="9"/>
  <c r="H219" i="9" s="1"/>
  <c r="I220" i="9"/>
  <c r="I219" i="9" s="1"/>
  <c r="J220" i="9"/>
  <c r="J219" i="9" s="1"/>
  <c r="D226" i="9"/>
  <c r="D225" i="9"/>
  <c r="D222" i="9"/>
  <c r="D221" i="9"/>
  <c r="K215" i="9"/>
  <c r="F215" i="9"/>
  <c r="G215" i="9"/>
  <c r="H215" i="9"/>
  <c r="I215" i="9"/>
  <c r="J215" i="9"/>
  <c r="D209" i="9"/>
  <c r="D208" i="9"/>
  <c r="E211" i="9"/>
  <c r="K211" i="9"/>
  <c r="G211" i="9"/>
  <c r="H211" i="9"/>
  <c r="I211" i="9"/>
  <c r="J211" i="9"/>
  <c r="D213" i="9"/>
  <c r="D212" i="9"/>
  <c r="H207" i="9"/>
  <c r="G207" i="9"/>
  <c r="F207" i="9"/>
  <c r="D211" i="9" l="1"/>
  <c r="J210" i="9"/>
  <c r="G210" i="9"/>
  <c r="I210" i="9"/>
  <c r="H210" i="9"/>
  <c r="D220" i="9"/>
  <c r="J214" i="9"/>
  <c r="H214" i="9"/>
  <c r="F214" i="9"/>
  <c r="I214" i="9"/>
  <c r="G214" i="9"/>
  <c r="H227" i="9"/>
  <c r="K214" i="9"/>
  <c r="D224" i="9"/>
  <c r="D207" i="9"/>
  <c r="J138" i="6"/>
  <c r="J129" i="6"/>
  <c r="J115" i="6"/>
  <c r="I115" i="6"/>
  <c r="H115" i="6"/>
  <c r="G115" i="6"/>
  <c r="J105" i="6"/>
  <c r="I105" i="6"/>
  <c r="H105" i="6"/>
  <c r="G105" i="6"/>
  <c r="G206" i="9" l="1"/>
  <c r="G205" i="9" s="1"/>
  <c r="H206" i="9"/>
  <c r="H205" i="9" s="1"/>
  <c r="G44" i="4"/>
  <c r="F44" i="4"/>
  <c r="G42" i="4"/>
  <c r="F42" i="4"/>
  <c r="G39" i="4"/>
  <c r="F39" i="4"/>
  <c r="G37" i="4"/>
  <c r="F37" i="4"/>
  <c r="G36" i="4"/>
  <c r="F36" i="4"/>
  <c r="G32" i="4"/>
  <c r="F32" i="4"/>
  <c r="G30" i="4"/>
  <c r="F30" i="4"/>
  <c r="G27" i="4"/>
  <c r="F27" i="4"/>
  <c r="G25" i="4"/>
  <c r="F25" i="4"/>
  <c r="F24" i="4"/>
  <c r="D24" i="4" s="1"/>
  <c r="G23" i="4"/>
  <c r="F23" i="4"/>
  <c r="D25" i="4" l="1"/>
  <c r="D30" i="4"/>
  <c r="D36" i="4"/>
  <c r="D37" i="4"/>
  <c r="D39" i="4"/>
  <c r="D44" i="4"/>
  <c r="D32" i="4"/>
  <c r="D42" i="4"/>
  <c r="D23" i="4"/>
  <c r="D27" i="4"/>
  <c r="F389" i="3"/>
  <c r="M116" i="9"/>
  <c r="M111" i="9"/>
  <c r="M132" i="9"/>
  <c r="M127" i="9"/>
  <c r="F138" i="9"/>
  <c r="F133" i="9"/>
  <c r="M133" i="9" s="1"/>
  <c r="M128" i="9"/>
  <c r="M117" i="9"/>
  <c r="M112" i="9"/>
  <c r="F90" i="8"/>
  <c r="F88" i="8"/>
  <c r="F75" i="8"/>
  <c r="F72" i="8"/>
  <c r="F70" i="8"/>
  <c r="F81" i="8"/>
  <c r="F79" i="8"/>
  <c r="F156" i="3"/>
  <c r="L48" i="4"/>
  <c r="E48" i="4"/>
  <c r="K48" i="4"/>
  <c r="F48" i="4"/>
  <c r="G48" i="4"/>
  <c r="H48" i="4"/>
  <c r="I48" i="4"/>
  <c r="J48" i="4"/>
  <c r="M69" i="4"/>
  <c r="F50" i="13"/>
  <c r="M50" i="13" s="1"/>
  <c r="F56" i="13"/>
  <c r="M56" i="13" s="1"/>
  <c r="G178" i="6"/>
  <c r="G185" i="6"/>
  <c r="G186" i="6"/>
  <c r="G206" i="6"/>
  <c r="G213" i="6"/>
  <c r="F268" i="9" l="1"/>
  <c r="K268" i="9"/>
  <c r="F280" i="9"/>
  <c r="F277" i="9"/>
  <c r="F152" i="7" l="1"/>
  <c r="H67" i="7"/>
  <c r="H65" i="7"/>
  <c r="H18" i="7" s="1"/>
  <c r="H62" i="7"/>
  <c r="H59" i="7"/>
  <c r="G44" i="13"/>
  <c r="F39" i="13"/>
  <c r="G35" i="13"/>
  <c r="F35" i="13"/>
  <c r="F659" i="2"/>
  <c r="F658" i="2" s="1"/>
  <c r="H650" i="2"/>
  <c r="H649" i="2" s="1"/>
  <c r="G26" i="13" l="1"/>
  <c r="F579" i="2"/>
  <c r="F578" i="2" s="1"/>
  <c r="H563" i="2"/>
  <c r="H562" i="2" s="1"/>
  <c r="H423" i="2"/>
  <c r="G423" i="2"/>
  <c r="F423" i="2"/>
  <c r="G420" i="2"/>
  <c r="G418" i="2"/>
  <c r="F420" i="2"/>
  <c r="H395" i="2"/>
  <c r="H392" i="2" s="1"/>
  <c r="F396" i="2"/>
  <c r="G390" i="2"/>
  <c r="F391" i="2"/>
  <c r="G387" i="2"/>
  <c r="G386" i="2" s="1"/>
  <c r="J257" i="6"/>
  <c r="I257" i="6"/>
  <c r="H257" i="6"/>
  <c r="G256" i="6"/>
  <c r="G244" i="6" s="1"/>
  <c r="G48" i="9"/>
  <c r="F41" i="9"/>
  <c r="G41" i="9"/>
  <c r="F38" i="9"/>
  <c r="G38" i="9"/>
  <c r="G34" i="9"/>
  <c r="F29" i="9"/>
  <c r="G29" i="9"/>
  <c r="F26" i="9"/>
  <c r="G26" i="9"/>
  <c r="G103" i="9"/>
  <c r="G101" i="9"/>
  <c r="G66" i="8"/>
  <c r="G64" i="8"/>
  <c r="G61" i="8"/>
  <c r="G59" i="8"/>
  <c r="F25" i="9" l="1"/>
  <c r="G25" i="9"/>
  <c r="G37" i="9"/>
  <c r="F37" i="9"/>
  <c r="H388" i="3"/>
  <c r="H384" i="3" s="1"/>
  <c r="H383" i="3" s="1"/>
  <c r="H382" i="3" s="1"/>
  <c r="G388" i="3"/>
  <c r="G384" i="3" s="1"/>
  <c r="G383" i="3" s="1"/>
  <c r="G382" i="3" s="1"/>
  <c r="F388" i="3"/>
  <c r="F384" i="3" s="1"/>
  <c r="K388" i="3"/>
  <c r="K384" i="3" s="1"/>
  <c r="K383" i="3" s="1"/>
  <c r="K382" i="3" s="1"/>
  <c r="E388" i="3"/>
  <c r="D390" i="3"/>
  <c r="D389" i="3"/>
  <c r="M390" i="3"/>
  <c r="M389" i="3"/>
  <c r="F260" i="9"/>
  <c r="M260" i="9" s="1"/>
  <c r="F256" i="9"/>
  <c r="M256" i="9" s="1"/>
  <c r="F257" i="9"/>
  <c r="F261" i="9"/>
  <c r="M261" i="9" s="1"/>
  <c r="F264" i="9"/>
  <c r="K13" i="5"/>
  <c r="H45" i="5"/>
  <c r="M262" i="6"/>
  <c r="K244" i="6"/>
  <c r="F70" i="5"/>
  <c r="K69" i="5"/>
  <c r="K68" i="5" s="1"/>
  <c r="M178" i="9"/>
  <c r="M174" i="9"/>
  <c r="G242" i="9"/>
  <c r="F238" i="9"/>
  <c r="F237" i="9" s="1"/>
  <c r="F234" i="9"/>
  <c r="F233" i="9" s="1"/>
  <c r="K145" i="3"/>
  <c r="K92" i="4"/>
  <c r="K87" i="4"/>
  <c r="D87" i="4" s="1"/>
  <c r="K52" i="4"/>
  <c r="K82" i="4"/>
  <c r="D82" i="4" s="1"/>
  <c r="F218" i="3"/>
  <c r="F217" i="3" s="1"/>
  <c r="F220" i="3"/>
  <c r="D220" i="3" s="1"/>
  <c r="D219" i="3" s="1"/>
  <c r="F215" i="3"/>
  <c r="D215" i="3" s="1"/>
  <c r="F214" i="3"/>
  <c r="D214" i="3" s="1"/>
  <c r="F211" i="3"/>
  <c r="K209" i="3"/>
  <c r="F210" i="3"/>
  <c r="M210" i="3" s="1"/>
  <c r="F208" i="3"/>
  <c r="F207" i="3"/>
  <c r="F178" i="3"/>
  <c r="F185" i="3"/>
  <c r="F184" i="3"/>
  <c r="F181" i="3"/>
  <c r="F180" i="3"/>
  <c r="F177" i="3"/>
  <c r="F143" i="3"/>
  <c r="M230" i="3"/>
  <c r="M229" i="3"/>
  <c r="F70" i="3"/>
  <c r="M70" i="3" s="1"/>
  <c r="F69" i="3"/>
  <c r="F65" i="3"/>
  <c r="M65" i="3" s="1"/>
  <c r="F64" i="3"/>
  <c r="D64" i="3" s="1"/>
  <c r="F45" i="6"/>
  <c r="G46" i="6"/>
  <c r="F46" i="6"/>
  <c r="F49" i="6"/>
  <c r="G50" i="6"/>
  <c r="F50" i="6"/>
  <c r="F54" i="6"/>
  <c r="G55" i="6"/>
  <c r="F55" i="6"/>
  <c r="H58" i="6"/>
  <c r="G58" i="6"/>
  <c r="G21" i="6" s="1"/>
  <c r="F58" i="6"/>
  <c r="K58" i="6"/>
  <c r="H60" i="6"/>
  <c r="G60" i="6"/>
  <c r="F60" i="6"/>
  <c r="K70" i="6"/>
  <c r="I35" i="6"/>
  <c r="K33" i="6"/>
  <c r="D30" i="6"/>
  <c r="G28" i="6"/>
  <c r="H28" i="6"/>
  <c r="E28" i="6"/>
  <c r="I31" i="6"/>
  <c r="I28" i="6" s="1"/>
  <c r="F31" i="6"/>
  <c r="K31" i="6"/>
  <c r="K28" i="6" s="1"/>
  <c r="G36" i="6"/>
  <c r="J39" i="6"/>
  <c r="I39" i="6"/>
  <c r="H39" i="6"/>
  <c r="G39" i="6"/>
  <c r="F39" i="6"/>
  <c r="F91" i="7"/>
  <c r="F90" i="7" s="1"/>
  <c r="K91" i="7"/>
  <c r="K90" i="7" s="1"/>
  <c r="D71" i="7"/>
  <c r="F79" i="7"/>
  <c r="F78" i="7" s="1"/>
  <c r="K79" i="7"/>
  <c r="K78" i="7" s="1"/>
  <c r="G74" i="7"/>
  <c r="G73" i="7" s="1"/>
  <c r="F74" i="7"/>
  <c r="K11" i="7"/>
  <c r="F42" i="7"/>
  <c r="F41" i="7" s="1"/>
  <c r="K41" i="7"/>
  <c r="F35" i="7"/>
  <c r="F34" i="7" s="1"/>
  <c r="F33" i="7" s="1"/>
  <c r="K34" i="7"/>
  <c r="K33" i="7" s="1"/>
  <c r="D36" i="7"/>
  <c r="D37" i="7"/>
  <c r="D38" i="7"/>
  <c r="F179" i="7"/>
  <c r="F178" i="7" s="1"/>
  <c r="K178" i="7"/>
  <c r="G177" i="7"/>
  <c r="K177" i="7"/>
  <c r="F174" i="7"/>
  <c r="F173" i="7" s="1"/>
  <c r="K173" i="7"/>
  <c r="F172" i="7"/>
  <c r="M172" i="7" s="1"/>
  <c r="K170" i="7"/>
  <c r="F167" i="7"/>
  <c r="F165" i="7"/>
  <c r="K165" i="7"/>
  <c r="K164" i="7" s="1"/>
  <c r="F162" i="7"/>
  <c r="F160" i="7"/>
  <c r="F29" i="3"/>
  <c r="F28" i="3"/>
  <c r="F35" i="3"/>
  <c r="F34" i="3"/>
  <c r="G41" i="3"/>
  <c r="F41" i="3"/>
  <c r="F438" i="2"/>
  <c r="F439" i="2"/>
  <c r="K436" i="2"/>
  <c r="F444" i="2"/>
  <c r="F443" i="2"/>
  <c r="F447" i="2"/>
  <c r="G190" i="9"/>
  <c r="F190" i="9"/>
  <c r="F189" i="9" s="1"/>
  <c r="F187" i="9"/>
  <c r="M187" i="9" s="1"/>
  <c r="M186" i="9" s="1"/>
  <c r="F185" i="9"/>
  <c r="K184" i="9"/>
  <c r="G181" i="9"/>
  <c r="F181" i="9"/>
  <c r="F177" i="9"/>
  <c r="F176" i="9" s="1"/>
  <c r="F173" i="9"/>
  <c r="M173" i="9" s="1"/>
  <c r="M313" i="2"/>
  <c r="F265" i="2"/>
  <c r="K265" i="2"/>
  <c r="F297" i="2"/>
  <c r="F190" i="2"/>
  <c r="K184" i="2"/>
  <c r="E181" i="2"/>
  <c r="F257" i="2"/>
  <c r="M257" i="2" s="1"/>
  <c r="M256" i="2" s="1"/>
  <c r="F254" i="2"/>
  <c r="K256" i="2"/>
  <c r="K253" i="2"/>
  <c r="K44" i="2"/>
  <c r="F209" i="2"/>
  <c r="M281" i="2"/>
  <c r="M280" i="2" s="1"/>
  <c r="D278" i="2"/>
  <c r="E140" i="2"/>
  <c r="F220" i="2"/>
  <c r="F217" i="2"/>
  <c r="K249" i="2"/>
  <c r="F241" i="2"/>
  <c r="F240" i="2" s="1"/>
  <c r="D242" i="2"/>
  <c r="H154" i="3"/>
  <c r="I154" i="3"/>
  <c r="J154" i="3"/>
  <c r="J153" i="3" s="1"/>
  <c r="J152" i="3" s="1"/>
  <c r="H166" i="3"/>
  <c r="H165" i="3" s="1"/>
  <c r="H164" i="3" s="1"/>
  <c r="I166" i="3"/>
  <c r="J166" i="3"/>
  <c r="K171" i="3"/>
  <c r="K170" i="3" s="1"/>
  <c r="F162" i="3"/>
  <c r="F159" i="3"/>
  <c r="F158" i="3"/>
  <c r="F157" i="3"/>
  <c r="F155" i="3"/>
  <c r="F253" i="3"/>
  <c r="F268" i="3"/>
  <c r="F267" i="3" s="1"/>
  <c r="F297" i="3"/>
  <c r="G179" i="3"/>
  <c r="G209" i="3"/>
  <c r="G224" i="3"/>
  <c r="G223" i="3" s="1"/>
  <c r="G253" i="3"/>
  <c r="G268" i="3"/>
  <c r="G267" i="3" s="1"/>
  <c r="G297" i="3"/>
  <c r="H179" i="3"/>
  <c r="H209" i="3"/>
  <c r="H224" i="3"/>
  <c r="H223" i="3" s="1"/>
  <c r="H253" i="3"/>
  <c r="H268" i="3"/>
  <c r="H267" i="3" s="1"/>
  <c r="H297" i="3"/>
  <c r="I179" i="3"/>
  <c r="I209" i="3"/>
  <c r="I224" i="3"/>
  <c r="I223" i="3" s="1"/>
  <c r="I253" i="3"/>
  <c r="I268" i="3"/>
  <c r="I267" i="3" s="1"/>
  <c r="I297" i="3"/>
  <c r="J179" i="3"/>
  <c r="J209" i="3"/>
  <c r="J224" i="3"/>
  <c r="J223" i="3" s="1"/>
  <c r="J253" i="3"/>
  <c r="J268" i="3"/>
  <c r="J267" i="3" s="1"/>
  <c r="J297" i="3"/>
  <c r="H57" i="3"/>
  <c r="G57" i="3"/>
  <c r="F57" i="3"/>
  <c r="G46" i="3"/>
  <c r="G45" i="3" s="1"/>
  <c r="G52" i="3"/>
  <c r="G50" i="3" s="1"/>
  <c r="H46" i="3"/>
  <c r="H52" i="3"/>
  <c r="I52" i="3"/>
  <c r="J52" i="3"/>
  <c r="I57" i="3"/>
  <c r="F52" i="3"/>
  <c r="F46" i="3"/>
  <c r="F45" i="3" s="1"/>
  <c r="K536" i="2"/>
  <c r="F453" i="2"/>
  <c r="F454" i="2"/>
  <c r="F458" i="2"/>
  <c r="F459" i="2"/>
  <c r="G462" i="2"/>
  <c r="F462" i="2"/>
  <c r="K462" i="2"/>
  <c r="M195" i="9"/>
  <c r="M196" i="9"/>
  <c r="M200" i="9"/>
  <c r="M48" i="3"/>
  <c r="M49" i="3"/>
  <c r="J63" i="3"/>
  <c r="J141" i="3"/>
  <c r="J176" i="3"/>
  <c r="J206" i="3"/>
  <c r="J250" i="3"/>
  <c r="I63" i="3"/>
  <c r="I141" i="3"/>
  <c r="I176" i="3"/>
  <c r="I206" i="3"/>
  <c r="I250" i="3"/>
  <c r="H63" i="3"/>
  <c r="H141" i="3"/>
  <c r="H176" i="3"/>
  <c r="H206" i="3"/>
  <c r="H250" i="3"/>
  <c r="G63" i="3"/>
  <c r="G62" i="3" s="1"/>
  <c r="G141" i="3"/>
  <c r="G140" i="3" s="1"/>
  <c r="G176" i="3"/>
  <c r="G206" i="3"/>
  <c r="G250" i="3"/>
  <c r="I56" i="3"/>
  <c r="E45" i="3"/>
  <c r="D54" i="3"/>
  <c r="D55" i="3"/>
  <c r="D59" i="3"/>
  <c r="E57" i="3"/>
  <c r="L57" i="3"/>
  <c r="K57" i="3"/>
  <c r="L51" i="3"/>
  <c r="L46" i="3"/>
  <c r="D58" i="3"/>
  <c r="O51" i="3" s="1"/>
  <c r="I46" i="8"/>
  <c r="I13" i="8" s="1"/>
  <c r="I51" i="8"/>
  <c r="I50" i="8" s="1"/>
  <c r="I54" i="8"/>
  <c r="I28" i="8" s="1"/>
  <c r="F163" i="9"/>
  <c r="F160" i="9"/>
  <c r="F159" i="9" s="1"/>
  <c r="J530" i="2"/>
  <c r="M678" i="2"/>
  <c r="M677" i="2" s="1"/>
  <c r="M676" i="2" s="1"/>
  <c r="L677" i="2"/>
  <c r="L676" i="2" s="1"/>
  <c r="F677" i="2"/>
  <c r="F676" i="2" s="1"/>
  <c r="K676" i="2"/>
  <c r="F167" i="9"/>
  <c r="F165" i="9"/>
  <c r="F156" i="9"/>
  <c r="F153" i="9"/>
  <c r="F152" i="9" s="1"/>
  <c r="F151" i="9"/>
  <c r="D678" i="2"/>
  <c r="D677" i="2" s="1"/>
  <c r="D676" i="2" s="1"/>
  <c r="L387" i="3"/>
  <c r="L380" i="3" s="1"/>
  <c r="L379" i="3" s="1"/>
  <c r="J387" i="3"/>
  <c r="J386" i="3" s="1"/>
  <c r="I387" i="3"/>
  <c r="I386" i="3" s="1"/>
  <c r="G92" i="5"/>
  <c r="F92" i="5"/>
  <c r="L92" i="5"/>
  <c r="J92" i="5"/>
  <c r="I92" i="5"/>
  <c r="H92" i="5"/>
  <c r="K92" i="5"/>
  <c r="E92" i="5"/>
  <c r="M100" i="5"/>
  <c r="M99" i="5" s="1"/>
  <c r="M98" i="5" s="1"/>
  <c r="D100" i="5"/>
  <c r="D99" i="5" s="1"/>
  <c r="D98" i="5" s="1"/>
  <c r="D88" i="5" s="1"/>
  <c r="J88" i="5"/>
  <c r="I88" i="5"/>
  <c r="H88" i="5"/>
  <c r="G99" i="5"/>
  <c r="G98" i="5" s="1"/>
  <c r="G88" i="5" s="1"/>
  <c r="F99" i="5"/>
  <c r="F98" i="5" s="1"/>
  <c r="F88" i="5" s="1"/>
  <c r="E99" i="5"/>
  <c r="K98" i="5"/>
  <c r="K88" i="5" s="1"/>
  <c r="E98" i="5"/>
  <c r="E88" i="5" s="1"/>
  <c r="M278" i="9"/>
  <c r="M52" i="13"/>
  <c r="M49" i="5"/>
  <c r="M29" i="5"/>
  <c r="M27" i="5"/>
  <c r="L335" i="9"/>
  <c r="L6" i="4"/>
  <c r="L374" i="2"/>
  <c r="L372" i="2" s="1"/>
  <c r="D128" i="13"/>
  <c r="E68" i="13"/>
  <c r="E67" i="13" s="1"/>
  <c r="E66" i="13"/>
  <c r="E65" i="13" s="1"/>
  <c r="E61" i="13"/>
  <c r="E59" i="13"/>
  <c r="E43" i="13"/>
  <c r="E42" i="13" s="1"/>
  <c r="D343" i="9"/>
  <c r="E282" i="9"/>
  <c r="E276" i="9"/>
  <c r="E237" i="9"/>
  <c r="E233" i="9"/>
  <c r="E232" i="9" s="1"/>
  <c r="E186" i="9"/>
  <c r="E184" i="9"/>
  <c r="E60" i="9"/>
  <c r="E58" i="9"/>
  <c r="E46" i="9"/>
  <c r="D59" i="8"/>
  <c r="D58" i="8" s="1"/>
  <c r="E22" i="8"/>
  <c r="E159" i="7"/>
  <c r="E11" i="7" s="1"/>
  <c r="E148" i="7"/>
  <c r="E144" i="7"/>
  <c r="E132" i="7"/>
  <c r="E128" i="7"/>
  <c r="E126" i="7"/>
  <c r="E123" i="7"/>
  <c r="E70" i="7"/>
  <c r="E69" i="7" s="1"/>
  <c r="E41" i="7"/>
  <c r="E40" i="7" s="1"/>
  <c r="E39" i="7" s="1"/>
  <c r="E34" i="7"/>
  <c r="E33" i="7" s="1"/>
  <c r="E25" i="7"/>
  <c r="E154" i="6"/>
  <c r="E141" i="6"/>
  <c r="E134" i="6"/>
  <c r="E127" i="6" s="1"/>
  <c r="E126" i="6" s="1"/>
  <c r="E130" i="6"/>
  <c r="E124" i="6"/>
  <c r="E116" i="6"/>
  <c r="E106" i="6"/>
  <c r="E104" i="6" s="1"/>
  <c r="E97" i="6" s="1"/>
  <c r="E94" i="6"/>
  <c r="E92" i="6"/>
  <c r="E21" i="6" s="1"/>
  <c r="E89" i="6"/>
  <c r="E87" i="6"/>
  <c r="D87" i="6" s="1"/>
  <c r="D86" i="6" s="1"/>
  <c r="E67" i="6"/>
  <c r="E66" i="6" s="1"/>
  <c r="E65" i="6"/>
  <c r="E64" i="6"/>
  <c r="E168" i="3"/>
  <c r="E167" i="3"/>
  <c r="E149" i="3"/>
  <c r="E124" i="3"/>
  <c r="E119" i="3"/>
  <c r="E118" i="3" s="1"/>
  <c r="E116" i="3"/>
  <c r="E115" i="3" s="1"/>
  <c r="E100" i="3"/>
  <c r="E95" i="3"/>
  <c r="E92" i="3"/>
  <c r="D92" i="3" s="1"/>
  <c r="L40" i="3"/>
  <c r="L37" i="3" s="1"/>
  <c r="E40" i="3"/>
  <c r="E37" i="3" s="1"/>
  <c r="E98" i="6"/>
  <c r="E673" i="2"/>
  <c r="E672" i="2" s="1"/>
  <c r="E662" i="2"/>
  <c r="E661" i="2" s="1"/>
  <c r="E654" i="2"/>
  <c r="E653" i="2" s="1"/>
  <c r="E531" i="2"/>
  <c r="E646" i="2"/>
  <c r="E645" i="2" s="1"/>
  <c r="E582" i="2"/>
  <c r="E581" i="2" s="1"/>
  <c r="E533" i="2"/>
  <c r="E380" i="2"/>
  <c r="E347" i="2"/>
  <c r="E345" i="2"/>
  <c r="E344" i="2" s="1"/>
  <c r="E341" i="2"/>
  <c r="E339" i="2"/>
  <c r="E337" i="2" s="1"/>
  <c r="E316" i="2"/>
  <c r="E313" i="2"/>
  <c r="E261" i="2"/>
  <c r="E259" i="2"/>
  <c r="E256" i="2"/>
  <c r="E253" i="2"/>
  <c r="E249" i="2"/>
  <c r="E247" i="2"/>
  <c r="E244" i="2"/>
  <c r="E237" i="2"/>
  <c r="E235" i="2"/>
  <c r="E232" i="2"/>
  <c r="E219" i="2"/>
  <c r="E211" i="2"/>
  <c r="E208" i="2"/>
  <c r="L177" i="2"/>
  <c r="E177" i="2"/>
  <c r="E175" i="2"/>
  <c r="E139" i="2"/>
  <c r="E135" i="2"/>
  <c r="E132" i="2"/>
  <c r="M117" i="13"/>
  <c r="M132" i="13"/>
  <c r="M128" i="13"/>
  <c r="M81" i="13"/>
  <c r="M79" i="13"/>
  <c r="M76" i="13" s="1"/>
  <c r="M68" i="13"/>
  <c r="M67" i="13" s="1"/>
  <c r="M66" i="13"/>
  <c r="M301" i="9"/>
  <c r="M300" i="9" s="1"/>
  <c r="M299" i="9"/>
  <c r="M298" i="9"/>
  <c r="M297" i="9" s="1"/>
  <c r="M291" i="9"/>
  <c r="M270" i="9"/>
  <c r="M269" i="9" s="1"/>
  <c r="M268" i="9"/>
  <c r="M267" i="9" s="1"/>
  <c r="M144" i="9"/>
  <c r="M143" i="9" s="1"/>
  <c r="M142" i="9"/>
  <c r="M141" i="9" s="1"/>
  <c r="M80" i="9"/>
  <c r="M79" i="9" s="1"/>
  <c r="M77" i="9"/>
  <c r="M55" i="9"/>
  <c r="M54" i="9"/>
  <c r="M42" i="9"/>
  <c r="M41" i="9" s="1"/>
  <c r="M40" i="9"/>
  <c r="M39" i="9"/>
  <c r="M30" i="9"/>
  <c r="M28" i="9"/>
  <c r="M27" i="9"/>
  <c r="M99" i="8"/>
  <c r="M98" i="8" s="1"/>
  <c r="M97" i="8"/>
  <c r="M90" i="8"/>
  <c r="M88" i="8"/>
  <c r="J8" i="7"/>
  <c r="M134" i="7"/>
  <c r="M132" i="7" s="1"/>
  <c r="M131" i="7" s="1"/>
  <c r="M122" i="7"/>
  <c r="M96" i="7"/>
  <c r="M94" i="7" s="1"/>
  <c r="M93" i="7" s="1"/>
  <c r="M84" i="7"/>
  <c r="M71" i="7"/>
  <c r="M59" i="7"/>
  <c r="M25" i="7"/>
  <c r="E229" i="2"/>
  <c r="M190" i="6"/>
  <c r="M175" i="6"/>
  <c r="M252" i="6"/>
  <c r="M221" i="6"/>
  <c r="M220" i="6" s="1"/>
  <c r="M218" i="6"/>
  <c r="M217" i="6"/>
  <c r="M89" i="6"/>
  <c r="M87" i="6"/>
  <c r="M86" i="6" s="1"/>
  <c r="M78" i="6"/>
  <c r="M76" i="6"/>
  <c r="M67" i="6"/>
  <c r="M65" i="6"/>
  <c r="M64" i="6"/>
  <c r="M96" i="5"/>
  <c r="M95" i="5" s="1"/>
  <c r="M94" i="5" s="1"/>
  <c r="M79" i="5"/>
  <c r="M78" i="5" s="1"/>
  <c r="M77" i="5"/>
  <c r="M76" i="5" s="1"/>
  <c r="M70" i="5"/>
  <c r="M38" i="5"/>
  <c r="M10" i="5"/>
  <c r="M96" i="4"/>
  <c r="M48" i="4" s="1"/>
  <c r="M87" i="4"/>
  <c r="M82" i="4"/>
  <c r="M39" i="4"/>
  <c r="M38" i="4" s="1"/>
  <c r="M37" i="4"/>
  <c r="M36" i="4"/>
  <c r="M27" i="4"/>
  <c r="M26" i="4" s="1"/>
  <c r="M25" i="4"/>
  <c r="M23" i="4"/>
  <c r="M285" i="3"/>
  <c r="M284" i="3" s="1"/>
  <c r="M283" i="3"/>
  <c r="M197" i="3"/>
  <c r="M195" i="3"/>
  <c r="M194" i="3"/>
  <c r="M132" i="3"/>
  <c r="M131" i="3" s="1"/>
  <c r="M129" i="3"/>
  <c r="M128" i="3"/>
  <c r="M119" i="3"/>
  <c r="M118" i="3" s="1"/>
  <c r="M116" i="3"/>
  <c r="M95" i="3"/>
  <c r="M92" i="3"/>
  <c r="M674" i="2"/>
  <c r="M667" i="2"/>
  <c r="M660" i="2"/>
  <c r="M659" i="2"/>
  <c r="M652" i="2"/>
  <c r="M651" i="2"/>
  <c r="M647" i="2"/>
  <c r="M607" i="2"/>
  <c r="M602" i="2"/>
  <c r="M580" i="2"/>
  <c r="M568" i="2"/>
  <c r="M389" i="2"/>
  <c r="M381" i="2"/>
  <c r="M380" i="2" s="1"/>
  <c r="M379" i="2"/>
  <c r="M355" i="2"/>
  <c r="M353" i="2"/>
  <c r="M352" i="2"/>
  <c r="M338" i="2"/>
  <c r="M245" i="2"/>
  <c r="M244" i="2" s="1"/>
  <c r="M242" i="2"/>
  <c r="M233" i="2"/>
  <c r="M231" i="2"/>
  <c r="M230" i="2"/>
  <c r="M206" i="2"/>
  <c r="M185" i="2"/>
  <c r="M182" i="2"/>
  <c r="M173" i="2"/>
  <c r="M171" i="2"/>
  <c r="M170" i="2"/>
  <c r="M161" i="2"/>
  <c r="M158" i="2"/>
  <c r="M135" i="2"/>
  <c r="M132" i="2"/>
  <c r="M130" i="2"/>
  <c r="M84" i="2"/>
  <c r="M83" i="2" s="1"/>
  <c r="M82" i="2"/>
  <c r="M81" i="2"/>
  <c r="I9" i="2"/>
  <c r="J9" i="2"/>
  <c r="H50" i="2"/>
  <c r="I50" i="2"/>
  <c r="J50" i="2"/>
  <c r="H41" i="2"/>
  <c r="I41" i="2"/>
  <c r="I40" i="2" s="1"/>
  <c r="J41" i="2"/>
  <c r="J40" i="2" s="1"/>
  <c r="G36" i="2"/>
  <c r="H36" i="2"/>
  <c r="I36" i="2"/>
  <c r="J36" i="2"/>
  <c r="K310" i="2"/>
  <c r="K309" i="2" s="1"/>
  <c r="H309" i="2"/>
  <c r="G309" i="2"/>
  <c r="G306" i="2" s="1"/>
  <c r="L309" i="2"/>
  <c r="E309" i="2"/>
  <c r="D308" i="2"/>
  <c r="D307" i="2" s="1"/>
  <c r="F307" i="2"/>
  <c r="K307" i="2"/>
  <c r="L307" i="2"/>
  <c r="E307" i="2"/>
  <c r="H304" i="2"/>
  <c r="G304" i="2"/>
  <c r="K304" i="2"/>
  <c r="L304" i="2"/>
  <c r="E304" i="2"/>
  <c r="M303" i="2"/>
  <c r="D303" i="2"/>
  <c r="H301" i="2"/>
  <c r="G301" i="2"/>
  <c r="F301" i="2"/>
  <c r="K301" i="2"/>
  <c r="L301" i="2"/>
  <c r="L300" i="2" s="1"/>
  <c r="E301" i="2"/>
  <c r="H297" i="2"/>
  <c r="H292" i="2"/>
  <c r="H289" i="2"/>
  <c r="G297" i="2"/>
  <c r="G292" i="2"/>
  <c r="G289" i="2"/>
  <c r="K298" i="2"/>
  <c r="K297" i="2" s="1"/>
  <c r="L297" i="2"/>
  <c r="E297" i="2"/>
  <c r="D296" i="2"/>
  <c r="D295" i="2" s="1"/>
  <c r="F295" i="2"/>
  <c r="K295" i="2"/>
  <c r="L295" i="2"/>
  <c r="E295" i="2"/>
  <c r="K292" i="2"/>
  <c r="L292" i="2"/>
  <c r="E292" i="2"/>
  <c r="M291" i="2"/>
  <c r="D291" i="2"/>
  <c r="K289" i="2"/>
  <c r="L289" i="2"/>
  <c r="E289" i="2"/>
  <c r="H306" i="2"/>
  <c r="H241" i="6"/>
  <c r="I241" i="6"/>
  <c r="J241" i="6"/>
  <c r="F79" i="9"/>
  <c r="L85" i="9"/>
  <c r="D85" i="9" s="1"/>
  <c r="D84" i="9" s="1"/>
  <c r="F84" i="9"/>
  <c r="K84" i="9"/>
  <c r="E84" i="9"/>
  <c r="D83" i="9"/>
  <c r="D82" i="9" s="1"/>
  <c r="J82" i="9"/>
  <c r="I82" i="9"/>
  <c r="H82" i="9"/>
  <c r="G82" i="9"/>
  <c r="F82" i="9"/>
  <c r="K82" i="9"/>
  <c r="K81" i="9" s="1"/>
  <c r="L82" i="9"/>
  <c r="E82" i="9"/>
  <c r="D80" i="9"/>
  <c r="D79" i="9" s="1"/>
  <c r="M78" i="9"/>
  <c r="D78" i="9"/>
  <c r="K76" i="9"/>
  <c r="E76" i="9"/>
  <c r="G100" i="9"/>
  <c r="G102" i="9"/>
  <c r="G105" i="9"/>
  <c r="G104" i="9" s="1"/>
  <c r="M103" i="9"/>
  <c r="M102" i="9" s="1"/>
  <c r="M101" i="9"/>
  <c r="M100" i="9" s="1"/>
  <c r="M391" i="2"/>
  <c r="M390" i="2" s="1"/>
  <c r="K391" i="2"/>
  <c r="D391" i="2" s="1"/>
  <c r="D390" i="2" s="1"/>
  <c r="M388" i="2"/>
  <c r="K388" i="2"/>
  <c r="D388" i="2" s="1"/>
  <c r="F155" i="7"/>
  <c r="F153" i="7"/>
  <c r="F149" i="7"/>
  <c r="F147" i="7"/>
  <c r="F146" i="7"/>
  <c r="M146" i="7" s="1"/>
  <c r="M144" i="7" s="1"/>
  <c r="M143" i="7" s="1"/>
  <c r="L41" i="7"/>
  <c r="D43" i="7"/>
  <c r="M110" i="7"/>
  <c r="M108" i="7" s="1"/>
  <c r="M107" i="7" s="1"/>
  <c r="M107" i="3"/>
  <c r="M106" i="3" s="1"/>
  <c r="M104" i="3"/>
  <c r="J46" i="8"/>
  <c r="J48" i="8"/>
  <c r="J17" i="8" s="1"/>
  <c r="J51" i="8"/>
  <c r="J22" i="8" s="1"/>
  <c r="J54" i="8"/>
  <c r="J28" i="8" s="1"/>
  <c r="L76" i="9"/>
  <c r="D77" i="9"/>
  <c r="K79" i="9"/>
  <c r="L79" i="9"/>
  <c r="K125" i="1"/>
  <c r="M61" i="8"/>
  <c r="M60" i="8" s="1"/>
  <c r="M59" i="8"/>
  <c r="M58" i="8" s="1"/>
  <c r="K314" i="2"/>
  <c r="D314" i="2" s="1"/>
  <c r="F129" i="2"/>
  <c r="F128" i="2" s="1"/>
  <c r="M197" i="2"/>
  <c r="M194" i="2"/>
  <c r="M193" i="2" s="1"/>
  <c r="K197" i="2"/>
  <c r="K194" i="2"/>
  <c r="F214" i="2"/>
  <c r="F213" i="2" s="1"/>
  <c r="F212" i="2"/>
  <c r="F44" i="2" s="1"/>
  <c r="F208" i="2"/>
  <c r="F207" i="2"/>
  <c r="F184" i="2"/>
  <c r="F181" i="2"/>
  <c r="M269" i="2"/>
  <c r="M268" i="2" s="1"/>
  <c r="M221" i="2"/>
  <c r="K180" i="9"/>
  <c r="G155" i="3"/>
  <c r="M258" i="6"/>
  <c r="M257" i="6"/>
  <c r="H256" i="6"/>
  <c r="H244" i="6" s="1"/>
  <c r="H243" i="6" s="1"/>
  <c r="H242" i="6" s="1"/>
  <c r="I256" i="6"/>
  <c r="J256" i="6"/>
  <c r="J255" i="6" s="1"/>
  <c r="J254" i="6" s="1"/>
  <c r="G255" i="6"/>
  <c r="G254" i="6" s="1"/>
  <c r="F256" i="6"/>
  <c r="F146" i="9"/>
  <c r="L146" i="9"/>
  <c r="L145" i="9" s="1"/>
  <c r="L144" i="9"/>
  <c r="L143" i="9" s="1"/>
  <c r="F143" i="9"/>
  <c r="K143" i="9"/>
  <c r="L142" i="9"/>
  <c r="L141" i="9" s="1"/>
  <c r="F141" i="9"/>
  <c r="K141" i="9"/>
  <c r="D147" i="9"/>
  <c r="D146" i="9" s="1"/>
  <c r="D145" i="9" s="1"/>
  <c r="K146" i="9"/>
  <c r="F606" i="2"/>
  <c r="F610" i="2"/>
  <c r="F536" i="2" s="1"/>
  <c r="G239" i="9"/>
  <c r="M239" i="9" s="1"/>
  <c r="G238" i="9"/>
  <c r="G235" i="9"/>
  <c r="M235" i="9" s="1"/>
  <c r="G234" i="9"/>
  <c r="G233" i="9" s="1"/>
  <c r="D660" i="2"/>
  <c r="I643" i="2"/>
  <c r="I530" i="2" s="1"/>
  <c r="I529" i="2" s="1"/>
  <c r="I528" i="2" s="1"/>
  <c r="I642" i="2"/>
  <c r="I641" i="2" s="1"/>
  <c r="I601" i="2"/>
  <c r="I600" i="2" s="1"/>
  <c r="H542" i="2"/>
  <c r="H541" i="2" s="1"/>
  <c r="I542" i="2"/>
  <c r="I541" i="2" s="1"/>
  <c r="H536" i="2"/>
  <c r="E68" i="1" s="1"/>
  <c r="I536" i="2"/>
  <c r="F68" i="1" s="1"/>
  <c r="J536" i="2"/>
  <c r="E546" i="2"/>
  <c r="E545" i="2" s="1"/>
  <c r="L546" i="2"/>
  <c r="K546" i="2"/>
  <c r="F546" i="2"/>
  <c r="G546" i="2"/>
  <c r="D548" i="2"/>
  <c r="M174" i="6"/>
  <c r="G179" i="6"/>
  <c r="K179" i="6"/>
  <c r="M544" i="2"/>
  <c r="K201" i="6"/>
  <c r="M206" i="6"/>
  <c r="H364" i="2"/>
  <c r="I364" i="2"/>
  <c r="J364" i="2"/>
  <c r="I129" i="6"/>
  <c r="F129" i="6"/>
  <c r="I138" i="6"/>
  <c r="H138" i="6"/>
  <c r="H129" i="6"/>
  <c r="G111" i="6"/>
  <c r="J368" i="2"/>
  <c r="I368" i="2"/>
  <c r="H368" i="2"/>
  <c r="J374" i="2"/>
  <c r="I374" i="2"/>
  <c r="H374" i="2"/>
  <c r="F131" i="13"/>
  <c r="F130" i="13" s="1"/>
  <c r="F69" i="5"/>
  <c r="F68" i="5" s="1"/>
  <c r="F72" i="5"/>
  <c r="F71" i="5" s="1"/>
  <c r="F120" i="13"/>
  <c r="G120" i="13"/>
  <c r="H120" i="13"/>
  <c r="I120" i="13"/>
  <c r="J120" i="13"/>
  <c r="E80" i="13"/>
  <c r="L80" i="13"/>
  <c r="K80" i="13"/>
  <c r="F80" i="13"/>
  <c r="G80" i="13"/>
  <c r="H80" i="13"/>
  <c r="I80" i="13"/>
  <c r="J80" i="13"/>
  <c r="E23" i="13"/>
  <c r="L23" i="13"/>
  <c r="K23" i="13"/>
  <c r="F23" i="13"/>
  <c r="G23" i="13"/>
  <c r="H23" i="13"/>
  <c r="I23" i="13"/>
  <c r="J23" i="13"/>
  <c r="E15" i="13"/>
  <c r="L15" i="13"/>
  <c r="K15" i="13"/>
  <c r="F15" i="13"/>
  <c r="G15" i="13"/>
  <c r="H15" i="13"/>
  <c r="I15" i="13"/>
  <c r="J15" i="13"/>
  <c r="G12" i="13"/>
  <c r="H12" i="13"/>
  <c r="I12" i="13"/>
  <c r="J12" i="13"/>
  <c r="L109" i="13"/>
  <c r="L108" i="13" s="1"/>
  <c r="K108" i="13"/>
  <c r="F108" i="13"/>
  <c r="G108" i="13"/>
  <c r="H108" i="13"/>
  <c r="I108" i="13"/>
  <c r="I136" i="13" s="1"/>
  <c r="J108" i="13"/>
  <c r="J136" i="13" s="1"/>
  <c r="D99" i="13"/>
  <c r="L90" i="13"/>
  <c r="L89" i="13" s="1"/>
  <c r="E86" i="13"/>
  <c r="E82" i="13" s="1"/>
  <c r="L86" i="13"/>
  <c r="K86" i="13"/>
  <c r="K82" i="13" s="1"/>
  <c r="F86" i="13"/>
  <c r="G86" i="13"/>
  <c r="H86" i="13"/>
  <c r="J86" i="13"/>
  <c r="L83" i="13"/>
  <c r="L76" i="13"/>
  <c r="D113" i="13"/>
  <c r="D111" i="13"/>
  <c r="D109" i="13" s="1"/>
  <c r="D104" i="13"/>
  <c r="D87" i="13"/>
  <c r="D85" i="13"/>
  <c r="D83" i="13" s="1"/>
  <c r="F82" i="13"/>
  <c r="F137" i="13" s="1"/>
  <c r="D79" i="13"/>
  <c r="D76" i="13" s="1"/>
  <c r="D91" i="13"/>
  <c r="H82" i="13"/>
  <c r="H137" i="13" s="1"/>
  <c r="L82" i="13"/>
  <c r="L137" i="13" s="1"/>
  <c r="T104" i="4"/>
  <c r="I109" i="4"/>
  <c r="J109" i="4"/>
  <c r="I108" i="4"/>
  <c r="J108" i="4"/>
  <c r="J110" i="4" s="1"/>
  <c r="H7" i="4"/>
  <c r="G7" i="4"/>
  <c r="F7" i="4"/>
  <c r="K7" i="4"/>
  <c r="L31" i="4"/>
  <c r="L29" i="4"/>
  <c r="L43" i="4"/>
  <c r="L41" i="4"/>
  <c r="H10" i="4"/>
  <c r="G10" i="4"/>
  <c r="F10" i="4"/>
  <c r="K10" i="4"/>
  <c r="F12" i="4"/>
  <c r="G12" i="4"/>
  <c r="H12" i="4"/>
  <c r="K12" i="4"/>
  <c r="F14" i="4"/>
  <c r="F13" i="4" s="1"/>
  <c r="G14" i="4"/>
  <c r="G13" i="4" s="1"/>
  <c r="H14" i="4"/>
  <c r="H13" i="4" s="1"/>
  <c r="K14" i="4"/>
  <c r="K13" i="4" s="1"/>
  <c r="F17" i="4"/>
  <c r="F16" i="4" s="1"/>
  <c r="G17" i="4"/>
  <c r="G16" i="4" s="1"/>
  <c r="H17" i="4"/>
  <c r="H16" i="4" s="1"/>
  <c r="K17" i="4"/>
  <c r="K16" i="4" s="1"/>
  <c r="F19" i="4"/>
  <c r="F18" i="4" s="1"/>
  <c r="G19" i="4"/>
  <c r="G18" i="4" s="1"/>
  <c r="H19" i="4"/>
  <c r="H18" i="4" s="1"/>
  <c r="K19" i="4"/>
  <c r="K18" i="4" s="1"/>
  <c r="F35" i="4"/>
  <c r="G35" i="4"/>
  <c r="H35" i="4"/>
  <c r="K35" i="4"/>
  <c r="D43" i="4"/>
  <c r="H43" i="4"/>
  <c r="G43" i="4"/>
  <c r="F43" i="4"/>
  <c r="K43" i="4"/>
  <c r="D41" i="4"/>
  <c r="H41" i="4"/>
  <c r="G41" i="4"/>
  <c r="F41" i="4"/>
  <c r="K41" i="4"/>
  <c r="H38" i="4"/>
  <c r="G38" i="4"/>
  <c r="F38" i="4"/>
  <c r="F34" i="4" s="1"/>
  <c r="K38" i="4"/>
  <c r="E7" i="4"/>
  <c r="L7" i="4"/>
  <c r="I7" i="4"/>
  <c r="J7" i="4"/>
  <c r="L10" i="4"/>
  <c r="L9" i="4" s="1"/>
  <c r="I10" i="4"/>
  <c r="J10" i="4"/>
  <c r="L11" i="4"/>
  <c r="K11" i="4"/>
  <c r="F11" i="4"/>
  <c r="G11" i="4"/>
  <c r="H11" i="4"/>
  <c r="I11" i="4"/>
  <c r="J11" i="4"/>
  <c r="L12" i="4"/>
  <c r="I12" i="4"/>
  <c r="J12" i="4"/>
  <c r="E13" i="4"/>
  <c r="L14" i="4"/>
  <c r="L13" i="4" s="1"/>
  <c r="I14" i="4"/>
  <c r="I13" i="4" s="1"/>
  <c r="J14" i="4"/>
  <c r="J13" i="4" s="1"/>
  <c r="E16" i="4"/>
  <c r="L17" i="4"/>
  <c r="L16" i="4" s="1"/>
  <c r="I17" i="4"/>
  <c r="I16" i="4" s="1"/>
  <c r="J17" i="4"/>
  <c r="J16" i="4" s="1"/>
  <c r="L19" i="4"/>
  <c r="L18" i="4" s="1"/>
  <c r="I19" i="4"/>
  <c r="I18" i="4" s="1"/>
  <c r="J19" i="4"/>
  <c r="J18" i="4" s="1"/>
  <c r="D31" i="4"/>
  <c r="H31" i="4"/>
  <c r="G31" i="4"/>
  <c r="F31" i="4"/>
  <c r="K31" i="4"/>
  <c r="H29" i="4"/>
  <c r="G29" i="4"/>
  <c r="F29" i="4"/>
  <c r="K29" i="4"/>
  <c r="H26" i="4"/>
  <c r="G26" i="4"/>
  <c r="F26" i="4"/>
  <c r="K26" i="4"/>
  <c r="D11" i="4"/>
  <c r="H22" i="4"/>
  <c r="G22" i="4"/>
  <c r="F22" i="4"/>
  <c r="K22" i="4"/>
  <c r="J6" i="4"/>
  <c r="I6" i="4"/>
  <c r="E18" i="4"/>
  <c r="G95" i="4"/>
  <c r="G94" i="4" s="1"/>
  <c r="H95" i="4"/>
  <c r="H94" i="4" s="1"/>
  <c r="F95" i="4"/>
  <c r="F94" i="4" s="1"/>
  <c r="D96" i="4"/>
  <c r="P87" i="4"/>
  <c r="I92" i="4"/>
  <c r="H92" i="4"/>
  <c r="G92" i="4"/>
  <c r="F104" i="4"/>
  <c r="M72" i="8"/>
  <c r="M71" i="8" s="1"/>
  <c r="M70" i="8"/>
  <c r="M69" i="8" s="1"/>
  <c r="F84" i="8"/>
  <c r="M81" i="8"/>
  <c r="M79" i="8"/>
  <c r="M78" i="8" s="1"/>
  <c r="D133" i="9"/>
  <c r="D132" i="9"/>
  <c r="J131" i="9"/>
  <c r="I131" i="9"/>
  <c r="H131" i="9"/>
  <c r="G131" i="9"/>
  <c r="F131" i="9"/>
  <c r="K131" i="9"/>
  <c r="L131" i="9"/>
  <c r="L130" i="9" s="1"/>
  <c r="D128" i="9"/>
  <c r="D127" i="9"/>
  <c r="J126" i="9"/>
  <c r="J125" i="9" s="1"/>
  <c r="I126" i="9"/>
  <c r="I125" i="9" s="1"/>
  <c r="H126" i="9"/>
  <c r="H125" i="9" s="1"/>
  <c r="G126" i="9"/>
  <c r="F126" i="9"/>
  <c r="F125" i="9" s="1"/>
  <c r="K126" i="9"/>
  <c r="L126" i="9"/>
  <c r="D117" i="9"/>
  <c r="D116" i="9"/>
  <c r="J115" i="9"/>
  <c r="I115" i="9"/>
  <c r="H115" i="9"/>
  <c r="F115" i="9"/>
  <c r="L115" i="9"/>
  <c r="L110" i="9"/>
  <c r="L109" i="9" s="1"/>
  <c r="D112" i="9"/>
  <c r="D111" i="9"/>
  <c r="F110" i="9"/>
  <c r="G110" i="9"/>
  <c r="G109" i="9" s="1"/>
  <c r="H110" i="9"/>
  <c r="I110" i="9"/>
  <c r="J110" i="9"/>
  <c r="L138" i="9"/>
  <c r="D138" i="9" s="1"/>
  <c r="D137" i="9" s="1"/>
  <c r="D134" i="9" s="1"/>
  <c r="J137" i="9"/>
  <c r="I137" i="9"/>
  <c r="I134" i="9" s="1"/>
  <c r="H137" i="9"/>
  <c r="G137" i="9"/>
  <c r="G134" i="9" s="1"/>
  <c r="F137" i="9"/>
  <c r="K137" i="9"/>
  <c r="G8" i="7"/>
  <c r="H8" i="7"/>
  <c r="H12" i="7"/>
  <c r="H7" i="7"/>
  <c r="H73" i="7"/>
  <c r="G130" i="9"/>
  <c r="K106" i="9"/>
  <c r="O47" i="9"/>
  <c r="O33" i="9"/>
  <c r="F321" i="2"/>
  <c r="F318" i="2" s="1"/>
  <c r="K322" i="2"/>
  <c r="K317" i="2"/>
  <c r="F201" i="2"/>
  <c r="F198" i="2" s="1"/>
  <c r="G201" i="2"/>
  <c r="G198" i="2" s="1"/>
  <c r="H201" i="2"/>
  <c r="H198" i="2" s="1"/>
  <c r="F193" i="2"/>
  <c r="G193" i="2"/>
  <c r="H193" i="2"/>
  <c r="F196" i="2"/>
  <c r="G196" i="2"/>
  <c r="H196" i="2"/>
  <c r="G253" i="2"/>
  <c r="G256" i="2"/>
  <c r="G261" i="2"/>
  <c r="F262" i="2"/>
  <c r="K261" i="2"/>
  <c r="F177" i="7"/>
  <c r="F176" i="7" s="1"/>
  <c r="K274" i="2"/>
  <c r="K286" i="2"/>
  <c r="K285" i="2" s="1"/>
  <c r="F211" i="2"/>
  <c r="G30" i="7"/>
  <c r="G29" i="7" s="1"/>
  <c r="K31" i="7"/>
  <c r="D31" i="7" s="1"/>
  <c r="K25" i="7"/>
  <c r="K24" i="7" s="1"/>
  <c r="E7" i="7"/>
  <c r="I7" i="7"/>
  <c r="J7" i="7"/>
  <c r="D85" i="7"/>
  <c r="D83" i="7"/>
  <c r="H76" i="7"/>
  <c r="H78" i="7"/>
  <c r="H70" i="7"/>
  <c r="G165" i="9"/>
  <c r="H165" i="9"/>
  <c r="I165" i="9"/>
  <c r="J165" i="9"/>
  <c r="L166" i="9"/>
  <c r="D166" i="9" s="1"/>
  <c r="D19" i="9" s="1"/>
  <c r="L161" i="9"/>
  <c r="H115" i="3"/>
  <c r="H118" i="3"/>
  <c r="H193" i="3"/>
  <c r="H196" i="3"/>
  <c r="H282" i="3"/>
  <c r="H284" i="3"/>
  <c r="E91" i="5"/>
  <c r="E90" i="5" s="1"/>
  <c r="E89" i="5" s="1"/>
  <c r="L91" i="5"/>
  <c r="L90" i="5" s="1"/>
  <c r="L89" i="5" s="1"/>
  <c r="K91" i="5"/>
  <c r="K90" i="5" s="1"/>
  <c r="K89" i="5" s="1"/>
  <c r="F91" i="5"/>
  <c r="F90" i="5" s="1"/>
  <c r="F89" i="5" s="1"/>
  <c r="G91" i="5"/>
  <c r="H91" i="5"/>
  <c r="H90" i="5" s="1"/>
  <c r="H89" i="5" s="1"/>
  <c r="I91" i="5"/>
  <c r="I90" i="5" s="1"/>
  <c r="I89" i="5" s="1"/>
  <c r="J91" i="5"/>
  <c r="J90" i="5" s="1"/>
  <c r="J89" i="5" s="1"/>
  <c r="K95" i="5"/>
  <c r="K94" i="5" s="1"/>
  <c r="K87" i="5" s="1"/>
  <c r="K86" i="5" s="1"/>
  <c r="D96" i="5"/>
  <c r="D95" i="5" s="1"/>
  <c r="D94" i="5" s="1"/>
  <c r="D87" i="5" s="1"/>
  <c r="J95" i="5"/>
  <c r="J94" i="5" s="1"/>
  <c r="J87" i="5" s="1"/>
  <c r="J86" i="5" s="1"/>
  <c r="I95" i="5"/>
  <c r="I94" i="5" s="1"/>
  <c r="I87" i="5" s="1"/>
  <c r="H95" i="5"/>
  <c r="H94" i="5" s="1"/>
  <c r="H87" i="5" s="1"/>
  <c r="H86" i="5" s="1"/>
  <c r="G95" i="5"/>
  <c r="G94" i="5" s="1"/>
  <c r="G87" i="5" s="1"/>
  <c r="F95" i="5"/>
  <c r="F94" i="5" s="1"/>
  <c r="F87" i="5" s="1"/>
  <c r="L87" i="5"/>
  <c r="L86" i="5" s="1"/>
  <c r="E87" i="5"/>
  <c r="F190" i="3"/>
  <c r="K189" i="3"/>
  <c r="F188" i="3"/>
  <c r="F19" i="3" s="1"/>
  <c r="K187" i="3"/>
  <c r="M178" i="6"/>
  <c r="K186" i="6"/>
  <c r="D670" i="2"/>
  <c r="K669" i="2"/>
  <c r="D669" i="2" s="1"/>
  <c r="F285" i="9"/>
  <c r="F284" i="9" s="1"/>
  <c r="K285" i="9"/>
  <c r="M280" i="9"/>
  <c r="M279" i="9" s="1"/>
  <c r="M277" i="9"/>
  <c r="M276" i="9" s="1"/>
  <c r="E108" i="7"/>
  <c r="L108" i="7"/>
  <c r="G317" i="2"/>
  <c r="G316" i="2" s="1"/>
  <c r="G313" i="2"/>
  <c r="H373" i="2"/>
  <c r="I373" i="2"/>
  <c r="J373" i="2"/>
  <c r="I367" i="2"/>
  <c r="J367" i="2"/>
  <c r="H431" i="2"/>
  <c r="H430" i="2" s="1"/>
  <c r="M429" i="2"/>
  <c r="K429" i="2"/>
  <c r="G428" i="2"/>
  <c r="G426" i="2"/>
  <c r="M427" i="2"/>
  <c r="K427" i="2"/>
  <c r="H422" i="2"/>
  <c r="H421" i="2" s="1"/>
  <c r="M420" i="2"/>
  <c r="G419" i="2"/>
  <c r="G417" i="2"/>
  <c r="M418" i="2"/>
  <c r="K420" i="2"/>
  <c r="K418" i="2"/>
  <c r="E417" i="2"/>
  <c r="G405" i="2"/>
  <c r="G404" i="2" s="1"/>
  <c r="G403" i="2" s="1"/>
  <c r="F405" i="2"/>
  <c r="E402" i="2"/>
  <c r="F402" i="2"/>
  <c r="K402" i="2"/>
  <c r="F400" i="2"/>
  <c r="K400" i="2"/>
  <c r="K399" i="2" s="1"/>
  <c r="G395" i="2"/>
  <c r="G392" i="2" s="1"/>
  <c r="K396" i="2"/>
  <c r="D396" i="2" s="1"/>
  <c r="E19" i="7"/>
  <c r="B69" i="1" s="1"/>
  <c r="L19" i="7"/>
  <c r="G19" i="7"/>
  <c r="D69" i="1" s="1"/>
  <c r="H19" i="7"/>
  <c r="E69" i="1" s="1"/>
  <c r="I19" i="7"/>
  <c r="F69" i="1" s="1"/>
  <c r="J19" i="7"/>
  <c r="G69" i="1" s="1"/>
  <c r="E13" i="7"/>
  <c r="B60" i="1" s="1"/>
  <c r="L13" i="7"/>
  <c r="I60" i="1" s="1"/>
  <c r="G13" i="7"/>
  <c r="D60" i="1" s="1"/>
  <c r="H13" i="7"/>
  <c r="E60" i="1" s="1"/>
  <c r="I13" i="7"/>
  <c r="F60" i="1" s="1"/>
  <c r="J13" i="7"/>
  <c r="G60" i="1" s="1"/>
  <c r="E12" i="7"/>
  <c r="E10" i="7" s="1"/>
  <c r="J12" i="7"/>
  <c r="F104" i="7"/>
  <c r="D105" i="7"/>
  <c r="D104" i="7" s="1"/>
  <c r="I104" i="7"/>
  <c r="H104" i="7"/>
  <c r="G104" i="7"/>
  <c r="K104" i="7"/>
  <c r="L104" i="7"/>
  <c r="E104" i="7"/>
  <c r="E100" i="7" s="1"/>
  <c r="D103" i="7"/>
  <c r="K101" i="7"/>
  <c r="I101" i="7"/>
  <c r="H101" i="7"/>
  <c r="G101" i="7"/>
  <c r="L101" i="7"/>
  <c r="D99" i="7"/>
  <c r="D98" i="7" s="1"/>
  <c r="M98" i="7"/>
  <c r="I98" i="7"/>
  <c r="H98" i="7"/>
  <c r="G98" i="7"/>
  <c r="F98" i="7"/>
  <c r="K98" i="7"/>
  <c r="L98" i="7"/>
  <c r="D97" i="7"/>
  <c r="D95" i="7"/>
  <c r="J94" i="7"/>
  <c r="J93" i="7" s="1"/>
  <c r="I94" i="7"/>
  <c r="I93" i="7" s="1"/>
  <c r="H94" i="7"/>
  <c r="G94" i="7"/>
  <c r="G93" i="7" s="1"/>
  <c r="L94" i="7"/>
  <c r="F101" i="7"/>
  <c r="D102" i="7"/>
  <c r="F94" i="7"/>
  <c r="D96" i="7"/>
  <c r="K94" i="7"/>
  <c r="K93" i="7" s="1"/>
  <c r="E18" i="3"/>
  <c r="L19" i="3"/>
  <c r="L18" i="3" s="1"/>
  <c r="G18" i="3"/>
  <c r="H18" i="3"/>
  <c r="J18" i="3"/>
  <c r="E13" i="3"/>
  <c r="L13" i="3"/>
  <c r="K13" i="3"/>
  <c r="F13" i="3"/>
  <c r="G13" i="3"/>
  <c r="H13" i="3"/>
  <c r="I13" i="3"/>
  <c r="J13" i="3"/>
  <c r="L12" i="3"/>
  <c r="L127" i="3"/>
  <c r="K127" i="3"/>
  <c r="F127" i="3"/>
  <c r="G127" i="3"/>
  <c r="H127" i="3"/>
  <c r="I127" i="3"/>
  <c r="J127" i="3"/>
  <c r="D130" i="3"/>
  <c r="D13" i="3" s="1"/>
  <c r="D137" i="3"/>
  <c r="D136" i="3" s="1"/>
  <c r="J136" i="3"/>
  <c r="I136" i="3"/>
  <c r="H136" i="3"/>
  <c r="G136" i="3"/>
  <c r="F136" i="3"/>
  <c r="K136" i="3"/>
  <c r="L136" i="3"/>
  <c r="D135" i="3"/>
  <c r="D134" i="3" s="1"/>
  <c r="J134" i="3"/>
  <c r="I134" i="3"/>
  <c r="H134" i="3"/>
  <c r="G134" i="3"/>
  <c r="F134" i="3"/>
  <c r="K134" i="3"/>
  <c r="L134" i="3"/>
  <c r="L131" i="3"/>
  <c r="J131" i="3"/>
  <c r="I131" i="3"/>
  <c r="H131" i="3"/>
  <c r="G131" i="3"/>
  <c r="F131" i="3"/>
  <c r="K131" i="3"/>
  <c r="D129" i="3"/>
  <c r="D132" i="3"/>
  <c r="D131" i="3" s="1"/>
  <c r="K662" i="2"/>
  <c r="K661" i="2" s="1"/>
  <c r="J20" i="5"/>
  <c r="J19" i="5" s="1"/>
  <c r="I20" i="5"/>
  <c r="I19" i="5" s="1"/>
  <c r="H20" i="5"/>
  <c r="H19" i="5" s="1"/>
  <c r="G20" i="5"/>
  <c r="G19" i="5" s="1"/>
  <c r="F20" i="5"/>
  <c r="F19" i="5" s="1"/>
  <c r="K20" i="5"/>
  <c r="K19" i="5" s="1"/>
  <c r="L20" i="5"/>
  <c r="L19" i="5" s="1"/>
  <c r="E20" i="5"/>
  <c r="E19" i="5" s="1"/>
  <c r="J16" i="5"/>
  <c r="I16" i="5"/>
  <c r="H16" i="5"/>
  <c r="G16" i="5"/>
  <c r="F16" i="5"/>
  <c r="K16" i="5"/>
  <c r="L16" i="5"/>
  <c r="E16" i="5"/>
  <c r="J14" i="5"/>
  <c r="I14" i="5"/>
  <c r="H14" i="5"/>
  <c r="G14" i="5"/>
  <c r="F14" i="5"/>
  <c r="K14" i="5"/>
  <c r="K12" i="5" s="1"/>
  <c r="L14" i="5"/>
  <c r="E14" i="5"/>
  <c r="J83" i="5"/>
  <c r="J22" i="5" s="1"/>
  <c r="I83" i="5"/>
  <c r="I22" i="5" s="1"/>
  <c r="H83" i="5"/>
  <c r="H22" i="5" s="1"/>
  <c r="G83" i="5"/>
  <c r="G22" i="5" s="1"/>
  <c r="F83" i="5"/>
  <c r="F22" i="5" s="1"/>
  <c r="K83" i="5"/>
  <c r="K22" i="5" s="1"/>
  <c r="L83" i="5"/>
  <c r="L22" i="5" s="1"/>
  <c r="E83" i="5"/>
  <c r="J81" i="5"/>
  <c r="J80" i="5" s="1"/>
  <c r="I81" i="5"/>
  <c r="I80" i="5" s="1"/>
  <c r="H81" i="5"/>
  <c r="H80" i="5" s="1"/>
  <c r="G81" i="5"/>
  <c r="G80" i="5" s="1"/>
  <c r="F81" i="5"/>
  <c r="F80" i="5" s="1"/>
  <c r="K81" i="5"/>
  <c r="L81" i="5"/>
  <c r="L80" i="5" s="1"/>
  <c r="E81" i="5"/>
  <c r="J78" i="5"/>
  <c r="I78" i="5"/>
  <c r="H78" i="5"/>
  <c r="G78" i="5"/>
  <c r="F78" i="5"/>
  <c r="K78" i="5"/>
  <c r="L78" i="5"/>
  <c r="E78" i="5"/>
  <c r="J76" i="5"/>
  <c r="J75" i="5" s="1"/>
  <c r="I76" i="5"/>
  <c r="H76" i="5"/>
  <c r="H75" i="5" s="1"/>
  <c r="G76" i="5"/>
  <c r="G75" i="5" s="1"/>
  <c r="F76" i="5"/>
  <c r="F75" i="5" s="1"/>
  <c r="K76" i="5"/>
  <c r="L76" i="5"/>
  <c r="L75" i="5" s="1"/>
  <c r="E76" i="5"/>
  <c r="D84" i="5"/>
  <c r="D83" i="5" s="1"/>
  <c r="D22" i="5" s="1"/>
  <c r="D82" i="5"/>
  <c r="D81" i="5" s="1"/>
  <c r="D79" i="5"/>
  <c r="D77" i="5"/>
  <c r="D14" i="5" s="1"/>
  <c r="F12" i="8"/>
  <c r="J101" i="8"/>
  <c r="I101" i="8"/>
  <c r="H101" i="8"/>
  <c r="J98" i="8"/>
  <c r="I98" i="8"/>
  <c r="H98" i="8"/>
  <c r="J96" i="8"/>
  <c r="I96" i="8"/>
  <c r="H96" i="8"/>
  <c r="E28" i="8"/>
  <c r="E17" i="8"/>
  <c r="J12" i="8"/>
  <c r="I12" i="8"/>
  <c r="H12" i="8"/>
  <c r="G12" i="8"/>
  <c r="E12" i="8"/>
  <c r="L102" i="8"/>
  <c r="L101" i="8" s="1"/>
  <c r="L100" i="8" s="1"/>
  <c r="G101" i="8"/>
  <c r="F101" i="8"/>
  <c r="K101" i="8"/>
  <c r="L99" i="8"/>
  <c r="L98" i="8" s="1"/>
  <c r="G98" i="8"/>
  <c r="F98" i="8"/>
  <c r="K98" i="8"/>
  <c r="M96" i="8"/>
  <c r="L97" i="8"/>
  <c r="L96" i="8" s="1"/>
  <c r="G96" i="8"/>
  <c r="F96" i="8"/>
  <c r="K96" i="8"/>
  <c r="G92" i="8"/>
  <c r="G91" i="8" s="1"/>
  <c r="G89" i="8"/>
  <c r="G87" i="8"/>
  <c r="L93" i="8"/>
  <c r="L92" i="8" s="1"/>
  <c r="L91" i="8" s="1"/>
  <c r="F92" i="8"/>
  <c r="F91" i="8" s="1"/>
  <c r="K92" i="8"/>
  <c r="K91" i="8" s="1"/>
  <c r="M89" i="8"/>
  <c r="L90" i="8"/>
  <c r="L89" i="8" s="1"/>
  <c r="F89" i="8"/>
  <c r="K89" i="8"/>
  <c r="M87" i="8"/>
  <c r="L88" i="8"/>
  <c r="L87" i="8" s="1"/>
  <c r="F87" i="8"/>
  <c r="K87" i="8"/>
  <c r="J100" i="8"/>
  <c r="D97" i="8"/>
  <c r="D96" i="8" s="1"/>
  <c r="D102" i="8"/>
  <c r="D101" i="8" s="1"/>
  <c r="D100" i="8" s="1"/>
  <c r="E75" i="5"/>
  <c r="K75" i="5"/>
  <c r="D90" i="8"/>
  <c r="D89" i="8" s="1"/>
  <c r="D93" i="8"/>
  <c r="D92" i="8" s="1"/>
  <c r="D91" i="8" s="1"/>
  <c r="D99" i="8"/>
  <c r="D98" i="8" s="1"/>
  <c r="D88" i="8"/>
  <c r="D87" i="8" s="1"/>
  <c r="D20" i="5"/>
  <c r="D19" i="5" s="1"/>
  <c r="I75" i="5"/>
  <c r="F283" i="2"/>
  <c r="L285" i="2"/>
  <c r="E285" i="2"/>
  <c r="D284" i="2"/>
  <c r="D283" i="2" s="1"/>
  <c r="K283" i="2"/>
  <c r="L283" i="2"/>
  <c r="E283" i="2"/>
  <c r="L280" i="2"/>
  <c r="M279" i="2"/>
  <c r="D279" i="2"/>
  <c r="K277" i="2"/>
  <c r="L277" i="2"/>
  <c r="L45" i="2"/>
  <c r="L26" i="2" s="1"/>
  <c r="I32" i="1" s="1"/>
  <c r="I125" i="1" s="1"/>
  <c r="I171" i="1" s="1"/>
  <c r="K45" i="2"/>
  <c r="F45" i="2"/>
  <c r="G45" i="2"/>
  <c r="H45" i="2"/>
  <c r="H26" i="2" s="1"/>
  <c r="I45" i="2"/>
  <c r="J45" i="2"/>
  <c r="E45" i="2"/>
  <c r="E49" i="2"/>
  <c r="L49" i="2"/>
  <c r="K49" i="2"/>
  <c r="F49" i="2"/>
  <c r="G49" i="2"/>
  <c r="G29" i="2" s="1"/>
  <c r="H49" i="2"/>
  <c r="I49" i="2"/>
  <c r="J49" i="2"/>
  <c r="E38" i="2"/>
  <c r="E16" i="2" s="1"/>
  <c r="B22" i="1" s="1"/>
  <c r="P22" i="1" s="1"/>
  <c r="L38" i="2"/>
  <c r="L16" i="2" s="1"/>
  <c r="I22" i="1" s="1"/>
  <c r="K38" i="2"/>
  <c r="F38" i="2"/>
  <c r="G38" i="2"/>
  <c r="H38" i="2"/>
  <c r="I38" i="2"/>
  <c r="J38" i="2"/>
  <c r="F54" i="8"/>
  <c r="F53" i="8" s="1"/>
  <c r="G54" i="8"/>
  <c r="G28" i="8" s="1"/>
  <c r="H54" i="8"/>
  <c r="H28" i="8" s="1"/>
  <c r="E13" i="8"/>
  <c r="J58" i="8"/>
  <c r="E58" i="8"/>
  <c r="L58" i="8"/>
  <c r="K58" i="8"/>
  <c r="F58" i="8"/>
  <c r="G58" i="8"/>
  <c r="H58" i="8"/>
  <c r="I58" i="8"/>
  <c r="H307" i="3"/>
  <c r="G307" i="3"/>
  <c r="J307" i="3"/>
  <c r="I307" i="3"/>
  <c r="L307" i="3"/>
  <c r="D306" i="3"/>
  <c r="J305" i="3"/>
  <c r="I305" i="3"/>
  <c r="H305" i="3"/>
  <c r="G305" i="3"/>
  <c r="F305" i="3"/>
  <c r="K305" i="3"/>
  <c r="L305" i="3"/>
  <c r="M303" i="3"/>
  <c r="D303" i="3"/>
  <c r="M302" i="3"/>
  <c r="D302" i="3"/>
  <c r="J301" i="3"/>
  <c r="I301" i="3"/>
  <c r="H301" i="3"/>
  <c r="G301" i="3"/>
  <c r="G300" i="3" s="1"/>
  <c r="F301" i="3"/>
  <c r="L300" i="3"/>
  <c r="M299" i="3"/>
  <c r="D299" i="3"/>
  <c r="M298" i="3"/>
  <c r="D298" i="3"/>
  <c r="K297" i="3"/>
  <c r="M296" i="3"/>
  <c r="D296" i="3"/>
  <c r="M295" i="3"/>
  <c r="D295" i="3"/>
  <c r="J294" i="3"/>
  <c r="I294" i="3"/>
  <c r="H294" i="3"/>
  <c r="G294" i="3"/>
  <c r="F294" i="3"/>
  <c r="K294" i="3"/>
  <c r="L293" i="3"/>
  <c r="J65" i="8"/>
  <c r="I65" i="8"/>
  <c r="H65" i="8"/>
  <c r="G65" i="8"/>
  <c r="F65" i="8"/>
  <c r="K65" i="8"/>
  <c r="L65" i="8"/>
  <c r="E65" i="8"/>
  <c r="J63" i="8"/>
  <c r="I63" i="8"/>
  <c r="I62" i="8" s="1"/>
  <c r="H63" i="8"/>
  <c r="H62" i="8" s="1"/>
  <c r="G63" i="8"/>
  <c r="G62" i="8" s="1"/>
  <c r="F63" i="8"/>
  <c r="F62" i="8" s="1"/>
  <c r="K63" i="8"/>
  <c r="K62" i="8" s="1"/>
  <c r="L63" i="8"/>
  <c r="E63" i="8"/>
  <c r="E62" i="8" s="1"/>
  <c r="J60" i="8"/>
  <c r="I60" i="8"/>
  <c r="H60" i="8"/>
  <c r="G60" i="8"/>
  <c r="F60" i="8"/>
  <c r="L60" i="8"/>
  <c r="E60" i="8"/>
  <c r="F307" i="3"/>
  <c r="D61" i="8"/>
  <c r="D60" i="8" s="1"/>
  <c r="D64" i="8"/>
  <c r="D66" i="8"/>
  <c r="D65" i="8" s="1"/>
  <c r="K60" i="8"/>
  <c r="F44" i="13"/>
  <c r="M39" i="13"/>
  <c r="M38" i="13" s="1"/>
  <c r="F41" i="13"/>
  <c r="M41" i="13" s="1"/>
  <c r="H44" i="13"/>
  <c r="H26" i="13" s="1"/>
  <c r="F30" i="13"/>
  <c r="F32" i="13"/>
  <c r="F40" i="5"/>
  <c r="M40" i="5" s="1"/>
  <c r="D66" i="13"/>
  <c r="K26" i="13"/>
  <c r="L12" i="13"/>
  <c r="L26" i="13"/>
  <c r="D308" i="3"/>
  <c r="K307" i="3"/>
  <c r="L74" i="1"/>
  <c r="D262" i="3"/>
  <c r="D261" i="3" s="1"/>
  <c r="H686" i="2"/>
  <c r="I686" i="2"/>
  <c r="J686" i="2"/>
  <c r="D290" i="3"/>
  <c r="D289" i="3" s="1"/>
  <c r="J289" i="3"/>
  <c r="I289" i="3"/>
  <c r="H289" i="3"/>
  <c r="G289" i="3"/>
  <c r="F289" i="3"/>
  <c r="K289" i="3"/>
  <c r="L289" i="3"/>
  <c r="D288" i="3"/>
  <c r="D287" i="3" s="1"/>
  <c r="J287" i="3"/>
  <c r="I287" i="3"/>
  <c r="H287" i="3"/>
  <c r="G287" i="3"/>
  <c r="F287" i="3"/>
  <c r="K287" i="3"/>
  <c r="L287" i="3"/>
  <c r="J284" i="3"/>
  <c r="I284" i="3"/>
  <c r="G284" i="3"/>
  <c r="F284" i="3"/>
  <c r="L284" i="3"/>
  <c r="J282" i="3"/>
  <c r="I282" i="3"/>
  <c r="G282" i="3"/>
  <c r="F282" i="3"/>
  <c r="L282" i="3"/>
  <c r="D279" i="3"/>
  <c r="D278" i="3" s="1"/>
  <c r="J278" i="3"/>
  <c r="I278" i="3"/>
  <c r="H278" i="3"/>
  <c r="G278" i="3"/>
  <c r="F278" i="3"/>
  <c r="K278" i="3"/>
  <c r="L278" i="3"/>
  <c r="J276" i="3"/>
  <c r="I276" i="3"/>
  <c r="H276" i="3"/>
  <c r="G276" i="3"/>
  <c r="F276" i="3"/>
  <c r="L276" i="3"/>
  <c r="M274" i="3"/>
  <c r="D274" i="3"/>
  <c r="M273" i="3"/>
  <c r="D273" i="3"/>
  <c r="J272" i="3"/>
  <c r="J271" i="3" s="1"/>
  <c r="I272" i="3"/>
  <c r="I271" i="3" s="1"/>
  <c r="H272" i="3"/>
  <c r="H271" i="3" s="1"/>
  <c r="G272" i="3"/>
  <c r="G271" i="3" s="1"/>
  <c r="F272" i="3"/>
  <c r="F271" i="3" s="1"/>
  <c r="K272" i="3"/>
  <c r="K271" i="3" s="1"/>
  <c r="L271" i="3"/>
  <c r="M270" i="3"/>
  <c r="D270" i="3"/>
  <c r="M269" i="3"/>
  <c r="D269" i="3"/>
  <c r="K268" i="3"/>
  <c r="K267" i="3" s="1"/>
  <c r="L267" i="3"/>
  <c r="D264" i="3"/>
  <c r="D263" i="3" s="1"/>
  <c r="J263" i="3"/>
  <c r="I263" i="3"/>
  <c r="H263" i="3"/>
  <c r="G263" i="3"/>
  <c r="F263" i="3"/>
  <c r="K263" i="3"/>
  <c r="L263" i="3"/>
  <c r="J261" i="3"/>
  <c r="I261" i="3"/>
  <c r="H261" i="3"/>
  <c r="G261" i="3"/>
  <c r="F261" i="3"/>
  <c r="K261" i="3"/>
  <c r="L261" i="3"/>
  <c r="M259" i="3"/>
  <c r="D259" i="3"/>
  <c r="M258" i="3"/>
  <c r="D258" i="3"/>
  <c r="J257" i="3"/>
  <c r="J256" i="3" s="1"/>
  <c r="I257" i="3"/>
  <c r="I256" i="3" s="1"/>
  <c r="H257" i="3"/>
  <c r="H256" i="3" s="1"/>
  <c r="G257" i="3"/>
  <c r="G256" i="3" s="1"/>
  <c r="F257" i="3"/>
  <c r="F256" i="3" s="1"/>
  <c r="K257" i="3"/>
  <c r="K256" i="3" s="1"/>
  <c r="L256" i="3"/>
  <c r="M255" i="3"/>
  <c r="M254" i="3"/>
  <c r="K253" i="3"/>
  <c r="M252" i="3"/>
  <c r="M251" i="3"/>
  <c r="F250" i="3"/>
  <c r="K250" i="3"/>
  <c r="L249" i="3"/>
  <c r="E21" i="3"/>
  <c r="I21" i="3"/>
  <c r="I20" i="3" s="1"/>
  <c r="J21" i="3"/>
  <c r="J20" i="3" s="1"/>
  <c r="L20" i="9"/>
  <c r="L13" i="9"/>
  <c r="M282" i="3"/>
  <c r="K282" i="3"/>
  <c r="D283" i="3"/>
  <c r="D282" i="3" s="1"/>
  <c r="K284" i="3"/>
  <c r="D285" i="3"/>
  <c r="D284" i="3" s="1"/>
  <c r="D115" i="7"/>
  <c r="D114" i="7" s="1"/>
  <c r="D117" i="7"/>
  <c r="D116" i="7" s="1"/>
  <c r="E114" i="7"/>
  <c r="E116" i="7"/>
  <c r="E111" i="7"/>
  <c r="D112" i="7"/>
  <c r="D111" i="7" s="1"/>
  <c r="D109" i="7"/>
  <c r="D110" i="7"/>
  <c r="K414" i="2"/>
  <c r="K411" i="2"/>
  <c r="M411" i="2" s="1"/>
  <c r="M410" i="2" s="1"/>
  <c r="K409" i="2"/>
  <c r="F399" i="2"/>
  <c r="F401" i="2"/>
  <c r="K405" i="2"/>
  <c r="F390" i="2"/>
  <c r="F387" i="2"/>
  <c r="F383" i="2"/>
  <c r="H64" i="7"/>
  <c r="H66" i="7"/>
  <c r="D67" i="7"/>
  <c r="D66" i="7" s="1"/>
  <c r="D65" i="7"/>
  <c r="D62" i="7"/>
  <c r="D61" i="7" s="1"/>
  <c r="D60" i="7"/>
  <c r="D59" i="7"/>
  <c r="H61" i="7"/>
  <c r="H58" i="7"/>
  <c r="F85" i="3"/>
  <c r="G85" i="3"/>
  <c r="H85" i="3"/>
  <c r="I85" i="3"/>
  <c r="J85" i="3"/>
  <c r="H87" i="3"/>
  <c r="I87" i="3"/>
  <c r="J87" i="3"/>
  <c r="H79" i="3"/>
  <c r="I79" i="3"/>
  <c r="J79" i="3"/>
  <c r="H82" i="3"/>
  <c r="I82" i="3"/>
  <c r="J82" i="3"/>
  <c r="M80" i="3"/>
  <c r="G273" i="2"/>
  <c r="G268" i="2"/>
  <c r="G265" i="2"/>
  <c r="D274" i="2"/>
  <c r="D273" i="2" s="1"/>
  <c r="F273" i="2"/>
  <c r="K273" i="2"/>
  <c r="L273" i="2"/>
  <c r="E273" i="2"/>
  <c r="D272" i="2"/>
  <c r="D271" i="2" s="1"/>
  <c r="K271" i="2"/>
  <c r="L271" i="2"/>
  <c r="E271" i="2"/>
  <c r="E270" i="2" s="1"/>
  <c r="F268" i="2"/>
  <c r="K268" i="2"/>
  <c r="L268" i="2"/>
  <c r="M267" i="2"/>
  <c r="D267" i="2"/>
  <c r="L265" i="2"/>
  <c r="E265" i="2"/>
  <c r="F317" i="2"/>
  <c r="D224" i="2"/>
  <c r="M83" i="3"/>
  <c r="M82" i="3" s="1"/>
  <c r="L270" i="2"/>
  <c r="F386" i="2"/>
  <c r="E12" i="9"/>
  <c r="F12" i="9"/>
  <c r="G12" i="9"/>
  <c r="H12" i="9"/>
  <c r="I12" i="9"/>
  <c r="D280" i="9"/>
  <c r="D279" i="9" s="1"/>
  <c r="D278" i="9"/>
  <c r="D277" i="9"/>
  <c r="K357" i="2"/>
  <c r="E359" i="2"/>
  <c r="L359" i="2"/>
  <c r="K359" i="2"/>
  <c r="E351" i="2"/>
  <c r="L351" i="2"/>
  <c r="K351" i="2"/>
  <c r="E354" i="2"/>
  <c r="L354" i="2"/>
  <c r="K354" i="2"/>
  <c r="E39" i="2"/>
  <c r="F39" i="2"/>
  <c r="H39" i="2"/>
  <c r="I39" i="2"/>
  <c r="J39" i="2"/>
  <c r="E47" i="2"/>
  <c r="F47" i="2"/>
  <c r="G47" i="2"/>
  <c r="H47" i="2"/>
  <c r="I47" i="2"/>
  <c r="J47" i="2"/>
  <c r="H15" i="3"/>
  <c r="I15" i="3"/>
  <c r="J15" i="3"/>
  <c r="I18" i="3"/>
  <c r="L223" i="3"/>
  <c r="D235" i="3"/>
  <c r="D234" i="3" s="1"/>
  <c r="J234" i="3"/>
  <c r="I234" i="3"/>
  <c r="H234" i="3"/>
  <c r="G234" i="3"/>
  <c r="F234" i="3"/>
  <c r="K234" i="3"/>
  <c r="L234" i="3"/>
  <c r="D233" i="3"/>
  <c r="D232" i="3" s="1"/>
  <c r="J232" i="3"/>
  <c r="I232" i="3"/>
  <c r="H232" i="3"/>
  <c r="G232" i="3"/>
  <c r="F232" i="3"/>
  <c r="K232" i="3"/>
  <c r="L232" i="3"/>
  <c r="D230" i="3"/>
  <c r="D229" i="3"/>
  <c r="J228" i="3"/>
  <c r="J227" i="3" s="1"/>
  <c r="I228" i="3"/>
  <c r="I227" i="3" s="1"/>
  <c r="H228" i="3"/>
  <c r="H227" i="3" s="1"/>
  <c r="G228" i="3"/>
  <c r="G227" i="3" s="1"/>
  <c r="K228" i="3"/>
  <c r="L227" i="3"/>
  <c r="D226" i="3"/>
  <c r="D225" i="3"/>
  <c r="K224" i="3"/>
  <c r="D207" i="3"/>
  <c r="J219" i="3"/>
  <c r="I219" i="3"/>
  <c r="H219" i="3"/>
  <c r="G219" i="3"/>
  <c r="F219" i="3"/>
  <c r="K219" i="3"/>
  <c r="L219" i="3"/>
  <c r="J217" i="3"/>
  <c r="I217" i="3"/>
  <c r="H217" i="3"/>
  <c r="G217" i="3"/>
  <c r="K217" i="3"/>
  <c r="L217" i="3"/>
  <c r="J213" i="3"/>
  <c r="J212" i="3" s="1"/>
  <c r="I213" i="3"/>
  <c r="I212" i="3" s="1"/>
  <c r="H213" i="3"/>
  <c r="H212" i="3" s="1"/>
  <c r="G213" i="3"/>
  <c r="G212" i="3" s="1"/>
  <c r="K213" i="3"/>
  <c r="K212" i="3" s="1"/>
  <c r="L212" i="3"/>
  <c r="M207" i="3"/>
  <c r="K206" i="3"/>
  <c r="L205" i="3"/>
  <c r="L75" i="8"/>
  <c r="L84" i="8"/>
  <c r="D84" i="8" s="1"/>
  <c r="D83" i="8" s="1"/>
  <c r="D82" i="8" s="1"/>
  <c r="L81" i="8"/>
  <c r="L80" i="8" s="1"/>
  <c r="L79" i="8"/>
  <c r="L78" i="8" s="1"/>
  <c r="K28" i="8"/>
  <c r="L357" i="2"/>
  <c r="E357" i="2"/>
  <c r="K251" i="9"/>
  <c r="D251" i="9" s="1"/>
  <c r="K248" i="9"/>
  <c r="M248" i="9" s="1"/>
  <c r="M247" i="9" s="1"/>
  <c r="K246" i="9"/>
  <c r="K245" i="9" s="1"/>
  <c r="F242" i="9"/>
  <c r="F241" i="9" s="1"/>
  <c r="L233" i="9"/>
  <c r="L232" i="9" s="1"/>
  <c r="F134" i="6"/>
  <c r="J130" i="6"/>
  <c r="I130" i="6"/>
  <c r="H130" i="6"/>
  <c r="G130" i="6"/>
  <c r="K130" i="6"/>
  <c r="F124" i="6"/>
  <c r="L172" i="9"/>
  <c r="L171" i="9" s="1"/>
  <c r="L176" i="9"/>
  <c r="F115" i="6"/>
  <c r="M115" i="6" s="1"/>
  <c r="F105" i="6"/>
  <c r="M114" i="6"/>
  <c r="J111" i="6"/>
  <c r="I111" i="6"/>
  <c r="M564" i="2"/>
  <c r="M563" i="2" s="1"/>
  <c r="M562" i="2" s="1"/>
  <c r="F244" i="6"/>
  <c r="G172" i="3"/>
  <c r="G171" i="3" s="1"/>
  <c r="G170" i="3" s="1"/>
  <c r="F172" i="3"/>
  <c r="F171" i="3" s="1"/>
  <c r="F168" i="3"/>
  <c r="K168" i="3"/>
  <c r="G167" i="3"/>
  <c r="G166" i="3" s="1"/>
  <c r="F167" i="3"/>
  <c r="K167" i="3"/>
  <c r="G162" i="3"/>
  <c r="L158" i="3"/>
  <c r="L11" i="7"/>
  <c r="L194" i="9"/>
  <c r="L193" i="9" s="1"/>
  <c r="K52" i="9"/>
  <c r="L52" i="9"/>
  <c r="D59" i="9"/>
  <c r="D58" i="9" s="1"/>
  <c r="K58" i="9"/>
  <c r="L58" i="9"/>
  <c r="D54" i="9"/>
  <c r="K38" i="9"/>
  <c r="E38" i="9"/>
  <c r="D47" i="9"/>
  <c r="D46" i="9" s="1"/>
  <c r="J46" i="9"/>
  <c r="J45" i="9" s="1"/>
  <c r="I46" i="9"/>
  <c r="I45" i="9" s="1"/>
  <c r="H46" i="9"/>
  <c r="H45" i="9" s="1"/>
  <c r="G46" i="9"/>
  <c r="G45" i="9" s="1"/>
  <c r="F46" i="9"/>
  <c r="K46" i="9"/>
  <c r="L46" i="9"/>
  <c r="D40" i="9"/>
  <c r="L38" i="9"/>
  <c r="D33" i="9"/>
  <c r="D32" i="9" s="1"/>
  <c r="J32" i="9"/>
  <c r="J31" i="9" s="1"/>
  <c r="I32" i="9"/>
  <c r="I31" i="9" s="1"/>
  <c r="H32" i="9"/>
  <c r="H31" i="9" s="1"/>
  <c r="G32" i="9"/>
  <c r="G31" i="9" s="1"/>
  <c r="F32" i="9"/>
  <c r="K32" i="9"/>
  <c r="L32" i="9"/>
  <c r="D28" i="9"/>
  <c r="K26" i="9"/>
  <c r="L26" i="9"/>
  <c r="K19" i="7"/>
  <c r="K13" i="7"/>
  <c r="H60" i="1" s="1"/>
  <c r="L7" i="7"/>
  <c r="G167" i="7"/>
  <c r="G166" i="7" s="1"/>
  <c r="G165" i="7"/>
  <c r="G162" i="7"/>
  <c r="G160" i="7"/>
  <c r="F50" i="7"/>
  <c r="F48" i="7"/>
  <c r="K129" i="2"/>
  <c r="K128" i="2" s="1"/>
  <c r="K80" i="2"/>
  <c r="L236" i="2"/>
  <c r="D236" i="2" s="1"/>
  <c r="L231" i="2"/>
  <c r="L36" i="2"/>
  <c r="G12" i="7"/>
  <c r="G10" i="7" s="1"/>
  <c r="J13" i="8"/>
  <c r="H46" i="8"/>
  <c r="H13" i="8" s="1"/>
  <c r="H48" i="8"/>
  <c r="H17" i="8" s="1"/>
  <c r="G46" i="8"/>
  <c r="G13" i="8" s="1"/>
  <c r="G48" i="8"/>
  <c r="G17" i="8" s="1"/>
  <c r="F46" i="8"/>
  <c r="F13" i="8" s="1"/>
  <c r="F48" i="8"/>
  <c r="F17" i="8" s="1"/>
  <c r="L13" i="8"/>
  <c r="H51" i="8"/>
  <c r="H22" i="8" s="1"/>
  <c r="G51" i="8"/>
  <c r="G50" i="8" s="1"/>
  <c r="F51" i="8"/>
  <c r="F22" i="8" s="1"/>
  <c r="L22" i="8"/>
  <c r="D72" i="6"/>
  <c r="D71" i="6" s="1"/>
  <c r="L28" i="6"/>
  <c r="M36" i="6"/>
  <c r="K21" i="3"/>
  <c r="M443" i="2"/>
  <c r="O456" i="2"/>
  <c r="G21" i="3"/>
  <c r="F21" i="3"/>
  <c r="D301" i="9"/>
  <c r="D300" i="9" s="1"/>
  <c r="D306" i="9"/>
  <c r="D305" i="9" s="1"/>
  <c r="J305" i="9"/>
  <c r="H305" i="9"/>
  <c r="G305" i="9"/>
  <c r="F305" i="9"/>
  <c r="K305" i="9"/>
  <c r="L305" i="9"/>
  <c r="E305" i="9"/>
  <c r="D304" i="9"/>
  <c r="D303" i="9" s="1"/>
  <c r="J303" i="9"/>
  <c r="I303" i="9"/>
  <c r="I302" i="9" s="1"/>
  <c r="H303" i="9"/>
  <c r="G303" i="9"/>
  <c r="F303" i="9"/>
  <c r="K303" i="9"/>
  <c r="L303" i="9"/>
  <c r="E303" i="9"/>
  <c r="J300" i="9"/>
  <c r="I300" i="9"/>
  <c r="G300" i="9"/>
  <c r="F300" i="9"/>
  <c r="K300" i="9"/>
  <c r="E300" i="9"/>
  <c r="D298" i="9"/>
  <c r="J297" i="9"/>
  <c r="I297" i="9"/>
  <c r="H297" i="9"/>
  <c r="G297" i="9"/>
  <c r="F297" i="9"/>
  <c r="K297" i="9"/>
  <c r="L297" i="9"/>
  <c r="L296" i="9" s="1"/>
  <c r="E297" i="9"/>
  <c r="D294" i="9"/>
  <c r="D293" i="9" s="1"/>
  <c r="D292" i="9" s="1"/>
  <c r="J293" i="9"/>
  <c r="H293" i="9"/>
  <c r="G293" i="9"/>
  <c r="F293" i="9"/>
  <c r="K293" i="9"/>
  <c r="L293" i="9"/>
  <c r="E293" i="9"/>
  <c r="E292" i="9"/>
  <c r="M290" i="9"/>
  <c r="D291" i="9"/>
  <c r="D290" i="9" s="1"/>
  <c r="G290" i="9"/>
  <c r="K290" i="9"/>
  <c r="E290" i="9"/>
  <c r="M288" i="9"/>
  <c r="D289" i="9"/>
  <c r="D288" i="9" s="1"/>
  <c r="J288" i="9"/>
  <c r="I288" i="9"/>
  <c r="H288" i="9"/>
  <c r="G288" i="9"/>
  <c r="F288" i="9"/>
  <c r="K288" i="9"/>
  <c r="L288" i="9"/>
  <c r="E288" i="9"/>
  <c r="L287" i="9"/>
  <c r="J74" i="3"/>
  <c r="I74" i="3"/>
  <c r="H74" i="3"/>
  <c r="G74" i="3"/>
  <c r="J72" i="3"/>
  <c r="J71" i="3" s="1"/>
  <c r="I72" i="3"/>
  <c r="H72" i="3"/>
  <c r="H71" i="3" s="1"/>
  <c r="G72" i="3"/>
  <c r="J68" i="3"/>
  <c r="I68" i="3"/>
  <c r="H68" i="3"/>
  <c r="G68" i="3"/>
  <c r="H62" i="3"/>
  <c r="L68" i="3"/>
  <c r="D202" i="3"/>
  <c r="D201" i="3" s="1"/>
  <c r="J201" i="3"/>
  <c r="I201" i="3"/>
  <c r="H201" i="3"/>
  <c r="G201" i="3"/>
  <c r="F201" i="3"/>
  <c r="K201" i="3"/>
  <c r="L201" i="3"/>
  <c r="D200" i="3"/>
  <c r="D199" i="3" s="1"/>
  <c r="J199" i="3"/>
  <c r="I199" i="3"/>
  <c r="H199" i="3"/>
  <c r="G199" i="3"/>
  <c r="F199" i="3"/>
  <c r="K199" i="3"/>
  <c r="L199" i="3"/>
  <c r="I196" i="3"/>
  <c r="G196" i="3"/>
  <c r="F196" i="3"/>
  <c r="J196" i="3"/>
  <c r="L196" i="3"/>
  <c r="J193" i="3"/>
  <c r="I193" i="3"/>
  <c r="G193" i="3"/>
  <c r="F193" i="3"/>
  <c r="K193" i="3"/>
  <c r="L193" i="3"/>
  <c r="L175" i="3"/>
  <c r="J187" i="3"/>
  <c r="I187" i="3"/>
  <c r="H187" i="3"/>
  <c r="G187" i="3"/>
  <c r="L187" i="3"/>
  <c r="D181" i="3"/>
  <c r="M181" i="3"/>
  <c r="D195" i="3"/>
  <c r="D197" i="3"/>
  <c r="D196" i="3" s="1"/>
  <c r="D194" i="3"/>
  <c r="M196" i="3"/>
  <c r="J183" i="3"/>
  <c r="I183" i="3"/>
  <c r="H183" i="3"/>
  <c r="G183" i="3"/>
  <c r="G182" i="3" s="1"/>
  <c r="F183" i="3"/>
  <c r="M185" i="3"/>
  <c r="M178" i="3"/>
  <c r="K176" i="3"/>
  <c r="I175" i="3"/>
  <c r="J189" i="3"/>
  <c r="I189" i="3"/>
  <c r="H189" i="3"/>
  <c r="G189" i="3"/>
  <c r="L189" i="3"/>
  <c r="D185" i="3"/>
  <c r="L182" i="3"/>
  <c r="D177" i="3"/>
  <c r="L441" i="2"/>
  <c r="L440" i="2" s="1"/>
  <c r="N54" i="4"/>
  <c r="J54" i="4"/>
  <c r="J51" i="4"/>
  <c r="E30" i="7"/>
  <c r="E29" i="7" s="1"/>
  <c r="E21" i="7"/>
  <c r="L21" i="7"/>
  <c r="G21" i="7"/>
  <c r="H21" i="7"/>
  <c r="H20" i="7" s="1"/>
  <c r="I21" i="7"/>
  <c r="J21" i="7"/>
  <c r="J20" i="7" s="1"/>
  <c r="E33" i="6"/>
  <c r="E32" i="6" s="1"/>
  <c r="L122" i="9"/>
  <c r="D122" i="9" s="1"/>
  <c r="D121" i="9" s="1"/>
  <c r="D118" i="9" s="1"/>
  <c r="J18" i="7"/>
  <c r="E15" i="7"/>
  <c r="E14" i="7" s="1"/>
  <c r="L15" i="7"/>
  <c r="I62" i="1" s="1"/>
  <c r="I61" i="1" s="1"/>
  <c r="H15" i="7"/>
  <c r="E62" i="1" s="1"/>
  <c r="E61" i="1" s="1"/>
  <c r="I15" i="7"/>
  <c r="J15" i="7"/>
  <c r="J14" i="7" s="1"/>
  <c r="I178" i="7"/>
  <c r="H178" i="7"/>
  <c r="G178" i="7"/>
  <c r="L178" i="7"/>
  <c r="I176" i="7"/>
  <c r="H176" i="7"/>
  <c r="L176" i="7"/>
  <c r="M173" i="7"/>
  <c r="I173" i="7"/>
  <c r="H173" i="7"/>
  <c r="G173" i="7"/>
  <c r="L173" i="7"/>
  <c r="D171" i="7"/>
  <c r="I170" i="7"/>
  <c r="H170" i="7"/>
  <c r="G170" i="7"/>
  <c r="L170" i="7"/>
  <c r="E170" i="7"/>
  <c r="E169" i="7" s="1"/>
  <c r="I166" i="7"/>
  <c r="H166" i="7"/>
  <c r="L166" i="7"/>
  <c r="I164" i="7"/>
  <c r="H164" i="7"/>
  <c r="F164" i="7"/>
  <c r="L164" i="7"/>
  <c r="M161" i="7"/>
  <c r="I161" i="7"/>
  <c r="H161" i="7"/>
  <c r="G161" i="7"/>
  <c r="L161" i="7"/>
  <c r="I158" i="7"/>
  <c r="H158" i="7"/>
  <c r="L158" i="7"/>
  <c r="D159" i="7"/>
  <c r="E158" i="7"/>
  <c r="L252" i="6"/>
  <c r="D252" i="6" s="1"/>
  <c r="D251" i="6" s="1"/>
  <c r="D250" i="6" s="1"/>
  <c r="D241" i="6" s="1"/>
  <c r="K251" i="6"/>
  <c r="K250" i="6" s="1"/>
  <c r="K241" i="6" s="1"/>
  <c r="G45" i="6"/>
  <c r="E43" i="6"/>
  <c r="G49" i="6"/>
  <c r="E47" i="6"/>
  <c r="G54" i="6"/>
  <c r="D54" i="6" s="1"/>
  <c r="E52" i="6"/>
  <c r="D55" i="6"/>
  <c r="L60" i="6"/>
  <c r="M35" i="6"/>
  <c r="L39" i="6"/>
  <c r="M54" i="6"/>
  <c r="K72" i="5"/>
  <c r="K71" i="5" s="1"/>
  <c r="G28" i="3"/>
  <c r="G29" i="3"/>
  <c r="E26" i="3"/>
  <c r="E25" i="3" s="1"/>
  <c r="G34" i="3"/>
  <c r="G35" i="3"/>
  <c r="M35" i="3" s="1"/>
  <c r="H41" i="3"/>
  <c r="H40" i="3" s="1"/>
  <c r="H37" i="3" s="1"/>
  <c r="L21" i="3"/>
  <c r="G453" i="2"/>
  <c r="G454" i="2"/>
  <c r="G458" i="2"/>
  <c r="M458" i="2" s="1"/>
  <c r="G459" i="2"/>
  <c r="G447" i="2"/>
  <c r="G374" i="2" s="1"/>
  <c r="E441" i="2"/>
  <c r="H109" i="3"/>
  <c r="H111" i="3"/>
  <c r="H149" i="3"/>
  <c r="H148" i="3" s="1"/>
  <c r="H161" i="3"/>
  <c r="H160" i="3" s="1"/>
  <c r="H121" i="3"/>
  <c r="H123" i="3"/>
  <c r="H171" i="3"/>
  <c r="H170" i="3" s="1"/>
  <c r="E436" i="2"/>
  <c r="E435" i="2" s="1"/>
  <c r="E32" i="3"/>
  <c r="L72" i="8"/>
  <c r="L70" i="8"/>
  <c r="D283" i="9"/>
  <c r="J282" i="9"/>
  <c r="I282" i="9"/>
  <c r="H282" i="9"/>
  <c r="G282" i="9"/>
  <c r="F282" i="9"/>
  <c r="K282" i="9"/>
  <c r="L282" i="9"/>
  <c r="L276" i="9"/>
  <c r="L275" i="9" s="1"/>
  <c r="K276" i="9"/>
  <c r="F276" i="9"/>
  <c r="G276" i="9"/>
  <c r="F279" i="9"/>
  <c r="G279" i="9"/>
  <c r="H279" i="9"/>
  <c r="I279" i="9"/>
  <c r="J279" i="9"/>
  <c r="E271" i="9"/>
  <c r="E272" i="9"/>
  <c r="H276" i="9"/>
  <c r="I276" i="9"/>
  <c r="J276" i="9"/>
  <c r="H272" i="9"/>
  <c r="G269" i="9"/>
  <c r="G267" i="9"/>
  <c r="H267" i="9"/>
  <c r="I267" i="9"/>
  <c r="J267" i="9"/>
  <c r="F267" i="9"/>
  <c r="J284" i="9"/>
  <c r="I284" i="9"/>
  <c r="H284" i="9"/>
  <c r="G284" i="9"/>
  <c r="K284" i="9"/>
  <c r="L284" i="9"/>
  <c r="E284" i="9"/>
  <c r="K279" i="9"/>
  <c r="E279" i="9"/>
  <c r="D273" i="9"/>
  <c r="D272" i="9" s="1"/>
  <c r="D271" i="9" s="1"/>
  <c r="J272" i="9"/>
  <c r="I272" i="9"/>
  <c r="G272" i="9"/>
  <c r="F272" i="9"/>
  <c r="K272" i="9"/>
  <c r="L272" i="9"/>
  <c r="L271" i="9" s="1"/>
  <c r="D270" i="9"/>
  <c r="D269" i="9" s="1"/>
  <c r="K269" i="9"/>
  <c r="E269" i="9"/>
  <c r="D268" i="9"/>
  <c r="D267" i="9" s="1"/>
  <c r="K267" i="9"/>
  <c r="L267" i="9"/>
  <c r="E267" i="9"/>
  <c r="L266" i="9"/>
  <c r="L168" i="9"/>
  <c r="L167" i="9" s="1"/>
  <c r="K12" i="13"/>
  <c r="L203" i="9"/>
  <c r="D203" i="9" s="1"/>
  <c r="D202" i="9" s="1"/>
  <c r="D201" i="9" s="1"/>
  <c r="H17" i="7"/>
  <c r="I17" i="7"/>
  <c r="D153" i="7"/>
  <c r="L151" i="7"/>
  <c r="K151" i="7"/>
  <c r="G151" i="7"/>
  <c r="H151" i="7"/>
  <c r="I151" i="7"/>
  <c r="L144" i="7"/>
  <c r="K144" i="7"/>
  <c r="G144" i="7"/>
  <c r="H144" i="7"/>
  <c r="I144" i="7"/>
  <c r="J144" i="7"/>
  <c r="J143" i="7" s="1"/>
  <c r="D147" i="7"/>
  <c r="D155" i="7"/>
  <c r="D154" i="7" s="1"/>
  <c r="I154" i="7"/>
  <c r="I150" i="7" s="1"/>
  <c r="H154" i="7"/>
  <c r="G154" i="7"/>
  <c r="F154" i="7"/>
  <c r="K154" i="7"/>
  <c r="L154" i="7"/>
  <c r="D152" i="7"/>
  <c r="D149" i="7"/>
  <c r="D148" i="7" s="1"/>
  <c r="M148" i="7"/>
  <c r="M147" i="7" s="1"/>
  <c r="I148" i="7"/>
  <c r="H148" i="7"/>
  <c r="G148" i="7"/>
  <c r="F148" i="7"/>
  <c r="K148" i="7"/>
  <c r="L148" i="7"/>
  <c r="L143" i="7" s="1"/>
  <c r="D146" i="7"/>
  <c r="D145" i="7"/>
  <c r="K40" i="7"/>
  <c r="K39" i="7" s="1"/>
  <c r="L34" i="7"/>
  <c r="L33" i="7" s="1"/>
  <c r="I44" i="2"/>
  <c r="J44" i="2"/>
  <c r="I37" i="2"/>
  <c r="J37" i="2"/>
  <c r="J35" i="2" s="1"/>
  <c r="J34" i="2" s="1"/>
  <c r="K175" i="2"/>
  <c r="L175" i="2"/>
  <c r="D260" i="2"/>
  <c r="D259" i="2" s="1"/>
  <c r="K259" i="2"/>
  <c r="L259" i="2"/>
  <c r="M255" i="2"/>
  <c r="D255" i="2"/>
  <c r="K579" i="2"/>
  <c r="K578" i="2" s="1"/>
  <c r="L580" i="2"/>
  <c r="H150" i="7"/>
  <c r="L150" i="7"/>
  <c r="L253" i="2"/>
  <c r="L256" i="2"/>
  <c r="L261" i="2"/>
  <c r="K378" i="2"/>
  <c r="K380" i="2"/>
  <c r="L120" i="13"/>
  <c r="K120" i="13"/>
  <c r="K51" i="4"/>
  <c r="L172" i="3"/>
  <c r="L168" i="3"/>
  <c r="L167" i="3"/>
  <c r="L162" i="3"/>
  <c r="D162" i="3" s="1"/>
  <c r="D161" i="3" s="1"/>
  <c r="D160" i="3" s="1"/>
  <c r="G159" i="3"/>
  <c r="L157" i="3"/>
  <c r="D169" i="3"/>
  <c r="F83" i="8"/>
  <c r="K83" i="8"/>
  <c r="M80" i="8"/>
  <c r="D81" i="8"/>
  <c r="D80" i="8" s="1"/>
  <c r="F80" i="8"/>
  <c r="K80" i="8"/>
  <c r="D79" i="8"/>
  <c r="D78" i="8" s="1"/>
  <c r="F78" i="8"/>
  <c r="K78" i="8"/>
  <c r="H9" i="8"/>
  <c r="I9" i="8"/>
  <c r="J9" i="8"/>
  <c r="L19" i="8"/>
  <c r="K19" i="8"/>
  <c r="F19" i="8"/>
  <c r="G19" i="8"/>
  <c r="H19" i="8"/>
  <c r="I19" i="8"/>
  <c r="J19" i="8"/>
  <c r="G74" i="8"/>
  <c r="F74" i="8"/>
  <c r="K74" i="8"/>
  <c r="K73" i="8" s="1"/>
  <c r="K156" i="8" s="1"/>
  <c r="G71" i="8"/>
  <c r="F71" i="8"/>
  <c r="K71" i="8"/>
  <c r="E71" i="8"/>
  <c r="D70" i="8"/>
  <c r="D69" i="8" s="1"/>
  <c r="G69" i="8"/>
  <c r="F69" i="8"/>
  <c r="K69" i="8"/>
  <c r="L69" i="8"/>
  <c r="E69" i="8"/>
  <c r="L105" i="8"/>
  <c r="K105" i="8"/>
  <c r="K13" i="8"/>
  <c r="I17" i="8"/>
  <c r="M48" i="8"/>
  <c r="M17" i="8" s="1"/>
  <c r="K17" i="8"/>
  <c r="K22" i="8"/>
  <c r="L536" i="2"/>
  <c r="J12" i="9"/>
  <c r="E19" i="9"/>
  <c r="F19" i="9"/>
  <c r="G19" i="9"/>
  <c r="H19" i="9"/>
  <c r="I19" i="9"/>
  <c r="J19" i="9"/>
  <c r="E14" i="8"/>
  <c r="L14" i="8"/>
  <c r="K14" i="8"/>
  <c r="F14" i="8"/>
  <c r="G14" i="8"/>
  <c r="H14" i="8"/>
  <c r="I14" i="8"/>
  <c r="J14" i="8"/>
  <c r="E19" i="8"/>
  <c r="E24" i="8"/>
  <c r="L24" i="8"/>
  <c r="L21" i="8" s="1"/>
  <c r="K24" i="8"/>
  <c r="F24" i="8"/>
  <c r="G24" i="8"/>
  <c r="H24" i="8"/>
  <c r="I24" i="8"/>
  <c r="J24" i="8"/>
  <c r="E30" i="8"/>
  <c r="L30" i="8"/>
  <c r="F30" i="8"/>
  <c r="G30" i="8"/>
  <c r="H30" i="8"/>
  <c r="I30" i="8"/>
  <c r="J30" i="8"/>
  <c r="K53" i="8"/>
  <c r="K50" i="8"/>
  <c r="K47" i="8"/>
  <c r="K45" i="8"/>
  <c r="J104" i="4"/>
  <c r="I104" i="4"/>
  <c r="E51" i="4"/>
  <c r="L51" i="4"/>
  <c r="I51" i="4"/>
  <c r="L52" i="4"/>
  <c r="F52" i="4"/>
  <c r="G52" i="4"/>
  <c r="D56" i="1" s="1"/>
  <c r="H52" i="4"/>
  <c r="I52" i="4"/>
  <c r="J52" i="4"/>
  <c r="E53" i="4"/>
  <c r="L53" i="4"/>
  <c r="K53" i="4"/>
  <c r="F53" i="4"/>
  <c r="G53" i="4"/>
  <c r="H53" i="4"/>
  <c r="E57" i="1" s="1"/>
  <c r="I53" i="4"/>
  <c r="J53" i="4"/>
  <c r="E54" i="4"/>
  <c r="L54" i="4"/>
  <c r="K54" i="4"/>
  <c r="F54" i="4"/>
  <c r="G54" i="4"/>
  <c r="H54" i="4"/>
  <c r="I54" i="4"/>
  <c r="E56" i="4"/>
  <c r="L56" i="4"/>
  <c r="K56" i="4"/>
  <c r="F56" i="4"/>
  <c r="G56" i="4"/>
  <c r="H56" i="4"/>
  <c r="I56" i="4"/>
  <c r="J56" i="4"/>
  <c r="E57" i="4"/>
  <c r="L57" i="4"/>
  <c r="K57" i="4"/>
  <c r="F57" i="4"/>
  <c r="G57" i="4"/>
  <c r="H57" i="4"/>
  <c r="I57" i="4"/>
  <c r="J57" i="4"/>
  <c r="E61" i="4"/>
  <c r="L61" i="4"/>
  <c r="K61" i="4"/>
  <c r="F61" i="4"/>
  <c r="G61" i="4"/>
  <c r="H61" i="4"/>
  <c r="I61" i="4"/>
  <c r="J61" i="4"/>
  <c r="E62" i="4"/>
  <c r="L62" i="4"/>
  <c r="K62" i="4"/>
  <c r="F62" i="4"/>
  <c r="G62" i="4"/>
  <c r="H62" i="4"/>
  <c r="I62" i="4"/>
  <c r="J62" i="4"/>
  <c r="E63" i="4"/>
  <c r="L63" i="4"/>
  <c r="K63" i="4"/>
  <c r="F63" i="4"/>
  <c r="G63" i="4"/>
  <c r="H63" i="4"/>
  <c r="I63" i="4"/>
  <c r="J63" i="4"/>
  <c r="E47" i="4"/>
  <c r="E46" i="4" s="1"/>
  <c r="L47" i="4"/>
  <c r="L46" i="4" s="1"/>
  <c r="K47" i="4"/>
  <c r="F47" i="4"/>
  <c r="F46" i="4" s="1"/>
  <c r="G47" i="4"/>
  <c r="I47" i="4"/>
  <c r="J47" i="4"/>
  <c r="J46" i="4" s="1"/>
  <c r="J5" i="4"/>
  <c r="F60" i="4"/>
  <c r="H40" i="2"/>
  <c r="K137" i="2"/>
  <c r="L44" i="2"/>
  <c r="E371" i="2"/>
  <c r="E370" i="2" s="1"/>
  <c r="E365" i="2"/>
  <c r="E148" i="2"/>
  <c r="E145" i="2"/>
  <c r="E153" i="2"/>
  <c r="E150" i="2" s="1"/>
  <c r="F159" i="6"/>
  <c r="G159" i="6"/>
  <c r="H159" i="6"/>
  <c r="I159" i="6"/>
  <c r="J159" i="6"/>
  <c r="L160" i="6"/>
  <c r="L159" i="6" s="1"/>
  <c r="K160" i="6"/>
  <c r="D161" i="6"/>
  <c r="M161" i="6"/>
  <c r="F163" i="6"/>
  <c r="F162" i="6" s="1"/>
  <c r="G163" i="6"/>
  <c r="G162" i="6" s="1"/>
  <c r="H163" i="6"/>
  <c r="H162" i="6" s="1"/>
  <c r="I163" i="6"/>
  <c r="I162" i="6" s="1"/>
  <c r="J163" i="6"/>
  <c r="J162" i="6" s="1"/>
  <c r="L164" i="6"/>
  <c r="L163" i="6" s="1"/>
  <c r="L162" i="6" s="1"/>
  <c r="K164" i="6"/>
  <c r="L166" i="6"/>
  <c r="K166" i="6"/>
  <c r="F166" i="6"/>
  <c r="G166" i="6"/>
  <c r="H166" i="6"/>
  <c r="I166" i="6"/>
  <c r="J166" i="6"/>
  <c r="D167" i="6"/>
  <c r="F169" i="6"/>
  <c r="F168" i="6" s="1"/>
  <c r="G169" i="6"/>
  <c r="G168" i="6" s="1"/>
  <c r="H169" i="6"/>
  <c r="H168" i="6" s="1"/>
  <c r="I169" i="6"/>
  <c r="I168" i="6" s="1"/>
  <c r="J169" i="6"/>
  <c r="J168" i="6" s="1"/>
  <c r="L170" i="6"/>
  <c r="L169" i="6" s="1"/>
  <c r="K170" i="6"/>
  <c r="K169" i="6" s="1"/>
  <c r="K168" i="6" s="1"/>
  <c r="M55" i="6"/>
  <c r="M65" i="13"/>
  <c r="D335" i="9"/>
  <c r="M224" i="9"/>
  <c r="M223" i="9" s="1"/>
  <c r="M220" i="9"/>
  <c r="M219" i="9" s="1"/>
  <c r="M211" i="9"/>
  <c r="M210" i="9" s="1"/>
  <c r="M207" i="9"/>
  <c r="M121" i="8"/>
  <c r="M34" i="8"/>
  <c r="M14" i="8" s="1"/>
  <c r="M101" i="6"/>
  <c r="M103" i="6"/>
  <c r="M133" i="6"/>
  <c r="M132" i="6"/>
  <c r="M131" i="6"/>
  <c r="E14" i="6"/>
  <c r="H14" i="6"/>
  <c r="I14" i="6"/>
  <c r="J14" i="6"/>
  <c r="E15" i="6"/>
  <c r="F21" i="6"/>
  <c r="I21" i="6"/>
  <c r="J21" i="6"/>
  <c r="M232" i="6"/>
  <c r="M231" i="6" s="1"/>
  <c r="M230" i="6"/>
  <c r="M56" i="5"/>
  <c r="M71" i="4"/>
  <c r="M56" i="4" s="1"/>
  <c r="M70" i="4"/>
  <c r="M54" i="4" s="1"/>
  <c r="M117" i="3"/>
  <c r="M105" i="3"/>
  <c r="M93" i="3"/>
  <c r="M81" i="3"/>
  <c r="M557" i="2"/>
  <c r="M556" i="2"/>
  <c r="M409" i="2"/>
  <c r="M402" i="2"/>
  <c r="M400" i="2"/>
  <c r="M219" i="2"/>
  <c r="M149" i="2"/>
  <c r="M146" i="2"/>
  <c r="M119" i="2"/>
  <c r="M115" i="2"/>
  <c r="M107" i="2"/>
  <c r="M105" i="2"/>
  <c r="M96" i="2"/>
  <c r="M94" i="2"/>
  <c r="M93" i="2"/>
  <c r="M72" i="2"/>
  <c r="M70" i="2"/>
  <c r="M69" i="2"/>
  <c r="M59" i="2"/>
  <c r="M56" i="2"/>
  <c r="M55" i="2"/>
  <c r="I165" i="3"/>
  <c r="I164" i="3" s="1"/>
  <c r="L61" i="9"/>
  <c r="M52" i="9"/>
  <c r="L49" i="9"/>
  <c r="L35" i="9"/>
  <c r="D35" i="9" s="1"/>
  <c r="F223" i="2"/>
  <c r="F225" i="2"/>
  <c r="L226" i="2"/>
  <c r="K140" i="2"/>
  <c r="L190" i="2"/>
  <c r="H643" i="2"/>
  <c r="H530" i="2" s="1"/>
  <c r="H529" i="2" s="1"/>
  <c r="H528" i="2" s="1"/>
  <c r="H642" i="2"/>
  <c r="H641" i="2" s="1"/>
  <c r="G643" i="2"/>
  <c r="G642" i="2" s="1"/>
  <c r="G641" i="2" s="1"/>
  <c r="F643" i="2"/>
  <c r="H601" i="2"/>
  <c r="H600" i="2" s="1"/>
  <c r="G601" i="2"/>
  <c r="G600" i="2" s="1"/>
  <c r="J110" i="6"/>
  <c r="E123" i="6"/>
  <c r="E122" i="6" s="1"/>
  <c r="L98" i="6"/>
  <c r="D132" i="6"/>
  <c r="D131" i="6"/>
  <c r="J98" i="6"/>
  <c r="M17" i="13"/>
  <c r="L21" i="13"/>
  <c r="D338" i="9"/>
  <c r="D337" i="9" s="1"/>
  <c r="D55" i="8"/>
  <c r="D127" i="7"/>
  <c r="D134" i="7"/>
  <c r="D47" i="7"/>
  <c r="D27" i="7"/>
  <c r="D26" i="7" s="1"/>
  <c r="D133" i="7"/>
  <c r="D43" i="5"/>
  <c r="D42" i="5" s="1"/>
  <c r="D122" i="3"/>
  <c r="D117" i="3"/>
  <c r="D110" i="3"/>
  <c r="D105" i="3"/>
  <c r="D42" i="3"/>
  <c r="D39" i="3"/>
  <c r="D38" i="3" s="1"/>
  <c r="D36" i="3"/>
  <c r="D30" i="3"/>
  <c r="D523" i="2"/>
  <c r="D520" i="2"/>
  <c r="D518" i="2"/>
  <c r="D505" i="2"/>
  <c r="D504" i="2" s="1"/>
  <c r="D503" i="2" s="1"/>
  <c r="D502" i="2"/>
  <c r="D500" i="2"/>
  <c r="D499" i="2" s="1"/>
  <c r="D496" i="2"/>
  <c r="D495" i="2"/>
  <c r="D494" i="2"/>
  <c r="D492" i="2"/>
  <c r="D491" i="2"/>
  <c r="D490" i="2"/>
  <c r="D487" i="2"/>
  <c r="D486" i="2"/>
  <c r="D484" i="2"/>
  <c r="D483" i="2"/>
  <c r="D482" i="2"/>
  <c r="D591" i="2"/>
  <c r="D588" i="2"/>
  <c r="D587" i="2"/>
  <c r="D576" i="2"/>
  <c r="D573" i="2"/>
  <c r="D572" i="2"/>
  <c r="D332" i="2"/>
  <c r="D360" i="2"/>
  <c r="D359" i="2" s="1"/>
  <c r="D358" i="2"/>
  <c r="D355" i="2"/>
  <c r="D353" i="2"/>
  <c r="D352" i="2"/>
  <c r="D320" i="2"/>
  <c r="D315" i="2"/>
  <c r="D248" i="2"/>
  <c r="D243" i="2"/>
  <c r="D125" i="2"/>
  <c r="D123" i="2"/>
  <c r="D122" i="2"/>
  <c r="D101" i="2"/>
  <c r="D64" i="2"/>
  <c r="D58" i="2"/>
  <c r="D56" i="2"/>
  <c r="E184" i="6"/>
  <c r="E183" i="6" s="1"/>
  <c r="E181" i="6"/>
  <c r="E173" i="6"/>
  <c r="E177" i="6"/>
  <c r="E176" i="6" s="1"/>
  <c r="E146" i="6"/>
  <c r="E145" i="6" s="1"/>
  <c r="E22" i="6"/>
  <c r="M15" i="1"/>
  <c r="N15" i="1" s="1"/>
  <c r="E244" i="6"/>
  <c r="E243" i="6" s="1"/>
  <c r="E242" i="6" s="1"/>
  <c r="E21" i="13"/>
  <c r="E20" i="13" s="1"/>
  <c r="E20" i="7"/>
  <c r="E23" i="5"/>
  <c r="E17" i="5"/>
  <c r="E13" i="5"/>
  <c r="E539" i="2"/>
  <c r="E538" i="2"/>
  <c r="E537" i="2"/>
  <c r="E532" i="2"/>
  <c r="E27" i="2"/>
  <c r="E127" i="13"/>
  <c r="E126" i="13" s="1"/>
  <c r="E40" i="13"/>
  <c r="E38" i="13"/>
  <c r="E31" i="13"/>
  <c r="E29" i="13"/>
  <c r="D132" i="13"/>
  <c r="D52" i="13"/>
  <c r="D73" i="13"/>
  <c r="D72" i="13" s="1"/>
  <c r="D71" i="13"/>
  <c r="D70" i="13" s="1"/>
  <c r="D68" i="13"/>
  <c r="D67" i="13" s="1"/>
  <c r="D65" i="13"/>
  <c r="D49" i="13"/>
  <c r="D32" i="13"/>
  <c r="E346" i="9"/>
  <c r="E345" i="9" s="1"/>
  <c r="E342" i="9"/>
  <c r="E341" i="9" s="1"/>
  <c r="E250" i="9"/>
  <c r="E249" i="9" s="1"/>
  <c r="E247" i="9"/>
  <c r="E245" i="9"/>
  <c r="E228" i="9"/>
  <c r="E227" i="9" s="1"/>
  <c r="E223" i="9"/>
  <c r="E218" i="9" s="1"/>
  <c r="E215" i="9"/>
  <c r="E214" i="9" s="1"/>
  <c r="E210" i="9"/>
  <c r="E206" i="9"/>
  <c r="E162" i="9"/>
  <c r="E159" i="9"/>
  <c r="E102" i="9"/>
  <c r="E100" i="9"/>
  <c r="E48" i="9"/>
  <c r="D216" i="9"/>
  <c r="D215" i="9" s="1"/>
  <c r="D214" i="9" s="1"/>
  <c r="D106" i="9"/>
  <c r="D105" i="9" s="1"/>
  <c r="D104" i="9" s="1"/>
  <c r="E53" i="8"/>
  <c r="E50" i="8"/>
  <c r="E47" i="8"/>
  <c r="E44" i="8"/>
  <c r="E40" i="8"/>
  <c r="E38" i="8"/>
  <c r="E37" i="8" s="1"/>
  <c r="E35" i="8"/>
  <c r="E33" i="8"/>
  <c r="E120" i="8"/>
  <c r="E119" i="8" s="1"/>
  <c r="E105" i="8" s="1"/>
  <c r="D125" i="8"/>
  <c r="D121" i="8"/>
  <c r="D111" i="8" s="1"/>
  <c r="D108" i="8" s="1"/>
  <c r="D52" i="8"/>
  <c r="E120" i="7"/>
  <c r="E54" i="7"/>
  <c r="E49" i="7"/>
  <c r="E46" i="7"/>
  <c r="E45" i="7" s="1"/>
  <c r="D121" i="7"/>
  <c r="D124" i="7"/>
  <c r="D123" i="7" s="1"/>
  <c r="D53" i="7"/>
  <c r="D52" i="7" s="1"/>
  <c r="D50" i="7"/>
  <c r="D49" i="7" s="1"/>
  <c r="D129" i="7"/>
  <c r="D55" i="7"/>
  <c r="D54" i="7" s="1"/>
  <c r="E255" i="6"/>
  <c r="E254" i="6" s="1"/>
  <c r="E251" i="6"/>
  <c r="E250" i="6" s="1"/>
  <c r="E241" i="6" s="1"/>
  <c r="E236" i="6"/>
  <c r="E234" i="6"/>
  <c r="E231" i="6"/>
  <c r="E229" i="6"/>
  <c r="E225" i="6"/>
  <c r="E223" i="6"/>
  <c r="E220" i="6"/>
  <c r="E216" i="6"/>
  <c r="E150" i="6"/>
  <c r="E137" i="6"/>
  <c r="E136" i="6" s="1"/>
  <c r="E118" i="6"/>
  <c r="E117" i="6" s="1"/>
  <c r="E93" i="6"/>
  <c r="E91" i="6"/>
  <c r="E88" i="6"/>
  <c r="E86" i="6"/>
  <c r="E82" i="6"/>
  <c r="E80" i="6"/>
  <c r="E77" i="6"/>
  <c r="E75" i="6"/>
  <c r="E57" i="6"/>
  <c r="E51" i="6"/>
  <c r="E42" i="6"/>
  <c r="E27" i="6"/>
  <c r="D89" i="6"/>
  <c r="D88" i="6" s="1"/>
  <c r="D39" i="6"/>
  <c r="D38" i="6" s="1"/>
  <c r="D37" i="6" s="1"/>
  <c r="O37" i="6" s="1"/>
  <c r="D262" i="6"/>
  <c r="D261" i="6" s="1"/>
  <c r="D260" i="6" s="1"/>
  <c r="O259" i="6" s="1"/>
  <c r="D237" i="6"/>
  <c r="D236" i="6" s="1"/>
  <c r="D235" i="6"/>
  <c r="D234" i="6" s="1"/>
  <c r="D232" i="6"/>
  <c r="D231" i="6" s="1"/>
  <c r="D230" i="6"/>
  <c r="D103" i="6"/>
  <c r="D101" i="6"/>
  <c r="D99" i="6"/>
  <c r="D94" i="6"/>
  <c r="D92" i="6"/>
  <c r="D91" i="6" s="1"/>
  <c r="D70" i="6"/>
  <c r="D69" i="6" s="1"/>
  <c r="D67" i="6"/>
  <c r="D66" i="6" s="1"/>
  <c r="D65" i="6"/>
  <c r="D64" i="6"/>
  <c r="D60" i="6"/>
  <c r="D59" i="6" s="1"/>
  <c r="E72" i="5"/>
  <c r="E71" i="5" s="1"/>
  <c r="E69" i="5"/>
  <c r="E68" i="5" s="1"/>
  <c r="E58" i="5"/>
  <c r="E57" i="5" s="1"/>
  <c r="E55" i="5"/>
  <c r="E54" i="5" s="1"/>
  <c r="E42" i="5"/>
  <c r="E44" i="5"/>
  <c r="E39" i="5"/>
  <c r="E37" i="5"/>
  <c r="D59" i="5"/>
  <c r="E85" i="4"/>
  <c r="E84" i="4" s="1"/>
  <c r="E80" i="4"/>
  <c r="E79" i="4" s="1"/>
  <c r="E67" i="4"/>
  <c r="E66" i="4" s="1"/>
  <c r="E75" i="4"/>
  <c r="E74" i="4"/>
  <c r="D91" i="4"/>
  <c r="D86" i="4"/>
  <c r="D85" i="4" s="1"/>
  <c r="D84" i="4" s="1"/>
  <c r="D61" i="4"/>
  <c r="D71" i="4"/>
  <c r="D56" i="4" s="1"/>
  <c r="D70" i="4"/>
  <c r="D54" i="4" s="1"/>
  <c r="D69" i="4"/>
  <c r="D53" i="4" s="1"/>
  <c r="D68" i="4"/>
  <c r="E121" i="3"/>
  <c r="E123" i="3"/>
  <c r="E109" i="3"/>
  <c r="E111" i="3"/>
  <c r="E106" i="3"/>
  <c r="E103" i="3"/>
  <c r="E97" i="3"/>
  <c r="E94" i="3"/>
  <c r="E91" i="3"/>
  <c r="E85" i="3"/>
  <c r="E87" i="3"/>
  <c r="E82" i="3"/>
  <c r="E79" i="3"/>
  <c r="E119" i="7"/>
  <c r="E124" i="8"/>
  <c r="E123" i="8" s="1"/>
  <c r="E162" i="8" s="1"/>
  <c r="E164" i="8" s="1"/>
  <c r="D95" i="3"/>
  <c r="D150" i="3"/>
  <c r="D149" i="3" s="1"/>
  <c r="D148" i="3" s="1"/>
  <c r="E579" i="2"/>
  <c r="E578" i="2" s="1"/>
  <c r="E666" i="2"/>
  <c r="E665" i="2" s="1"/>
  <c r="E609" i="2"/>
  <c r="E608" i="2" s="1"/>
  <c r="E601" i="2"/>
  <c r="E600" i="2" s="1"/>
  <c r="E567" i="2"/>
  <c r="E566" i="2" s="1"/>
  <c r="E563" i="2"/>
  <c r="E562" i="2" s="1"/>
  <c r="E559" i="2"/>
  <c r="E558" i="2" s="1"/>
  <c r="E694" i="2" s="1"/>
  <c r="E555" i="2"/>
  <c r="E554" i="2" s="1"/>
  <c r="E542" i="2"/>
  <c r="E541" i="2" s="1"/>
  <c r="E461" i="2"/>
  <c r="E460" i="2" s="1"/>
  <c r="E440" i="2"/>
  <c r="E431" i="2"/>
  <c r="E428" i="2"/>
  <c r="E427" i="2"/>
  <c r="E422" i="2"/>
  <c r="E421" i="2" s="1"/>
  <c r="E419" i="2"/>
  <c r="E416" i="2" s="1"/>
  <c r="E413" i="2"/>
  <c r="E412" i="2" s="1"/>
  <c r="E410" i="2"/>
  <c r="E408" i="2"/>
  <c r="E404" i="2"/>
  <c r="E403" i="2" s="1"/>
  <c r="E399" i="2"/>
  <c r="E395" i="2"/>
  <c r="E393" i="2"/>
  <c r="E390" i="2"/>
  <c r="E387" i="2"/>
  <c r="E382" i="2"/>
  <c r="E378" i="2"/>
  <c r="E321" i="2"/>
  <c r="E319" i="2"/>
  <c r="E225" i="2"/>
  <c r="E223" i="2"/>
  <c r="E222" i="2" s="1"/>
  <c r="E220" i="2"/>
  <c r="E201" i="2"/>
  <c r="E199" i="2"/>
  <c r="E196" i="2"/>
  <c r="E193" i="2"/>
  <c r="E189" i="2"/>
  <c r="E172" i="2"/>
  <c r="E169" i="2"/>
  <c r="E165" i="2"/>
  <c r="E160" i="2"/>
  <c r="E157" i="2"/>
  <c r="E133" i="2"/>
  <c r="E124" i="2"/>
  <c r="E118" i="2"/>
  <c r="E114" i="2"/>
  <c r="E109" i="2"/>
  <c r="E108" i="2" s="1"/>
  <c r="E106" i="2"/>
  <c r="E104" i="2"/>
  <c r="D674" i="2"/>
  <c r="D673" i="2" s="1"/>
  <c r="D672" i="2" s="1"/>
  <c r="D667" i="2"/>
  <c r="D666" i="2" s="1"/>
  <c r="D665" i="2" s="1"/>
  <c r="D659" i="2"/>
  <c r="D583" i="2"/>
  <c r="D582" i="2" s="1"/>
  <c r="D581" i="2" s="1"/>
  <c r="D568" i="2"/>
  <c r="D560" i="2"/>
  <c r="D557" i="2"/>
  <c r="D556" i="2"/>
  <c r="D547" i="2"/>
  <c r="D546" i="2" s="1"/>
  <c r="D545" i="2" s="1"/>
  <c r="D432" i="2"/>
  <c r="D431" i="2" s="1"/>
  <c r="D430" i="2" s="1"/>
  <c r="D429" i="2"/>
  <c r="D423" i="2"/>
  <c r="D420" i="2"/>
  <c r="D419" i="2" s="1"/>
  <c r="D418" i="2"/>
  <c r="D417" i="2" s="1"/>
  <c r="D394" i="2"/>
  <c r="D389" i="2"/>
  <c r="D338" i="2"/>
  <c r="D226" i="2"/>
  <c r="D225" i="2" s="1"/>
  <c r="D221" i="2"/>
  <c r="D220" i="2" s="1"/>
  <c r="D219" i="2"/>
  <c r="D132" i="2"/>
  <c r="D131" i="2"/>
  <c r="D119" i="2"/>
  <c r="D110" i="2"/>
  <c r="D107" i="2"/>
  <c r="D99" i="2"/>
  <c r="D96" i="2"/>
  <c r="D94" i="2"/>
  <c r="D89" i="2"/>
  <c r="D87" i="2"/>
  <c r="D84" i="2"/>
  <c r="D83" i="2" s="1"/>
  <c r="D82" i="2"/>
  <c r="D75" i="2"/>
  <c r="D72" i="2"/>
  <c r="D70" i="2"/>
  <c r="D77" i="2"/>
  <c r="D65" i="2"/>
  <c r="D62" i="2"/>
  <c r="D59" i="2"/>
  <c r="D57" i="2" s="1"/>
  <c r="E121" i="2"/>
  <c r="E156" i="2"/>
  <c r="I371" i="2"/>
  <c r="I370" i="2" s="1"/>
  <c r="H371" i="2"/>
  <c r="H370" i="2" s="1"/>
  <c r="G371" i="2"/>
  <c r="G370" i="2" s="1"/>
  <c r="F371" i="2"/>
  <c r="F370" i="2" s="1"/>
  <c r="K371" i="2"/>
  <c r="L371" i="2"/>
  <c r="D663" i="2"/>
  <c r="D662" i="2" s="1"/>
  <c r="D661" i="2" s="1"/>
  <c r="K537" i="2"/>
  <c r="F537" i="2"/>
  <c r="G537" i="2"/>
  <c r="H537" i="2"/>
  <c r="I537" i="2"/>
  <c r="J537" i="2"/>
  <c r="K531" i="2"/>
  <c r="F531" i="2"/>
  <c r="G531" i="2"/>
  <c r="H531" i="2"/>
  <c r="I531" i="2"/>
  <c r="J531" i="2"/>
  <c r="K650" i="2"/>
  <c r="F650" i="2"/>
  <c r="G650" i="2"/>
  <c r="I650" i="2"/>
  <c r="J650" i="2"/>
  <c r="L654" i="2"/>
  <c r="L653" i="2" s="1"/>
  <c r="J654" i="2"/>
  <c r="J653" i="2" s="1"/>
  <c r="I654" i="2"/>
  <c r="I653" i="2" s="1"/>
  <c r="H654" i="2"/>
  <c r="H653" i="2" s="1"/>
  <c r="G654" i="2"/>
  <c r="G653" i="2" s="1"/>
  <c r="F654" i="2"/>
  <c r="F653" i="2" s="1"/>
  <c r="K654" i="2"/>
  <c r="K653" i="2" s="1"/>
  <c r="D580" i="2"/>
  <c r="L582" i="2"/>
  <c r="L581" i="2" s="1"/>
  <c r="K582" i="2"/>
  <c r="K581" i="2" s="1"/>
  <c r="F582" i="2"/>
  <c r="F581" i="2" s="1"/>
  <c r="G582" i="2"/>
  <c r="G581" i="2" s="1"/>
  <c r="H582" i="2"/>
  <c r="H581" i="2" s="1"/>
  <c r="I582" i="2"/>
  <c r="I581" i="2" s="1"/>
  <c r="J582" i="2"/>
  <c r="J581" i="2" s="1"/>
  <c r="D651" i="2"/>
  <c r="D655" i="2"/>
  <c r="D654" i="2" s="1"/>
  <c r="D653" i="2" s="1"/>
  <c r="L531" i="2"/>
  <c r="D652" i="2"/>
  <c r="D531" i="2" s="1"/>
  <c r="L650" i="2"/>
  <c r="L537" i="2"/>
  <c r="K408" i="2"/>
  <c r="F413" i="2"/>
  <c r="F412" i="2" s="1"/>
  <c r="L414" i="2"/>
  <c r="D414" i="2" s="1"/>
  <c r="F404" i="2"/>
  <c r="F403" i="2" s="1"/>
  <c r="L405" i="2"/>
  <c r="K401" i="2"/>
  <c r="L402" i="2"/>
  <c r="L401" i="2" s="1"/>
  <c r="K390" i="2"/>
  <c r="F395" i="2"/>
  <c r="D384" i="2"/>
  <c r="D383" i="2" s="1"/>
  <c r="D382" i="2" s="1"/>
  <c r="D409" i="2"/>
  <c r="K321" i="2"/>
  <c r="K318" i="2" s="1"/>
  <c r="L322" i="2"/>
  <c r="D81" i="2"/>
  <c r="D80" i="2" s="1"/>
  <c r="D79" i="2" s="1"/>
  <c r="D55" i="2"/>
  <c r="D105" i="2"/>
  <c r="D104" i="2" s="1"/>
  <c r="D93" i="2"/>
  <c r="D317" i="2"/>
  <c r="D316" i="2" s="1"/>
  <c r="D126" i="2"/>
  <c r="D115" i="2"/>
  <c r="D238" i="2"/>
  <c r="D237" i="2" s="1"/>
  <c r="D154" i="2"/>
  <c r="D153" i="2" s="1"/>
  <c r="D149" i="2"/>
  <c r="D146" i="2"/>
  <c r="D173" i="2"/>
  <c r="D197" i="2"/>
  <c r="D194" i="2"/>
  <c r="D135" i="2"/>
  <c r="D133" i="2" s="1"/>
  <c r="L122" i="7"/>
  <c r="L8" i="7" s="1"/>
  <c r="L6" i="7" s="1"/>
  <c r="D141" i="7"/>
  <c r="D140" i="7" s="1"/>
  <c r="I140" i="7"/>
  <c r="H140" i="7"/>
  <c r="G140" i="7"/>
  <c r="F140" i="7"/>
  <c r="K140" i="7"/>
  <c r="L140" i="7"/>
  <c r="I138" i="7"/>
  <c r="H138" i="7"/>
  <c r="G138" i="7"/>
  <c r="F138" i="7"/>
  <c r="K138" i="7"/>
  <c r="L138" i="7"/>
  <c r="M135" i="7"/>
  <c r="I135" i="7"/>
  <c r="H135" i="7"/>
  <c r="G135" i="7"/>
  <c r="F135" i="7"/>
  <c r="K135" i="7"/>
  <c r="L135" i="7"/>
  <c r="D132" i="7"/>
  <c r="I132" i="7"/>
  <c r="H132" i="7"/>
  <c r="G132" i="7"/>
  <c r="F132" i="7"/>
  <c r="K132" i="7"/>
  <c r="F100" i="9"/>
  <c r="F102" i="9"/>
  <c r="L103" i="9"/>
  <c r="D103" i="9" s="1"/>
  <c r="D102" i="9" s="1"/>
  <c r="L101" i="9"/>
  <c r="L100" i="9" s="1"/>
  <c r="D61" i="9"/>
  <c r="D56" i="9"/>
  <c r="D53" i="9"/>
  <c r="D42" i="9"/>
  <c r="D39" i="9"/>
  <c r="D27" i="9"/>
  <c r="I137" i="7"/>
  <c r="K120" i="7"/>
  <c r="D122" i="7"/>
  <c r="D230" i="2"/>
  <c r="D158" i="2"/>
  <c r="D166" i="2"/>
  <c r="D30" i="9"/>
  <c r="D139" i="7"/>
  <c r="D138" i="7" s="1"/>
  <c r="D25" i="7"/>
  <c r="D24" i="7" s="1"/>
  <c r="L131" i="7"/>
  <c r="D161" i="2"/>
  <c r="D170" i="2"/>
  <c r="D178" i="2"/>
  <c r="D177" i="2" s="1"/>
  <c r="D233" i="2"/>
  <c r="E140" i="7"/>
  <c r="E135" i="7"/>
  <c r="E138" i="7"/>
  <c r="L259" i="9"/>
  <c r="L258" i="9" s="1"/>
  <c r="J263" i="9"/>
  <c r="I263" i="9"/>
  <c r="H263" i="9"/>
  <c r="G263" i="9"/>
  <c r="K263" i="9"/>
  <c r="L263" i="9"/>
  <c r="J259" i="9"/>
  <c r="I259" i="9"/>
  <c r="H259" i="9"/>
  <c r="G259" i="9"/>
  <c r="J255" i="9"/>
  <c r="J254" i="9" s="1"/>
  <c r="I255" i="9"/>
  <c r="I254" i="9" s="1"/>
  <c r="H255" i="9"/>
  <c r="H254" i="9" s="1"/>
  <c r="G255" i="9"/>
  <c r="G254" i="9" s="1"/>
  <c r="L255" i="9"/>
  <c r="L254" i="9" s="1"/>
  <c r="D136" i="7"/>
  <c r="D135" i="7" s="1"/>
  <c r="E137" i="7"/>
  <c r="L133" i="6"/>
  <c r="D133" i="6" s="1"/>
  <c r="K134" i="6"/>
  <c r="M134" i="6" s="1"/>
  <c r="K124" i="6"/>
  <c r="M129" i="6"/>
  <c r="D114" i="6"/>
  <c r="L108" i="6"/>
  <c r="L107" i="6" s="1"/>
  <c r="L104" i="6"/>
  <c r="D129" i="6"/>
  <c r="D83" i="6"/>
  <c r="D78" i="6"/>
  <c r="D77" i="6" s="1"/>
  <c r="D76" i="6"/>
  <c r="D75" i="6" s="1"/>
  <c r="D81" i="6"/>
  <c r="D80" i="6" s="1"/>
  <c r="K165" i="9"/>
  <c r="L159" i="9"/>
  <c r="G159" i="9"/>
  <c r="H159" i="9"/>
  <c r="I159" i="9"/>
  <c r="J159" i="9"/>
  <c r="K247" i="9"/>
  <c r="D247" i="9" s="1"/>
  <c r="L250" i="9"/>
  <c r="L249" i="9" s="1"/>
  <c r="F250" i="9"/>
  <c r="G250" i="9"/>
  <c r="G249" i="9" s="1"/>
  <c r="H250" i="9"/>
  <c r="H249" i="9" s="1"/>
  <c r="I250" i="9"/>
  <c r="I249" i="9" s="1"/>
  <c r="J250" i="9"/>
  <c r="J249" i="9" s="1"/>
  <c r="L245" i="9"/>
  <c r="L244" i="9" s="1"/>
  <c r="F245" i="9"/>
  <c r="F244" i="9" s="1"/>
  <c r="G245" i="9"/>
  <c r="G244" i="9" s="1"/>
  <c r="H245" i="9"/>
  <c r="H244" i="9" s="1"/>
  <c r="I245" i="9"/>
  <c r="I244" i="9" s="1"/>
  <c r="J245" i="9"/>
  <c r="J244" i="9" s="1"/>
  <c r="L241" i="9"/>
  <c r="H241" i="9"/>
  <c r="H240" i="9" s="1"/>
  <c r="I241" i="9"/>
  <c r="J241" i="9"/>
  <c r="J240" i="9" s="1"/>
  <c r="L237" i="9"/>
  <c r="L236" i="9" s="1"/>
  <c r="H237" i="9"/>
  <c r="H236" i="9" s="1"/>
  <c r="I237" i="9"/>
  <c r="J237" i="9"/>
  <c r="H233" i="9"/>
  <c r="H232" i="9" s="1"/>
  <c r="I233" i="9"/>
  <c r="J233" i="9"/>
  <c r="J232" i="9" s="1"/>
  <c r="F249" i="9"/>
  <c r="M673" i="2"/>
  <c r="M672" i="2" s="1"/>
  <c r="L673" i="2"/>
  <c r="L672" i="2" s="1"/>
  <c r="K673" i="2"/>
  <c r="K672" i="2" s="1"/>
  <c r="F673" i="2"/>
  <c r="F672" i="2" s="1"/>
  <c r="G673" i="2"/>
  <c r="G672" i="2" s="1"/>
  <c r="H673" i="2"/>
  <c r="H672" i="2" s="1"/>
  <c r="H527" i="2" s="1"/>
  <c r="I673" i="2"/>
  <c r="I672" i="2" s="1"/>
  <c r="I527" i="2" s="1"/>
  <c r="J673" i="2"/>
  <c r="J672" i="2" s="1"/>
  <c r="J527" i="2" s="1"/>
  <c r="M606" i="2"/>
  <c r="D543" i="2"/>
  <c r="D544" i="2"/>
  <c r="D533" i="2" s="1"/>
  <c r="F21" i="13"/>
  <c r="G21" i="13"/>
  <c r="G20" i="13" s="1"/>
  <c r="H21" i="13"/>
  <c r="I21" i="13"/>
  <c r="I20" i="13" s="1"/>
  <c r="D62" i="13"/>
  <c r="D61" i="13" s="1"/>
  <c r="L65" i="13"/>
  <c r="L67" i="13"/>
  <c r="K70" i="13"/>
  <c r="K72" i="13"/>
  <c r="L452" i="2"/>
  <c r="L457" i="2"/>
  <c r="L456" i="2" s="1"/>
  <c r="D60" i="13"/>
  <c r="K21" i="13"/>
  <c r="K20" i="13" s="1"/>
  <c r="G27" i="6"/>
  <c r="G33" i="6"/>
  <c r="G32" i="6" s="1"/>
  <c r="G43" i="6"/>
  <c r="G52" i="6"/>
  <c r="G51" i="6" s="1"/>
  <c r="G461" i="2"/>
  <c r="K461" i="2"/>
  <c r="K57" i="6"/>
  <c r="G57" i="6"/>
  <c r="L57" i="6"/>
  <c r="K59" i="6"/>
  <c r="F59" i="6"/>
  <c r="G59" i="6"/>
  <c r="H59" i="6"/>
  <c r="L59" i="6"/>
  <c r="L43" i="6"/>
  <c r="K43" i="6"/>
  <c r="F43" i="6"/>
  <c r="L47" i="6"/>
  <c r="L14" i="6" s="1"/>
  <c r="K47" i="6"/>
  <c r="K14" i="6" s="1"/>
  <c r="L52" i="6"/>
  <c r="L51" i="6" s="1"/>
  <c r="K52" i="6"/>
  <c r="K51" i="6" s="1"/>
  <c r="F52" i="6"/>
  <c r="F51" i="6" s="1"/>
  <c r="L63" i="6"/>
  <c r="G202" i="6"/>
  <c r="G200" i="6" s="1"/>
  <c r="F202" i="6"/>
  <c r="F143" i="6" s="1"/>
  <c r="F15" i="6" s="1"/>
  <c r="G209" i="6"/>
  <c r="F209" i="6"/>
  <c r="D611" i="2"/>
  <c r="D607" i="2"/>
  <c r="K538" i="2"/>
  <c r="G538" i="2"/>
  <c r="H538" i="2"/>
  <c r="I538" i="2"/>
  <c r="J538" i="2"/>
  <c r="J532" i="2"/>
  <c r="I532" i="2"/>
  <c r="F58" i="1" s="1"/>
  <c r="H532" i="2"/>
  <c r="G532" i="2"/>
  <c r="K532" i="2"/>
  <c r="L532" i="2"/>
  <c r="L538" i="2"/>
  <c r="L662" i="2"/>
  <c r="L661" i="2" s="1"/>
  <c r="L694" i="2" s="1"/>
  <c r="J658" i="2"/>
  <c r="I658" i="2"/>
  <c r="H658" i="2"/>
  <c r="G658" i="2"/>
  <c r="G657" i="2" s="1"/>
  <c r="K658" i="2"/>
  <c r="K657" i="2" s="1"/>
  <c r="L658" i="2"/>
  <c r="G115" i="3"/>
  <c r="G118" i="3"/>
  <c r="D196" i="9"/>
  <c r="D200" i="9"/>
  <c r="D199" i="9"/>
  <c r="D35" i="13"/>
  <c r="D36" i="6"/>
  <c r="L150" i="9"/>
  <c r="D168" i="9"/>
  <c r="D167" i="9" s="1"/>
  <c r="D130" i="2"/>
  <c r="L86" i="6"/>
  <c r="L88" i="6"/>
  <c r="L91" i="6"/>
  <c r="L93" i="6"/>
  <c r="G116" i="13"/>
  <c r="G115" i="13" s="1"/>
  <c r="H116" i="13"/>
  <c r="I116" i="13"/>
  <c r="I115" i="13" s="1"/>
  <c r="J116" i="13"/>
  <c r="M131" i="13"/>
  <c r="M130" i="13" s="1"/>
  <c r="K131" i="13"/>
  <c r="K130" i="13" s="1"/>
  <c r="L131" i="13"/>
  <c r="L130" i="13" s="1"/>
  <c r="H33" i="6"/>
  <c r="H32" i="6" s="1"/>
  <c r="F33" i="6"/>
  <c r="F32" i="6" s="1"/>
  <c r="L33" i="6"/>
  <c r="F60" i="9"/>
  <c r="K60" i="9"/>
  <c r="L60" i="9"/>
  <c r="K55" i="9"/>
  <c r="L55" i="9"/>
  <c r="J145" i="3"/>
  <c r="J144" i="3" s="1"/>
  <c r="G145" i="3"/>
  <c r="G144" i="3" s="1"/>
  <c r="J171" i="3"/>
  <c r="J170" i="3" s="1"/>
  <c r="I171" i="3"/>
  <c r="L171" i="3"/>
  <c r="L170" i="3" s="1"/>
  <c r="J161" i="3"/>
  <c r="J160" i="3" s="1"/>
  <c r="I161" i="3"/>
  <c r="K161" i="3"/>
  <c r="K160" i="3" s="1"/>
  <c r="J149" i="3"/>
  <c r="J148" i="3" s="1"/>
  <c r="I149" i="3"/>
  <c r="I148" i="3" s="1"/>
  <c r="G149" i="3"/>
  <c r="F149" i="3"/>
  <c r="F148" i="3" s="1"/>
  <c r="K149" i="3"/>
  <c r="K148" i="3" s="1"/>
  <c r="L149" i="3"/>
  <c r="L148" i="3" s="1"/>
  <c r="D147" i="3"/>
  <c r="D146" i="3"/>
  <c r="I145" i="3"/>
  <c r="I144" i="3" s="1"/>
  <c r="H145" i="3"/>
  <c r="F145" i="3"/>
  <c r="L145" i="3"/>
  <c r="D143" i="3"/>
  <c r="D142" i="3"/>
  <c r="F141" i="3"/>
  <c r="F140" i="3" s="1"/>
  <c r="L141" i="3"/>
  <c r="L140" i="3" s="1"/>
  <c r="H153" i="3"/>
  <c r="H152" i="3" s="1"/>
  <c r="I153" i="3"/>
  <c r="I152" i="3" s="1"/>
  <c r="H140" i="3"/>
  <c r="J140" i="3"/>
  <c r="I140" i="3"/>
  <c r="G103" i="3"/>
  <c r="G106" i="3"/>
  <c r="G79" i="3"/>
  <c r="G82" i="3"/>
  <c r="J165" i="3"/>
  <c r="J164" i="3" s="1"/>
  <c r="L165" i="3"/>
  <c r="L164" i="3" s="1"/>
  <c r="M91" i="3"/>
  <c r="M94" i="3"/>
  <c r="M666" i="2"/>
  <c r="M665" i="2" s="1"/>
  <c r="G666" i="2"/>
  <c r="G665" i="2" s="1"/>
  <c r="F666" i="2"/>
  <c r="F665" i="2" s="1"/>
  <c r="K666" i="2"/>
  <c r="K665" i="2" s="1"/>
  <c r="L666" i="2"/>
  <c r="L665" i="2" s="1"/>
  <c r="J113" i="6"/>
  <c r="O107" i="6"/>
  <c r="O97" i="6"/>
  <c r="J526" i="2"/>
  <c r="L533" i="2"/>
  <c r="K533" i="2"/>
  <c r="H55" i="1" s="1"/>
  <c r="F533" i="2"/>
  <c r="C55" i="1" s="1"/>
  <c r="G533" i="2"/>
  <c r="D55" i="1" s="1"/>
  <c r="H533" i="2"/>
  <c r="E55" i="1" s="1"/>
  <c r="I533" i="2"/>
  <c r="F55" i="1" s="1"/>
  <c r="J533" i="2"/>
  <c r="G55" i="1" s="1"/>
  <c r="L539" i="2"/>
  <c r="I67" i="1" s="1"/>
  <c r="K539" i="2"/>
  <c r="H67" i="1" s="1"/>
  <c r="F539" i="2"/>
  <c r="C67" i="1" s="1"/>
  <c r="G539" i="2"/>
  <c r="D67" i="1" s="1"/>
  <c r="H539" i="2"/>
  <c r="I539" i="2"/>
  <c r="F67" i="1" s="1"/>
  <c r="J539" i="2"/>
  <c r="G67" i="1" s="1"/>
  <c r="F542" i="2"/>
  <c r="F541" i="2" s="1"/>
  <c r="G542" i="2"/>
  <c r="G541" i="2" s="1"/>
  <c r="K542" i="2"/>
  <c r="L545" i="2"/>
  <c r="K545" i="2"/>
  <c r="F545" i="2"/>
  <c r="G545" i="2"/>
  <c r="H546" i="2"/>
  <c r="H545" i="2" s="1"/>
  <c r="H693" i="2" s="1"/>
  <c r="I546" i="2"/>
  <c r="I545" i="2" s="1"/>
  <c r="I693" i="2" s="1"/>
  <c r="J546" i="2"/>
  <c r="J545" i="2" s="1"/>
  <c r="J693" i="2" s="1"/>
  <c r="M542" i="2"/>
  <c r="M541" i="2" s="1"/>
  <c r="L542" i="2"/>
  <c r="L541" i="2" s="1"/>
  <c r="L329" i="2"/>
  <c r="L41" i="2" s="1"/>
  <c r="L40" i="2" s="1"/>
  <c r="L334" i="2"/>
  <c r="L327" i="2"/>
  <c r="D327" i="2" s="1"/>
  <c r="G348" i="2"/>
  <c r="D348" i="2" s="1"/>
  <c r="D347" i="2" s="1"/>
  <c r="G109" i="3"/>
  <c r="G111" i="3"/>
  <c r="G121" i="3"/>
  <c r="G123" i="3"/>
  <c r="K345" i="2"/>
  <c r="K344" i="2" s="1"/>
  <c r="L345" i="2"/>
  <c r="L47" i="2" s="1"/>
  <c r="G342" i="2"/>
  <c r="G339" i="2"/>
  <c r="K339" i="2"/>
  <c r="K337" i="2" s="1"/>
  <c r="L339" i="2"/>
  <c r="M342" i="2"/>
  <c r="G39" i="2"/>
  <c r="L90" i="4"/>
  <c r="L89" i="4" s="1"/>
  <c r="F90" i="4"/>
  <c r="F89" i="4" s="1"/>
  <c r="G90" i="4"/>
  <c r="G89" i="4" s="1"/>
  <c r="H90" i="4"/>
  <c r="H89" i="4" s="1"/>
  <c r="I90" i="4"/>
  <c r="I89" i="4" s="1"/>
  <c r="J90" i="4"/>
  <c r="J89" i="4" s="1"/>
  <c r="D124" i="3"/>
  <c r="D123" i="3" s="1"/>
  <c r="L72" i="3"/>
  <c r="L74" i="3"/>
  <c r="L85" i="3"/>
  <c r="L87" i="3"/>
  <c r="L109" i="3"/>
  <c r="L111" i="3"/>
  <c r="L99" i="3"/>
  <c r="L96" i="3" s="1"/>
  <c r="L121" i="3"/>
  <c r="L123" i="3"/>
  <c r="D107" i="3"/>
  <c r="D104" i="3"/>
  <c r="D112" i="3"/>
  <c r="D119" i="3"/>
  <c r="D118" i="3" s="1"/>
  <c r="D223" i="9"/>
  <c r="D228" i="9"/>
  <c r="D227" i="9" s="1"/>
  <c r="M206" i="9"/>
  <c r="D206" i="9"/>
  <c r="K206" i="9"/>
  <c r="F206" i="9"/>
  <c r="L206" i="9"/>
  <c r="D210" i="9"/>
  <c r="K210" i="9"/>
  <c r="F210" i="9"/>
  <c r="L210" i="9"/>
  <c r="L215" i="9"/>
  <c r="L214" i="9" s="1"/>
  <c r="L219" i="9"/>
  <c r="D219" i="9"/>
  <c r="K223" i="9"/>
  <c r="F223" i="9"/>
  <c r="G223" i="9"/>
  <c r="L223" i="9"/>
  <c r="K228" i="9"/>
  <c r="F228" i="9"/>
  <c r="G228" i="9"/>
  <c r="L228" i="9"/>
  <c r="L227" i="9" s="1"/>
  <c r="K441" i="2"/>
  <c r="F441" i="2"/>
  <c r="H30" i="2"/>
  <c r="G30" i="2"/>
  <c r="I30" i="2"/>
  <c r="J30" i="2"/>
  <c r="K21" i="6"/>
  <c r="L21" i="6"/>
  <c r="M130" i="6"/>
  <c r="J125" i="6"/>
  <c r="I125" i="6"/>
  <c r="I123" i="6" s="1"/>
  <c r="I122" i="6" s="1"/>
  <c r="H125" i="6"/>
  <c r="G125" i="6"/>
  <c r="G123" i="6" s="1"/>
  <c r="G122" i="6" s="1"/>
  <c r="F125" i="6"/>
  <c r="K125" i="6"/>
  <c r="K123" i="6" s="1"/>
  <c r="K122" i="6" s="1"/>
  <c r="L125" i="6"/>
  <c r="L123" i="6" s="1"/>
  <c r="L122" i="6" s="1"/>
  <c r="J135" i="6"/>
  <c r="J127" i="6" s="1"/>
  <c r="I135" i="6"/>
  <c r="I127" i="6" s="1"/>
  <c r="H135" i="6"/>
  <c r="H127" i="6" s="1"/>
  <c r="H126" i="6" s="1"/>
  <c r="G135" i="6"/>
  <c r="G127" i="6" s="1"/>
  <c r="F135" i="6"/>
  <c r="F127" i="6" s="1"/>
  <c r="K135" i="6"/>
  <c r="L135" i="6"/>
  <c r="F118" i="6"/>
  <c r="F117" i="6" s="1"/>
  <c r="L118" i="6"/>
  <c r="L117" i="6" s="1"/>
  <c r="J116" i="6"/>
  <c r="I116" i="6"/>
  <c r="H116" i="6"/>
  <c r="G116" i="6"/>
  <c r="F116" i="6"/>
  <c r="K116" i="6"/>
  <c r="I113" i="6"/>
  <c r="H113" i="6"/>
  <c r="G113" i="6"/>
  <c r="I110" i="6"/>
  <c r="J106" i="6"/>
  <c r="J104" i="6" s="1"/>
  <c r="I106" i="6"/>
  <c r="I104" i="6" s="1"/>
  <c r="H106" i="6"/>
  <c r="G106" i="6"/>
  <c r="G104" i="6" s="1"/>
  <c r="F106" i="6"/>
  <c r="K106" i="6"/>
  <c r="K104" i="6" s="1"/>
  <c r="F98" i="6"/>
  <c r="G100" i="6"/>
  <c r="M100" i="6" s="1"/>
  <c r="M36" i="8"/>
  <c r="M19" i="8" s="1"/>
  <c r="D70" i="5"/>
  <c r="D73" i="5"/>
  <c r="D72" i="5" s="1"/>
  <c r="D71" i="5" s="1"/>
  <c r="D38" i="5"/>
  <c r="D13" i="5" s="1"/>
  <c r="D40" i="5"/>
  <c r="D39" i="5" s="1"/>
  <c r="D45" i="5"/>
  <c r="D44" i="5" s="1"/>
  <c r="D41" i="5" s="1"/>
  <c r="L32" i="3"/>
  <c r="L15" i="3" s="1"/>
  <c r="K26" i="3"/>
  <c r="F26" i="3"/>
  <c r="F25" i="3" s="1"/>
  <c r="H189" i="9"/>
  <c r="I189" i="9"/>
  <c r="I188" i="9" s="1"/>
  <c r="J189" i="9"/>
  <c r="G186" i="9"/>
  <c r="H186" i="9"/>
  <c r="H183" i="9" s="1"/>
  <c r="I186" i="9"/>
  <c r="J186" i="9"/>
  <c r="J183" i="9" s="1"/>
  <c r="G184" i="9"/>
  <c r="H184" i="9"/>
  <c r="I184" i="9"/>
  <c r="J184" i="9"/>
  <c r="L29" i="9"/>
  <c r="L162" i="9"/>
  <c r="L184" i="9"/>
  <c r="L186" i="9"/>
  <c r="K114" i="9"/>
  <c r="K29" i="9"/>
  <c r="K162" i="9"/>
  <c r="K100" i="9"/>
  <c r="K102" i="9"/>
  <c r="G158" i="9"/>
  <c r="H114" i="9"/>
  <c r="H158" i="9"/>
  <c r="I114" i="9"/>
  <c r="I158" i="9"/>
  <c r="J158" i="9"/>
  <c r="L149" i="9"/>
  <c r="L197" i="9"/>
  <c r="K155" i="9"/>
  <c r="G149" i="9"/>
  <c r="G170" i="9"/>
  <c r="G192" i="9"/>
  <c r="H149" i="9"/>
  <c r="H170" i="9"/>
  <c r="H192" i="9"/>
  <c r="I149" i="9"/>
  <c r="I170" i="9"/>
  <c r="I192" i="9"/>
  <c r="J149" i="9"/>
  <c r="J170" i="9"/>
  <c r="J192" i="9"/>
  <c r="D83" i="3"/>
  <c r="D82" i="3" s="1"/>
  <c r="D128" i="7"/>
  <c r="I128" i="7"/>
  <c r="H128" i="7"/>
  <c r="G128" i="7"/>
  <c r="F128" i="7"/>
  <c r="K128" i="7"/>
  <c r="L128" i="7"/>
  <c r="D126" i="7"/>
  <c r="I126" i="7"/>
  <c r="H126" i="7"/>
  <c r="G126" i="7"/>
  <c r="F126" i="7"/>
  <c r="K126" i="7"/>
  <c r="L126" i="7"/>
  <c r="M123" i="7"/>
  <c r="I123" i="7"/>
  <c r="H123" i="7"/>
  <c r="G123" i="7"/>
  <c r="F123" i="7"/>
  <c r="K123" i="7"/>
  <c r="K119" i="7" s="1"/>
  <c r="L123" i="7"/>
  <c r="M120" i="7"/>
  <c r="M119" i="7" s="1"/>
  <c r="I120" i="7"/>
  <c r="H120" i="7"/>
  <c r="G120" i="7"/>
  <c r="F120" i="7"/>
  <c r="L120" i="7"/>
  <c r="I48" i="7"/>
  <c r="J202" i="9"/>
  <c r="I202" i="9"/>
  <c r="I201" i="9" s="1"/>
  <c r="H202" i="9"/>
  <c r="G202" i="9"/>
  <c r="G201" i="9" s="1"/>
  <c r="F202" i="9"/>
  <c r="F201" i="9" s="1"/>
  <c r="K202" i="9"/>
  <c r="L202" i="9"/>
  <c r="L201" i="9" s="1"/>
  <c r="L189" i="9"/>
  <c r="L180" i="9"/>
  <c r="H180" i="9"/>
  <c r="I180" i="9"/>
  <c r="J180" i="9"/>
  <c r="K202" i="6"/>
  <c r="G205" i="6"/>
  <c r="G204" i="6" s="1"/>
  <c r="G203" i="6" s="1"/>
  <c r="F205" i="6"/>
  <c r="K206" i="6"/>
  <c r="K209" i="6"/>
  <c r="G212" i="6"/>
  <c r="F212" i="6"/>
  <c r="F211" i="6" s="1"/>
  <c r="K213" i="6"/>
  <c r="G446" i="2"/>
  <c r="G445" i="2" s="1"/>
  <c r="L331" i="2"/>
  <c r="L328" i="2"/>
  <c r="L105" i="9"/>
  <c r="L104" i="9" s="1"/>
  <c r="K105" i="9"/>
  <c r="K104" i="9" s="1"/>
  <c r="F105" i="9"/>
  <c r="G334" i="9"/>
  <c r="H334" i="9"/>
  <c r="I334" i="9"/>
  <c r="J334" i="9"/>
  <c r="E334" i="9"/>
  <c r="L334" i="9"/>
  <c r="K334" i="9"/>
  <c r="F334" i="9"/>
  <c r="D334" i="9"/>
  <c r="J346" i="9"/>
  <c r="I346" i="9"/>
  <c r="H346" i="9"/>
  <c r="G346" i="9"/>
  <c r="F346" i="9"/>
  <c r="K346" i="9"/>
  <c r="L346" i="9"/>
  <c r="D346" i="9"/>
  <c r="J345" i="9"/>
  <c r="I345" i="9"/>
  <c r="H345" i="9"/>
  <c r="G345" i="9"/>
  <c r="F345" i="9"/>
  <c r="K345" i="9"/>
  <c r="L345" i="9"/>
  <c r="D345" i="9"/>
  <c r="D202" i="2"/>
  <c r="L249" i="2"/>
  <c r="D247" i="2"/>
  <c r="K247" i="2"/>
  <c r="L247" i="2"/>
  <c r="L244" i="2"/>
  <c r="M243" i="2"/>
  <c r="M241" i="2"/>
  <c r="K241" i="2"/>
  <c r="L241" i="2"/>
  <c r="K237" i="2"/>
  <c r="L237" i="2"/>
  <c r="D235" i="2"/>
  <c r="K235" i="2"/>
  <c r="L235" i="2"/>
  <c r="M232" i="2"/>
  <c r="K232" i="2"/>
  <c r="L232" i="2"/>
  <c r="D232" i="2"/>
  <c r="K229" i="2"/>
  <c r="L229" i="2"/>
  <c r="K225" i="2"/>
  <c r="L225" i="2"/>
  <c r="K223" i="2"/>
  <c r="L223" i="2"/>
  <c r="M220" i="2"/>
  <c r="K220" i="2"/>
  <c r="L220" i="2"/>
  <c r="L217" i="2"/>
  <c r="K213" i="2"/>
  <c r="K211" i="2"/>
  <c r="L208" i="2"/>
  <c r="L213" i="2"/>
  <c r="L211" i="2"/>
  <c r="D69" i="2"/>
  <c r="D68" i="2" s="1"/>
  <c r="D223" i="2"/>
  <c r="M128" i="8"/>
  <c r="E116" i="8"/>
  <c r="L116" i="8"/>
  <c r="L114" i="8" s="1"/>
  <c r="L113" i="8" s="1"/>
  <c r="K116" i="8"/>
  <c r="F116" i="8"/>
  <c r="G116" i="8"/>
  <c r="H116" i="8"/>
  <c r="I116" i="8"/>
  <c r="I114" i="8" s="1"/>
  <c r="I113" i="8" s="1"/>
  <c r="J116" i="8"/>
  <c r="J114" i="8" s="1"/>
  <c r="J113" i="8" s="1"/>
  <c r="E111" i="8"/>
  <c r="L111" i="8"/>
  <c r="K111" i="8"/>
  <c r="F111" i="8"/>
  <c r="F108" i="8" s="1"/>
  <c r="F107" i="8" s="1"/>
  <c r="G111" i="8"/>
  <c r="H111" i="8"/>
  <c r="I111" i="8"/>
  <c r="I108" i="8" s="1"/>
  <c r="I107" i="8" s="1"/>
  <c r="J111" i="8"/>
  <c r="L124" i="8"/>
  <c r="L123" i="8" s="1"/>
  <c r="L162" i="8" s="1"/>
  <c r="K124" i="8"/>
  <c r="K123" i="8" s="1"/>
  <c r="K162" i="8" s="1"/>
  <c r="F124" i="8"/>
  <c r="F123" i="8" s="1"/>
  <c r="F162" i="8" s="1"/>
  <c r="F164" i="8" s="1"/>
  <c r="G124" i="8"/>
  <c r="G123" i="8" s="1"/>
  <c r="G162" i="8" s="1"/>
  <c r="G164" i="8" s="1"/>
  <c r="H124" i="8"/>
  <c r="H123" i="8" s="1"/>
  <c r="H162" i="8" s="1"/>
  <c r="H164" i="8" s="1"/>
  <c r="I124" i="8"/>
  <c r="I123" i="8" s="1"/>
  <c r="I162" i="8" s="1"/>
  <c r="I164" i="8" s="1"/>
  <c r="J124" i="8"/>
  <c r="J123" i="8" s="1"/>
  <c r="J162" i="8" s="1"/>
  <c r="J164" i="8" s="1"/>
  <c r="L120" i="8"/>
  <c r="L119" i="8" s="1"/>
  <c r="L106" i="8" s="1"/>
  <c r="L104" i="8" s="1"/>
  <c r="K120" i="8"/>
  <c r="K119" i="8" s="1"/>
  <c r="K106" i="8" s="1"/>
  <c r="F120" i="8"/>
  <c r="F119" i="8" s="1"/>
  <c r="F105" i="8" s="1"/>
  <c r="G120" i="8"/>
  <c r="G119" i="8" s="1"/>
  <c r="H120" i="8"/>
  <c r="H119" i="8" s="1"/>
  <c r="H105" i="8" s="1"/>
  <c r="I120" i="8"/>
  <c r="I119" i="8" s="1"/>
  <c r="J120" i="8"/>
  <c r="J119" i="8" s="1"/>
  <c r="L109" i="8"/>
  <c r="K109" i="8"/>
  <c r="M80" i="4"/>
  <c r="M79" i="4" s="1"/>
  <c r="H25" i="3"/>
  <c r="H24" i="3" s="1"/>
  <c r="F40" i="3"/>
  <c r="K87" i="3"/>
  <c r="L82" i="3"/>
  <c r="K79" i="3"/>
  <c r="K82" i="3"/>
  <c r="D91" i="3"/>
  <c r="D365" i="2"/>
  <c r="D331" i="2"/>
  <c r="M85" i="4"/>
  <c r="M84" i="4" s="1"/>
  <c r="M263" i="6"/>
  <c r="M75" i="6"/>
  <c r="M63" i="5"/>
  <c r="M62" i="5" s="1"/>
  <c r="M61" i="5" s="1"/>
  <c r="L13" i="5"/>
  <c r="L12" i="5" s="1"/>
  <c r="M658" i="2"/>
  <c r="M657" i="2" s="1"/>
  <c r="M639" i="2"/>
  <c r="M638" i="2" s="1"/>
  <c r="M637" i="2" s="1"/>
  <c r="M635" i="2"/>
  <c r="M634" i="2" s="1"/>
  <c r="M633" i="2" s="1"/>
  <c r="M628" i="2"/>
  <c r="M627" i="2"/>
  <c r="M620" i="2"/>
  <c r="M595" i="2"/>
  <c r="M594" i="2" s="1"/>
  <c r="M593" i="2" s="1"/>
  <c r="M329" i="2"/>
  <c r="M328" i="2" s="1"/>
  <c r="M327" i="2"/>
  <c r="M325" i="2" s="1"/>
  <c r="M354" i="2"/>
  <c r="M80" i="2"/>
  <c r="M79" i="2" s="1"/>
  <c r="L27" i="6"/>
  <c r="H27" i="6"/>
  <c r="F142" i="6"/>
  <c r="F141" i="6" s="1"/>
  <c r="D75" i="3"/>
  <c r="L579" i="2"/>
  <c r="L578" i="2" s="1"/>
  <c r="M408" i="2"/>
  <c r="L114" i="2"/>
  <c r="L113" i="2" s="1"/>
  <c r="M148" i="2"/>
  <c r="D39" i="13"/>
  <c r="H38" i="6"/>
  <c r="H37" i="6" s="1"/>
  <c r="I38" i="6"/>
  <c r="I37" i="6" s="1"/>
  <c r="J38" i="6"/>
  <c r="J37" i="6" s="1"/>
  <c r="L179" i="6"/>
  <c r="L147" i="6" s="1"/>
  <c r="D179" i="6"/>
  <c r="D147" i="6" s="1"/>
  <c r="L186" i="6"/>
  <c r="D186" i="6"/>
  <c r="D155" i="6" s="1"/>
  <c r="L251" i="6"/>
  <c r="L250" i="6" s="1"/>
  <c r="L241" i="6" s="1"/>
  <c r="L94" i="3"/>
  <c r="L90" i="3" s="1"/>
  <c r="F87" i="3"/>
  <c r="G87" i="3"/>
  <c r="F82" i="3"/>
  <c r="F79" i="3"/>
  <c r="H54" i="7"/>
  <c r="I54" i="7"/>
  <c r="H52" i="7"/>
  <c r="I52" i="7"/>
  <c r="H49" i="7"/>
  <c r="I49" i="7"/>
  <c r="H46" i="7"/>
  <c r="K30" i="7"/>
  <c r="K29" i="7" s="1"/>
  <c r="K236" i="6"/>
  <c r="L236" i="6"/>
  <c r="L234" i="6"/>
  <c r="K234" i="6"/>
  <c r="K231" i="6"/>
  <c r="L231" i="6"/>
  <c r="K229" i="6"/>
  <c r="M229" i="6" s="1"/>
  <c r="L229" i="6"/>
  <c r="J123" i="3"/>
  <c r="I123" i="3"/>
  <c r="F123" i="3"/>
  <c r="K123" i="3"/>
  <c r="J121" i="3"/>
  <c r="I121" i="3"/>
  <c r="F121" i="3"/>
  <c r="F120" i="3" s="1"/>
  <c r="K121" i="3"/>
  <c r="K120" i="3" s="1"/>
  <c r="J118" i="3"/>
  <c r="I118" i="3"/>
  <c r="F118" i="3"/>
  <c r="K118" i="3"/>
  <c r="L118" i="3"/>
  <c r="J115" i="3"/>
  <c r="I115" i="3"/>
  <c r="F115" i="3"/>
  <c r="K115" i="3"/>
  <c r="L115" i="3"/>
  <c r="L54" i="2"/>
  <c r="L53" i="2" s="1"/>
  <c r="L68" i="2"/>
  <c r="L67" i="2" s="1"/>
  <c r="L80" i="2"/>
  <c r="L79" i="2" s="1"/>
  <c r="L92" i="2"/>
  <c r="L91" i="2" s="1"/>
  <c r="L104" i="2"/>
  <c r="L103" i="2" s="1"/>
  <c r="M172" i="2"/>
  <c r="M184" i="2"/>
  <c r="M181" i="2"/>
  <c r="K152" i="9"/>
  <c r="J167" i="9"/>
  <c r="J164" i="9" s="1"/>
  <c r="I167" i="9"/>
  <c r="I164" i="9" s="1"/>
  <c r="H167" i="9"/>
  <c r="H164" i="9" s="1"/>
  <c r="G167" i="9"/>
  <c r="G164" i="9" s="1"/>
  <c r="K167" i="9"/>
  <c r="J155" i="9"/>
  <c r="J154" i="9" s="1"/>
  <c r="I155" i="9"/>
  <c r="I154" i="9" s="1"/>
  <c r="H155" i="9"/>
  <c r="H154" i="9" s="1"/>
  <c r="G155" i="9"/>
  <c r="F155" i="9"/>
  <c r="F154" i="9" s="1"/>
  <c r="L155" i="9"/>
  <c r="L555" i="2"/>
  <c r="L554" i="2" s="1"/>
  <c r="F347" i="2"/>
  <c r="F344" i="2"/>
  <c r="G344" i="2"/>
  <c r="F337" i="2"/>
  <c r="F341" i="2"/>
  <c r="G341" i="2"/>
  <c r="G337" i="2"/>
  <c r="M339" i="2"/>
  <c r="M337" i="2" s="1"/>
  <c r="F657" i="2"/>
  <c r="L657" i="2"/>
  <c r="K649" i="2"/>
  <c r="F649" i="2"/>
  <c r="G649" i="2"/>
  <c r="L649" i="2"/>
  <c r="G563" i="2"/>
  <c r="G562" i="2" s="1"/>
  <c r="M619" i="2"/>
  <c r="G51" i="13"/>
  <c r="M51" i="13" s="1"/>
  <c r="G57" i="13"/>
  <c r="I111" i="3"/>
  <c r="J24" i="13"/>
  <c r="H16" i="13"/>
  <c r="I16" i="13"/>
  <c r="J16" i="13"/>
  <c r="H13" i="13"/>
  <c r="I13" i="13"/>
  <c r="J13" i="13"/>
  <c r="L43" i="13"/>
  <c r="K43" i="13"/>
  <c r="K42" i="13" s="1"/>
  <c r="F43" i="13"/>
  <c r="G43" i="13"/>
  <c r="H43" i="13"/>
  <c r="L38" i="13"/>
  <c r="K38" i="13"/>
  <c r="F38" i="13"/>
  <c r="G38" i="13"/>
  <c r="L40" i="13"/>
  <c r="K40" i="13"/>
  <c r="F40" i="13"/>
  <c r="G40" i="13"/>
  <c r="K34" i="13"/>
  <c r="F34" i="13"/>
  <c r="G34" i="13"/>
  <c r="L34" i="13"/>
  <c r="L31" i="13"/>
  <c r="K31" i="13"/>
  <c r="F31" i="13"/>
  <c r="L29" i="13"/>
  <c r="K29" i="13"/>
  <c r="F29" i="13"/>
  <c r="F48" i="9"/>
  <c r="K48" i="9"/>
  <c r="K45" i="9" s="1"/>
  <c r="L129" i="2"/>
  <c r="D70" i="3"/>
  <c r="D69" i="3"/>
  <c r="K68" i="3"/>
  <c r="F68" i="3"/>
  <c r="D65" i="3"/>
  <c r="L63" i="3"/>
  <c r="K63" i="3"/>
  <c r="K74" i="3"/>
  <c r="F74" i="3"/>
  <c r="K72" i="3"/>
  <c r="F72" i="3"/>
  <c r="K35" i="8"/>
  <c r="F35" i="8"/>
  <c r="K33" i="8"/>
  <c r="F33" i="8"/>
  <c r="F40" i="8"/>
  <c r="F38" i="8"/>
  <c r="F37" i="8" s="1"/>
  <c r="D39" i="8"/>
  <c r="D24" i="8" s="1"/>
  <c r="L342" i="9"/>
  <c r="L341" i="9" s="1"/>
  <c r="K342" i="9"/>
  <c r="K341" i="9" s="1"/>
  <c r="F342" i="9"/>
  <c r="F341" i="9" s="1"/>
  <c r="L436" i="2"/>
  <c r="G609" i="2"/>
  <c r="G608" i="2" s="1"/>
  <c r="G693" i="2" s="1"/>
  <c r="F601" i="2"/>
  <c r="F600" i="2" s="1"/>
  <c r="F563" i="2"/>
  <c r="F562" i="2" s="1"/>
  <c r="D647" i="2"/>
  <c r="D646" i="2" s="1"/>
  <c r="D645" i="2" s="1"/>
  <c r="L646" i="2"/>
  <c r="L645" i="2" s="1"/>
  <c r="J371" i="2"/>
  <c r="J370" i="2" s="1"/>
  <c r="L365" i="2"/>
  <c r="K365" i="2"/>
  <c r="F365" i="2"/>
  <c r="G365" i="2"/>
  <c r="H365" i="2"/>
  <c r="I365" i="2"/>
  <c r="I14" i="2" s="1"/>
  <c r="F20" i="1" s="1"/>
  <c r="J365" i="2"/>
  <c r="I363" i="2"/>
  <c r="K201" i="2"/>
  <c r="L201" i="2"/>
  <c r="D200" i="2"/>
  <c r="D199" i="2" s="1"/>
  <c r="M196" i="2"/>
  <c r="K196" i="2"/>
  <c r="L196" i="2"/>
  <c r="D195" i="2"/>
  <c r="D193" i="2" s="1"/>
  <c r="K193" i="2"/>
  <c r="L193" i="2"/>
  <c r="K189" i="2"/>
  <c r="L189" i="2"/>
  <c r="D188" i="2"/>
  <c r="D187" i="2" s="1"/>
  <c r="L184" i="2"/>
  <c r="D183" i="2"/>
  <c r="K181" i="2"/>
  <c r="L181" i="2"/>
  <c r="K177" i="2"/>
  <c r="D176" i="2"/>
  <c r="K172" i="2"/>
  <c r="L172" i="2"/>
  <c r="D171" i="2"/>
  <c r="K169" i="2"/>
  <c r="L169" i="2"/>
  <c r="K165" i="2"/>
  <c r="K160" i="2"/>
  <c r="K157" i="2"/>
  <c r="L165" i="2"/>
  <c r="L162" i="2" s="1"/>
  <c r="D164" i="2"/>
  <c r="D163" i="2" s="1"/>
  <c r="M160" i="2"/>
  <c r="L160" i="2"/>
  <c r="D159" i="2"/>
  <c r="M157" i="2"/>
  <c r="L157" i="2"/>
  <c r="G431" i="2"/>
  <c r="F431" i="2"/>
  <c r="F430" i="2" s="1"/>
  <c r="K431" i="2"/>
  <c r="K430" i="2" s="1"/>
  <c r="L431" i="2"/>
  <c r="M428" i="2"/>
  <c r="F428" i="2"/>
  <c r="K428" i="2"/>
  <c r="L428" i="2"/>
  <c r="M426" i="2"/>
  <c r="M425" i="2" s="1"/>
  <c r="F426" i="2"/>
  <c r="K426" i="2"/>
  <c r="L426" i="2"/>
  <c r="G422" i="2"/>
  <c r="K422" i="2"/>
  <c r="F422" i="2"/>
  <c r="K419" i="2"/>
  <c r="F419" i="2"/>
  <c r="K417" i="2"/>
  <c r="F417" i="2"/>
  <c r="L422" i="2"/>
  <c r="M419" i="2"/>
  <c r="L419" i="2"/>
  <c r="M417" i="2"/>
  <c r="L417" i="2"/>
  <c r="K413" i="2"/>
  <c r="L413" i="2"/>
  <c r="L410" i="2"/>
  <c r="L408" i="2"/>
  <c r="K404" i="2"/>
  <c r="K403" i="2" s="1"/>
  <c r="M401" i="2"/>
  <c r="M399" i="2"/>
  <c r="L399" i="2"/>
  <c r="M646" i="2"/>
  <c r="M645" i="2" s="1"/>
  <c r="K646" i="2"/>
  <c r="K645" i="2" s="1"/>
  <c r="K387" i="2"/>
  <c r="K386" i="2" s="1"/>
  <c r="K395" i="2"/>
  <c r="M387" i="2"/>
  <c r="K383" i="2"/>
  <c r="K382" i="2" s="1"/>
  <c r="L380" i="2"/>
  <c r="L378" i="2"/>
  <c r="D393" i="2"/>
  <c r="D371" i="2"/>
  <c r="D370" i="2" s="1"/>
  <c r="G53" i="8"/>
  <c r="H53" i="8"/>
  <c r="I53" i="8"/>
  <c r="J53" i="8"/>
  <c r="H50" i="8"/>
  <c r="J50" i="8"/>
  <c r="G47" i="8"/>
  <c r="I47" i="8"/>
  <c r="J47" i="8"/>
  <c r="G44" i="8"/>
  <c r="H44" i="8"/>
  <c r="I44" i="8"/>
  <c r="J44" i="8"/>
  <c r="D209" i="6"/>
  <c r="D208" i="6" s="1"/>
  <c r="L17" i="5"/>
  <c r="L15" i="5" s="1"/>
  <c r="K17" i="5"/>
  <c r="K15" i="5" s="1"/>
  <c r="K11" i="5" s="1"/>
  <c r="F17" i="5"/>
  <c r="F15" i="5" s="1"/>
  <c r="G17" i="5"/>
  <c r="H17" i="5"/>
  <c r="H15" i="5" s="1"/>
  <c r="I17" i="5"/>
  <c r="J17" i="5"/>
  <c r="J15" i="5" s="1"/>
  <c r="L23" i="5"/>
  <c r="L21" i="5" s="1"/>
  <c r="K23" i="5"/>
  <c r="F23" i="5"/>
  <c r="F21" i="5" s="1"/>
  <c r="G23" i="5"/>
  <c r="H23" i="5"/>
  <c r="I23" i="5"/>
  <c r="I21" i="5" s="1"/>
  <c r="J23" i="5"/>
  <c r="J21" i="5" s="1"/>
  <c r="J21" i="13"/>
  <c r="J20" i="13" s="1"/>
  <c r="H59" i="13"/>
  <c r="H61" i="13"/>
  <c r="L59" i="13"/>
  <c r="K59" i="13"/>
  <c r="F59" i="13"/>
  <c r="G59" i="13"/>
  <c r="L61" i="13"/>
  <c r="K61" i="13"/>
  <c r="F61" i="13"/>
  <c r="G61" i="13"/>
  <c r="L142" i="6"/>
  <c r="G193" i="6"/>
  <c r="F193" i="6"/>
  <c r="K193" i="6"/>
  <c r="K192" i="6" s="1"/>
  <c r="K191" i="6" s="1"/>
  <c r="G197" i="6"/>
  <c r="G300" i="6" s="1"/>
  <c r="F197" i="6"/>
  <c r="F300" i="6" s="1"/>
  <c r="K197" i="6"/>
  <c r="M69" i="5"/>
  <c r="M68" i="5" s="1"/>
  <c r="K216" i="6"/>
  <c r="M341" i="2"/>
  <c r="E301" i="6"/>
  <c r="E304" i="6" s="1"/>
  <c r="I300" i="6"/>
  <c r="I299" i="6"/>
  <c r="H300" i="6"/>
  <c r="H299" i="6"/>
  <c r="K225" i="6"/>
  <c r="L223" i="6"/>
  <c r="K220" i="6"/>
  <c r="L220" i="6"/>
  <c r="K446" i="2"/>
  <c r="K445" i="2" s="1"/>
  <c r="F446" i="2"/>
  <c r="L446" i="2"/>
  <c r="L445" i="2" s="1"/>
  <c r="L347" i="2"/>
  <c r="K347" i="2"/>
  <c r="L341" i="2"/>
  <c r="K341" i="2"/>
  <c r="L344" i="2"/>
  <c r="L337" i="2"/>
  <c r="D326" i="2"/>
  <c r="K316" i="2"/>
  <c r="K313" i="2"/>
  <c r="D182" i="6"/>
  <c r="F200" i="6"/>
  <c r="L200" i="6"/>
  <c r="H200" i="6"/>
  <c r="I200" i="6"/>
  <c r="J200" i="6"/>
  <c r="L208" i="6"/>
  <c r="F208" i="6"/>
  <c r="G208" i="6"/>
  <c r="H208" i="6"/>
  <c r="I208" i="6"/>
  <c r="J208" i="6"/>
  <c r="G142" i="6"/>
  <c r="H142" i="6"/>
  <c r="I142" i="6"/>
  <c r="J142" i="6"/>
  <c r="L143" i="6"/>
  <c r="L15" i="6" s="1"/>
  <c r="G143" i="6"/>
  <c r="H143" i="6"/>
  <c r="H15" i="6" s="1"/>
  <c r="I143" i="6"/>
  <c r="I15" i="6" s="1"/>
  <c r="J143" i="6"/>
  <c r="J15" i="6" s="1"/>
  <c r="L146" i="6"/>
  <c r="H146" i="6"/>
  <c r="H302" i="6" s="1"/>
  <c r="I146" i="6"/>
  <c r="J146" i="6"/>
  <c r="K147" i="6"/>
  <c r="F147" i="6"/>
  <c r="G147" i="6"/>
  <c r="H147" i="6"/>
  <c r="I147" i="6"/>
  <c r="J147" i="6"/>
  <c r="L148" i="6"/>
  <c r="F148" i="6"/>
  <c r="G148" i="6"/>
  <c r="H148" i="6"/>
  <c r="I148" i="6"/>
  <c r="J148" i="6"/>
  <c r="L151" i="6"/>
  <c r="L22" i="6" s="1"/>
  <c r="F151" i="6"/>
  <c r="F150" i="6" s="1"/>
  <c r="G151" i="6"/>
  <c r="G22" i="6" s="1"/>
  <c r="H151" i="6"/>
  <c r="H22" i="6" s="1"/>
  <c r="I151" i="6"/>
  <c r="I22" i="6" s="1"/>
  <c r="J151" i="6"/>
  <c r="L154" i="6"/>
  <c r="H154" i="6"/>
  <c r="I154" i="6"/>
  <c r="J154" i="6"/>
  <c r="K155" i="6"/>
  <c r="F155" i="6"/>
  <c r="G155" i="6"/>
  <c r="H155" i="6"/>
  <c r="I155" i="6"/>
  <c r="J155" i="6"/>
  <c r="L156" i="6"/>
  <c r="F156" i="6"/>
  <c r="G156" i="6"/>
  <c r="H156" i="6"/>
  <c r="I156" i="6"/>
  <c r="J156" i="6"/>
  <c r="L173" i="6"/>
  <c r="K173" i="6"/>
  <c r="F173" i="6"/>
  <c r="G173" i="6"/>
  <c r="H173" i="6"/>
  <c r="I173" i="6"/>
  <c r="J173" i="6"/>
  <c r="K177" i="6"/>
  <c r="K176" i="6" s="1"/>
  <c r="F177" i="6"/>
  <c r="F176" i="6" s="1"/>
  <c r="G177" i="6"/>
  <c r="G176" i="6" s="1"/>
  <c r="H177" i="6"/>
  <c r="H176" i="6" s="1"/>
  <c r="I177" i="6"/>
  <c r="I176" i="6" s="1"/>
  <c r="J177" i="6"/>
  <c r="J176" i="6" s="1"/>
  <c r="D175" i="6"/>
  <c r="D174" i="6"/>
  <c r="L181" i="6"/>
  <c r="K181" i="6"/>
  <c r="F181" i="6"/>
  <c r="G181" i="6"/>
  <c r="H181" i="6"/>
  <c r="I181" i="6"/>
  <c r="J181" i="6"/>
  <c r="K184" i="6"/>
  <c r="K183" i="6" s="1"/>
  <c r="F184" i="6"/>
  <c r="F183" i="6" s="1"/>
  <c r="G184" i="6"/>
  <c r="G183" i="6" s="1"/>
  <c r="H184" i="6"/>
  <c r="H183" i="6" s="1"/>
  <c r="I184" i="6"/>
  <c r="J184" i="6"/>
  <c r="J183" i="6" s="1"/>
  <c r="L189" i="6"/>
  <c r="K189" i="6"/>
  <c r="F189" i="6"/>
  <c r="G189" i="6"/>
  <c r="H189" i="6"/>
  <c r="I189" i="6"/>
  <c r="J189" i="6"/>
  <c r="D190" i="6"/>
  <c r="L192" i="6"/>
  <c r="L191" i="6" s="1"/>
  <c r="L188" i="6" s="1"/>
  <c r="H192" i="6"/>
  <c r="H191" i="6" s="1"/>
  <c r="I192" i="6"/>
  <c r="I191" i="6" s="1"/>
  <c r="J192" i="6"/>
  <c r="J191" i="6" s="1"/>
  <c r="L196" i="6"/>
  <c r="L195" i="6" s="1"/>
  <c r="L194" i="6" s="1"/>
  <c r="H196" i="6"/>
  <c r="H195" i="6" s="1"/>
  <c r="H194" i="6" s="1"/>
  <c r="I196" i="6"/>
  <c r="I195" i="6" s="1"/>
  <c r="I194" i="6" s="1"/>
  <c r="J196" i="6"/>
  <c r="J195" i="6" s="1"/>
  <c r="J194" i="6" s="1"/>
  <c r="D201" i="6"/>
  <c r="L204" i="6"/>
  <c r="L203" i="6" s="1"/>
  <c r="H204" i="6"/>
  <c r="H203" i="6" s="1"/>
  <c r="I204" i="6"/>
  <c r="I203" i="6" s="1"/>
  <c r="J204" i="6"/>
  <c r="J203" i="6" s="1"/>
  <c r="L211" i="6"/>
  <c r="L210" i="6" s="1"/>
  <c r="H211" i="6"/>
  <c r="H210" i="6" s="1"/>
  <c r="I211" i="6"/>
  <c r="I210" i="6" s="1"/>
  <c r="J211" i="6"/>
  <c r="J210" i="6" s="1"/>
  <c r="H121" i="9"/>
  <c r="J115" i="13"/>
  <c r="H115" i="13"/>
  <c r="F127" i="13"/>
  <c r="F126" i="13" s="1"/>
  <c r="F116" i="13" s="1"/>
  <c r="K127" i="13"/>
  <c r="K126" i="13" s="1"/>
  <c r="K605" i="2"/>
  <c r="K604" i="2" s="1"/>
  <c r="L127" i="13"/>
  <c r="L126" i="13" s="1"/>
  <c r="M127" i="13"/>
  <c r="M126" i="13" s="1"/>
  <c r="G124" i="13"/>
  <c r="G123" i="13" s="1"/>
  <c r="G122" i="13" s="1"/>
  <c r="F124" i="13"/>
  <c r="F123" i="13" s="1"/>
  <c r="F122" i="13" s="1"/>
  <c r="K124" i="13"/>
  <c r="K123" i="13" s="1"/>
  <c r="K122" i="13" s="1"/>
  <c r="L124" i="13"/>
  <c r="L123" i="13" s="1"/>
  <c r="L122" i="13" s="1"/>
  <c r="D124" i="13"/>
  <c r="D123" i="13" s="1"/>
  <c r="D122" i="13" s="1"/>
  <c r="G121" i="13"/>
  <c r="F121" i="13"/>
  <c r="K121" i="13"/>
  <c r="L121" i="13"/>
  <c r="D121" i="13"/>
  <c r="D127" i="13"/>
  <c r="D126" i="13" s="1"/>
  <c r="K37" i="5"/>
  <c r="F37" i="5"/>
  <c r="K39" i="5"/>
  <c r="F39" i="5"/>
  <c r="K42" i="5"/>
  <c r="J522" i="2"/>
  <c r="J521" i="2" s="1"/>
  <c r="I522" i="2"/>
  <c r="I521" i="2" s="1"/>
  <c r="H522" i="2"/>
  <c r="H521" i="2" s="1"/>
  <c r="J519" i="2"/>
  <c r="I519" i="2"/>
  <c r="H519" i="2"/>
  <c r="J517" i="2"/>
  <c r="I517" i="2"/>
  <c r="H517" i="2"/>
  <c r="J529" i="2"/>
  <c r="J528" i="2" s="1"/>
  <c r="J265" i="6"/>
  <c r="J264" i="6" s="1"/>
  <c r="J339" i="9"/>
  <c r="I265" i="6"/>
  <c r="I264" i="6" s="1"/>
  <c r="H265" i="6"/>
  <c r="H264" i="6" s="1"/>
  <c r="H339" i="9"/>
  <c r="H338" i="9" s="1"/>
  <c r="H337" i="9" s="1"/>
  <c r="J261" i="6"/>
  <c r="J260" i="6" s="1"/>
  <c r="I261" i="6"/>
  <c r="I260" i="6" s="1"/>
  <c r="H261" i="6"/>
  <c r="H260" i="6" s="1"/>
  <c r="H85" i="4"/>
  <c r="H84" i="4" s="1"/>
  <c r="I85" i="4"/>
  <c r="I84" i="4" s="1"/>
  <c r="J85" i="4"/>
  <c r="J84" i="4" s="1"/>
  <c r="G85" i="4"/>
  <c r="G84" i="4" s="1"/>
  <c r="F85" i="4"/>
  <c r="F84" i="4" s="1"/>
  <c r="K85" i="4"/>
  <c r="K84" i="4" s="1"/>
  <c r="L85" i="4"/>
  <c r="L84" i="4" s="1"/>
  <c r="J75" i="4"/>
  <c r="J74" i="4" s="1"/>
  <c r="I75" i="4"/>
  <c r="I74" i="4" s="1"/>
  <c r="H75" i="4"/>
  <c r="H74" i="4" s="1"/>
  <c r="J67" i="4"/>
  <c r="J66" i="4" s="1"/>
  <c r="I67" i="4"/>
  <c r="I66" i="4" s="1"/>
  <c r="H67" i="4"/>
  <c r="H66" i="4" s="1"/>
  <c r="O570" i="2"/>
  <c r="D575" i="2"/>
  <c r="D574" i="2" s="1"/>
  <c r="H37" i="5"/>
  <c r="H39" i="5"/>
  <c r="H36" i="5" s="1"/>
  <c r="H44" i="5"/>
  <c r="H41" i="5" s="1"/>
  <c r="H145" i="5" s="1"/>
  <c r="I145" i="5"/>
  <c r="I147" i="5" s="1"/>
  <c r="J145" i="5"/>
  <c r="H48" i="5"/>
  <c r="I48" i="5"/>
  <c r="J48" i="5"/>
  <c r="H51" i="5"/>
  <c r="H50" i="5" s="1"/>
  <c r="I51" i="5"/>
  <c r="I50" i="5" s="1"/>
  <c r="J51" i="5"/>
  <c r="J50" i="5" s="1"/>
  <c r="H55" i="5"/>
  <c r="H54" i="5" s="1"/>
  <c r="I55" i="5"/>
  <c r="I54" i="5" s="1"/>
  <c r="J55" i="5"/>
  <c r="J54" i="5" s="1"/>
  <c r="H58" i="5"/>
  <c r="I58" i="5"/>
  <c r="J58" i="5"/>
  <c r="H104" i="5"/>
  <c r="H102" i="5" s="1"/>
  <c r="I104" i="5"/>
  <c r="J104" i="5"/>
  <c r="J102" i="5" s="1"/>
  <c r="H110" i="5"/>
  <c r="I110" i="5"/>
  <c r="J110" i="5"/>
  <c r="H106" i="5"/>
  <c r="I106" i="5"/>
  <c r="J106" i="5"/>
  <c r="H116" i="5"/>
  <c r="H112" i="5" s="1"/>
  <c r="I116" i="5"/>
  <c r="I112" i="5" s="1"/>
  <c r="J116" i="5"/>
  <c r="J112" i="5" s="1"/>
  <c r="H128" i="5"/>
  <c r="I128" i="5"/>
  <c r="J128" i="5"/>
  <c r="H134" i="5"/>
  <c r="I134" i="5"/>
  <c r="J134" i="5"/>
  <c r="H141" i="5"/>
  <c r="H140" i="5" s="1"/>
  <c r="I141" i="5"/>
  <c r="I140" i="5" s="1"/>
  <c r="J141" i="5"/>
  <c r="J140" i="5" s="1"/>
  <c r="H62" i="5"/>
  <c r="I62" i="5"/>
  <c r="J62" i="5"/>
  <c r="H65" i="5"/>
  <c r="H64" i="5" s="1"/>
  <c r="I65" i="5"/>
  <c r="I64" i="5" s="1"/>
  <c r="J65" i="5"/>
  <c r="J64" i="5" s="1"/>
  <c r="G65" i="5"/>
  <c r="G64" i="5" s="1"/>
  <c r="F65" i="5"/>
  <c r="F64" i="5" s="1"/>
  <c r="L65" i="5"/>
  <c r="L64" i="5" s="1"/>
  <c r="G62" i="5"/>
  <c r="F62" i="5"/>
  <c r="L62" i="5"/>
  <c r="L61" i="5" s="1"/>
  <c r="F104" i="5"/>
  <c r="F102" i="5" s="1"/>
  <c r="G104" i="5"/>
  <c r="G339" i="9"/>
  <c r="G338" i="9" s="1"/>
  <c r="G337" i="9" s="1"/>
  <c r="I339" i="9"/>
  <c r="I338" i="9" s="1"/>
  <c r="I337" i="9" s="1"/>
  <c r="F339" i="9"/>
  <c r="F338" i="9" s="1"/>
  <c r="F337" i="9" s="1"/>
  <c r="J341" i="9"/>
  <c r="J330" i="9" s="1"/>
  <c r="I121" i="9"/>
  <c r="I118" i="9" s="1"/>
  <c r="J121" i="9"/>
  <c r="K85" i="3"/>
  <c r="D85" i="3"/>
  <c r="D97" i="3"/>
  <c r="D94" i="3"/>
  <c r="E152" i="1"/>
  <c r="F152" i="1"/>
  <c r="G152" i="1"/>
  <c r="H142" i="1"/>
  <c r="D142" i="1"/>
  <c r="B152" i="1"/>
  <c r="I152" i="1"/>
  <c r="H152" i="1"/>
  <c r="C152" i="1"/>
  <c r="D152" i="1"/>
  <c r="J152" i="1"/>
  <c r="J137" i="6"/>
  <c r="J136" i="6" s="1"/>
  <c r="I137" i="6"/>
  <c r="I136" i="6" s="1"/>
  <c r="H137" i="6"/>
  <c r="H136" i="6" s="1"/>
  <c r="J118" i="6"/>
  <c r="J117" i="6" s="1"/>
  <c r="I118" i="6"/>
  <c r="I117" i="6" s="1"/>
  <c r="I24" i="13"/>
  <c r="H335" i="9"/>
  <c r="I335" i="9"/>
  <c r="J335" i="9"/>
  <c r="H336" i="9"/>
  <c r="I336" i="9"/>
  <c r="J336" i="9"/>
  <c r="J333" i="9" s="1"/>
  <c r="J332" i="9" s="1"/>
  <c r="I14" i="7"/>
  <c r="I20" i="7"/>
  <c r="E59" i="1"/>
  <c r="G58" i="1"/>
  <c r="F65" i="1"/>
  <c r="E66" i="1"/>
  <c r="F66" i="1"/>
  <c r="E71" i="1"/>
  <c r="E70" i="1" s="1"/>
  <c r="F71" i="1"/>
  <c r="F70" i="1" s="1"/>
  <c r="G71" i="1"/>
  <c r="G70" i="1" s="1"/>
  <c r="H80" i="4"/>
  <c r="H79" i="4" s="1"/>
  <c r="I80" i="4"/>
  <c r="I79" i="4" s="1"/>
  <c r="J80" i="4"/>
  <c r="J79" i="4" s="1"/>
  <c r="H13" i="5"/>
  <c r="I13" i="5"/>
  <c r="J13" i="5"/>
  <c r="J12" i="5" s="1"/>
  <c r="F62" i="1"/>
  <c r="F61" i="1" s="1"/>
  <c r="I46" i="4"/>
  <c r="J111" i="3"/>
  <c r="I109" i="3"/>
  <c r="I108" i="3" s="1"/>
  <c r="J109" i="3"/>
  <c r="H106" i="3"/>
  <c r="I106" i="3"/>
  <c r="J106" i="3"/>
  <c r="H103" i="3"/>
  <c r="I103" i="3"/>
  <c r="J103" i="3"/>
  <c r="H466" i="2"/>
  <c r="I466" i="2"/>
  <c r="J466" i="2"/>
  <c r="H467" i="2"/>
  <c r="H13" i="2" s="1"/>
  <c r="I467" i="2"/>
  <c r="I13" i="2" s="1"/>
  <c r="J467" i="2"/>
  <c r="H468" i="2"/>
  <c r="I468" i="2"/>
  <c r="I15" i="2" s="1"/>
  <c r="J468" i="2"/>
  <c r="H470" i="2"/>
  <c r="I470" i="2"/>
  <c r="I19" i="2" s="1"/>
  <c r="J470" i="2"/>
  <c r="H471" i="2"/>
  <c r="H20" i="2" s="1"/>
  <c r="I471" i="2"/>
  <c r="I20" i="2" s="1"/>
  <c r="J471" i="2"/>
  <c r="J20" i="2" s="1"/>
  <c r="H474" i="2"/>
  <c r="H23" i="2" s="1"/>
  <c r="I474" i="2"/>
  <c r="I23" i="2" s="1"/>
  <c r="J474" i="2"/>
  <c r="H475" i="2"/>
  <c r="I475" i="2"/>
  <c r="J475" i="2"/>
  <c r="H477" i="2"/>
  <c r="I477" i="2"/>
  <c r="J477" i="2"/>
  <c r="H478" i="2"/>
  <c r="H32" i="2" s="1"/>
  <c r="I478" i="2"/>
  <c r="J478" i="2"/>
  <c r="J32" i="2" s="1"/>
  <c r="H509" i="2"/>
  <c r="H508" i="2" s="1"/>
  <c r="I509" i="2"/>
  <c r="J509" i="2"/>
  <c r="H511" i="2"/>
  <c r="I511" i="2"/>
  <c r="I18" i="2" s="1"/>
  <c r="J511" i="2"/>
  <c r="H514" i="2"/>
  <c r="H513" i="2" s="1"/>
  <c r="H512" i="2" s="1"/>
  <c r="I514" i="2"/>
  <c r="I513" i="2" s="1"/>
  <c r="I512" i="2" s="1"/>
  <c r="J514" i="2"/>
  <c r="J513" i="2" s="1"/>
  <c r="J512" i="2" s="1"/>
  <c r="J16" i="2"/>
  <c r="J26" i="2"/>
  <c r="J29" i="2"/>
  <c r="H16" i="2"/>
  <c r="I16" i="2"/>
  <c r="F22" i="1" s="1"/>
  <c r="H27" i="2"/>
  <c r="I27" i="2"/>
  <c r="H29" i="2"/>
  <c r="J27" i="2"/>
  <c r="K109" i="3"/>
  <c r="F109" i="3"/>
  <c r="K111" i="3"/>
  <c r="F111" i="3"/>
  <c r="K106" i="3"/>
  <c r="F106" i="3"/>
  <c r="K103" i="3"/>
  <c r="F103" i="3"/>
  <c r="M122" i="6"/>
  <c r="M104" i="6"/>
  <c r="M16" i="6" s="1"/>
  <c r="G137" i="6"/>
  <c r="G136" i="6" s="1"/>
  <c r="F137" i="6"/>
  <c r="F136" i="6" s="1"/>
  <c r="K137" i="6"/>
  <c r="K136" i="6" s="1"/>
  <c r="L137" i="6"/>
  <c r="L136" i="6" s="1"/>
  <c r="G118" i="6"/>
  <c r="G117" i="6" s="1"/>
  <c r="K118" i="6"/>
  <c r="K117" i="6" s="1"/>
  <c r="K46" i="4"/>
  <c r="M80" i="13"/>
  <c r="M122" i="8"/>
  <c r="M112" i="8"/>
  <c r="M49" i="7"/>
  <c r="M61" i="7"/>
  <c r="M73" i="7"/>
  <c r="M85" i="7"/>
  <c r="M111" i="7"/>
  <c r="M82" i="7"/>
  <c r="M81" i="7" s="1"/>
  <c r="M70" i="7"/>
  <c r="M69" i="7" s="1"/>
  <c r="M14" i="7"/>
  <c r="M88" i="6"/>
  <c r="M66" i="6"/>
  <c r="M487" i="2"/>
  <c r="M588" i="2"/>
  <c r="M587" i="2"/>
  <c r="M586" i="2" s="1"/>
  <c r="M585" i="2" s="1"/>
  <c r="M579" i="2"/>
  <c r="M578" i="2" s="1"/>
  <c r="M573" i="2"/>
  <c r="M572" i="2"/>
  <c r="M567" i="2"/>
  <c r="M566" i="2" s="1"/>
  <c r="M520" i="2"/>
  <c r="M519" i="2" s="1"/>
  <c r="M518" i="2"/>
  <c r="M517" i="2" s="1"/>
  <c r="M502" i="2"/>
  <c r="M501" i="2" s="1"/>
  <c r="M500" i="2"/>
  <c r="M499" i="2" s="1"/>
  <c r="M486" i="2"/>
  <c r="M482" i="2"/>
  <c r="M484" i="2"/>
  <c r="M483" i="2"/>
  <c r="M133" i="2"/>
  <c r="M129" i="2"/>
  <c r="M118" i="2"/>
  <c r="M114" i="2"/>
  <c r="M106" i="2"/>
  <c r="M104" i="2"/>
  <c r="M95" i="2"/>
  <c r="M71" i="2"/>
  <c r="M57" i="2"/>
  <c r="K121" i="1"/>
  <c r="K122" i="1"/>
  <c r="K123" i="1"/>
  <c r="K124" i="1"/>
  <c r="K126" i="1"/>
  <c r="K127" i="1"/>
  <c r="M77" i="6"/>
  <c r="M92" i="2"/>
  <c r="M91" i="2" s="1"/>
  <c r="K142" i="1"/>
  <c r="M350" i="9"/>
  <c r="M349" i="9" s="1"/>
  <c r="M29" i="9"/>
  <c r="M141" i="5"/>
  <c r="M140" i="5" s="1"/>
  <c r="M55" i="5"/>
  <c r="M54" i="5" s="1"/>
  <c r="M48" i="5"/>
  <c r="M47" i="5" s="1"/>
  <c r="M39" i="5"/>
  <c r="M131" i="5"/>
  <c r="M128" i="5"/>
  <c r="M127" i="5" s="1"/>
  <c r="M121" i="5"/>
  <c r="M120" i="5" s="1"/>
  <c r="M119" i="5" s="1"/>
  <c r="M103" i="5"/>
  <c r="M37" i="5"/>
  <c r="M36" i="3"/>
  <c r="M30" i="3"/>
  <c r="I59" i="1"/>
  <c r="M342" i="9"/>
  <c r="M341" i="9" s="1"/>
  <c r="M24" i="7"/>
  <c r="M23" i="7" s="1"/>
  <c r="K38" i="8"/>
  <c r="K37" i="8" s="1"/>
  <c r="G121" i="9"/>
  <c r="F121" i="9"/>
  <c r="K121" i="9"/>
  <c r="K118" i="9" s="1"/>
  <c r="L383" i="2"/>
  <c r="D468" i="2"/>
  <c r="L316" i="2"/>
  <c r="L321" i="2"/>
  <c r="L313" i="2"/>
  <c r="F44" i="8"/>
  <c r="F50" i="8"/>
  <c r="L45" i="8"/>
  <c r="L12" i="8" s="1"/>
  <c r="L153" i="2"/>
  <c r="L148" i="2"/>
  <c r="L145" i="2"/>
  <c r="D152" i="2"/>
  <c r="D147" i="2"/>
  <c r="L133" i="2"/>
  <c r="L137" i="2"/>
  <c r="L140" i="2"/>
  <c r="D141" i="2"/>
  <c r="D138" i="2"/>
  <c r="L121" i="2"/>
  <c r="L124" i="2"/>
  <c r="D117" i="2"/>
  <c r="D116" i="2"/>
  <c r="D58" i="5"/>
  <c r="D57" i="5" s="1"/>
  <c r="G58" i="5"/>
  <c r="G57" i="5" s="1"/>
  <c r="F58" i="5"/>
  <c r="F57" i="5" s="1"/>
  <c r="K58" i="5"/>
  <c r="K57" i="5" s="1"/>
  <c r="L58" i="5"/>
  <c r="L57" i="5" s="1"/>
  <c r="D55" i="5"/>
  <c r="D54" i="5" s="1"/>
  <c r="G55" i="5"/>
  <c r="F55" i="5"/>
  <c r="K55" i="5"/>
  <c r="L55" i="5"/>
  <c r="L54" i="5" s="1"/>
  <c r="E335" i="9"/>
  <c r="F335" i="9"/>
  <c r="G335" i="9"/>
  <c r="G350" i="9"/>
  <c r="G349" i="9" s="1"/>
  <c r="F350" i="9"/>
  <c r="F349" i="9" s="1"/>
  <c r="G353" i="9"/>
  <c r="G352" i="9" s="1"/>
  <c r="F353" i="9"/>
  <c r="F352" i="9" s="1"/>
  <c r="L609" i="2"/>
  <c r="L608" i="2" s="1"/>
  <c r="K609" i="2"/>
  <c r="K608" i="2" s="1"/>
  <c r="G66" i="7"/>
  <c r="G64" i="7"/>
  <c r="G61" i="7"/>
  <c r="G58" i="7"/>
  <c r="F66" i="7"/>
  <c r="F64" i="7"/>
  <c r="F61" i="7"/>
  <c r="F58" i="7"/>
  <c r="G78" i="7"/>
  <c r="G76" i="7"/>
  <c r="G70" i="7"/>
  <c r="G69" i="7" s="1"/>
  <c r="F76" i="7"/>
  <c r="F75" i="7" s="1"/>
  <c r="F70" i="7"/>
  <c r="G116" i="7"/>
  <c r="G114" i="7"/>
  <c r="G111" i="7"/>
  <c r="G108" i="7"/>
  <c r="F116" i="7"/>
  <c r="F114" i="7"/>
  <c r="F111" i="7"/>
  <c r="F108" i="7"/>
  <c r="G90" i="7"/>
  <c r="G88" i="7"/>
  <c r="G85" i="7"/>
  <c r="G82" i="7"/>
  <c r="F88" i="7"/>
  <c r="F87" i="7" s="1"/>
  <c r="F85" i="7"/>
  <c r="F82" i="7"/>
  <c r="G49" i="7"/>
  <c r="G46" i="7"/>
  <c r="F49" i="7"/>
  <c r="F46" i="7"/>
  <c r="G54" i="7"/>
  <c r="G52" i="7"/>
  <c r="F54" i="7"/>
  <c r="F52" i="7"/>
  <c r="F23" i="7"/>
  <c r="G23" i="7"/>
  <c r="L14" i="7"/>
  <c r="G20" i="7"/>
  <c r="K24" i="13"/>
  <c r="K19" i="13" s="1"/>
  <c r="G24" i="13"/>
  <c r="G19" i="13" s="1"/>
  <c r="L24" i="13"/>
  <c r="E109" i="5"/>
  <c r="E26" i="5"/>
  <c r="M26" i="5"/>
  <c r="M28" i="5"/>
  <c r="F13" i="5"/>
  <c r="F12" i="5" s="1"/>
  <c r="G13" i="5"/>
  <c r="G33" i="5"/>
  <c r="F33" i="5"/>
  <c r="G31" i="5"/>
  <c r="F31" i="5"/>
  <c r="G28" i="5"/>
  <c r="F28" i="5"/>
  <c r="G26" i="5"/>
  <c r="F26" i="5"/>
  <c r="G37" i="5"/>
  <c r="G39" i="5"/>
  <c r="F44" i="5"/>
  <c r="F41" i="5" s="1"/>
  <c r="G44" i="5"/>
  <c r="G41" i="5" s="1"/>
  <c r="F48" i="5"/>
  <c r="G48" i="5"/>
  <c r="F51" i="5"/>
  <c r="F50" i="5" s="1"/>
  <c r="G51" i="5"/>
  <c r="G50" i="5" s="1"/>
  <c r="G47" i="5" s="1"/>
  <c r="F108" i="5"/>
  <c r="F106" i="5" s="1"/>
  <c r="G108" i="5"/>
  <c r="F110" i="5"/>
  <c r="G110" i="5"/>
  <c r="F116" i="5"/>
  <c r="G116" i="5"/>
  <c r="F113" i="5"/>
  <c r="G113" i="5"/>
  <c r="G134" i="5"/>
  <c r="F134" i="5"/>
  <c r="G128" i="5"/>
  <c r="F128" i="5"/>
  <c r="G141" i="5"/>
  <c r="G140" i="5" s="1"/>
  <c r="F141" i="5"/>
  <c r="F140" i="5" s="1"/>
  <c r="G336" i="9"/>
  <c r="F336" i="9"/>
  <c r="K336" i="9"/>
  <c r="F34" i="9"/>
  <c r="K34" i="9"/>
  <c r="L34" i="9"/>
  <c r="L31" i="9" s="1"/>
  <c r="E33" i="5"/>
  <c r="E30" i="5" s="1"/>
  <c r="E28" i="5"/>
  <c r="L75" i="4"/>
  <c r="K75" i="4"/>
  <c r="F75" i="4"/>
  <c r="G75" i="4"/>
  <c r="L74" i="4"/>
  <c r="K74" i="4"/>
  <c r="F74" i="4"/>
  <c r="G74" i="4"/>
  <c r="L67" i="4"/>
  <c r="K67" i="4"/>
  <c r="K66" i="4" s="1"/>
  <c r="F67" i="4"/>
  <c r="F66" i="4" s="1"/>
  <c r="G67" i="4"/>
  <c r="G66" i="4" s="1"/>
  <c r="L66" i="4"/>
  <c r="F80" i="4"/>
  <c r="F79" i="4" s="1"/>
  <c r="G80" i="4"/>
  <c r="G79" i="4" s="1"/>
  <c r="D71" i="1"/>
  <c r="D70" i="1" s="1"/>
  <c r="H65" i="1"/>
  <c r="D65" i="1"/>
  <c r="G46" i="4"/>
  <c r="M66" i="3"/>
  <c r="F642" i="2"/>
  <c r="F641" i="2" s="1"/>
  <c r="G605" i="2"/>
  <c r="G604" i="2" s="1"/>
  <c r="F605" i="2"/>
  <c r="F604" i="2" s="1"/>
  <c r="G567" i="2"/>
  <c r="G566" i="2" s="1"/>
  <c r="F567" i="2"/>
  <c r="F566" i="2" s="1"/>
  <c r="D58" i="1"/>
  <c r="G519" i="2"/>
  <c r="G517" i="2"/>
  <c r="F519" i="2"/>
  <c r="F517" i="2"/>
  <c r="G522" i="2"/>
  <c r="G521" i="2" s="1"/>
  <c r="F522" i="2"/>
  <c r="F521" i="2" s="1"/>
  <c r="G514" i="2"/>
  <c r="G513" i="2" s="1"/>
  <c r="G512" i="2" s="1"/>
  <c r="G511" i="2"/>
  <c r="G509" i="2"/>
  <c r="G508" i="2" s="1"/>
  <c r="F514" i="2"/>
  <c r="F513" i="2" s="1"/>
  <c r="F512" i="2" s="1"/>
  <c r="F511" i="2"/>
  <c r="F509" i="2"/>
  <c r="F508" i="2" s="1"/>
  <c r="K514" i="2"/>
  <c r="K513" i="2" s="1"/>
  <c r="K512" i="2" s="1"/>
  <c r="K511" i="2"/>
  <c r="K510" i="2" s="1"/>
  <c r="K509" i="2"/>
  <c r="K508" i="2" s="1"/>
  <c r="G493" i="2"/>
  <c r="G489" i="2"/>
  <c r="G485" i="2"/>
  <c r="G481" i="2"/>
  <c r="F493" i="2"/>
  <c r="F489" i="2"/>
  <c r="F485" i="2"/>
  <c r="F481" i="2"/>
  <c r="K493" i="2"/>
  <c r="K489" i="2"/>
  <c r="K485" i="2"/>
  <c r="K481" i="2"/>
  <c r="L493" i="2"/>
  <c r="L489" i="2"/>
  <c r="L485" i="2"/>
  <c r="L481" i="2"/>
  <c r="G471" i="2"/>
  <c r="G20" i="2" s="1"/>
  <c r="G470" i="2"/>
  <c r="G468" i="2"/>
  <c r="G15" i="2" s="1"/>
  <c r="G467" i="2"/>
  <c r="G13" i="2" s="1"/>
  <c r="G466" i="2"/>
  <c r="F471" i="2"/>
  <c r="F20" i="2" s="1"/>
  <c r="F470" i="2"/>
  <c r="F468" i="2"/>
  <c r="F467" i="2"/>
  <c r="F13" i="2" s="1"/>
  <c r="F466" i="2"/>
  <c r="G478" i="2"/>
  <c r="G477" i="2"/>
  <c r="G475" i="2"/>
  <c r="G25" i="2" s="1"/>
  <c r="G474" i="2"/>
  <c r="F478" i="2"/>
  <c r="F477" i="2"/>
  <c r="F475" i="2"/>
  <c r="F474" i="2"/>
  <c r="F23" i="2" s="1"/>
  <c r="F16" i="2"/>
  <c r="G16" i="2"/>
  <c r="D22" i="1" s="1"/>
  <c r="F26" i="2"/>
  <c r="C32" i="1" s="1"/>
  <c r="C125" i="1" s="1"/>
  <c r="C171" i="1" s="1"/>
  <c r="F27" i="2"/>
  <c r="G27" i="2"/>
  <c r="F29" i="2"/>
  <c r="E474" i="2"/>
  <c r="D66" i="1"/>
  <c r="E467" i="2"/>
  <c r="E13" i="2" s="1"/>
  <c r="E511" i="2"/>
  <c r="E18" i="2" s="1"/>
  <c r="E519" i="2"/>
  <c r="L247" i="6"/>
  <c r="L246" i="6" s="1"/>
  <c r="K247" i="6"/>
  <c r="K246" i="6" s="1"/>
  <c r="F248" i="6"/>
  <c r="F247" i="6" s="1"/>
  <c r="F246" i="6" s="1"/>
  <c r="G248" i="6"/>
  <c r="G247" i="6" s="1"/>
  <c r="G246" i="6" s="1"/>
  <c r="G265" i="6"/>
  <c r="G264" i="6" s="1"/>
  <c r="F265" i="6"/>
  <c r="F264" i="6" s="1"/>
  <c r="G261" i="6"/>
  <c r="G260" i="6" s="1"/>
  <c r="F261" i="6"/>
  <c r="F260" i="6" s="1"/>
  <c r="L260" i="6"/>
  <c r="F245" i="6"/>
  <c r="G245" i="6"/>
  <c r="F243" i="6"/>
  <c r="F242" i="6" s="1"/>
  <c r="F241" i="6"/>
  <c r="G241" i="6"/>
  <c r="F93" i="6"/>
  <c r="G93" i="6"/>
  <c r="F91" i="6"/>
  <c r="G91" i="6"/>
  <c r="F88" i="6"/>
  <c r="G88" i="6"/>
  <c r="F86" i="6"/>
  <c r="G86" i="6"/>
  <c r="G82" i="6"/>
  <c r="F82" i="6"/>
  <c r="G80" i="6"/>
  <c r="F80" i="6"/>
  <c r="G77" i="6"/>
  <c r="F77" i="6"/>
  <c r="G75" i="6"/>
  <c r="F75" i="6"/>
  <c r="G63" i="6"/>
  <c r="G71" i="6"/>
  <c r="F71" i="6"/>
  <c r="K71" i="6"/>
  <c r="L71" i="6"/>
  <c r="G69" i="6"/>
  <c r="F69" i="6"/>
  <c r="K69" i="6"/>
  <c r="K68" i="6" s="1"/>
  <c r="L69" i="6"/>
  <c r="L68" i="6" s="1"/>
  <c r="G68" i="6"/>
  <c r="G66" i="6"/>
  <c r="F66" i="6"/>
  <c r="K66" i="6"/>
  <c r="L66" i="6"/>
  <c r="L62" i="6" s="1"/>
  <c r="F63" i="6"/>
  <c r="K63" i="6"/>
  <c r="G38" i="6"/>
  <c r="G37" i="6" s="1"/>
  <c r="F38" i="6"/>
  <c r="K38" i="6"/>
  <c r="K37" i="6" s="1"/>
  <c r="L38" i="6"/>
  <c r="L37" i="6" s="1"/>
  <c r="K32" i="6"/>
  <c r="L32" i="6"/>
  <c r="L26" i="6" s="1"/>
  <c r="F255" i="6"/>
  <c r="F254" i="6" s="1"/>
  <c r="K93" i="6"/>
  <c r="K88" i="6"/>
  <c r="K91" i="6"/>
  <c r="K86" i="6"/>
  <c r="D82" i="6"/>
  <c r="L82" i="6"/>
  <c r="K82" i="6"/>
  <c r="L80" i="6"/>
  <c r="K80" i="6"/>
  <c r="L77" i="6"/>
  <c r="K77" i="6"/>
  <c r="L75" i="6"/>
  <c r="K75" i="6"/>
  <c r="K70" i="7"/>
  <c r="L70" i="7"/>
  <c r="L80" i="4"/>
  <c r="L79" i="4" s="1"/>
  <c r="K80" i="4"/>
  <c r="K79" i="4" s="1"/>
  <c r="D38" i="13"/>
  <c r="D31" i="13"/>
  <c r="L336" i="9"/>
  <c r="L53" i="8"/>
  <c r="L50" i="8"/>
  <c r="L47" i="8"/>
  <c r="L40" i="8"/>
  <c r="L38" i="8"/>
  <c r="L37" i="8" s="1"/>
  <c r="L33" i="8"/>
  <c r="K116" i="7"/>
  <c r="L116" i="7"/>
  <c r="K114" i="7"/>
  <c r="L114" i="7"/>
  <c r="K111" i="7"/>
  <c r="L111" i="7"/>
  <c r="L107" i="7" s="1"/>
  <c r="K108" i="7"/>
  <c r="K88" i="7"/>
  <c r="L88" i="7"/>
  <c r="K85" i="7"/>
  <c r="L85" i="7"/>
  <c r="K82" i="7"/>
  <c r="L82" i="7"/>
  <c r="L78" i="7"/>
  <c r="K76" i="7"/>
  <c r="K75" i="7" s="1"/>
  <c r="L76" i="7"/>
  <c r="L75" i="7" s="1"/>
  <c r="K73" i="7"/>
  <c r="L73" i="7"/>
  <c r="K66" i="7"/>
  <c r="L66" i="7"/>
  <c r="K64" i="7"/>
  <c r="L64" i="7"/>
  <c r="K61" i="7"/>
  <c r="L61" i="7"/>
  <c r="K58" i="7"/>
  <c r="L58" i="7"/>
  <c r="K54" i="7"/>
  <c r="L54" i="7"/>
  <c r="K52" i="7"/>
  <c r="L52" i="7"/>
  <c r="K49" i="7"/>
  <c r="L49" i="7"/>
  <c r="K46" i="7"/>
  <c r="L46" i="7"/>
  <c r="K23" i="7"/>
  <c r="L24" i="7"/>
  <c r="L23" i="7" s="1"/>
  <c r="K255" i="6"/>
  <c r="K254" i="6" s="1"/>
  <c r="L255" i="6"/>
  <c r="L254" i="6" s="1"/>
  <c r="L240" i="6" s="1"/>
  <c r="M251" i="6"/>
  <c r="M250" i="6" s="1"/>
  <c r="D114" i="5"/>
  <c r="K51" i="5"/>
  <c r="K50" i="5" s="1"/>
  <c r="L51" i="5"/>
  <c r="L50" i="5" s="1"/>
  <c r="K48" i="5"/>
  <c r="L48" i="5"/>
  <c r="L47" i="5" s="1"/>
  <c r="K44" i="5"/>
  <c r="K33" i="5"/>
  <c r="L33" i="5"/>
  <c r="K31" i="5"/>
  <c r="L31" i="5"/>
  <c r="K28" i="5"/>
  <c r="L28" i="5"/>
  <c r="K26" i="5"/>
  <c r="K25" i="5" s="1"/>
  <c r="L26" i="5"/>
  <c r="D72" i="4"/>
  <c r="L106" i="3"/>
  <c r="L103" i="3"/>
  <c r="K642" i="2"/>
  <c r="K641" i="2" s="1"/>
  <c r="L642" i="2"/>
  <c r="L641" i="2" s="1"/>
  <c r="L605" i="2"/>
  <c r="L604" i="2" s="1"/>
  <c r="K601" i="2"/>
  <c r="K600" i="2" s="1"/>
  <c r="L601" i="2"/>
  <c r="L600" i="2" s="1"/>
  <c r="D590" i="2"/>
  <c r="D589" i="2" s="1"/>
  <c r="K567" i="2"/>
  <c r="K566" i="2" s="1"/>
  <c r="L567" i="2"/>
  <c r="L566" i="2" s="1"/>
  <c r="K563" i="2"/>
  <c r="K562" i="2" s="1"/>
  <c r="L563" i="2"/>
  <c r="L562" i="2" s="1"/>
  <c r="K541" i="2"/>
  <c r="H66" i="1"/>
  <c r="K522" i="2"/>
  <c r="K521" i="2" s="1"/>
  <c r="L522" i="2"/>
  <c r="L521" i="2" s="1"/>
  <c r="K519" i="2"/>
  <c r="L519" i="2"/>
  <c r="K517" i="2"/>
  <c r="L517" i="2"/>
  <c r="L516" i="2" s="1"/>
  <c r="O516" i="2" s="1"/>
  <c r="L514" i="2"/>
  <c r="L513" i="2" s="1"/>
  <c r="L512" i="2" s="1"/>
  <c r="L511" i="2"/>
  <c r="L509" i="2"/>
  <c r="L508" i="2" s="1"/>
  <c r="K478" i="2"/>
  <c r="K32" i="2" s="1"/>
  <c r="L478" i="2"/>
  <c r="L32" i="2" s="1"/>
  <c r="K477" i="2"/>
  <c r="K476" i="2" s="1"/>
  <c r="L477" i="2"/>
  <c r="K475" i="2"/>
  <c r="L475" i="2"/>
  <c r="K474" i="2"/>
  <c r="L474" i="2"/>
  <c r="L23" i="2" s="1"/>
  <c r="K471" i="2"/>
  <c r="L471" i="2"/>
  <c r="L20" i="2" s="1"/>
  <c r="K470" i="2"/>
  <c r="M470" i="2" s="1"/>
  <c r="L470" i="2"/>
  <c r="K468" i="2"/>
  <c r="L468" i="2"/>
  <c r="K467" i="2"/>
  <c r="L467" i="2"/>
  <c r="K466" i="2"/>
  <c r="M466" i="2" s="1"/>
  <c r="L466" i="2"/>
  <c r="D319" i="2"/>
  <c r="K29" i="2"/>
  <c r="L29" i="2"/>
  <c r="K27" i="2"/>
  <c r="L27" i="2"/>
  <c r="K26" i="2"/>
  <c r="D567" i="2"/>
  <c r="D566" i="2" s="1"/>
  <c r="D76" i="2"/>
  <c r="D88" i="2"/>
  <c r="D475" i="2"/>
  <c r="E104" i="5"/>
  <c r="E111" i="5"/>
  <c r="E110" i="5" s="1"/>
  <c r="D111" i="5"/>
  <c r="D110" i="5" s="1"/>
  <c r="E141" i="5"/>
  <c r="E140" i="5" s="1"/>
  <c r="E131" i="5"/>
  <c r="E115" i="5"/>
  <c r="E108" i="5"/>
  <c r="E137" i="5"/>
  <c r="E117" i="5"/>
  <c r="E116" i="5" s="1"/>
  <c r="D63" i="4"/>
  <c r="D62" i="4"/>
  <c r="E245" i="6"/>
  <c r="E265" i="6"/>
  <c r="E264" i="6" s="1"/>
  <c r="E248" i="6"/>
  <c r="E247" i="6" s="1"/>
  <c r="E246" i="6" s="1"/>
  <c r="D66" i="3"/>
  <c r="D73" i="3"/>
  <c r="D615" i="2"/>
  <c r="E76" i="2"/>
  <c r="O585" i="2"/>
  <c r="O498" i="2"/>
  <c r="D245" i="6"/>
  <c r="D108" i="5"/>
  <c r="O480" i="2"/>
  <c r="D346" i="2"/>
  <c r="E489" i="2"/>
  <c r="E488" i="2" s="1"/>
  <c r="E475" i="2"/>
  <c r="E501" i="2"/>
  <c r="E514" i="2"/>
  <c r="E522" i="2"/>
  <c r="E521" i="2" s="1"/>
  <c r="D104" i="5"/>
  <c r="D102" i="5" s="1"/>
  <c r="D109" i="3"/>
  <c r="E114" i="5"/>
  <c r="E134" i="5"/>
  <c r="E133" i="5" s="1"/>
  <c r="E128" i="5"/>
  <c r="E107" i="5"/>
  <c r="D76" i="3"/>
  <c r="E503" i="2"/>
  <c r="E86" i="2"/>
  <c r="D340" i="2"/>
  <c r="D109" i="2"/>
  <c r="D108" i="2" s="1"/>
  <c r="E95" i="2"/>
  <c r="E88" i="2"/>
  <c r="E477" i="2"/>
  <c r="E485" i="2"/>
  <c r="E470" i="2"/>
  <c r="E468" i="2"/>
  <c r="E499" i="2"/>
  <c r="E498" i="2" s="1"/>
  <c r="D248" i="6"/>
  <c r="D247" i="6" s="1"/>
  <c r="D246" i="6" s="1"/>
  <c r="D265" i="6"/>
  <c r="D264" i="6" s="1"/>
  <c r="D139" i="8"/>
  <c r="D138" i="8" s="1"/>
  <c r="D117" i="5"/>
  <c r="D116" i="5" s="1"/>
  <c r="D37" i="5"/>
  <c r="D109" i="5"/>
  <c r="D514" i="2"/>
  <c r="D513" i="2" s="1"/>
  <c r="D512" i="2" s="1"/>
  <c r="D57" i="4"/>
  <c r="D27" i="2"/>
  <c r="D86" i="2"/>
  <c r="D559" i="2"/>
  <c r="D558" i="2" s="1"/>
  <c r="I102" i="5"/>
  <c r="F115" i="13"/>
  <c r="I8" i="7"/>
  <c r="I6" i="7" s="1"/>
  <c r="M48" i="7"/>
  <c r="M46" i="7" s="1"/>
  <c r="M45" i="7" s="1"/>
  <c r="G12" i="5"/>
  <c r="C22" i="1"/>
  <c r="G430" i="2"/>
  <c r="I12" i="5"/>
  <c r="F299" i="6"/>
  <c r="G42" i="13"/>
  <c r="K186" i="2"/>
  <c r="G74" i="6"/>
  <c r="B142" i="1"/>
  <c r="F37" i="13"/>
  <c r="H42" i="13"/>
  <c r="K107" i="7"/>
  <c r="L174" i="2"/>
  <c r="L42" i="13"/>
  <c r="G108" i="8"/>
  <c r="G107" i="8" s="1"/>
  <c r="I119" i="13"/>
  <c r="I118" i="13" s="1"/>
  <c r="K87" i="7"/>
  <c r="L87" i="7"/>
  <c r="F36" i="5"/>
  <c r="G102" i="5"/>
  <c r="M109" i="5"/>
  <c r="F112" i="5"/>
  <c r="L33" i="13"/>
  <c r="I46" i="7"/>
  <c r="I45" i="7" s="1"/>
  <c r="I12" i="7"/>
  <c r="F57" i="1" s="1"/>
  <c r="D23" i="5"/>
  <c r="D21" i="5" s="1"/>
  <c r="D438" i="2"/>
  <c r="M438" i="2"/>
  <c r="F436" i="2"/>
  <c r="M436" i="2" s="1"/>
  <c r="M435" i="2" s="1"/>
  <c r="F42" i="13"/>
  <c r="F33" i="13"/>
  <c r="I271" i="6"/>
  <c r="G112" i="5"/>
  <c r="H61" i="5"/>
  <c r="F30" i="5"/>
  <c r="L25" i="5"/>
  <c r="F25" i="5"/>
  <c r="K392" i="2"/>
  <c r="I142" i="1"/>
  <c r="D151" i="2"/>
  <c r="G58" i="13"/>
  <c r="L58" i="13"/>
  <c r="J363" i="2"/>
  <c r="F47" i="5"/>
  <c r="L30" i="5"/>
  <c r="K57" i="7"/>
  <c r="G183" i="9"/>
  <c r="I105" i="5"/>
  <c r="L421" i="2"/>
  <c r="K198" i="2"/>
  <c r="M626" i="2"/>
  <c r="M625" i="2" s="1"/>
  <c r="L469" i="2"/>
  <c r="K516" i="2"/>
  <c r="M618" i="2"/>
  <c r="M617" i="2" s="1"/>
  <c r="M416" i="2"/>
  <c r="L476" i="2"/>
  <c r="K63" i="7"/>
  <c r="G87" i="7"/>
  <c r="G107" i="7"/>
  <c r="G57" i="7"/>
  <c r="F54" i="5"/>
  <c r="F154" i="6"/>
  <c r="G48" i="13"/>
  <c r="G13" i="13" s="1"/>
  <c r="K343" i="2"/>
  <c r="K108" i="8"/>
  <c r="K107" i="8" s="1"/>
  <c r="L74" i="6"/>
  <c r="M104" i="5"/>
  <c r="M102" i="5" s="1"/>
  <c r="K192" i="2"/>
  <c r="J14" i="2"/>
  <c r="G20" i="1" s="1"/>
  <c r="F24" i="2"/>
  <c r="C30" i="1" s="1"/>
  <c r="K114" i="8"/>
  <c r="K113" i="8" s="1"/>
  <c r="D197" i="6"/>
  <c r="F196" i="6"/>
  <c r="F195" i="6" s="1"/>
  <c r="F333" i="9"/>
  <c r="F332" i="9" s="1"/>
  <c r="G36" i="5"/>
  <c r="L473" i="2"/>
  <c r="K45" i="7"/>
  <c r="G54" i="13"/>
  <c r="G18" i="13" s="1"/>
  <c r="F51" i="7"/>
  <c r="K51" i="7"/>
  <c r="F45" i="7"/>
  <c r="K162" i="2"/>
  <c r="E102" i="5"/>
  <c r="G106" i="5"/>
  <c r="L246" i="2"/>
  <c r="L48" i="13"/>
  <c r="L47" i="13" s="1"/>
  <c r="H118" i="6"/>
  <c r="H117" i="6" s="1"/>
  <c r="J469" i="2"/>
  <c r="K54" i="13"/>
  <c r="K53" i="13" s="1"/>
  <c r="L54" i="13"/>
  <c r="L18" i="13" s="1"/>
  <c r="D56" i="13"/>
  <c r="M509" i="2"/>
  <c r="M508" i="2" s="1"/>
  <c r="F67" i="3"/>
  <c r="D41" i="8"/>
  <c r="D40" i="8" s="1"/>
  <c r="K30" i="8"/>
  <c r="F488" i="2"/>
  <c r="D48" i="7"/>
  <c r="F440" i="2"/>
  <c r="L488" i="2"/>
  <c r="I469" i="2"/>
  <c r="H473" i="2"/>
  <c r="D175" i="2"/>
  <c r="J147" i="5"/>
  <c r="D36" i="8"/>
  <c r="L35" i="8"/>
  <c r="L32" i="8" s="1"/>
  <c r="K40" i="8"/>
  <c r="D46" i="8"/>
  <c r="K336" i="2"/>
  <c r="K16" i="2"/>
  <c r="K168" i="2"/>
  <c r="D447" i="2"/>
  <c r="K18" i="2"/>
  <c r="M116" i="6"/>
  <c r="D125" i="6"/>
  <c r="D217" i="6"/>
  <c r="K243" i="6"/>
  <c r="K242" i="6" s="1"/>
  <c r="D206" i="6"/>
  <c r="D148" i="6" s="1"/>
  <c r="K98" i="6"/>
  <c r="M205" i="6"/>
  <c r="D106" i="6"/>
  <c r="D111" i="6"/>
  <c r="D105" i="6"/>
  <c r="F104" i="6"/>
  <c r="H104" i="6"/>
  <c r="K108" i="6"/>
  <c r="D115" i="6"/>
  <c r="D124" i="6"/>
  <c r="D134" i="6"/>
  <c r="F123" i="6"/>
  <c r="H123" i="6"/>
  <c r="H122" i="6" s="1"/>
  <c r="J123" i="6"/>
  <c r="J122" i="6" s="1"/>
  <c r="G98" i="6"/>
  <c r="H98" i="6"/>
  <c r="F108" i="6"/>
  <c r="F107" i="6" s="1"/>
  <c r="D116" i="6"/>
  <c r="D130" i="6"/>
  <c r="L127" i="6"/>
  <c r="M36" i="5"/>
  <c r="K25" i="3"/>
  <c r="L37" i="13"/>
  <c r="K28" i="13"/>
  <c r="F28" i="13"/>
  <c r="D41" i="13"/>
  <c r="D51" i="13"/>
  <c r="D50" i="13"/>
  <c r="F58" i="13"/>
  <c r="D34" i="8"/>
  <c r="D14" i="8" s="1"/>
  <c r="G119" i="7"/>
  <c r="L125" i="7"/>
  <c r="F125" i="7"/>
  <c r="H125" i="7"/>
  <c r="F113" i="7"/>
  <c r="G75" i="7"/>
  <c r="D219" i="6"/>
  <c r="L177" i="6"/>
  <c r="L176" i="6" s="1"/>
  <c r="D102" i="6"/>
  <c r="D218" i="6"/>
  <c r="D221" i="6"/>
  <c r="D220" i="6" s="1"/>
  <c r="D224" i="6"/>
  <c r="D223" i="6" s="1"/>
  <c r="L225" i="6"/>
  <c r="D226" i="6"/>
  <c r="D225" i="6" s="1"/>
  <c r="I47" i="5"/>
  <c r="H47" i="5"/>
  <c r="H9" i="5" s="1"/>
  <c r="H8" i="5" s="1"/>
  <c r="M67" i="4"/>
  <c r="M66" i="4" s="1"/>
  <c r="D79" i="3"/>
  <c r="D88" i="3"/>
  <c r="D87" i="3" s="1"/>
  <c r="D84" i="3" s="1"/>
  <c r="D41" i="3"/>
  <c r="D21" i="3" s="1"/>
  <c r="L430" i="2"/>
  <c r="M481" i="2"/>
  <c r="M156" i="2"/>
  <c r="E85" i="2"/>
  <c r="D522" i="2"/>
  <c r="D521" i="2" s="1"/>
  <c r="E15" i="2"/>
  <c r="E510" i="2"/>
  <c r="L369" i="2"/>
  <c r="E25" i="2"/>
  <c r="D602" i="2"/>
  <c r="D107" i="5"/>
  <c r="D115" i="5"/>
  <c r="D113" i="5" s="1"/>
  <c r="D112" i="5" s="1"/>
  <c r="F119" i="7"/>
  <c r="L81" i="7"/>
  <c r="F81" i="7"/>
  <c r="K125" i="7"/>
  <c r="G125" i="7"/>
  <c r="I125" i="7"/>
  <c r="D125" i="7"/>
  <c r="M58" i="7"/>
  <c r="M57" i="7" s="1"/>
  <c r="I51" i="7"/>
  <c r="D120" i="7"/>
  <c r="D119" i="7" s="1"/>
  <c r="F473" i="2"/>
  <c r="L392" i="2"/>
  <c r="L144" i="2"/>
  <c r="H469" i="2"/>
  <c r="L150" i="6"/>
  <c r="K223" i="6"/>
  <c r="D614" i="2"/>
  <c r="D613" i="2" s="1"/>
  <c r="L114" i="9"/>
  <c r="J331" i="9"/>
  <c r="J338" i="9"/>
  <c r="J337" i="9" s="1"/>
  <c r="L41" i="9"/>
  <c r="L37" i="9" s="1"/>
  <c r="K41" i="9"/>
  <c r="K37" i="9" s="1"/>
  <c r="G218" i="9"/>
  <c r="G227" i="9"/>
  <c r="L480" i="2"/>
  <c r="K480" i="2"/>
  <c r="K312" i="2"/>
  <c r="D201" i="2"/>
  <c r="D198" i="2" s="1"/>
  <c r="J516" i="2"/>
  <c r="J8" i="2" s="1"/>
  <c r="K488" i="2"/>
  <c r="M378" i="2"/>
  <c r="M336" i="2"/>
  <c r="G465" i="2"/>
  <c r="K58" i="13"/>
  <c r="F54" i="13"/>
  <c r="K48" i="13"/>
  <c r="K47" i="13" s="1"/>
  <c r="M40" i="13"/>
  <c r="F48" i="13"/>
  <c r="F13" i="13" s="1"/>
  <c r="D229" i="6"/>
  <c r="H150" i="6"/>
  <c r="K211" i="6"/>
  <c r="K210" i="6" s="1"/>
  <c r="K156" i="6"/>
  <c r="D213" i="6"/>
  <c r="D156" i="6" s="1"/>
  <c r="G299" i="6"/>
  <c r="G211" i="6"/>
  <c r="K148" i="6"/>
  <c r="K204" i="6"/>
  <c r="K203" i="6" s="1"/>
  <c r="G146" i="6"/>
  <c r="G302" i="6" s="1"/>
  <c r="D185" i="6"/>
  <c r="D212" i="6"/>
  <c r="D178" i="6"/>
  <c r="K154" i="6"/>
  <c r="K196" i="6"/>
  <c r="G154" i="6"/>
  <c r="G196" i="6"/>
  <c r="G195" i="6" s="1"/>
  <c r="G194" i="6" s="1"/>
  <c r="D193" i="6"/>
  <c r="F192" i="6"/>
  <c r="F191" i="6" s="1"/>
  <c r="K146" i="6"/>
  <c r="L216" i="6"/>
  <c r="F480" i="2"/>
  <c r="M103" i="2"/>
  <c r="E124" i="1"/>
  <c r="E170" i="1" s="1"/>
  <c r="H535" i="2"/>
  <c r="H534" i="2" s="1"/>
  <c r="L205" i="2"/>
  <c r="L204" i="2" s="1"/>
  <c r="L530" i="2"/>
  <c r="L529" i="2" s="1"/>
  <c r="L528" i="2" s="1"/>
  <c r="K412" i="2"/>
  <c r="G480" i="2"/>
  <c r="G488" i="2"/>
  <c r="E302" i="6"/>
  <c r="D106" i="3"/>
  <c r="L62" i="3"/>
  <c r="F84" i="3"/>
  <c r="F37" i="3"/>
  <c r="M79" i="3"/>
  <c r="L79" i="3"/>
  <c r="L78" i="3" s="1"/>
  <c r="K40" i="3"/>
  <c r="K37" i="3" s="1"/>
  <c r="G40" i="3"/>
  <c r="G37" i="3" s="1"/>
  <c r="K67" i="3"/>
  <c r="L26" i="3"/>
  <c r="M128" i="2"/>
  <c r="L79" i="6"/>
  <c r="L244" i="6"/>
  <c r="L243" i="6" s="1"/>
  <c r="L242" i="6" s="1"/>
  <c r="F291" i="6"/>
  <c r="F126" i="6"/>
  <c r="H291" i="6"/>
  <c r="J126" i="6"/>
  <c r="J291" i="6"/>
  <c r="D121" i="3"/>
  <c r="I120" i="3"/>
  <c r="F32" i="3"/>
  <c r="F15" i="3" s="1"/>
  <c r="D103" i="3"/>
  <c r="L31" i="3"/>
  <c r="J142" i="1"/>
  <c r="E63" i="2"/>
  <c r="E61" i="2"/>
  <c r="J476" i="2"/>
  <c r="I516" i="2"/>
  <c r="I8" i="2" s="1"/>
  <c r="D395" i="2"/>
  <c r="D392" i="2" s="1"/>
  <c r="D478" i="2"/>
  <c r="D32" i="2" s="1"/>
  <c r="E478" i="2"/>
  <c r="E32" i="2" s="1"/>
  <c r="F32" i="2"/>
  <c r="F476" i="2"/>
  <c r="F472" i="2" s="1"/>
  <c r="G32" i="2"/>
  <c r="G476" i="2"/>
  <c r="M516" i="2"/>
  <c r="J18" i="2"/>
  <c r="J510" i="2"/>
  <c r="H18" i="2"/>
  <c r="H510" i="2"/>
  <c r="D571" i="2"/>
  <c r="D570" i="2" s="1"/>
  <c r="F421" i="2"/>
  <c r="L180" i="2"/>
  <c r="F465" i="2"/>
  <c r="G469" i="2"/>
  <c r="G464" i="2" s="1"/>
  <c r="L382" i="2"/>
  <c r="I29" i="2"/>
  <c r="I26" i="2"/>
  <c r="I510" i="2"/>
  <c r="J23" i="2"/>
  <c r="J13" i="2"/>
  <c r="J465" i="2"/>
  <c r="D357" i="2"/>
  <c r="G421" i="2"/>
  <c r="L425" i="2"/>
  <c r="F425" i="2"/>
  <c r="L168" i="2"/>
  <c r="D169" i="2"/>
  <c r="D71" i="2"/>
  <c r="H465" i="2"/>
  <c r="L336" i="2"/>
  <c r="L192" i="2"/>
  <c r="M601" i="2"/>
  <c r="M600" i="2" s="1"/>
  <c r="H516" i="2"/>
  <c r="M498" i="2"/>
  <c r="L386" i="2"/>
  <c r="D160" i="2"/>
  <c r="L156" i="2"/>
  <c r="L198" i="2"/>
  <c r="L216" i="2"/>
  <c r="L222" i="2"/>
  <c r="L234" i="2"/>
  <c r="E517" i="2"/>
  <c r="E509" i="2"/>
  <c r="E508" i="2" s="1"/>
  <c r="E507" i="2" s="1"/>
  <c r="D165" i="2"/>
  <c r="D174" i="2"/>
  <c r="L120" i="2"/>
  <c r="M605" i="2"/>
  <c r="M604" i="2" s="1"/>
  <c r="F343" i="2"/>
  <c r="E57" i="2"/>
  <c r="E68" i="2"/>
  <c r="D98" i="2"/>
  <c r="E98" i="2"/>
  <c r="D148" i="2"/>
  <c r="L150" i="2"/>
  <c r="L136" i="2"/>
  <c r="L318" i="2"/>
  <c r="D586" i="2"/>
  <c r="D585" i="2" s="1"/>
  <c r="M145" i="2"/>
  <c r="M144" i="2" s="1"/>
  <c r="L398" i="2"/>
  <c r="L412" i="2"/>
  <c r="L416" i="2"/>
  <c r="L186" i="2"/>
  <c r="D477" i="2"/>
  <c r="D476" i="2" s="1"/>
  <c r="D106" i="2"/>
  <c r="D85" i="2"/>
  <c r="D413" i="2"/>
  <c r="D412" i="2" s="1"/>
  <c r="D196" i="2"/>
  <c r="D192" i="2" s="1"/>
  <c r="D114" i="2"/>
  <c r="D501" i="2"/>
  <c r="D470" i="2"/>
  <c r="D95" i="2"/>
  <c r="D380" i="2"/>
  <c r="E471" i="2"/>
  <c r="E469" i="2" s="1"/>
  <c r="F25" i="2"/>
  <c r="F609" i="2"/>
  <c r="F608" i="2" s="1"/>
  <c r="F693" i="2" s="1"/>
  <c r="D325" i="2"/>
  <c r="L240" i="2"/>
  <c r="F18" i="2"/>
  <c r="I465" i="2"/>
  <c r="I464" i="2" s="1"/>
  <c r="F15" i="2"/>
  <c r="J15" i="2"/>
  <c r="H25" i="2"/>
  <c r="M324" i="2"/>
  <c r="L67" i="3"/>
  <c r="L188" i="9"/>
  <c r="H188" i="9"/>
  <c r="D93" i="6"/>
  <c r="K90" i="6"/>
  <c r="K435" i="2"/>
  <c r="L435" i="2"/>
  <c r="L114" i="3"/>
  <c r="L136" i="13"/>
  <c r="L138" i="13" s="1"/>
  <c r="F119" i="13"/>
  <c r="F118" i="13" s="1"/>
  <c r="J119" i="13"/>
  <c r="J118" i="13" s="1"/>
  <c r="L145" i="5"/>
  <c r="L147" i="5" s="1"/>
  <c r="F105" i="5"/>
  <c r="G105" i="5"/>
  <c r="G53" i="13"/>
  <c r="G119" i="13"/>
  <c r="G118" i="13" s="1"/>
  <c r="L472" i="2"/>
  <c r="L30" i="2"/>
  <c r="L13" i="13"/>
  <c r="L11" i="13" s="1"/>
  <c r="M367" i="2"/>
  <c r="L16" i="13"/>
  <c r="O29" i="8"/>
  <c r="O23" i="8"/>
  <c r="M35" i="8"/>
  <c r="D441" i="2"/>
  <c r="D440" i="2" s="1"/>
  <c r="E29" i="2"/>
  <c r="E26" i="2"/>
  <c r="B71" i="1"/>
  <c r="D30" i="7"/>
  <c r="D29" i="7" s="1"/>
  <c r="E71" i="2"/>
  <c r="D118" i="2"/>
  <c r="D61" i="2"/>
  <c r="D216" i="6"/>
  <c r="E74" i="2"/>
  <c r="E73" i="2" s="1"/>
  <c r="F30" i="2"/>
  <c r="K30" i="2"/>
  <c r="H8" i="2"/>
  <c r="D532" i="2"/>
  <c r="H119" i="13"/>
  <c r="H118" i="13" s="1"/>
  <c r="D74" i="3"/>
  <c r="D92" i="2"/>
  <c r="D91" i="2" s="1"/>
  <c r="E92" i="2"/>
  <c r="E91" i="2" s="1"/>
  <c r="D601" i="2"/>
  <c r="D600" i="2" s="1"/>
  <c r="E80" i="2"/>
  <c r="E476" i="2"/>
  <c r="D172" i="2"/>
  <c r="D428" i="2"/>
  <c r="E466" i="2"/>
  <c r="E465" i="2" s="1"/>
  <c r="E481" i="2"/>
  <c r="E480" i="2" s="1"/>
  <c r="D378" i="2"/>
  <c r="E54" i="2"/>
  <c r="O464" i="2"/>
  <c r="D509" i="2"/>
  <c r="D508" i="2" s="1"/>
  <c r="D517" i="2"/>
  <c r="D399" i="2"/>
  <c r="E100" i="2"/>
  <c r="D408" i="2"/>
  <c r="E83" i="2"/>
  <c r="D471" i="2"/>
  <c r="D20" i="2" s="1"/>
  <c r="D75" i="4"/>
  <c r="D60" i="4"/>
  <c r="D74" i="4"/>
  <c r="K119" i="13"/>
  <c r="K118" i="13" s="1"/>
  <c r="D74" i="2"/>
  <c r="D73" i="2" s="1"/>
  <c r="D555" i="2"/>
  <c r="D554" i="2" s="1"/>
  <c r="D100" i="2"/>
  <c r="D579" i="2"/>
  <c r="D578" i="2" s="1"/>
  <c r="D354" i="2"/>
  <c r="D387" i="2"/>
  <c r="O373" i="2"/>
  <c r="L119" i="13"/>
  <c r="L118" i="13" s="1"/>
  <c r="D46" i="6"/>
  <c r="M46" i="6"/>
  <c r="D91" i="7"/>
  <c r="D90" i="7" s="1"/>
  <c r="D87" i="7" s="1"/>
  <c r="D79" i="7"/>
  <c r="D78" i="7" s="1"/>
  <c r="D75" i="7" s="1"/>
  <c r="F21" i="7"/>
  <c r="F20" i="7" s="1"/>
  <c r="K21" i="7"/>
  <c r="H71" i="1" s="1"/>
  <c r="H70" i="1" s="1"/>
  <c r="G15" i="7"/>
  <c r="D62" i="1" s="1"/>
  <c r="D61" i="1" s="1"/>
  <c r="F40" i="7"/>
  <c r="F39" i="7" s="1"/>
  <c r="D41" i="7"/>
  <c r="D40" i="7" s="1"/>
  <c r="D39" i="7" s="1"/>
  <c r="D42" i="7"/>
  <c r="M35" i="7"/>
  <c r="M34" i="7" s="1"/>
  <c r="M33" i="7" s="1"/>
  <c r="K7" i="7"/>
  <c r="D35" i="7"/>
  <c r="D34" i="7" s="1"/>
  <c r="D33" i="7" s="1"/>
  <c r="D179" i="7"/>
  <c r="D178" i="7" s="1"/>
  <c r="G176" i="7"/>
  <c r="G175" i="7" s="1"/>
  <c r="K176" i="7"/>
  <c r="K175" i="7" s="1"/>
  <c r="D177" i="7"/>
  <c r="D176" i="7" s="1"/>
  <c r="F15" i="7"/>
  <c r="F14" i="7" s="1"/>
  <c r="D174" i="7"/>
  <c r="D173" i="7" s="1"/>
  <c r="K15" i="7"/>
  <c r="K169" i="7"/>
  <c r="M170" i="7"/>
  <c r="M169" i="7" s="1"/>
  <c r="F170" i="7"/>
  <c r="F169" i="7" s="1"/>
  <c r="K12" i="7"/>
  <c r="K10" i="7" s="1"/>
  <c r="D172" i="7"/>
  <c r="D170" i="7" s="1"/>
  <c r="K8" i="7"/>
  <c r="F166" i="7"/>
  <c r="F163" i="7" s="1"/>
  <c r="D167" i="7"/>
  <c r="D166" i="7" s="1"/>
  <c r="K166" i="7"/>
  <c r="K163" i="7" s="1"/>
  <c r="D165" i="7"/>
  <c r="D164" i="7" s="1"/>
  <c r="F161" i="7"/>
  <c r="K161" i="7"/>
  <c r="F158" i="7"/>
  <c r="F12" i="7"/>
  <c r="F7" i="7"/>
  <c r="K32" i="3"/>
  <c r="K31" i="3" s="1"/>
  <c r="L686" i="2"/>
  <c r="K440" i="2"/>
  <c r="K189" i="9"/>
  <c r="K188" i="9" s="1"/>
  <c r="G189" i="9"/>
  <c r="G188" i="9" s="1"/>
  <c r="F186" i="9"/>
  <c r="D185" i="9"/>
  <c r="D184" i="9" s="1"/>
  <c r="F180" i="9"/>
  <c r="D181" i="9"/>
  <c r="D180" i="9" s="1"/>
  <c r="D179" i="9" s="1"/>
  <c r="D178" i="9"/>
  <c r="K176" i="9"/>
  <c r="F172" i="9"/>
  <c r="F171" i="9" s="1"/>
  <c r="K172" i="9"/>
  <c r="L175" i="9"/>
  <c r="J48" i="2"/>
  <c r="E67" i="2"/>
  <c r="J19" i="2"/>
  <c r="D162" i="2"/>
  <c r="I24" i="2"/>
  <c r="F30" i="1" s="1"/>
  <c r="K228" i="2"/>
  <c r="K234" i="2"/>
  <c r="E228" i="2"/>
  <c r="E174" i="2"/>
  <c r="E162" i="2"/>
  <c r="D313" i="2"/>
  <c r="F313" i="2"/>
  <c r="F264" i="2"/>
  <c r="D266" i="2"/>
  <c r="D265" i="2" s="1"/>
  <c r="F294" i="2"/>
  <c r="D298" i="2"/>
  <c r="D297" i="2" s="1"/>
  <c r="D294" i="2" s="1"/>
  <c r="M293" i="2"/>
  <c r="M292" i="2" s="1"/>
  <c r="F292" i="2"/>
  <c r="M290" i="2"/>
  <c r="M289" i="2" s="1"/>
  <c r="F50" i="2"/>
  <c r="F48" i="2" s="1"/>
  <c r="F304" i="2"/>
  <c r="F300" i="2" s="1"/>
  <c r="D305" i="2"/>
  <c r="D304" i="2" s="1"/>
  <c r="M305" i="2"/>
  <c r="M304" i="2" s="1"/>
  <c r="F189" i="2"/>
  <c r="F186" i="2" s="1"/>
  <c r="K180" i="2"/>
  <c r="E184" i="2"/>
  <c r="D185" i="2"/>
  <c r="D184" i="2" s="1"/>
  <c r="D182" i="2"/>
  <c r="D181" i="2" s="1"/>
  <c r="F256" i="2"/>
  <c r="D257" i="2"/>
  <c r="D256" i="2" s="1"/>
  <c r="D254" i="2"/>
  <c r="D253" i="2" s="1"/>
  <c r="K252" i="2"/>
  <c r="K24" i="2"/>
  <c r="D212" i="2"/>
  <c r="D211" i="2" s="1"/>
  <c r="M209" i="2"/>
  <c r="M208" i="2" s="1"/>
  <c r="K208" i="2"/>
  <c r="D209" i="2"/>
  <c r="D208" i="2" s="1"/>
  <c r="K37" i="2"/>
  <c r="K14" i="2" s="1"/>
  <c r="H20" i="1" s="1"/>
  <c r="D206" i="2"/>
  <c r="K205" i="2"/>
  <c r="F280" i="2"/>
  <c r="K41" i="2"/>
  <c r="K40" i="2" s="1"/>
  <c r="F277" i="2"/>
  <c r="M278" i="2"/>
  <c r="M277" i="2" s="1"/>
  <c r="M276" i="2" s="1"/>
  <c r="D142" i="2"/>
  <c r="D140" i="2" s="1"/>
  <c r="F41" i="2"/>
  <c r="F40" i="2" s="1"/>
  <c r="F36" i="2"/>
  <c r="M218" i="2"/>
  <c r="M217" i="2" s="1"/>
  <c r="D218" i="2"/>
  <c r="D217" i="2" s="1"/>
  <c r="K217" i="2"/>
  <c r="K36" i="2"/>
  <c r="K246" i="2"/>
  <c r="D250" i="2"/>
  <c r="D249" i="2" s="1"/>
  <c r="D246" i="2" s="1"/>
  <c r="K244" i="2"/>
  <c r="D245" i="2"/>
  <c r="D244" i="2" s="1"/>
  <c r="E36" i="2"/>
  <c r="M159" i="3"/>
  <c r="M158" i="3"/>
  <c r="M157" i="3"/>
  <c r="D156" i="3"/>
  <c r="M155" i="3"/>
  <c r="D159" i="3"/>
  <c r="D158" i="3"/>
  <c r="M156" i="3"/>
  <c r="D155" i="3"/>
  <c r="K15" i="3"/>
  <c r="D241" i="2"/>
  <c r="L137" i="7" l="1"/>
  <c r="G68" i="1"/>
  <c r="J17" i="7"/>
  <c r="E401" i="2"/>
  <c r="E398" i="2" s="1"/>
  <c r="D402" i="2"/>
  <c r="D401" i="2" s="1"/>
  <c r="L18" i="7"/>
  <c r="L17" i="7" s="1"/>
  <c r="L40" i="7"/>
  <c r="L39" i="7" s="1"/>
  <c r="F13" i="7"/>
  <c r="C60" i="1" s="1"/>
  <c r="F144" i="7"/>
  <c r="F143" i="7" s="1"/>
  <c r="F19" i="7"/>
  <c r="C69" i="1" s="1"/>
  <c r="F151" i="7"/>
  <c r="E37" i="2"/>
  <c r="E129" i="2"/>
  <c r="E44" i="2"/>
  <c r="E137" i="2"/>
  <c r="E136" i="2" s="1"/>
  <c r="D139" i="2"/>
  <c r="I11" i="8"/>
  <c r="D462" i="2"/>
  <c r="D461" i="2" s="1"/>
  <c r="D460" i="2" s="1"/>
  <c r="F461" i="2"/>
  <c r="M254" i="2"/>
  <c r="M253" i="2" s="1"/>
  <c r="M252" i="2" s="1"/>
  <c r="F253" i="2"/>
  <c r="D35" i="6"/>
  <c r="I33" i="6"/>
  <c r="I32" i="6" s="1"/>
  <c r="D58" i="6"/>
  <c r="D57" i="6" s="1"/>
  <c r="F57" i="6"/>
  <c r="H21" i="6"/>
  <c r="H57" i="6"/>
  <c r="F47" i="6"/>
  <c r="F179" i="3"/>
  <c r="M180" i="3"/>
  <c r="O135" i="2"/>
  <c r="E97" i="2"/>
  <c r="E127" i="5"/>
  <c r="D137" i="2"/>
  <c r="L228" i="2"/>
  <c r="J108" i="6"/>
  <c r="G60" i="4"/>
  <c r="H43" i="2"/>
  <c r="M49" i="6"/>
  <c r="G47" i="6"/>
  <c r="G14" i="6" s="1"/>
  <c r="D45" i="6"/>
  <c r="M45" i="6"/>
  <c r="M317" i="2"/>
  <c r="M316" i="2" s="1"/>
  <c r="M312" i="2" s="1"/>
  <c r="F26" i="13"/>
  <c r="F24" i="13" s="1"/>
  <c r="D44" i="13"/>
  <c r="D43" i="13" s="1"/>
  <c r="D42" i="13" s="1"/>
  <c r="O42" i="13" s="1"/>
  <c r="D78" i="5"/>
  <c r="D16" i="5"/>
  <c r="J6" i="7"/>
  <c r="H51" i="4"/>
  <c r="H47" i="4"/>
  <c r="H46" i="4" s="1"/>
  <c r="M95" i="4"/>
  <c r="M94" i="4" s="1"/>
  <c r="I5" i="4"/>
  <c r="D129" i="2"/>
  <c r="H58" i="1"/>
  <c r="H20" i="13"/>
  <c r="F20" i="13"/>
  <c r="E131" i="7"/>
  <c r="C59" i="1"/>
  <c r="B58" i="1"/>
  <c r="P58" i="1" s="1"/>
  <c r="B66" i="1"/>
  <c r="P66" i="1" s="1"/>
  <c r="E12" i="5"/>
  <c r="L20" i="13"/>
  <c r="D190" i="2"/>
  <c r="D189" i="2" s="1"/>
  <c r="I56" i="1"/>
  <c r="E21" i="8"/>
  <c r="M120" i="13"/>
  <c r="F150" i="7"/>
  <c r="D20" i="9"/>
  <c r="F8" i="7"/>
  <c r="I366" i="2"/>
  <c r="I362" i="2" s="1"/>
  <c r="I86" i="5"/>
  <c r="H69" i="7"/>
  <c r="D169" i="7"/>
  <c r="G25" i="5"/>
  <c r="F63" i="7"/>
  <c r="G22" i="3"/>
  <c r="H34" i="4"/>
  <c r="D92" i="5"/>
  <c r="E25" i="5"/>
  <c r="L312" i="2"/>
  <c r="K171" i="9"/>
  <c r="E180" i="2"/>
  <c r="E20" i="2"/>
  <c r="D30" i="2"/>
  <c r="M347" i="9"/>
  <c r="M346" i="9" s="1"/>
  <c r="M345" i="9" s="1"/>
  <c r="G61" i="5"/>
  <c r="M334" i="9"/>
  <c r="E153" i="6"/>
  <c r="E24" i="6" s="1"/>
  <c r="K22" i="9"/>
  <c r="K21" i="9" s="1"/>
  <c r="K17" i="9" s="1"/>
  <c r="D115" i="9"/>
  <c r="F435" i="2"/>
  <c r="L368" i="2"/>
  <c r="D436" i="2"/>
  <c r="D435" i="2" s="1"/>
  <c r="J165" i="8"/>
  <c r="G148" i="3"/>
  <c r="I236" i="9"/>
  <c r="L12" i="7"/>
  <c r="K175" i="9"/>
  <c r="D44" i="2"/>
  <c r="H16" i="3"/>
  <c r="H14" i="3" s="1"/>
  <c r="J16" i="3"/>
  <c r="M207" i="2"/>
  <c r="M205" i="2" s="1"/>
  <c r="M204" i="2" s="1"/>
  <c r="F37" i="2"/>
  <c r="F14" i="2" s="1"/>
  <c r="C20" i="1" s="1"/>
  <c r="H11" i="3"/>
  <c r="J62" i="3"/>
  <c r="J11" i="3"/>
  <c r="J12" i="3"/>
  <c r="I12" i="3"/>
  <c r="H12" i="3"/>
  <c r="G12" i="3"/>
  <c r="F22" i="3"/>
  <c r="K154" i="9"/>
  <c r="G26" i="3"/>
  <c r="G25" i="3" s="1"/>
  <c r="I16" i="3"/>
  <c r="M63" i="6"/>
  <c r="E99" i="3"/>
  <c r="E22" i="3"/>
  <c r="E20" i="3" s="1"/>
  <c r="E17" i="3" s="1"/>
  <c r="I11" i="3"/>
  <c r="K90" i="4"/>
  <c r="K89" i="4" s="1"/>
  <c r="D92" i="4"/>
  <c r="D90" i="4" s="1"/>
  <c r="G175" i="3"/>
  <c r="K114" i="3"/>
  <c r="D100" i="3"/>
  <c r="D99" i="3" s="1"/>
  <c r="D96" i="3" s="1"/>
  <c r="I300" i="3"/>
  <c r="M115" i="3"/>
  <c r="H286" i="3"/>
  <c r="M34" i="3"/>
  <c r="F176" i="3"/>
  <c r="M176" i="3" s="1"/>
  <c r="I114" i="3"/>
  <c r="M68" i="3"/>
  <c r="M67" i="3" s="1"/>
  <c r="D172" i="3"/>
  <c r="D171" i="3" s="1"/>
  <c r="D170" i="3" s="1"/>
  <c r="G32" i="3"/>
  <c r="G15" i="3" s="1"/>
  <c r="F114" i="3"/>
  <c r="F63" i="3"/>
  <c r="D116" i="3"/>
  <c r="L161" i="3"/>
  <c r="L160" i="3" s="1"/>
  <c r="G165" i="3"/>
  <c r="G164" i="3" s="1"/>
  <c r="D180" i="3"/>
  <c r="M64" i="3"/>
  <c r="D210" i="3"/>
  <c r="F281" i="3"/>
  <c r="F31" i="3"/>
  <c r="P299" i="3"/>
  <c r="E19" i="1"/>
  <c r="F20" i="3"/>
  <c r="I14" i="3"/>
  <c r="D19" i="1"/>
  <c r="M103" i="3"/>
  <c r="M102" i="3" s="1"/>
  <c r="J108" i="3"/>
  <c r="K102" i="3"/>
  <c r="D111" i="3"/>
  <c r="D108" i="3" s="1"/>
  <c r="F102" i="3"/>
  <c r="D32" i="3"/>
  <c r="D31" i="3" s="1"/>
  <c r="E148" i="3"/>
  <c r="L141" i="6"/>
  <c r="M216" i="6"/>
  <c r="M215" i="6" s="1"/>
  <c r="L222" i="6"/>
  <c r="K215" i="6"/>
  <c r="D63" i="6"/>
  <c r="D62" i="6" s="1"/>
  <c r="O62" i="6" s="1"/>
  <c r="E74" i="6"/>
  <c r="J60" i="1"/>
  <c r="J69" i="1"/>
  <c r="F205" i="2"/>
  <c r="F204" i="2" s="1"/>
  <c r="F64" i="1"/>
  <c r="E300" i="2"/>
  <c r="L288" i="2"/>
  <c r="J290" i="6"/>
  <c r="F97" i="6"/>
  <c r="F96" i="6" s="1"/>
  <c r="I165" i="8"/>
  <c r="F104" i="8"/>
  <c r="H114" i="8"/>
  <c r="H113" i="8" s="1"/>
  <c r="H165" i="8" s="1"/>
  <c r="F114" i="8"/>
  <c r="F113" i="8" s="1"/>
  <c r="F165" i="8" s="1"/>
  <c r="F90" i="1"/>
  <c r="K240" i="2"/>
  <c r="G114" i="8"/>
  <c r="G113" i="8" s="1"/>
  <c r="G165" i="8" s="1"/>
  <c r="G90" i="1"/>
  <c r="E90" i="1"/>
  <c r="I287" i="9"/>
  <c r="G85" i="6"/>
  <c r="L145" i="6"/>
  <c r="L144" i="6" s="1"/>
  <c r="G43" i="8"/>
  <c r="I105" i="8"/>
  <c r="I104" i="8" s="1"/>
  <c r="G105" i="8"/>
  <c r="G104" i="8" s="1"/>
  <c r="I16" i="6"/>
  <c r="F23" i="1" s="1"/>
  <c r="L205" i="9"/>
  <c r="I160" i="3"/>
  <c r="G59" i="4"/>
  <c r="D91" i="1"/>
  <c r="B65" i="1"/>
  <c r="H67" i="3"/>
  <c r="H15" i="9"/>
  <c r="F180" i="2"/>
  <c r="M192" i="2"/>
  <c r="M57" i="8"/>
  <c r="B59" i="1"/>
  <c r="I62" i="3"/>
  <c r="E106" i="5"/>
  <c r="J105" i="8"/>
  <c r="J104" i="8" s="1"/>
  <c r="M643" i="2"/>
  <c r="M642" i="2" s="1"/>
  <c r="M641" i="2" s="1"/>
  <c r="F59" i="4"/>
  <c r="C91" i="1"/>
  <c r="C65" i="1"/>
  <c r="I67" i="3"/>
  <c r="D13" i="9"/>
  <c r="F216" i="2"/>
  <c r="G243" i="6"/>
  <c r="G242" i="6" s="1"/>
  <c r="L199" i="6"/>
  <c r="L233" i="6"/>
  <c r="M245" i="6"/>
  <c r="J145" i="6"/>
  <c r="J144" i="6" s="1"/>
  <c r="D173" i="6"/>
  <c r="J165" i="6"/>
  <c r="H145" i="6"/>
  <c r="H144" i="6" s="1"/>
  <c r="F22" i="6"/>
  <c r="F20" i="6" s="1"/>
  <c r="K85" i="6"/>
  <c r="D90" i="6"/>
  <c r="O90" i="6" s="1"/>
  <c r="H20" i="6"/>
  <c r="G294" i="2"/>
  <c r="G288" i="2"/>
  <c r="G300" i="2"/>
  <c r="M216" i="2"/>
  <c r="J22" i="9"/>
  <c r="J21" i="9" s="1"/>
  <c r="H22" i="9"/>
  <c r="E22" i="9"/>
  <c r="I109" i="9"/>
  <c r="I11" i="9"/>
  <c r="I10" i="9" s="1"/>
  <c r="F81" i="9"/>
  <c r="G11" i="9"/>
  <c r="D190" i="9"/>
  <c r="D189" i="9" s="1"/>
  <c r="D188" i="9" s="1"/>
  <c r="K164" i="9"/>
  <c r="K250" i="9"/>
  <c r="K249" i="9" s="1"/>
  <c r="L165" i="9"/>
  <c r="J15" i="9"/>
  <c r="I22" i="9"/>
  <c r="I21" i="9" s="1"/>
  <c r="H109" i="9"/>
  <c r="H108" i="9" s="1"/>
  <c r="H11" i="9"/>
  <c r="H10" i="9" s="1"/>
  <c r="J109" i="9"/>
  <c r="J11" i="9"/>
  <c r="L121" i="9"/>
  <c r="L118" i="9" s="1"/>
  <c r="G237" i="9"/>
  <c r="D153" i="9"/>
  <c r="D152" i="9" s="1"/>
  <c r="L19" i="9"/>
  <c r="D76" i="9"/>
  <c r="G22" i="9"/>
  <c r="G21" i="9" s="1"/>
  <c r="I15" i="9"/>
  <c r="F22" i="9"/>
  <c r="F21" i="9" s="1"/>
  <c r="L228" i="6"/>
  <c r="M147" i="6"/>
  <c r="J141" i="6"/>
  <c r="J140" i="6" s="1"/>
  <c r="L172" i="6"/>
  <c r="J153" i="6"/>
  <c r="J24" i="6" s="1"/>
  <c r="J23" i="6" s="1"/>
  <c r="G150" i="6"/>
  <c r="K222" i="6"/>
  <c r="D184" i="6"/>
  <c r="K180" i="6"/>
  <c r="H172" i="6"/>
  <c r="D41" i="9"/>
  <c r="D60" i="9"/>
  <c r="D57" i="9" s="1"/>
  <c r="D55" i="9"/>
  <c r="D124" i="8"/>
  <c r="D123" i="8" s="1"/>
  <c r="D162" i="8" s="1"/>
  <c r="D164" i="8" s="1"/>
  <c r="M77" i="8"/>
  <c r="I49" i="8"/>
  <c r="E114" i="8"/>
  <c r="E113" i="8" s="1"/>
  <c r="E165" i="8" s="1"/>
  <c r="G49" i="8"/>
  <c r="F49" i="8"/>
  <c r="F47" i="8"/>
  <c r="I22" i="8"/>
  <c r="G29" i="1"/>
  <c r="D48" i="8"/>
  <c r="L44" i="8"/>
  <c r="L43" i="8" s="1"/>
  <c r="H47" i="8"/>
  <c r="H43" i="8" s="1"/>
  <c r="J27" i="8"/>
  <c r="J11" i="8"/>
  <c r="M46" i="8"/>
  <c r="M13" i="8" s="1"/>
  <c r="F32" i="8"/>
  <c r="K15" i="8"/>
  <c r="I15" i="8"/>
  <c r="L83" i="8"/>
  <c r="L82" i="8" s="1"/>
  <c r="F95" i="8"/>
  <c r="M120" i="8"/>
  <c r="M119" i="8" s="1"/>
  <c r="I10" i="8"/>
  <c r="I179" i="9"/>
  <c r="G330" i="9"/>
  <c r="H333" i="9"/>
  <c r="H332" i="9" s="1"/>
  <c r="L25" i="9"/>
  <c r="E67" i="1"/>
  <c r="H201" i="9"/>
  <c r="L333" i="9"/>
  <c r="L332" i="9" s="1"/>
  <c r="H281" i="9"/>
  <c r="H292" i="9"/>
  <c r="I260" i="3"/>
  <c r="F85" i="6"/>
  <c r="G90" i="6"/>
  <c r="H300" i="3"/>
  <c r="G304" i="3"/>
  <c r="H141" i="6"/>
  <c r="D146" i="6"/>
  <c r="D302" i="6" s="1"/>
  <c r="E44" i="3"/>
  <c r="G260" i="3"/>
  <c r="L215" i="6"/>
  <c r="L20" i="6"/>
  <c r="I153" i="6"/>
  <c r="I24" i="6" s="1"/>
  <c r="F144" i="3"/>
  <c r="F139" i="3" s="1"/>
  <c r="L169" i="7"/>
  <c r="H302" i="9"/>
  <c r="M111" i="6"/>
  <c r="E356" i="2"/>
  <c r="D307" i="3"/>
  <c r="D305" i="3"/>
  <c r="D189" i="6"/>
  <c r="D233" i="6"/>
  <c r="E79" i="2"/>
  <c r="I183" i="6"/>
  <c r="I180" i="6" s="1"/>
  <c r="F172" i="6"/>
  <c r="K228" i="6"/>
  <c r="H13" i="6"/>
  <c r="E20" i="6"/>
  <c r="H165" i="6"/>
  <c r="M173" i="6"/>
  <c r="C21" i="1"/>
  <c r="H153" i="6"/>
  <c r="H152" i="6" s="1"/>
  <c r="G180" i="6"/>
  <c r="M189" i="6"/>
  <c r="F188" i="6"/>
  <c r="E291" i="6"/>
  <c r="I150" i="6"/>
  <c r="O65" i="6"/>
  <c r="M74" i="6"/>
  <c r="K294" i="2"/>
  <c r="D168" i="2"/>
  <c r="I169" i="7"/>
  <c r="L294" i="2"/>
  <c r="J7" i="2"/>
  <c r="D136" i="2"/>
  <c r="D26" i="13"/>
  <c r="I16" i="7"/>
  <c r="G62" i="1"/>
  <c r="G61" i="1" s="1"/>
  <c r="M85" i="6"/>
  <c r="D85" i="6"/>
  <c r="O85" i="6" s="1"/>
  <c r="D469" i="2"/>
  <c r="K434" i="2"/>
  <c r="D113" i="2"/>
  <c r="D40" i="13"/>
  <c r="F136" i="13"/>
  <c r="F138" i="13" s="1"/>
  <c r="F61" i="5"/>
  <c r="M32" i="13"/>
  <c r="M31" i="13" s="1"/>
  <c r="F18" i="13"/>
  <c r="M75" i="13"/>
  <c r="D103" i="13"/>
  <c r="D17" i="13"/>
  <c r="D90" i="13"/>
  <c r="O77" i="13"/>
  <c r="D112" i="13"/>
  <c r="D25" i="13"/>
  <c r="F179" i="9"/>
  <c r="F434" i="2"/>
  <c r="D97" i="2"/>
  <c r="D377" i="2"/>
  <c r="B70" i="1"/>
  <c r="P70" i="1" s="1"/>
  <c r="P71" i="1"/>
  <c r="F32" i="1"/>
  <c r="F125" i="1" s="1"/>
  <c r="F171" i="1" s="1"/>
  <c r="G47" i="13"/>
  <c r="M54" i="13"/>
  <c r="M53" i="13" s="1"/>
  <c r="L18" i="6"/>
  <c r="L17" i="6" s="1"/>
  <c r="K131" i="7"/>
  <c r="B67" i="1"/>
  <c r="P67" i="1" s="1"/>
  <c r="D26" i="3"/>
  <c r="L12" i="9"/>
  <c r="D161" i="9"/>
  <c r="D12" i="9" s="1"/>
  <c r="J11" i="13"/>
  <c r="H11" i="13"/>
  <c r="B55" i="1"/>
  <c r="P55" i="1" s="1"/>
  <c r="H57" i="1"/>
  <c r="H111" i="1" s="1"/>
  <c r="H157" i="1" s="1"/>
  <c r="K14" i="7"/>
  <c r="H62" i="1"/>
  <c r="H61" i="1" s="1"/>
  <c r="B32" i="1"/>
  <c r="B125" i="1" s="1"/>
  <c r="B171" i="1" s="1"/>
  <c r="J114" i="3"/>
  <c r="K95" i="8"/>
  <c r="G95" i="8"/>
  <c r="I11" i="13"/>
  <c r="G11" i="13"/>
  <c r="J244" i="6"/>
  <c r="J243" i="6" s="1"/>
  <c r="J242" i="6" s="1"/>
  <c r="L95" i="8"/>
  <c r="F100" i="8"/>
  <c r="E296" i="9"/>
  <c r="G30" i="5"/>
  <c r="D76" i="5"/>
  <c r="D80" i="5"/>
  <c r="F18" i="5"/>
  <c r="D12" i="5"/>
  <c r="M14" i="5"/>
  <c r="M16" i="5"/>
  <c r="L18" i="5"/>
  <c r="M35" i="4"/>
  <c r="L28" i="4"/>
  <c r="L109" i="4" s="1"/>
  <c r="I110" i="4"/>
  <c r="F73" i="7"/>
  <c r="F69" i="7" s="1"/>
  <c r="D74" i="7"/>
  <c r="D73" i="7" s="1"/>
  <c r="L119" i="7"/>
  <c r="I172" i="6"/>
  <c r="M650" i="2"/>
  <c r="M649" i="2" s="1"/>
  <c r="H526" i="2"/>
  <c r="E343" i="2"/>
  <c r="K416" i="2"/>
  <c r="M180" i="2"/>
  <c r="M229" i="2"/>
  <c r="M228" i="2" s="1"/>
  <c r="H95" i="8"/>
  <c r="E11" i="8"/>
  <c r="I95" i="8"/>
  <c r="D13" i="8"/>
  <c r="K49" i="8"/>
  <c r="E27" i="8"/>
  <c r="E20" i="8" s="1"/>
  <c r="F31" i="9"/>
  <c r="K31" i="9"/>
  <c r="F302" i="9"/>
  <c r="G154" i="9"/>
  <c r="I240" i="9"/>
  <c r="E45" i="9"/>
  <c r="H271" i="9"/>
  <c r="D18" i="9"/>
  <c r="H179" i="9"/>
  <c r="K201" i="9"/>
  <c r="D38" i="9"/>
  <c r="D37" i="9" s="1"/>
  <c r="K30" i="5"/>
  <c r="I18" i="5"/>
  <c r="J18" i="5"/>
  <c r="D12" i="4"/>
  <c r="K34" i="4"/>
  <c r="I19" i="13"/>
  <c r="J19" i="13"/>
  <c r="H143" i="7"/>
  <c r="H169" i="7"/>
  <c r="K150" i="7"/>
  <c r="K81" i="7"/>
  <c r="F90" i="6"/>
  <c r="J172" i="6"/>
  <c r="D177" i="6"/>
  <c r="E13" i="6"/>
  <c r="K16" i="6"/>
  <c r="H23" i="1" s="1"/>
  <c r="K79" i="6"/>
  <c r="G161" i="3"/>
  <c r="G20" i="3"/>
  <c r="G17" i="3" s="1"/>
  <c r="O200" i="3"/>
  <c r="D72" i="3"/>
  <c r="D71" i="3" s="1"/>
  <c r="D179" i="3"/>
  <c r="K12" i="3"/>
  <c r="F392" i="2"/>
  <c r="M68" i="2"/>
  <c r="F276" i="2"/>
  <c r="D538" i="2"/>
  <c r="O532" i="2" s="1"/>
  <c r="D539" i="2"/>
  <c r="D542" i="2"/>
  <c r="D541" i="2" s="1"/>
  <c r="O447" i="2"/>
  <c r="D446" i="2"/>
  <c r="K216" i="2"/>
  <c r="D216" i="2"/>
  <c r="M69" i="3"/>
  <c r="M177" i="3"/>
  <c r="D208" i="3"/>
  <c r="D211" i="3"/>
  <c r="M215" i="3"/>
  <c r="K205" i="3"/>
  <c r="M193" i="3"/>
  <c r="K18" i="3"/>
  <c r="L281" i="3"/>
  <c r="L204" i="3"/>
  <c r="K293" i="3"/>
  <c r="F71" i="3"/>
  <c r="K71" i="3"/>
  <c r="O71" i="3" s="1"/>
  <c r="L275" i="3"/>
  <c r="M32" i="3"/>
  <c r="M31" i="3" s="1"/>
  <c r="F108" i="3"/>
  <c r="K141" i="3"/>
  <c r="K140" i="3" s="1"/>
  <c r="K183" i="3"/>
  <c r="D178" i="3"/>
  <c r="F206" i="3"/>
  <c r="M214" i="3"/>
  <c r="H84" i="3"/>
  <c r="D89" i="13"/>
  <c r="P24" i="2"/>
  <c r="H30" i="1"/>
  <c r="H122" i="1" s="1"/>
  <c r="H168" i="1" s="1"/>
  <c r="O79" i="13"/>
  <c r="D156" i="9"/>
  <c r="D155" i="9" s="1"/>
  <c r="D154" i="9" s="1"/>
  <c r="J120" i="3"/>
  <c r="I192" i="3"/>
  <c r="D168" i="3"/>
  <c r="H57" i="7"/>
  <c r="K75" i="13"/>
  <c r="E75" i="13"/>
  <c r="H10" i="13"/>
  <c r="J10" i="13"/>
  <c r="K33" i="13"/>
  <c r="K136" i="13" s="1"/>
  <c r="E113" i="5"/>
  <c r="E112" i="5" s="1"/>
  <c r="G137" i="7"/>
  <c r="L50" i="2"/>
  <c r="L22" i="3"/>
  <c r="L20" i="3" s="1"/>
  <c r="L17" i="3" s="1"/>
  <c r="D11" i="7"/>
  <c r="I281" i="9"/>
  <c r="I360" i="9" s="1"/>
  <c r="M407" i="2"/>
  <c r="I372" i="2"/>
  <c r="I369" i="2" s="1"/>
  <c r="E258" i="2"/>
  <c r="E255" i="9"/>
  <c r="E48" i="13"/>
  <c r="E54" i="13"/>
  <c r="L102" i="3"/>
  <c r="L63" i="7"/>
  <c r="M108" i="5"/>
  <c r="M106" i="5" s="1"/>
  <c r="M105" i="5" s="1"/>
  <c r="F336" i="2"/>
  <c r="K47" i="2"/>
  <c r="K43" i="2" s="1"/>
  <c r="J139" i="3"/>
  <c r="K398" i="2"/>
  <c r="E113" i="2"/>
  <c r="E102" i="3"/>
  <c r="F281" i="9"/>
  <c r="J275" i="9"/>
  <c r="L216" i="3"/>
  <c r="L276" i="2"/>
  <c r="H104" i="4"/>
  <c r="G35" i="2"/>
  <c r="H48" i="2"/>
  <c r="H42" i="2" s="1"/>
  <c r="E24" i="7"/>
  <c r="E23" i="7" s="1"/>
  <c r="M454" i="2"/>
  <c r="J175" i="3"/>
  <c r="H175" i="3"/>
  <c r="M179" i="3"/>
  <c r="F374" i="2"/>
  <c r="F372" i="2" s="1"/>
  <c r="F369" i="2" s="1"/>
  <c r="D443" i="2"/>
  <c r="D444" i="2"/>
  <c r="D50" i="6"/>
  <c r="J133" i="3"/>
  <c r="I126" i="3"/>
  <c r="D253" i="3"/>
  <c r="K249" i="3"/>
  <c r="K248" i="3" s="1"/>
  <c r="D250" i="3"/>
  <c r="M268" i="3"/>
  <c r="M267" i="3" s="1"/>
  <c r="F6" i="7"/>
  <c r="G150" i="7"/>
  <c r="K137" i="7"/>
  <c r="G143" i="7"/>
  <c r="G169" i="7"/>
  <c r="H10" i="7"/>
  <c r="L113" i="7"/>
  <c r="K143" i="7"/>
  <c r="L45" i="7"/>
  <c r="L57" i="7"/>
  <c r="E8" i="7"/>
  <c r="E6" i="7" s="1"/>
  <c r="B62" i="1"/>
  <c r="H14" i="7"/>
  <c r="G57" i="1"/>
  <c r="H26" i="6"/>
  <c r="J17" i="2"/>
  <c r="F24" i="3"/>
  <c r="E464" i="2"/>
  <c r="D299" i="6"/>
  <c r="M299" i="6" s="1"/>
  <c r="G31" i="3"/>
  <c r="G24" i="3" s="1"/>
  <c r="F290" i="6"/>
  <c r="L61" i="3"/>
  <c r="L53" i="13"/>
  <c r="K465" i="2"/>
  <c r="F469" i="2"/>
  <c r="F464" i="2" s="1"/>
  <c r="K74" i="6"/>
  <c r="F74" i="6"/>
  <c r="I207" i="6"/>
  <c r="L207" i="6"/>
  <c r="I199" i="6"/>
  <c r="L343" i="2"/>
  <c r="H301" i="6"/>
  <c r="I301" i="6"/>
  <c r="M398" i="2"/>
  <c r="L407" i="2"/>
  <c r="F330" i="9"/>
  <c r="L330" i="9"/>
  <c r="L329" i="9" s="1"/>
  <c r="I10" i="13"/>
  <c r="L325" i="2"/>
  <c r="L324" i="2" s="1"/>
  <c r="M112" i="6"/>
  <c r="M113" i="6"/>
  <c r="F240" i="9"/>
  <c r="F131" i="7"/>
  <c r="H131" i="7"/>
  <c r="I131" i="7"/>
  <c r="E186" i="2"/>
  <c r="E386" i="2"/>
  <c r="L22" i="9"/>
  <c r="L18" i="9"/>
  <c r="J15" i="8"/>
  <c r="J10" i="8" s="1"/>
  <c r="F15" i="8"/>
  <c r="D282" i="9"/>
  <c r="G275" i="9"/>
  <c r="G264" i="2"/>
  <c r="F270" i="2"/>
  <c r="G270" i="2"/>
  <c r="G258" i="2"/>
  <c r="G104" i="4"/>
  <c r="G51" i="4"/>
  <c r="D277" i="3"/>
  <c r="D276" i="3" s="1"/>
  <c r="D275" i="3" s="1"/>
  <c r="K276" i="3"/>
  <c r="K275" i="3" s="1"/>
  <c r="K163" i="6"/>
  <c r="M164" i="6"/>
  <c r="F77" i="8"/>
  <c r="K271" i="9"/>
  <c r="E275" i="9"/>
  <c r="D72" i="8"/>
  <c r="D71" i="8" s="1"/>
  <c r="L71" i="8"/>
  <c r="L68" i="8" s="1"/>
  <c r="L9" i="8" s="1"/>
  <c r="H175" i="7"/>
  <c r="G22" i="8"/>
  <c r="D51" i="8"/>
  <c r="D50" i="8" s="1"/>
  <c r="G7" i="7"/>
  <c r="G158" i="7"/>
  <c r="G157" i="7" s="1"/>
  <c r="G18" i="7"/>
  <c r="G164" i="7"/>
  <c r="G163" i="7" s="1"/>
  <c r="K227" i="3"/>
  <c r="F382" i="2"/>
  <c r="L260" i="3"/>
  <c r="M30" i="13"/>
  <c r="M29" i="13" s="1"/>
  <c r="M28" i="13" s="1"/>
  <c r="F12" i="13"/>
  <c r="D30" i="13"/>
  <c r="D29" i="13" s="1"/>
  <c r="J300" i="3"/>
  <c r="I304" i="3"/>
  <c r="G86" i="8"/>
  <c r="K100" i="8"/>
  <c r="F126" i="3"/>
  <c r="I100" i="7"/>
  <c r="E9" i="7"/>
  <c r="O27" i="4"/>
  <c r="D14" i="4"/>
  <c r="D13" i="4" s="1"/>
  <c r="E120" i="2"/>
  <c r="E215" i="6"/>
  <c r="E222" i="6"/>
  <c r="E228" i="6"/>
  <c r="E233" i="6"/>
  <c r="E32" i="8"/>
  <c r="E49" i="8"/>
  <c r="E244" i="9"/>
  <c r="E15" i="5"/>
  <c r="E11" i="5" s="1"/>
  <c r="D485" i="2"/>
  <c r="D493" i="2"/>
  <c r="M50" i="6"/>
  <c r="L158" i="6"/>
  <c r="I158" i="6"/>
  <c r="E50" i="2"/>
  <c r="E48" i="2" s="1"/>
  <c r="F56" i="1"/>
  <c r="J21" i="8"/>
  <c r="L154" i="3"/>
  <c r="L153" i="3" s="1"/>
  <c r="L152" i="3" s="1"/>
  <c r="I35" i="2"/>
  <c r="I34" i="2" s="1"/>
  <c r="D19" i="7"/>
  <c r="G281" i="9"/>
  <c r="M459" i="2"/>
  <c r="E157" i="7"/>
  <c r="I157" i="7"/>
  <c r="D184" i="3"/>
  <c r="M184" i="3"/>
  <c r="K196" i="3"/>
  <c r="L192" i="3"/>
  <c r="L8" i="3" s="1"/>
  <c r="K198" i="3"/>
  <c r="I198" i="3"/>
  <c r="M208" i="3"/>
  <c r="M211" i="3"/>
  <c r="F213" i="3"/>
  <c r="L222" i="3"/>
  <c r="F228" i="3"/>
  <c r="F227" i="3" s="1"/>
  <c r="L231" i="3"/>
  <c r="L264" i="2"/>
  <c r="K270" i="2"/>
  <c r="J78" i="3"/>
  <c r="M250" i="3"/>
  <c r="J366" i="2"/>
  <c r="K40" i="4"/>
  <c r="G40" i="4"/>
  <c r="G108" i="4" s="1"/>
  <c r="G75" i="13"/>
  <c r="G9" i="13" s="1"/>
  <c r="F145" i="9"/>
  <c r="M266" i="2"/>
  <c r="M265" i="2" s="1"/>
  <c r="E288" i="2"/>
  <c r="H294" i="2"/>
  <c r="E34" i="13"/>
  <c r="E24" i="13"/>
  <c r="E19" i="13" s="1"/>
  <c r="K288" i="2"/>
  <c r="M453" i="2"/>
  <c r="H56" i="3"/>
  <c r="K280" i="2"/>
  <c r="D281" i="2"/>
  <c r="D280" i="2" s="1"/>
  <c r="D290" i="2"/>
  <c r="D289" i="2" s="1"/>
  <c r="F184" i="9"/>
  <c r="M185" i="9"/>
  <c r="M184" i="9" s="1"/>
  <c r="M183" i="9" s="1"/>
  <c r="E57" i="8"/>
  <c r="D301" i="3"/>
  <c r="D300" i="3" s="1"/>
  <c r="M75" i="5"/>
  <c r="L126" i="3"/>
  <c r="E86" i="5"/>
  <c r="H75" i="7"/>
  <c r="H192" i="2"/>
  <c r="F192" i="2"/>
  <c r="O37" i="4"/>
  <c r="F40" i="4"/>
  <c r="F108" i="4" s="1"/>
  <c r="H40" i="4"/>
  <c r="H108" i="4" s="1"/>
  <c r="M201" i="6"/>
  <c r="M238" i="9"/>
  <c r="M127" i="3"/>
  <c r="M126" i="3" s="1"/>
  <c r="E234" i="2"/>
  <c r="E605" i="2"/>
  <c r="E604" i="2" s="1"/>
  <c r="E650" i="2"/>
  <c r="E649" i="2" s="1"/>
  <c r="E145" i="3"/>
  <c r="E144" i="3" s="1"/>
  <c r="D157" i="3"/>
  <c r="E52" i="4"/>
  <c r="B56" i="1" s="1"/>
  <c r="P56" i="1" s="1"/>
  <c r="E143" i="7"/>
  <c r="F164" i="9"/>
  <c r="M444" i="2"/>
  <c r="K144" i="3"/>
  <c r="J281" i="3"/>
  <c r="E84" i="3"/>
  <c r="D167" i="3"/>
  <c r="L186" i="3"/>
  <c r="G281" i="3"/>
  <c r="J260" i="3"/>
  <c r="L266" i="3"/>
  <c r="D218" i="3"/>
  <c r="D217" i="3" s="1"/>
  <c r="H78" i="3"/>
  <c r="J84" i="3"/>
  <c r="D268" i="3"/>
  <c r="K300" i="3"/>
  <c r="H133" i="3"/>
  <c r="F50" i="3"/>
  <c r="F224" i="3"/>
  <c r="F209" i="3"/>
  <c r="M209" i="3" s="1"/>
  <c r="G460" i="2"/>
  <c r="F56" i="3"/>
  <c r="D46" i="3"/>
  <c r="M571" i="2"/>
  <c r="M570" i="2" s="1"/>
  <c r="D57" i="13"/>
  <c r="M57" i="13"/>
  <c r="H108" i="6"/>
  <c r="H107" i="6" s="1"/>
  <c r="L120" i="3"/>
  <c r="L71" i="3"/>
  <c r="D339" i="2"/>
  <c r="K39" i="2"/>
  <c r="K35" i="2" s="1"/>
  <c r="K34" i="2" s="1"/>
  <c r="E41" i="6"/>
  <c r="E56" i="6"/>
  <c r="E79" i="6"/>
  <c r="E90" i="6"/>
  <c r="M102" i="6"/>
  <c r="J9" i="4"/>
  <c r="J82" i="13"/>
  <c r="J137" i="13" s="1"/>
  <c r="J138" i="13" s="1"/>
  <c r="J139" i="13" s="1"/>
  <c r="D454" i="2"/>
  <c r="D459" i="2"/>
  <c r="K457" i="2"/>
  <c r="K456" i="2" s="1"/>
  <c r="K452" i="2"/>
  <c r="K451" i="2" s="1"/>
  <c r="K364" i="2" s="1"/>
  <c r="D18" i="5"/>
  <c r="I102" i="3"/>
  <c r="J102" i="3"/>
  <c r="H102" i="3"/>
  <c r="L64" i="13"/>
  <c r="D68" i="6"/>
  <c r="O68" i="6" s="1"/>
  <c r="G457" i="2"/>
  <c r="G452" i="2"/>
  <c r="G451" i="2" s="1"/>
  <c r="G364" i="2" s="1"/>
  <c r="M192" i="3"/>
  <c r="M110" i="6"/>
  <c r="K126" i="3"/>
  <c r="G126" i="3"/>
  <c r="M92" i="4"/>
  <c r="V104" i="4" s="1"/>
  <c r="E9" i="4"/>
  <c r="E5" i="4"/>
  <c r="H9" i="4"/>
  <c r="E452" i="2"/>
  <c r="E451" i="2" s="1"/>
  <c r="D453" i="2"/>
  <c r="E457" i="2"/>
  <c r="E456" i="2" s="1"/>
  <c r="D458" i="2"/>
  <c r="F457" i="2"/>
  <c r="F452" i="2"/>
  <c r="H15" i="4"/>
  <c r="G22" i="1"/>
  <c r="G116" i="1" s="1"/>
  <c r="G162" i="1" s="1"/>
  <c r="E32" i="1"/>
  <c r="E125" i="1" s="1"/>
  <c r="E171" i="1" s="1"/>
  <c r="G32" i="1"/>
  <c r="G125" i="1" s="1"/>
  <c r="G171" i="1" s="1"/>
  <c r="J17" i="3"/>
  <c r="K260" i="3"/>
  <c r="M141" i="3"/>
  <c r="M140" i="3" s="1"/>
  <c r="K24" i="3"/>
  <c r="M36" i="2"/>
  <c r="F157" i="7"/>
  <c r="D120" i="3"/>
  <c r="H16" i="6"/>
  <c r="E23" i="1" s="1"/>
  <c r="I61" i="5"/>
  <c r="I9" i="5" s="1"/>
  <c r="I8" i="5" s="1"/>
  <c r="J105" i="5"/>
  <c r="H105" i="5"/>
  <c r="J47" i="5"/>
  <c r="M228" i="6"/>
  <c r="K233" i="6"/>
  <c r="K210" i="2"/>
  <c r="F57" i="9"/>
  <c r="M532" i="2"/>
  <c r="D47" i="6"/>
  <c r="K42" i="6"/>
  <c r="H56" i="6"/>
  <c r="K69" i="13"/>
  <c r="K137" i="13" s="1"/>
  <c r="E103" i="2"/>
  <c r="E78" i="3"/>
  <c r="E108" i="3"/>
  <c r="D80" i="4"/>
  <c r="D79" i="4" s="1"/>
  <c r="E41" i="5"/>
  <c r="L157" i="7"/>
  <c r="K134" i="9"/>
  <c r="L306" i="2"/>
  <c r="F161" i="3"/>
  <c r="K20" i="3"/>
  <c r="G81" i="7"/>
  <c r="F107" i="7"/>
  <c r="G113" i="7"/>
  <c r="G63" i="7"/>
  <c r="L693" i="2"/>
  <c r="I90" i="1" s="1"/>
  <c r="K54" i="5"/>
  <c r="K57" i="9"/>
  <c r="L163" i="7"/>
  <c r="J67" i="3"/>
  <c r="F398" i="2"/>
  <c r="F134" i="9"/>
  <c r="H134" i="9"/>
  <c r="J134" i="9"/>
  <c r="K109" i="9"/>
  <c r="K125" i="9"/>
  <c r="G125" i="9"/>
  <c r="D52" i="3"/>
  <c r="D50" i="3" s="1"/>
  <c r="H50" i="3"/>
  <c r="E387" i="3"/>
  <c r="E384" i="3"/>
  <c r="E383" i="3" s="1"/>
  <c r="E382" i="3" s="1"/>
  <c r="F383" i="3"/>
  <c r="F382" i="3" s="1"/>
  <c r="M384" i="3"/>
  <c r="M383" i="3" s="1"/>
  <c r="M382" i="3" s="1"/>
  <c r="H97" i="6"/>
  <c r="F118" i="9"/>
  <c r="J118" i="9"/>
  <c r="H118" i="9"/>
  <c r="F109" i="9"/>
  <c r="G118" i="9"/>
  <c r="G360" i="9" s="1"/>
  <c r="L108" i="9"/>
  <c r="G186" i="3"/>
  <c r="J186" i="3"/>
  <c r="K216" i="3"/>
  <c r="G216" i="3"/>
  <c r="F216" i="3"/>
  <c r="H216" i="3"/>
  <c r="K186" i="3"/>
  <c r="I186" i="3"/>
  <c r="I216" i="3"/>
  <c r="F231" i="3"/>
  <c r="H231" i="3"/>
  <c r="J231" i="3"/>
  <c r="G275" i="3"/>
  <c r="I286" i="3"/>
  <c r="G286" i="3"/>
  <c r="I275" i="3"/>
  <c r="F260" i="3"/>
  <c r="H260" i="3"/>
  <c r="F275" i="3"/>
  <c r="H275" i="3"/>
  <c r="J275" i="3"/>
  <c r="K286" i="3"/>
  <c r="E53" i="2"/>
  <c r="G301" i="6"/>
  <c r="H464" i="2"/>
  <c r="J121" i="6"/>
  <c r="J464" i="2"/>
  <c r="K41" i="5"/>
  <c r="J207" i="6"/>
  <c r="F252" i="2"/>
  <c r="E60" i="2"/>
  <c r="D106" i="5"/>
  <c r="D59" i="4"/>
  <c r="L69" i="7"/>
  <c r="L49" i="8"/>
  <c r="K69" i="7"/>
  <c r="E516" i="2"/>
  <c r="F516" i="2"/>
  <c r="G516" i="2"/>
  <c r="M25" i="5"/>
  <c r="M113" i="2"/>
  <c r="M485" i="2"/>
  <c r="M480" i="2" s="1"/>
  <c r="I473" i="2"/>
  <c r="J473" i="2"/>
  <c r="J472" i="2" s="1"/>
  <c r="M121" i="13"/>
  <c r="M119" i="13" s="1"/>
  <c r="M118" i="13" s="1"/>
  <c r="K145" i="6"/>
  <c r="K144" i="6" s="1"/>
  <c r="L28" i="13"/>
  <c r="J108" i="8"/>
  <c r="J107" i="8" s="1"/>
  <c r="E108" i="8"/>
  <c r="E107" i="8" s="1"/>
  <c r="D222" i="2"/>
  <c r="L210" i="2"/>
  <c r="M240" i="2"/>
  <c r="I333" i="9"/>
  <c r="I332" i="9" s="1"/>
  <c r="I119" i="7"/>
  <c r="H119" i="7"/>
  <c r="L39" i="2"/>
  <c r="L15" i="2" s="1"/>
  <c r="O96" i="6"/>
  <c r="M114" i="3"/>
  <c r="M90" i="3"/>
  <c r="D79" i="6"/>
  <c r="D128" i="2"/>
  <c r="D145" i="2"/>
  <c r="D144" i="2" s="1"/>
  <c r="D150" i="2"/>
  <c r="D103" i="2"/>
  <c r="D64" i="13"/>
  <c r="E28" i="13"/>
  <c r="E37" i="13"/>
  <c r="E137" i="13"/>
  <c r="D181" i="6"/>
  <c r="D54" i="2"/>
  <c r="D53" i="2" s="1"/>
  <c r="D63" i="2"/>
  <c r="D45" i="2"/>
  <c r="D26" i="2" s="1"/>
  <c r="D124" i="2"/>
  <c r="D115" i="3"/>
  <c r="D114" i="3" s="1"/>
  <c r="M555" i="2"/>
  <c r="M554" i="2" s="1"/>
  <c r="J158" i="6"/>
  <c r="E144" i="2"/>
  <c r="F73" i="8"/>
  <c r="F156" i="8" s="1"/>
  <c r="H157" i="7"/>
  <c r="H186" i="3"/>
  <c r="K356" i="2"/>
  <c r="L286" i="3"/>
  <c r="J126" i="3"/>
  <c r="K50" i="2"/>
  <c r="K48" i="2" s="1"/>
  <c r="K42" i="2" s="1"/>
  <c r="E12" i="13"/>
  <c r="D537" i="2"/>
  <c r="O537" i="2" s="1"/>
  <c r="E192" i="2"/>
  <c r="E198" i="2"/>
  <c r="E318" i="2"/>
  <c r="E392" i="2"/>
  <c r="E407" i="2"/>
  <c r="E90" i="3"/>
  <c r="E96" i="3"/>
  <c r="H525" i="2"/>
  <c r="E58" i="1"/>
  <c r="C58" i="1"/>
  <c r="I58" i="1"/>
  <c r="F59" i="1"/>
  <c r="D59" i="1"/>
  <c r="H59" i="1"/>
  <c r="P59" i="1"/>
  <c r="L252" i="2"/>
  <c r="H21" i="3"/>
  <c r="H20" i="3" s="1"/>
  <c r="H17" i="3" s="1"/>
  <c r="H16" i="7"/>
  <c r="G59" i="1"/>
  <c r="J192" i="3"/>
  <c r="L198" i="3"/>
  <c r="L248" i="3"/>
  <c r="L133" i="3"/>
  <c r="L93" i="7"/>
  <c r="L100" i="7"/>
  <c r="G312" i="2"/>
  <c r="D285" i="9"/>
  <c r="D284" i="9" s="1"/>
  <c r="O83" i="4"/>
  <c r="F21" i="4"/>
  <c r="F28" i="4"/>
  <c r="F109" i="4" s="1"/>
  <c r="H28" i="4"/>
  <c r="H109" i="4" s="1"/>
  <c r="F15" i="4"/>
  <c r="E108" i="4"/>
  <c r="E536" i="2"/>
  <c r="E535" i="2" s="1"/>
  <c r="E534" i="2" s="1"/>
  <c r="E658" i="2"/>
  <c r="E657" i="2" s="1"/>
  <c r="L386" i="3"/>
  <c r="J249" i="3"/>
  <c r="J205" i="3"/>
  <c r="J204" i="3" s="1"/>
  <c r="I249" i="3"/>
  <c r="I248" i="3" s="1"/>
  <c r="I205" i="3"/>
  <c r="H293" i="3"/>
  <c r="H249" i="3"/>
  <c r="H205" i="3"/>
  <c r="G249" i="3"/>
  <c r="G205" i="3"/>
  <c r="K264" i="2"/>
  <c r="M28" i="3"/>
  <c r="F16" i="13"/>
  <c r="H58" i="13"/>
  <c r="F53" i="13"/>
  <c r="D23" i="7"/>
  <c r="G46" i="13"/>
  <c r="L25" i="3"/>
  <c r="L24" i="3" s="1"/>
  <c r="D25" i="3"/>
  <c r="D24" i="3" s="1"/>
  <c r="K195" i="6"/>
  <c r="K194" i="6" s="1"/>
  <c r="D196" i="6"/>
  <c r="G210" i="6"/>
  <c r="G153" i="6"/>
  <c r="G24" i="6" s="1"/>
  <c r="G23" i="6" s="1"/>
  <c r="K107" i="6"/>
  <c r="D19" i="8"/>
  <c r="D35" i="8"/>
  <c r="E513" i="2"/>
  <c r="E512" i="2" s="1"/>
  <c r="E30" i="2"/>
  <c r="K13" i="2"/>
  <c r="M13" i="2" s="1"/>
  <c r="M467" i="2"/>
  <c r="M468" i="2"/>
  <c r="K20" i="2"/>
  <c r="M471" i="2"/>
  <c r="M469" i="2" s="1"/>
  <c r="K23" i="2"/>
  <c r="H29" i="1" s="1"/>
  <c r="H121" i="1" s="1"/>
  <c r="H167" i="1" s="1"/>
  <c r="K473" i="2"/>
  <c r="K472" i="2" s="1"/>
  <c r="L510" i="2"/>
  <c r="L18" i="2"/>
  <c r="F37" i="6"/>
  <c r="K62" i="6"/>
  <c r="F62" i="6"/>
  <c r="G62" i="6"/>
  <c r="G79" i="6"/>
  <c r="E23" i="2"/>
  <c r="E473" i="2"/>
  <c r="E472" i="2" s="1"/>
  <c r="G510" i="2"/>
  <c r="G507" i="2" s="1"/>
  <c r="G18" i="2"/>
  <c r="J508" i="2"/>
  <c r="J507" i="2" s="1"/>
  <c r="J12" i="2"/>
  <c r="I32" i="2"/>
  <c r="I476" i="2"/>
  <c r="I472" i="2" s="1"/>
  <c r="H31" i="2"/>
  <c r="H28" i="2" s="1"/>
  <c r="H476" i="2"/>
  <c r="H472" i="2" s="1"/>
  <c r="M13" i="5"/>
  <c r="M12" i="5" s="1"/>
  <c r="H12" i="5"/>
  <c r="H11" i="5" s="1"/>
  <c r="G145" i="6"/>
  <c r="G144" i="6" s="1"/>
  <c r="I302" i="6"/>
  <c r="I145" i="6"/>
  <c r="I144" i="6" s="1"/>
  <c r="G15" i="6"/>
  <c r="D21" i="1" s="1"/>
  <c r="G141" i="6"/>
  <c r="L48" i="2"/>
  <c r="L31" i="2"/>
  <c r="G50" i="2"/>
  <c r="G48" i="2" s="1"/>
  <c r="G347" i="2"/>
  <c r="D334" i="2"/>
  <c r="D333" i="2" s="1"/>
  <c r="D330" i="2" s="1"/>
  <c r="L333" i="2"/>
  <c r="L330" i="2" s="1"/>
  <c r="F137" i="7"/>
  <c r="H137" i="7"/>
  <c r="E114" i="3"/>
  <c r="E120" i="3"/>
  <c r="E36" i="5"/>
  <c r="E85" i="6"/>
  <c r="E43" i="8"/>
  <c r="E158" i="9"/>
  <c r="D120" i="13"/>
  <c r="D119" i="13" s="1"/>
  <c r="D118" i="13" s="1"/>
  <c r="D131" i="13"/>
  <c r="D130" i="13" s="1"/>
  <c r="D116" i="13" s="1"/>
  <c r="D115" i="13" s="1"/>
  <c r="D467" i="2"/>
  <c r="D13" i="2" s="1"/>
  <c r="D481" i="2"/>
  <c r="D480" i="2" s="1"/>
  <c r="D474" i="2"/>
  <c r="D489" i="2"/>
  <c r="D488" i="2" s="1"/>
  <c r="D511" i="2"/>
  <c r="D519" i="2"/>
  <c r="D516" i="2" s="1"/>
  <c r="O523" i="2"/>
  <c r="L13" i="6"/>
  <c r="L97" i="6"/>
  <c r="L96" i="6" s="1"/>
  <c r="K159" i="6"/>
  <c r="M160" i="6"/>
  <c r="D160" i="6"/>
  <c r="K142" i="6"/>
  <c r="K13" i="6" s="1"/>
  <c r="J60" i="4"/>
  <c r="G65" i="1"/>
  <c r="H60" i="4"/>
  <c r="E65" i="1"/>
  <c r="E64" i="1" s="1"/>
  <c r="L60" i="4"/>
  <c r="L59" i="4" s="1"/>
  <c r="E50" i="4"/>
  <c r="E49" i="4" s="1"/>
  <c r="K12" i="8"/>
  <c r="K11" i="8" s="1"/>
  <c r="K10" i="8" s="1"/>
  <c r="K44" i="8"/>
  <c r="M45" i="8"/>
  <c r="D45" i="8"/>
  <c r="D44" i="8" s="1"/>
  <c r="I68" i="1"/>
  <c r="I124" i="1" s="1"/>
  <c r="I170" i="1" s="1"/>
  <c r="L535" i="2"/>
  <c r="L534" i="2" s="1"/>
  <c r="M172" i="9"/>
  <c r="M171" i="9" s="1"/>
  <c r="K204" i="2"/>
  <c r="D466" i="2"/>
  <c r="K153" i="6"/>
  <c r="D74" i="6"/>
  <c r="K13" i="13"/>
  <c r="K11" i="13" s="1"/>
  <c r="G13" i="6"/>
  <c r="I10" i="7"/>
  <c r="I9" i="7" s="1"/>
  <c r="D40" i="3"/>
  <c r="D37" i="3" s="1"/>
  <c r="L11" i="3"/>
  <c r="L10" i="3" s="1"/>
  <c r="D121" i="2"/>
  <c r="D120" i="2" s="1"/>
  <c r="I25" i="2"/>
  <c r="I22" i="2" s="1"/>
  <c r="G34" i="1"/>
  <c r="G126" i="1" s="1"/>
  <c r="G172" i="1" s="1"/>
  <c r="I141" i="6"/>
  <c r="K469" i="2"/>
  <c r="K464" i="2" s="1"/>
  <c r="I65" i="1"/>
  <c r="G145" i="5"/>
  <c r="G147" i="5" s="1"/>
  <c r="M47" i="8"/>
  <c r="K108" i="3"/>
  <c r="J61" i="5"/>
  <c r="J9" i="5" s="1"/>
  <c r="J8" i="5" s="1"/>
  <c r="F445" i="2"/>
  <c r="H21" i="5"/>
  <c r="H18" i="5" s="1"/>
  <c r="I15" i="5"/>
  <c r="I11" i="5" s="1"/>
  <c r="F25" i="1"/>
  <c r="F115" i="1" s="1"/>
  <c r="F161" i="1" s="1"/>
  <c r="G15" i="5"/>
  <c r="M17" i="5"/>
  <c r="M15" i="5" s="1"/>
  <c r="K62" i="3"/>
  <c r="D63" i="3"/>
  <c r="L128" i="2"/>
  <c r="D90" i="3"/>
  <c r="D116" i="8"/>
  <c r="K222" i="2"/>
  <c r="K208" i="6"/>
  <c r="K207" i="6" s="1"/>
  <c r="K151" i="6"/>
  <c r="F204" i="6"/>
  <c r="F146" i="6"/>
  <c r="D205" i="6"/>
  <c r="D204" i="6" s="1"/>
  <c r="K200" i="6"/>
  <c r="K199" i="6" s="1"/>
  <c r="D202" i="6"/>
  <c r="M202" i="6"/>
  <c r="K143" i="6"/>
  <c r="L102" i="9"/>
  <c r="J188" i="9"/>
  <c r="M63" i="3"/>
  <c r="M62" i="3" s="1"/>
  <c r="F62" i="3"/>
  <c r="D69" i="5"/>
  <c r="D68" i="5" s="1"/>
  <c r="D17" i="5"/>
  <c r="D100" i="6"/>
  <c r="I108" i="6"/>
  <c r="I107" i="6" s="1"/>
  <c r="D110" i="6"/>
  <c r="D112" i="6"/>
  <c r="G108" i="6"/>
  <c r="G107" i="6" s="1"/>
  <c r="D113" i="6"/>
  <c r="M135" i="6"/>
  <c r="K127" i="6"/>
  <c r="D135" i="6"/>
  <c r="G536" i="2"/>
  <c r="D610" i="2"/>
  <c r="D536" i="2" s="1"/>
  <c r="D535" i="2" s="1"/>
  <c r="D312" i="2"/>
  <c r="D398" i="2"/>
  <c r="D60" i="2"/>
  <c r="H121" i="6"/>
  <c r="D222" i="6"/>
  <c r="D498" i="2"/>
  <c r="H507" i="2"/>
  <c r="M62" i="6"/>
  <c r="M148" i="6"/>
  <c r="D228" i="6"/>
  <c r="D21" i="6"/>
  <c r="L13" i="2"/>
  <c r="I19" i="1" s="1"/>
  <c r="I112" i="1" s="1"/>
  <c r="I158" i="1" s="1"/>
  <c r="L465" i="2"/>
  <c r="L464" i="2" s="1"/>
  <c r="L51" i="7"/>
  <c r="K113" i="7"/>
  <c r="G23" i="2"/>
  <c r="D29" i="1" s="1"/>
  <c r="D121" i="1" s="1"/>
  <c r="D167" i="1" s="1"/>
  <c r="G473" i="2"/>
  <c r="G472" i="2" s="1"/>
  <c r="F510" i="2"/>
  <c r="M511" i="2"/>
  <c r="M510" i="2" s="1"/>
  <c r="K333" i="9"/>
  <c r="K332" i="9" s="1"/>
  <c r="G333" i="9"/>
  <c r="G332" i="9" s="1"/>
  <c r="G54" i="5"/>
  <c r="F145" i="5"/>
  <c r="F147" i="5" s="1"/>
  <c r="F148" i="5" s="1"/>
  <c r="I508" i="2"/>
  <c r="I507" i="2" s="1"/>
  <c r="I12" i="2"/>
  <c r="K36" i="5"/>
  <c r="M116" i="13"/>
  <c r="M115" i="13" s="1"/>
  <c r="J150" i="6"/>
  <c r="J22" i="6"/>
  <c r="J13" i="6"/>
  <c r="M142" i="6"/>
  <c r="M141" i="6" s="1"/>
  <c r="D186" i="2"/>
  <c r="G24" i="2"/>
  <c r="D30" i="1" s="1"/>
  <c r="M365" i="2"/>
  <c r="F45" i="9"/>
  <c r="G84" i="3"/>
  <c r="L184" i="6"/>
  <c r="L183" i="6" s="1"/>
  <c r="L180" i="6" s="1"/>
  <c r="L155" i="6"/>
  <c r="M441" i="2"/>
  <c r="M440" i="2" s="1"/>
  <c r="G41" i="2"/>
  <c r="G40" i="2" s="1"/>
  <c r="G34" i="2" s="1"/>
  <c r="D342" i="2"/>
  <c r="D341" i="2" s="1"/>
  <c r="F170" i="3"/>
  <c r="I170" i="3"/>
  <c r="I394" i="3" s="1"/>
  <c r="I66" i="1"/>
  <c r="G66" i="1"/>
  <c r="C66" i="1"/>
  <c r="C122" i="1" s="1"/>
  <c r="C168" i="1" s="1"/>
  <c r="D21" i="13"/>
  <c r="D59" i="13"/>
  <c r="F456" i="2"/>
  <c r="F455" i="2" s="1"/>
  <c r="J262" i="9"/>
  <c r="D405" i="2"/>
  <c r="D404" i="2" s="1"/>
  <c r="D403" i="2" s="1"/>
  <c r="L404" i="2"/>
  <c r="L403" i="2" s="1"/>
  <c r="E128" i="2"/>
  <c r="E168" i="2"/>
  <c r="E426" i="2"/>
  <c r="E425" i="2" s="1"/>
  <c r="D427" i="2"/>
  <c r="D426" i="2" s="1"/>
  <c r="K136" i="2"/>
  <c r="L48" i="9"/>
  <c r="L45" i="9" s="1"/>
  <c r="D49" i="9"/>
  <c r="M67" i="2"/>
  <c r="E43" i="2"/>
  <c r="E24" i="2"/>
  <c r="B30" i="1" s="1"/>
  <c r="K82" i="8"/>
  <c r="D13" i="7"/>
  <c r="D144" i="7"/>
  <c r="D143" i="7" s="1"/>
  <c r="E15" i="3"/>
  <c r="E31" i="3"/>
  <c r="I175" i="7"/>
  <c r="J16" i="7"/>
  <c r="I71" i="1"/>
  <c r="I70" i="1" s="1"/>
  <c r="L20" i="7"/>
  <c r="L16" i="7" s="1"/>
  <c r="J50" i="4"/>
  <c r="J49" i="4" s="1"/>
  <c r="F198" i="3"/>
  <c r="H198" i="3"/>
  <c r="J198" i="3"/>
  <c r="D68" i="3"/>
  <c r="L28" i="8"/>
  <c r="L27" i="8" s="1"/>
  <c r="D75" i="8"/>
  <c r="D74" i="8" s="1"/>
  <c r="D73" i="8" s="1"/>
  <c r="D156" i="8" s="1"/>
  <c r="L74" i="8"/>
  <c r="L73" i="8" s="1"/>
  <c r="L156" i="8" s="1"/>
  <c r="D206" i="3"/>
  <c r="F212" i="3"/>
  <c r="D213" i="3"/>
  <c r="D212" i="3" s="1"/>
  <c r="J216" i="3"/>
  <c r="K223" i="3"/>
  <c r="D224" i="3"/>
  <c r="K231" i="3"/>
  <c r="G231" i="3"/>
  <c r="I231" i="3"/>
  <c r="I17" i="3"/>
  <c r="K281" i="3"/>
  <c r="E22" i="5"/>
  <c r="E21" i="5" s="1"/>
  <c r="E18" i="5" s="1"/>
  <c r="E80" i="5"/>
  <c r="H126" i="3"/>
  <c r="F18" i="3"/>
  <c r="F187" i="3"/>
  <c r="D188" i="3"/>
  <c r="D19" i="3" s="1"/>
  <c r="D190" i="3"/>
  <c r="D189" i="3" s="1"/>
  <c r="F189" i="3"/>
  <c r="F285" i="2"/>
  <c r="D286" i="2"/>
  <c r="D285" i="2" s="1"/>
  <c r="D282" i="2" s="1"/>
  <c r="F261" i="2"/>
  <c r="D262" i="2"/>
  <c r="D261" i="2" s="1"/>
  <c r="D258" i="2" s="1"/>
  <c r="G11" i="5"/>
  <c r="I29" i="1"/>
  <c r="M336" i="9"/>
  <c r="D38" i="2"/>
  <c r="D16" i="2" s="1"/>
  <c r="D49" i="2"/>
  <c r="D29" i="2" s="1"/>
  <c r="E29" i="1"/>
  <c r="E121" i="1" s="1"/>
  <c r="E167" i="1" s="1"/>
  <c r="J329" i="9"/>
  <c r="H207" i="6"/>
  <c r="J199" i="6"/>
  <c r="H199" i="6"/>
  <c r="G21" i="5"/>
  <c r="G18" i="5" s="1"/>
  <c r="G148" i="5" s="1"/>
  <c r="K21" i="5"/>
  <c r="K18" i="5" s="1"/>
  <c r="L24" i="2"/>
  <c r="I30" i="1" s="1"/>
  <c r="I122" i="1" s="1"/>
  <c r="I168" i="1" s="1"/>
  <c r="J14" i="3"/>
  <c r="L90" i="6"/>
  <c r="M52" i="6"/>
  <c r="M51" i="6" s="1"/>
  <c r="M43" i="6"/>
  <c r="L56" i="6"/>
  <c r="G232" i="9"/>
  <c r="D131" i="7"/>
  <c r="D34" i="9"/>
  <c r="D322" i="2"/>
  <c r="D321" i="2" s="1"/>
  <c r="D318" i="2" s="1"/>
  <c r="L258" i="2"/>
  <c r="E266" i="9"/>
  <c r="I271" i="9"/>
  <c r="I266" i="9" s="1"/>
  <c r="M29" i="3"/>
  <c r="D29" i="3"/>
  <c r="K175" i="3"/>
  <c r="D176" i="3"/>
  <c r="D175" i="3" s="1"/>
  <c r="K182" i="3"/>
  <c r="M183" i="3"/>
  <c r="M182" i="3" s="1"/>
  <c r="I182" i="3"/>
  <c r="I174" i="3" s="1"/>
  <c r="E287" i="9"/>
  <c r="G292" i="9"/>
  <c r="F296" i="9"/>
  <c r="D302" i="9"/>
  <c r="L37" i="2"/>
  <c r="D231" i="2"/>
  <c r="D229" i="2" s="1"/>
  <c r="D228" i="2" s="1"/>
  <c r="K79" i="2"/>
  <c r="K410" i="2"/>
  <c r="K407" i="2" s="1"/>
  <c r="D411" i="2"/>
  <c r="D410" i="2" s="1"/>
  <c r="D407" i="2" s="1"/>
  <c r="D260" i="3"/>
  <c r="G266" i="3"/>
  <c r="I281" i="3"/>
  <c r="F286" i="3"/>
  <c r="J286" i="3"/>
  <c r="G21" i="4"/>
  <c r="D23" i="13"/>
  <c r="E294" i="2"/>
  <c r="H288" i="2"/>
  <c r="H300" i="2"/>
  <c r="E213" i="2"/>
  <c r="D214" i="2"/>
  <c r="D213" i="2" s="1"/>
  <c r="D210" i="2" s="1"/>
  <c r="E14" i="2"/>
  <c r="B20" i="1" s="1"/>
  <c r="P20" i="1" s="1"/>
  <c r="E217" i="2"/>
  <c r="E246" i="2"/>
  <c r="D269" i="2"/>
  <c r="D268" i="2" s="1"/>
  <c r="D264" i="2" s="1"/>
  <c r="E268" i="2"/>
  <c r="E374" i="2"/>
  <c r="E446" i="2"/>
  <c r="D564" i="2"/>
  <c r="D563" i="2" s="1"/>
  <c r="D562" i="2" s="1"/>
  <c r="E642" i="2"/>
  <c r="E641" i="2" s="1"/>
  <c r="D643" i="2"/>
  <c r="D642" i="2" s="1"/>
  <c r="D641" i="2" s="1"/>
  <c r="K198" i="9"/>
  <c r="K197" i="9" s="1"/>
  <c r="M52" i="3"/>
  <c r="M50" i="3" s="1"/>
  <c r="H45" i="3"/>
  <c r="M46" i="3"/>
  <c r="M45" i="3" s="1"/>
  <c r="G56" i="3"/>
  <c r="F249" i="3"/>
  <c r="M253" i="3"/>
  <c r="D302" i="2"/>
  <c r="M302" i="2"/>
  <c r="M301" i="2" s="1"/>
  <c r="M300" i="2" s="1"/>
  <c r="F309" i="2"/>
  <c r="D310" i="2"/>
  <c r="D309" i="2" s="1"/>
  <c r="D306" i="2" s="1"/>
  <c r="D293" i="2"/>
  <c r="D292" i="2" s="1"/>
  <c r="D288" i="2" s="1"/>
  <c r="G180" i="9"/>
  <c r="K374" i="2"/>
  <c r="K372" i="2" s="1"/>
  <c r="K369" i="2" s="1"/>
  <c r="M439" i="2"/>
  <c r="D439" i="2"/>
  <c r="D34" i="3"/>
  <c r="K158" i="7"/>
  <c r="K157" i="7" s="1"/>
  <c r="D160" i="7"/>
  <c r="J10" i="7"/>
  <c r="J9" i="7" s="1"/>
  <c r="G56" i="1"/>
  <c r="D29" i="9"/>
  <c r="G131" i="7"/>
  <c r="D67" i="4"/>
  <c r="D66" i="4" s="1"/>
  <c r="D69" i="13"/>
  <c r="O69" i="13" s="1"/>
  <c r="E56" i="1"/>
  <c r="C56" i="1"/>
  <c r="K258" i="2"/>
  <c r="I143" i="7"/>
  <c r="D151" i="7"/>
  <c r="D150" i="7" s="1"/>
  <c r="H266" i="9"/>
  <c r="G266" i="9"/>
  <c r="L17" i="8"/>
  <c r="L15" i="8" s="1"/>
  <c r="L174" i="3"/>
  <c r="F122" i="1"/>
  <c r="F168" i="1" s="1"/>
  <c r="D257" i="3"/>
  <c r="D256" i="3" s="1"/>
  <c r="O256" i="3" s="1"/>
  <c r="J293" i="3"/>
  <c r="M301" i="3"/>
  <c r="M300" i="3" s="1"/>
  <c r="J57" i="8"/>
  <c r="F28" i="8"/>
  <c r="F27" i="8" s="1"/>
  <c r="D54" i="8"/>
  <c r="D53" i="8" s="1"/>
  <c r="D49" i="8" s="1"/>
  <c r="G100" i="7"/>
  <c r="E107" i="7"/>
  <c r="F114" i="9"/>
  <c r="J114" i="9"/>
  <c r="F130" i="9"/>
  <c r="F124" i="9" s="1"/>
  <c r="J271" i="9"/>
  <c r="J266" i="9" s="1"/>
  <c r="H21" i="9"/>
  <c r="D28" i="3"/>
  <c r="D193" i="3"/>
  <c r="D192" i="3" s="1"/>
  <c r="I61" i="3"/>
  <c r="G71" i="3"/>
  <c r="I71" i="3"/>
  <c r="D297" i="9"/>
  <c r="D296" i="9" s="1"/>
  <c r="K302" i="9"/>
  <c r="K166" i="3"/>
  <c r="H63" i="7"/>
  <c r="D108" i="7"/>
  <c r="D107" i="7" s="1"/>
  <c r="E113" i="7"/>
  <c r="M281" i="3"/>
  <c r="H24" i="13"/>
  <c r="H19" i="13" s="1"/>
  <c r="L57" i="8"/>
  <c r="G293" i="3"/>
  <c r="G292" i="3" s="1"/>
  <c r="I293" i="3"/>
  <c r="E282" i="2"/>
  <c r="K86" i="8"/>
  <c r="I100" i="8"/>
  <c r="K133" i="3"/>
  <c r="G133" i="3"/>
  <c r="I133" i="3"/>
  <c r="F93" i="7"/>
  <c r="G90" i="5"/>
  <c r="G89" i="5" s="1"/>
  <c r="M91" i="5"/>
  <c r="M90" i="5" s="1"/>
  <c r="M89" i="5" s="1"/>
  <c r="M15" i="13"/>
  <c r="E306" i="2"/>
  <c r="K306" i="2"/>
  <c r="F150" i="9"/>
  <c r="M151" i="9"/>
  <c r="M150" i="9" s="1"/>
  <c r="F162" i="9"/>
  <c r="M163" i="9"/>
  <c r="M162" i="9" s="1"/>
  <c r="K387" i="3"/>
  <c r="K380" i="3" s="1"/>
  <c r="K379" i="3" s="1"/>
  <c r="D75" i="5"/>
  <c r="K80" i="5"/>
  <c r="F133" i="3"/>
  <c r="D101" i="7"/>
  <c r="H93" i="7"/>
  <c r="H372" i="2"/>
  <c r="H369" i="2" s="1"/>
  <c r="H281" i="3"/>
  <c r="F210" i="2"/>
  <c r="G114" i="9"/>
  <c r="G108" i="9" s="1"/>
  <c r="K28" i="4"/>
  <c r="D15" i="13"/>
  <c r="D80" i="13"/>
  <c r="D75" i="13" s="1"/>
  <c r="D9" i="13" s="1"/>
  <c r="D86" i="13"/>
  <c r="M26" i="9"/>
  <c r="M25" i="9" s="1"/>
  <c r="E180" i="9"/>
  <c r="E21" i="9"/>
  <c r="E131" i="13"/>
  <c r="E130" i="13" s="1"/>
  <c r="E116" i="13" s="1"/>
  <c r="E115" i="13" s="1"/>
  <c r="E120" i="13"/>
  <c r="M92" i="5"/>
  <c r="H56" i="1"/>
  <c r="G9" i="4"/>
  <c r="G8" i="4" s="1"/>
  <c r="K530" i="2"/>
  <c r="H54" i="1" s="1"/>
  <c r="M169" i="2"/>
  <c r="M168" i="2" s="1"/>
  <c r="E252" i="2"/>
  <c r="E312" i="2"/>
  <c r="E336" i="2"/>
  <c r="E141" i="3"/>
  <c r="E11" i="3" s="1"/>
  <c r="E63" i="6"/>
  <c r="D163" i="9"/>
  <c r="D162" i="9" s="1"/>
  <c r="D57" i="3"/>
  <c r="D56" i="3" s="1"/>
  <c r="K154" i="3"/>
  <c r="D70" i="7"/>
  <c r="D69" i="7" s="1"/>
  <c r="L51" i="9"/>
  <c r="D26" i="9"/>
  <c r="G113" i="1"/>
  <c r="G159" i="1" s="1"/>
  <c r="J18" i="9"/>
  <c r="F18" i="9"/>
  <c r="F111" i="1"/>
  <c r="F157" i="1" s="1"/>
  <c r="B29" i="1"/>
  <c r="K507" i="2"/>
  <c r="K47" i="5"/>
  <c r="K9" i="5" s="1"/>
  <c r="D180" i="2"/>
  <c r="D175" i="7"/>
  <c r="M18" i="2"/>
  <c r="E105" i="5"/>
  <c r="M20" i="2"/>
  <c r="F68" i="6"/>
  <c r="M507" i="2"/>
  <c r="C116" i="1"/>
  <c r="C162" i="1" s="1"/>
  <c r="D105" i="5"/>
  <c r="D116" i="1"/>
  <c r="D162" i="1" s="1"/>
  <c r="K450" i="2"/>
  <c r="G51" i="7"/>
  <c r="P129" i="13"/>
  <c r="K156" i="2"/>
  <c r="I183" i="9"/>
  <c r="L108" i="3"/>
  <c r="L84" i="3"/>
  <c r="I139" i="3"/>
  <c r="M145" i="3"/>
  <c r="M144" i="3" s="1"/>
  <c r="M139" i="3" s="1"/>
  <c r="L85" i="6"/>
  <c r="M47" i="6"/>
  <c r="F56" i="6"/>
  <c r="D56" i="6"/>
  <c r="O56" i="6" s="1"/>
  <c r="F460" i="2"/>
  <c r="L455" i="2"/>
  <c r="H262" i="9"/>
  <c r="F99" i="9"/>
  <c r="D351" i="2"/>
  <c r="D350" i="2" s="1"/>
  <c r="M54" i="2"/>
  <c r="M53" i="2" s="1"/>
  <c r="D170" i="6"/>
  <c r="D154" i="6" s="1"/>
  <c r="M64" i="13"/>
  <c r="E60" i="4"/>
  <c r="E59" i="4" s="1"/>
  <c r="I50" i="4"/>
  <c r="G50" i="4"/>
  <c r="G49" i="4" s="1"/>
  <c r="K50" i="4"/>
  <c r="K49" i="4" s="1"/>
  <c r="H50" i="4"/>
  <c r="L50" i="4"/>
  <c r="L49" i="4" s="1"/>
  <c r="G111" i="1"/>
  <c r="G157" i="1" s="1"/>
  <c r="E111" i="1"/>
  <c r="E157" i="1" s="1"/>
  <c r="G271" i="9"/>
  <c r="H275" i="9"/>
  <c r="D49" i="6"/>
  <c r="H163" i="7"/>
  <c r="I163" i="7"/>
  <c r="F175" i="7"/>
  <c r="D183" i="3"/>
  <c r="F175" i="3"/>
  <c r="F116" i="1"/>
  <c r="F162" i="1" s="1"/>
  <c r="L116" i="13"/>
  <c r="L115" i="13" s="1"/>
  <c r="K116" i="13"/>
  <c r="K115" i="13" s="1"/>
  <c r="D39" i="2"/>
  <c r="D15" i="2" s="1"/>
  <c r="M533" i="2"/>
  <c r="D52" i="6"/>
  <c r="D51" i="6" s="1"/>
  <c r="D137" i="7"/>
  <c r="D157" i="2"/>
  <c r="D156" i="2" s="1"/>
  <c r="D234" i="2"/>
  <c r="L175" i="7"/>
  <c r="D198" i="3"/>
  <c r="G67" i="3"/>
  <c r="G61" i="3" s="1"/>
  <c r="H61" i="3"/>
  <c r="G11" i="8"/>
  <c r="D216" i="3"/>
  <c r="K350" i="2"/>
  <c r="D113" i="7"/>
  <c r="L292" i="3"/>
  <c r="L304" i="3"/>
  <c r="I116" i="1"/>
  <c r="I162" i="1" s="1"/>
  <c r="L282" i="2"/>
  <c r="M86" i="8"/>
  <c r="M95" i="8"/>
  <c r="D100" i="7"/>
  <c r="G86" i="5"/>
  <c r="J15" i="4"/>
  <c r="J111" i="4" s="1"/>
  <c r="L15" i="4"/>
  <c r="J8" i="4"/>
  <c r="H8" i="4"/>
  <c r="L8" i="4"/>
  <c r="M12" i="4"/>
  <c r="L40" i="4"/>
  <c r="L108" i="4" s="1"/>
  <c r="L110" i="4" s="1"/>
  <c r="D108" i="13"/>
  <c r="F140" i="9"/>
  <c r="E205" i="2"/>
  <c r="E204" i="2" s="1"/>
  <c r="E154" i="3"/>
  <c r="E153" i="3" s="1"/>
  <c r="E152" i="3" s="1"/>
  <c r="E166" i="3"/>
  <c r="E165" i="3" s="1"/>
  <c r="E164" i="3" s="1"/>
  <c r="E176" i="9"/>
  <c r="E58" i="13"/>
  <c r="F154" i="3"/>
  <c r="D31" i="6"/>
  <c r="H296" i="9"/>
  <c r="D231" i="3"/>
  <c r="D270" i="2"/>
  <c r="I78" i="3"/>
  <c r="I84" i="3"/>
  <c r="D58" i="7"/>
  <c r="D57" i="7" s="1"/>
  <c r="M257" i="3"/>
  <c r="M256" i="3" s="1"/>
  <c r="B116" i="1"/>
  <c r="B162" i="1" s="1"/>
  <c r="D127" i="3"/>
  <c r="D126" i="3" s="1"/>
  <c r="D94" i="7"/>
  <c r="D93" i="7" s="1"/>
  <c r="K100" i="7"/>
  <c r="H100" i="7"/>
  <c r="F100" i="7"/>
  <c r="H192" i="3"/>
  <c r="H114" i="3"/>
  <c r="D82" i="7"/>
  <c r="D81" i="7" s="1"/>
  <c r="I15" i="4"/>
  <c r="I111" i="4" s="1"/>
  <c r="E15" i="4"/>
  <c r="I9" i="4"/>
  <c r="I8" i="4" s="1"/>
  <c r="L75" i="13"/>
  <c r="L9" i="13" s="1"/>
  <c r="M179" i="6"/>
  <c r="M177" i="6" s="1"/>
  <c r="M176" i="6" s="1"/>
  <c r="M172" i="6" s="1"/>
  <c r="E41" i="2"/>
  <c r="E40" i="2" s="1"/>
  <c r="E18" i="7"/>
  <c r="E17" i="7" s="1"/>
  <c r="E16" i="7" s="1"/>
  <c r="L9" i="5"/>
  <c r="L8" i="5" s="1"/>
  <c r="D252" i="2"/>
  <c r="M288" i="2"/>
  <c r="D163" i="7"/>
  <c r="L507" i="2"/>
  <c r="F507" i="2"/>
  <c r="L28" i="2"/>
  <c r="D434" i="2"/>
  <c r="D123" i="6"/>
  <c r="D122" i="6" s="1"/>
  <c r="D8" i="7"/>
  <c r="H34" i="1"/>
  <c r="H126" i="1" s="1"/>
  <c r="H172" i="1" s="1"/>
  <c r="F22" i="2"/>
  <c r="K526" i="2"/>
  <c r="D37" i="13"/>
  <c r="G526" i="2"/>
  <c r="D67" i="2"/>
  <c r="I695" i="2"/>
  <c r="D24" i="2"/>
  <c r="D240" i="2"/>
  <c r="K6" i="7"/>
  <c r="M15" i="3"/>
  <c r="F16" i="6"/>
  <c r="C23" i="1" s="1"/>
  <c r="M61" i="3"/>
  <c r="M11" i="5"/>
  <c r="L526" i="2"/>
  <c r="F79" i="6"/>
  <c r="F526" i="2"/>
  <c r="L25" i="2"/>
  <c r="I31" i="1" s="1"/>
  <c r="I123" i="1" s="1"/>
  <c r="I169" i="1" s="1"/>
  <c r="H695" i="2"/>
  <c r="H696" i="2" s="1"/>
  <c r="K455" i="2"/>
  <c r="K368" i="2"/>
  <c r="K366" i="2" s="1"/>
  <c r="F57" i="7"/>
  <c r="M193" i="6"/>
  <c r="J148" i="5"/>
  <c r="J11" i="5"/>
  <c r="F11" i="5"/>
  <c r="H45" i="7"/>
  <c r="H51" i="7"/>
  <c r="G16" i="6"/>
  <c r="D23" i="1" s="1"/>
  <c r="K227" i="9"/>
  <c r="D58" i="13"/>
  <c r="O58" i="13" s="1"/>
  <c r="E145" i="5"/>
  <c r="E147" i="5" s="1"/>
  <c r="E148" i="5" s="1"/>
  <c r="K174" i="2"/>
  <c r="I17" i="2"/>
  <c r="I188" i="6"/>
  <c r="G192" i="6"/>
  <c r="I148" i="5"/>
  <c r="G37" i="13"/>
  <c r="G8" i="13" s="1"/>
  <c r="G336" i="2"/>
  <c r="G343" i="2"/>
  <c r="L192" i="9"/>
  <c r="D36" i="5"/>
  <c r="F227" i="9"/>
  <c r="D345" i="2"/>
  <c r="D47" i="2" s="1"/>
  <c r="D25" i="2" s="1"/>
  <c r="D329" i="2"/>
  <c r="D328" i="2" s="1"/>
  <c r="D324" i="2" s="1"/>
  <c r="K25" i="2"/>
  <c r="G120" i="3"/>
  <c r="G108" i="3"/>
  <c r="G527" i="2"/>
  <c r="L144" i="3"/>
  <c r="L139" i="3" s="1"/>
  <c r="G160" i="3"/>
  <c r="D145" i="3"/>
  <c r="D144" i="3" s="1"/>
  <c r="G78" i="3"/>
  <c r="G102" i="3"/>
  <c r="H144" i="3"/>
  <c r="H139" i="3" s="1"/>
  <c r="M33" i="6"/>
  <c r="M32" i="6" s="1"/>
  <c r="G114" i="3"/>
  <c r="K56" i="6"/>
  <c r="F14" i="6"/>
  <c r="M14" i="6" s="1"/>
  <c r="K460" i="2"/>
  <c r="L451" i="2"/>
  <c r="L450" i="2" s="1"/>
  <c r="F451" i="2"/>
  <c r="G236" i="9"/>
  <c r="G231" i="9" s="1"/>
  <c r="I98" i="6"/>
  <c r="D650" i="2"/>
  <c r="D649" i="2" s="1"/>
  <c r="G14" i="2"/>
  <c r="D20" i="1" s="1"/>
  <c r="M531" i="2"/>
  <c r="D337" i="2"/>
  <c r="D416" i="2"/>
  <c r="D356" i="2"/>
  <c r="L43" i="2"/>
  <c r="L42" i="2" s="1"/>
  <c r="H27" i="8"/>
  <c r="G21" i="8"/>
  <c r="F11" i="8"/>
  <c r="F10" i="8" s="1"/>
  <c r="H15" i="8"/>
  <c r="H14" i="2"/>
  <c r="E20" i="1" s="1"/>
  <c r="J24" i="2"/>
  <c r="F275" i="9"/>
  <c r="H287" i="9"/>
  <c r="D18" i="7"/>
  <c r="D17" i="7" s="1"/>
  <c r="F113" i="1"/>
  <c r="F159" i="1" s="1"/>
  <c r="M37" i="13"/>
  <c r="I43" i="2"/>
  <c r="M87" i="5"/>
  <c r="F86" i="5"/>
  <c r="K6" i="4"/>
  <c r="K5" i="4" s="1"/>
  <c r="D658" i="2"/>
  <c r="D657" i="2" s="1"/>
  <c r="E693" i="2"/>
  <c r="B90" i="1" s="1"/>
  <c r="E99" i="9"/>
  <c r="E330" i="9"/>
  <c r="E329" i="9" s="1"/>
  <c r="L19" i="13"/>
  <c r="L139" i="13" s="1"/>
  <c r="F222" i="2"/>
  <c r="L35" i="2"/>
  <c r="L34" i="2" s="1"/>
  <c r="F34" i="1"/>
  <c r="F126" i="1" s="1"/>
  <c r="F172" i="1" s="1"/>
  <c r="G27" i="8"/>
  <c r="I34" i="1"/>
  <c r="I126" i="1" s="1"/>
  <c r="I172" i="1" s="1"/>
  <c r="B39" i="1"/>
  <c r="G73" i="8"/>
  <c r="G156" i="8" s="1"/>
  <c r="G15" i="8"/>
  <c r="H120" i="3"/>
  <c r="H394" i="3" s="1"/>
  <c r="H108" i="3"/>
  <c r="G174" i="3"/>
  <c r="F182" i="3"/>
  <c r="H182" i="3"/>
  <c r="H174" i="3" s="1"/>
  <c r="J182" i="3"/>
  <c r="J174" i="3" s="1"/>
  <c r="O202" i="3"/>
  <c r="K192" i="3"/>
  <c r="F192" i="3"/>
  <c r="G192" i="3"/>
  <c r="G198" i="3"/>
  <c r="J61" i="3"/>
  <c r="I296" i="9"/>
  <c r="J292" i="9"/>
  <c r="J287" i="9" s="1"/>
  <c r="F292" i="9"/>
  <c r="F287" i="9" s="1"/>
  <c r="G287" i="9"/>
  <c r="D287" i="9"/>
  <c r="M287" i="9"/>
  <c r="J296" i="9"/>
  <c r="J302" i="9"/>
  <c r="F166" i="3"/>
  <c r="M213" i="3"/>
  <c r="M212" i="3" s="1"/>
  <c r="J25" i="2"/>
  <c r="F43" i="2"/>
  <c r="F42" i="2" s="1"/>
  <c r="M39" i="2"/>
  <c r="E350" i="2"/>
  <c r="F316" i="2"/>
  <c r="F312" i="2" s="1"/>
  <c r="D64" i="7"/>
  <c r="D63" i="7" s="1"/>
  <c r="M272" i="3"/>
  <c r="M271" i="3" s="1"/>
  <c r="F57" i="8"/>
  <c r="H304" i="3"/>
  <c r="J304" i="3"/>
  <c r="H57" i="8"/>
  <c r="M38" i="2"/>
  <c r="G43" i="2"/>
  <c r="K282" i="2"/>
  <c r="G100" i="8"/>
  <c r="E8" i="4"/>
  <c r="H110" i="4"/>
  <c r="H111" i="4" s="1"/>
  <c r="H6" i="4"/>
  <c r="H5" i="4" s="1"/>
  <c r="M264" i="2"/>
  <c r="J695" i="2"/>
  <c r="G6" i="7"/>
  <c r="G28" i="4"/>
  <c r="G109" i="4" s="1"/>
  <c r="G15" i="4"/>
  <c r="H19" i="2"/>
  <c r="H17" i="2" s="1"/>
  <c r="I526" i="2"/>
  <c r="I525" i="2" s="1"/>
  <c r="K18" i="7"/>
  <c r="E64" i="13"/>
  <c r="D162" i="7"/>
  <c r="G416" i="2"/>
  <c r="G192" i="2"/>
  <c r="G252" i="2"/>
  <c r="I130" i="9"/>
  <c r="I124" i="9" s="1"/>
  <c r="L137" i="9"/>
  <c r="L134" i="9" s="1"/>
  <c r="H6" i="7"/>
  <c r="D126" i="9"/>
  <c r="D125" i="9" s="1"/>
  <c r="F51" i="4"/>
  <c r="M51" i="4" s="1"/>
  <c r="M50" i="4" s="1"/>
  <c r="M49" i="4" s="1"/>
  <c r="D48" i="4"/>
  <c r="D26" i="4"/>
  <c r="H21" i="4"/>
  <c r="M14" i="4"/>
  <c r="M13" i="4" s="1"/>
  <c r="O25" i="4"/>
  <c r="P31" i="4"/>
  <c r="M34" i="4"/>
  <c r="D38" i="4"/>
  <c r="O39" i="4"/>
  <c r="E109" i="4"/>
  <c r="E110" i="4" s="1"/>
  <c r="H75" i="13"/>
  <c r="G82" i="13"/>
  <c r="G137" i="13" s="1"/>
  <c r="F75" i="13"/>
  <c r="J75" i="13"/>
  <c r="I75" i="13"/>
  <c r="I82" i="13"/>
  <c r="I137" i="13" s="1"/>
  <c r="I138" i="13" s="1"/>
  <c r="J31" i="2"/>
  <c r="J28" i="2" s="1"/>
  <c r="F530" i="2"/>
  <c r="F529" i="2" s="1"/>
  <c r="F528" i="2" s="1"/>
  <c r="G530" i="2"/>
  <c r="G529" i="2" s="1"/>
  <c r="G528" i="2" s="1"/>
  <c r="H255" i="6"/>
  <c r="H254" i="6" s="1"/>
  <c r="H240" i="6" s="1"/>
  <c r="H239" i="6" s="1"/>
  <c r="G154" i="3"/>
  <c r="G16" i="3" s="1"/>
  <c r="F18" i="7"/>
  <c r="C68" i="1" s="1"/>
  <c r="C64" i="1" s="1"/>
  <c r="E81" i="9"/>
  <c r="F75" i="9"/>
  <c r="D207" i="2"/>
  <c r="D37" i="2" s="1"/>
  <c r="E530" i="2"/>
  <c r="E529" i="2" s="1"/>
  <c r="E528" i="2" s="1"/>
  <c r="D606" i="2"/>
  <c r="D605" i="2" s="1"/>
  <c r="D604" i="2" s="1"/>
  <c r="D35" i="3"/>
  <c r="L5" i="4"/>
  <c r="M88" i="5"/>
  <c r="D277" i="2"/>
  <c r="D276" i="2" s="1"/>
  <c r="M160" i="7"/>
  <c r="K300" i="2"/>
  <c r="H35" i="2"/>
  <c r="H34" i="2" s="1"/>
  <c r="M351" i="2"/>
  <c r="M350" i="2" s="1"/>
  <c r="E108" i="6"/>
  <c r="E107" i="6" s="1"/>
  <c r="D118" i="6"/>
  <c r="D117" i="6" s="1"/>
  <c r="P107" i="6" s="1"/>
  <c r="E52" i="7"/>
  <c r="E51" i="7" s="1"/>
  <c r="E125" i="7"/>
  <c r="I10" i="3"/>
  <c r="D209" i="3"/>
  <c r="O218" i="3" s="1"/>
  <c r="E241" i="2"/>
  <c r="F28" i="6"/>
  <c r="D28" i="6" s="1"/>
  <c r="D138" i="6"/>
  <c r="D137" i="6" s="1"/>
  <c r="D136" i="6" s="1"/>
  <c r="I55" i="1"/>
  <c r="D160" i="9"/>
  <c r="F198" i="9"/>
  <c r="M198" i="9" s="1"/>
  <c r="M197" i="9" s="1"/>
  <c r="D235" i="9"/>
  <c r="D33" i="8"/>
  <c r="D32" i="8" s="1"/>
  <c r="D30" i="8"/>
  <c r="O30" i="8" s="1"/>
  <c r="C25" i="1"/>
  <c r="G25" i="1"/>
  <c r="K32" i="8"/>
  <c r="D34" i="1"/>
  <c r="D126" i="1" s="1"/>
  <c r="D172" i="1" s="1"/>
  <c r="L77" i="8"/>
  <c r="O24" i="8"/>
  <c r="M111" i="8"/>
  <c r="M108" i="8" s="1"/>
  <c r="M107" i="8" s="1"/>
  <c r="K43" i="8"/>
  <c r="I21" i="8"/>
  <c r="K68" i="8"/>
  <c r="F21" i="8"/>
  <c r="H21" i="8"/>
  <c r="H11" i="8"/>
  <c r="K27" i="8"/>
  <c r="F43" i="8"/>
  <c r="D107" i="8"/>
  <c r="L20" i="8"/>
  <c r="L11" i="8"/>
  <c r="J62" i="8"/>
  <c r="J49" i="8"/>
  <c r="L62" i="8"/>
  <c r="I57" i="8"/>
  <c r="L86" i="8"/>
  <c r="F86" i="8"/>
  <c r="J43" i="8"/>
  <c r="H49" i="8"/>
  <c r="H108" i="8"/>
  <c r="H107" i="8" s="1"/>
  <c r="L108" i="8"/>
  <c r="L107" i="8" s="1"/>
  <c r="C34" i="1"/>
  <c r="C126" i="1" s="1"/>
  <c r="C172" i="1" s="1"/>
  <c r="E15" i="8"/>
  <c r="E10" i="8" s="1"/>
  <c r="J95" i="8"/>
  <c r="E104" i="8"/>
  <c r="K104" i="8"/>
  <c r="D95" i="8"/>
  <c r="H104" i="8"/>
  <c r="E50" i="1"/>
  <c r="O14" i="8"/>
  <c r="J20" i="8"/>
  <c r="I27" i="8"/>
  <c r="E25" i="1"/>
  <c r="M33" i="8"/>
  <c r="M32" i="8" s="1"/>
  <c r="D38" i="8"/>
  <c r="D37" i="8" s="1"/>
  <c r="D120" i="8"/>
  <c r="D119" i="8" s="1"/>
  <c r="F68" i="8"/>
  <c r="G68" i="8"/>
  <c r="E68" i="8"/>
  <c r="F82" i="8"/>
  <c r="K57" i="8"/>
  <c r="M15" i="8"/>
  <c r="B21" i="1"/>
  <c r="D47" i="8"/>
  <c r="D43" i="8" s="1"/>
  <c r="F50" i="1"/>
  <c r="F29" i="1"/>
  <c r="F121" i="1" s="1"/>
  <c r="F167" i="1" s="1"/>
  <c r="I43" i="8"/>
  <c r="K21" i="8"/>
  <c r="G57" i="8"/>
  <c r="H100" i="8"/>
  <c r="D22" i="8"/>
  <c r="D21" i="8" s="1"/>
  <c r="D86" i="8"/>
  <c r="L10" i="13"/>
  <c r="O26" i="2"/>
  <c r="M16" i="2"/>
  <c r="E205" i="9"/>
  <c r="K218" i="9"/>
  <c r="J258" i="9"/>
  <c r="I258" i="9"/>
  <c r="H258" i="9"/>
  <c r="G42" i="6"/>
  <c r="G41" i="6" s="1"/>
  <c r="F42" i="6"/>
  <c r="D43" i="6"/>
  <c r="D91" i="5"/>
  <c r="D90" i="5" s="1"/>
  <c r="D89" i="5" s="1"/>
  <c r="D86" i="5"/>
  <c r="L11" i="5"/>
  <c r="L148" i="5"/>
  <c r="I25" i="1"/>
  <c r="L394" i="3"/>
  <c r="E24" i="3"/>
  <c r="L44" i="3"/>
  <c r="G44" i="3"/>
  <c r="F44" i="3"/>
  <c r="K84" i="3"/>
  <c r="E26" i="6"/>
  <c r="B31" i="1"/>
  <c r="B123" i="1" s="1"/>
  <c r="B169" i="1" s="1"/>
  <c r="D31" i="1"/>
  <c r="D123" i="1" s="1"/>
  <c r="D169" i="1" s="1"/>
  <c r="G20" i="6"/>
  <c r="E31" i="1"/>
  <c r="H188" i="6"/>
  <c r="H180" i="6"/>
  <c r="J188" i="6"/>
  <c r="K188" i="6"/>
  <c r="G165" i="6"/>
  <c r="D166" i="6"/>
  <c r="E152" i="6"/>
  <c r="L16" i="6"/>
  <c r="F122" i="6"/>
  <c r="F121" i="6" s="1"/>
  <c r="E16" i="6"/>
  <c r="B23" i="1" s="1"/>
  <c r="P23" i="1" s="1"/>
  <c r="E121" i="6"/>
  <c r="L126" i="6"/>
  <c r="L121" i="6" s="1"/>
  <c r="M241" i="6"/>
  <c r="J266" i="3"/>
  <c r="I266" i="3"/>
  <c r="H266" i="3"/>
  <c r="G19" i="1"/>
  <c r="D267" i="3"/>
  <c r="L366" i="2"/>
  <c r="L19" i="2"/>
  <c r="L17" i="2" s="1"/>
  <c r="L434" i="2"/>
  <c r="E434" i="2"/>
  <c r="M434" i="2"/>
  <c r="D425" i="2"/>
  <c r="I31" i="2"/>
  <c r="I28" i="2" s="1"/>
  <c r="M526" i="2"/>
  <c r="K693" i="2"/>
  <c r="H90" i="1" s="1"/>
  <c r="G695" i="2"/>
  <c r="J535" i="2"/>
  <c r="J534" i="2" s="1"/>
  <c r="K529" i="2"/>
  <c r="K528" i="2" s="1"/>
  <c r="J248" i="3"/>
  <c r="J222" i="3"/>
  <c r="K222" i="3"/>
  <c r="I222" i="3"/>
  <c r="H222" i="3"/>
  <c r="G222" i="3"/>
  <c r="G139" i="3"/>
  <c r="K139" i="3"/>
  <c r="G204" i="3"/>
  <c r="K204" i="3"/>
  <c r="H204" i="3"/>
  <c r="I204" i="3"/>
  <c r="O220" i="3"/>
  <c r="F205" i="3"/>
  <c r="D133" i="3"/>
  <c r="D102" i="3"/>
  <c r="M78" i="3"/>
  <c r="D78" i="3"/>
  <c r="K78" i="3"/>
  <c r="F78" i="3"/>
  <c r="C57" i="1"/>
  <c r="D21" i="7"/>
  <c r="D20" i="7" s="1"/>
  <c r="K20" i="7"/>
  <c r="D51" i="7"/>
  <c r="G45" i="7"/>
  <c r="K9" i="7"/>
  <c r="M8" i="7"/>
  <c r="D12" i="7"/>
  <c r="D10" i="7" s="1"/>
  <c r="D46" i="7"/>
  <c r="D45" i="7" s="1"/>
  <c r="D218" i="9"/>
  <c r="M331" i="9"/>
  <c r="K108" i="9"/>
  <c r="L302" i="9"/>
  <c r="D151" i="9"/>
  <c r="D150" i="9" s="1"/>
  <c r="D149" i="9" s="1"/>
  <c r="K170" i="9"/>
  <c r="K255" i="9"/>
  <c r="K254" i="9" s="1"/>
  <c r="M335" i="9"/>
  <c r="K128" i="1"/>
  <c r="L75" i="9"/>
  <c r="K194" i="9"/>
  <c r="K193" i="9" s="1"/>
  <c r="F218" i="9"/>
  <c r="D281" i="9"/>
  <c r="K292" i="9"/>
  <c r="K287" i="9" s="1"/>
  <c r="E302" i="9"/>
  <c r="G302" i="9"/>
  <c r="G124" i="9"/>
  <c r="D131" i="9"/>
  <c r="D130" i="9" s="1"/>
  <c r="D124" i="9" s="1"/>
  <c r="K140" i="9"/>
  <c r="M296" i="9"/>
  <c r="E194" i="9"/>
  <c r="E193" i="9" s="1"/>
  <c r="L183" i="9"/>
  <c r="K205" i="9"/>
  <c r="J281" i="9"/>
  <c r="D187" i="9"/>
  <c r="D186" i="9" s="1"/>
  <c r="D183" i="9" s="1"/>
  <c r="D242" i="9"/>
  <c r="D250" i="9"/>
  <c r="L158" i="9"/>
  <c r="M275" i="9"/>
  <c r="M12" i="9"/>
  <c r="D81" i="9"/>
  <c r="M38" i="9"/>
  <c r="M37" i="9" s="1"/>
  <c r="M13" i="9"/>
  <c r="E172" i="9"/>
  <c r="E198" i="9"/>
  <c r="E259" i="9"/>
  <c r="D165" i="9"/>
  <c r="D164" i="9" s="1"/>
  <c r="D174" i="9"/>
  <c r="K330" i="9"/>
  <c r="K329" i="9" s="1"/>
  <c r="I330" i="9"/>
  <c r="I329" i="9" s="1"/>
  <c r="L218" i="9"/>
  <c r="L57" i="9"/>
  <c r="H231" i="9"/>
  <c r="I275" i="9"/>
  <c r="I18" i="9"/>
  <c r="H130" i="9"/>
  <c r="H124" i="9" s="1"/>
  <c r="M160" i="9"/>
  <c r="M159" i="9" s="1"/>
  <c r="M158" i="9" s="1"/>
  <c r="E281" i="9"/>
  <c r="L99" i="9"/>
  <c r="D336" i="9"/>
  <c r="D333" i="9" s="1"/>
  <c r="D332" i="9" s="1"/>
  <c r="D342" i="9"/>
  <c r="D341" i="9" s="1"/>
  <c r="F149" i="9"/>
  <c r="F175" i="9"/>
  <c r="M176" i="9"/>
  <c r="M175" i="9" s="1"/>
  <c r="L170" i="9"/>
  <c r="D245" i="9"/>
  <c r="K244" i="9"/>
  <c r="E183" i="9"/>
  <c r="D249" i="9"/>
  <c r="K179" i="9"/>
  <c r="G179" i="9"/>
  <c r="F183" i="9"/>
  <c r="F329" i="9"/>
  <c r="L164" i="9"/>
  <c r="L140" i="9"/>
  <c r="F158" i="9"/>
  <c r="F188" i="9"/>
  <c r="D159" i="9"/>
  <c r="B57" i="1"/>
  <c r="P57" i="1" s="1"/>
  <c r="H330" i="9"/>
  <c r="H329" i="9" s="1"/>
  <c r="K150" i="9"/>
  <c r="K99" i="9"/>
  <c r="F205" i="9"/>
  <c r="M205" i="9"/>
  <c r="K51" i="9"/>
  <c r="D195" i="9"/>
  <c r="L240" i="9"/>
  <c r="K159" i="9"/>
  <c r="I262" i="9"/>
  <c r="D101" i="9"/>
  <c r="D100" i="9" s="1"/>
  <c r="D99" i="9" s="1"/>
  <c r="O98" i="9" s="1"/>
  <c r="D248" i="9"/>
  <c r="E104" i="9"/>
  <c r="H18" i="9"/>
  <c r="K266" i="9"/>
  <c r="F194" i="9"/>
  <c r="D276" i="9"/>
  <c r="D275" i="9" s="1"/>
  <c r="L11" i="9"/>
  <c r="D144" i="9"/>
  <c r="D143" i="9" s="1"/>
  <c r="K75" i="9"/>
  <c r="L84" i="9"/>
  <c r="M153" i="9"/>
  <c r="M152" i="9" s="1"/>
  <c r="M266" i="9"/>
  <c r="K186" i="9"/>
  <c r="M199" i="9"/>
  <c r="M177" i="9"/>
  <c r="L15" i="9"/>
  <c r="L14" i="9" s="1"/>
  <c r="L179" i="9"/>
  <c r="J179" i="9"/>
  <c r="J201" i="9"/>
  <c r="E336" i="9"/>
  <c r="E333" i="9" s="1"/>
  <c r="E332" i="9" s="1"/>
  <c r="K55" i="1"/>
  <c r="K25" i="9"/>
  <c r="G262" i="9"/>
  <c r="L262" i="9"/>
  <c r="D246" i="9"/>
  <c r="M246" i="9"/>
  <c r="M245" i="9" s="1"/>
  <c r="M244" i="9" s="1"/>
  <c r="L281" i="9"/>
  <c r="F271" i="9"/>
  <c r="K281" i="9"/>
  <c r="K296" i="9"/>
  <c r="L292" i="9"/>
  <c r="G296" i="9"/>
  <c r="E37" i="9"/>
  <c r="E18" i="9"/>
  <c r="M131" i="9"/>
  <c r="M130" i="9" s="1"/>
  <c r="D142" i="9"/>
  <c r="D141" i="9" s="1"/>
  <c r="E75" i="9"/>
  <c r="M76" i="9"/>
  <c r="M75" i="9" s="1"/>
  <c r="K233" i="9"/>
  <c r="K232" i="9" s="1"/>
  <c r="D173" i="9"/>
  <c r="D177" i="9"/>
  <c r="M218" i="9"/>
  <c r="D205" i="9"/>
  <c r="M51" i="9"/>
  <c r="L231" i="9"/>
  <c r="D52" i="9"/>
  <c r="D266" i="9"/>
  <c r="D75" i="9"/>
  <c r="G99" i="9"/>
  <c r="M140" i="9"/>
  <c r="M234" i="9"/>
  <c r="D257" i="9"/>
  <c r="J107" i="6"/>
  <c r="G97" i="6"/>
  <c r="G96" i="6" s="1"/>
  <c r="K97" i="6"/>
  <c r="L22" i="2"/>
  <c r="L21" i="2" s="1"/>
  <c r="L687" i="2" s="1"/>
  <c r="K22" i="2"/>
  <c r="M14" i="2"/>
  <c r="J22" i="2"/>
  <c r="D43" i="2"/>
  <c r="D50" i="2"/>
  <c r="D48" i="2" s="1"/>
  <c r="L14" i="2"/>
  <c r="I20" i="1" s="1"/>
  <c r="J11" i="2"/>
  <c r="J10" i="2" s="1"/>
  <c r="D344" i="2"/>
  <c r="D343" i="2" s="1"/>
  <c r="H15" i="2"/>
  <c r="E22" i="1"/>
  <c r="J43" i="2"/>
  <c r="J42" i="2" s="1"/>
  <c r="H24" i="2"/>
  <c r="E30" i="1" s="1"/>
  <c r="L356" i="2"/>
  <c r="L350" i="2"/>
  <c r="H12" i="2"/>
  <c r="I48" i="2"/>
  <c r="M37" i="2"/>
  <c r="O38" i="2"/>
  <c r="I11" i="2"/>
  <c r="I10" i="2" s="1"/>
  <c r="H32" i="1"/>
  <c r="G26" i="2"/>
  <c r="D32" i="1" s="1"/>
  <c r="D125" i="1" s="1"/>
  <c r="D171" i="1" s="1"/>
  <c r="H271" i="6"/>
  <c r="F301" i="6"/>
  <c r="G26" i="6"/>
  <c r="F271" i="6"/>
  <c r="P108" i="6"/>
  <c r="J271" i="6"/>
  <c r="I293" i="6"/>
  <c r="I304" i="6" s="1"/>
  <c r="I20" i="6"/>
  <c r="F31" i="1"/>
  <c r="F153" i="6"/>
  <c r="F210" i="6"/>
  <c r="F207" i="6" s="1"/>
  <c r="D211" i="6"/>
  <c r="M127" i="6"/>
  <c r="M126" i="6" s="1"/>
  <c r="M121" i="6" s="1"/>
  <c r="G126" i="6"/>
  <c r="G291" i="6"/>
  <c r="D127" i="6"/>
  <c r="M163" i="6"/>
  <c r="D163" i="6"/>
  <c r="K162" i="6"/>
  <c r="D162" i="6" s="1"/>
  <c r="K27" i="6"/>
  <c r="I291" i="6"/>
  <c r="I126" i="6"/>
  <c r="E62" i="6"/>
  <c r="J97" i="6"/>
  <c r="D104" i="6"/>
  <c r="J16" i="6"/>
  <c r="G23" i="1" s="1"/>
  <c r="D200" i="6"/>
  <c r="L153" i="6"/>
  <c r="L168" i="6"/>
  <c r="L165" i="6" s="1"/>
  <c r="M159" i="6"/>
  <c r="I27" i="6"/>
  <c r="J180" i="6"/>
  <c r="F180" i="6"/>
  <c r="G172" i="6"/>
  <c r="L42" i="6"/>
  <c r="G56" i="6"/>
  <c r="G271" i="6" s="1"/>
  <c r="D164" i="6"/>
  <c r="K165" i="6"/>
  <c r="I165" i="6"/>
  <c r="G158" i="6"/>
  <c r="M256" i="6"/>
  <c r="M255" i="6" s="1"/>
  <c r="M254" i="6" s="1"/>
  <c r="D33" i="6"/>
  <c r="H158" i="6"/>
  <c r="M261" i="6"/>
  <c r="M260" i="6" s="1"/>
  <c r="D215" i="6"/>
  <c r="L271" i="6"/>
  <c r="G240" i="6"/>
  <c r="G239" i="6" s="1"/>
  <c r="D169" i="6"/>
  <c r="E240" i="6"/>
  <c r="E239" i="6" s="1"/>
  <c r="J240" i="6"/>
  <c r="G49" i="1" s="1"/>
  <c r="D40" i="4"/>
  <c r="D108" i="4" s="1"/>
  <c r="G110" i="4"/>
  <c r="G111" i="4" s="1"/>
  <c r="K15" i="4"/>
  <c r="D17" i="4"/>
  <c r="D16" i="4" s="1"/>
  <c r="G34" i="4"/>
  <c r="F6" i="4"/>
  <c r="F5" i="4" s="1"/>
  <c r="P30" i="4"/>
  <c r="P32" i="4" s="1"/>
  <c r="D35" i="4"/>
  <c r="K9" i="4"/>
  <c r="K8" i="4" s="1"/>
  <c r="D19" i="4"/>
  <c r="D18" i="4" s="1"/>
  <c r="D29" i="4"/>
  <c r="D28" i="4" s="1"/>
  <c r="D109" i="4" s="1"/>
  <c r="M7" i="4"/>
  <c r="M22" i="4"/>
  <c r="M21" i="4" s="1"/>
  <c r="H22" i="1"/>
  <c r="H116" i="1" s="1"/>
  <c r="K21" i="4"/>
  <c r="D7" i="4"/>
  <c r="F9" i="4"/>
  <c r="F8" i="4" s="1"/>
  <c r="D22" i="4"/>
  <c r="D21" i="4" s="1"/>
  <c r="D10" i="4"/>
  <c r="D9" i="4" s="1"/>
  <c r="D8" i="4" s="1"/>
  <c r="M10" i="4"/>
  <c r="M9" i="4" s="1"/>
  <c r="M8" i="4" s="1"/>
  <c r="D286" i="3"/>
  <c r="D281" i="3"/>
  <c r="K266" i="3"/>
  <c r="F266" i="3"/>
  <c r="D272" i="3"/>
  <c r="D271" i="3" s="1"/>
  <c r="O271" i="3" s="1"/>
  <c r="K145" i="9"/>
  <c r="K130" i="9"/>
  <c r="K124" i="9" s="1"/>
  <c r="J130" i="9"/>
  <c r="J124" i="9" s="1"/>
  <c r="M126" i="9"/>
  <c r="M125" i="9" s="1"/>
  <c r="L125" i="9"/>
  <c r="L124" i="9" s="1"/>
  <c r="M115" i="9"/>
  <c r="M114" i="9" s="1"/>
  <c r="D114" i="9"/>
  <c r="M110" i="9"/>
  <c r="M109" i="9" s="1"/>
  <c r="D110" i="9"/>
  <c r="D109" i="9" s="1"/>
  <c r="J108" i="9"/>
  <c r="M68" i="8"/>
  <c r="D68" i="8"/>
  <c r="K77" i="8"/>
  <c r="D77" i="8"/>
  <c r="D12" i="8"/>
  <c r="I49" i="4"/>
  <c r="H49" i="4"/>
  <c r="I60" i="4"/>
  <c r="K60" i="4"/>
  <c r="K59" i="4" s="1"/>
  <c r="D52" i="4"/>
  <c r="D95" i="4"/>
  <c r="D94" i="4" s="1"/>
  <c r="G50" i="1"/>
  <c r="F304" i="3"/>
  <c r="K304" i="3"/>
  <c r="F300" i="3"/>
  <c r="K292" i="3"/>
  <c r="D297" i="3"/>
  <c r="O298" i="3" s="1"/>
  <c r="M297" i="3"/>
  <c r="F293" i="3"/>
  <c r="J292" i="3"/>
  <c r="M294" i="3"/>
  <c r="D294" i="3"/>
  <c r="F695" i="2"/>
  <c r="L695" i="2"/>
  <c r="L696" i="2" s="1"/>
  <c r="I64" i="1"/>
  <c r="I63" i="1" s="1"/>
  <c r="I74" i="1" s="1"/>
  <c r="G124" i="1"/>
  <c r="G170" i="1" s="1"/>
  <c r="F535" i="2"/>
  <c r="F534" i="2" s="1"/>
  <c r="J525" i="2"/>
  <c r="K19" i="2"/>
  <c r="K17" i="2" s="1"/>
  <c r="K425" i="2"/>
  <c r="K421" i="2"/>
  <c r="E430" i="2"/>
  <c r="K31" i="2"/>
  <c r="K28" i="2" s="1"/>
  <c r="J372" i="2"/>
  <c r="J369" i="2" s="1"/>
  <c r="H363" i="2"/>
  <c r="M13" i="13"/>
  <c r="M48" i="13"/>
  <c r="M47" i="13" s="1"/>
  <c r="M46" i="13" s="1"/>
  <c r="F47" i="13"/>
  <c r="D48" i="13"/>
  <c r="K18" i="13"/>
  <c r="K16" i="13" s="1"/>
  <c r="K10" i="13" s="1"/>
  <c r="K172" i="6"/>
  <c r="G207" i="6"/>
  <c r="D168" i="6"/>
  <c r="F165" i="6"/>
  <c r="G199" i="6"/>
  <c r="E23" i="6"/>
  <c r="F21" i="1"/>
  <c r="E172" i="6"/>
  <c r="D176" i="6"/>
  <c r="F158" i="6"/>
  <c r="F194" i="6"/>
  <c r="D195" i="6"/>
  <c r="D194" i="6" s="1"/>
  <c r="G21" i="1"/>
  <c r="E144" i="6"/>
  <c r="E180" i="6"/>
  <c r="K46" i="13"/>
  <c r="G16" i="13"/>
  <c r="M18" i="13"/>
  <c r="M16" i="13" s="1"/>
  <c r="D25" i="1"/>
  <c r="D115" i="1" s="1"/>
  <c r="L46" i="13"/>
  <c r="K275" i="9"/>
  <c r="C71" i="1"/>
  <c r="G14" i="7"/>
  <c r="G9" i="7" s="1"/>
  <c r="C62" i="1"/>
  <c r="M12" i="7"/>
  <c r="D57" i="1"/>
  <c r="F63" i="1"/>
  <c r="F74" i="1" s="1"/>
  <c r="F124" i="1"/>
  <c r="F170" i="1" s="1"/>
  <c r="G535" i="2"/>
  <c r="G534" i="2" s="1"/>
  <c r="G696" i="2" s="1"/>
  <c r="I535" i="2"/>
  <c r="I534" i="2" s="1"/>
  <c r="I696" i="2" s="1"/>
  <c r="L527" i="2"/>
  <c r="I50" i="1" s="1"/>
  <c r="F527" i="2"/>
  <c r="F525" i="2" s="1"/>
  <c r="E527" i="2"/>
  <c r="B50" i="1" s="1"/>
  <c r="P50" i="1" s="1"/>
  <c r="I54" i="1"/>
  <c r="K668" i="2"/>
  <c r="K138" i="13"/>
  <c r="K37" i="13"/>
  <c r="D28" i="13"/>
  <c r="G33" i="13"/>
  <c r="G136" i="13" s="1"/>
  <c r="D34" i="13"/>
  <c r="D33" i="13" s="1"/>
  <c r="D136" i="13" s="1"/>
  <c r="O34" i="13"/>
  <c r="K527" i="2"/>
  <c r="H50" i="1" s="1"/>
  <c r="M527" i="2"/>
  <c r="K535" i="2"/>
  <c r="K534" i="2" s="1"/>
  <c r="D530" i="2"/>
  <c r="D529" i="2" s="1"/>
  <c r="D528" i="2" s="1"/>
  <c r="I7" i="2"/>
  <c r="J362" i="2"/>
  <c r="G425" i="2"/>
  <c r="M377" i="2"/>
  <c r="L377" i="2"/>
  <c r="E377" i="2"/>
  <c r="H366" i="2"/>
  <c r="K377" i="2"/>
  <c r="D374" i="2"/>
  <c r="G372" i="2"/>
  <c r="G369" i="2" s="1"/>
  <c r="D422" i="2"/>
  <c r="D421" i="2" s="1"/>
  <c r="F31" i="2"/>
  <c r="F28" i="2" s="1"/>
  <c r="F21" i="2" s="1"/>
  <c r="F687" i="2" s="1"/>
  <c r="F416" i="2"/>
  <c r="D386" i="2"/>
  <c r="M386" i="2"/>
  <c r="G18" i="9"/>
  <c r="L239" i="6"/>
  <c r="D256" i="6"/>
  <c r="F240" i="6"/>
  <c r="F239" i="6" s="1"/>
  <c r="I255" i="6"/>
  <c r="I254" i="6" s="1"/>
  <c r="I240" i="6" s="1"/>
  <c r="K240" i="6"/>
  <c r="I244" i="6"/>
  <c r="M99" i="9"/>
  <c r="F104" i="9"/>
  <c r="G8" i="8"/>
  <c r="D63" i="8"/>
  <c r="D62" i="8" s="1"/>
  <c r="D57" i="8"/>
  <c r="K386" i="3"/>
  <c r="E54" i="1"/>
  <c r="E53" i="1" s="1"/>
  <c r="H387" i="3"/>
  <c r="H380" i="3" s="1"/>
  <c r="H379" i="3" s="1"/>
  <c r="G387" i="3"/>
  <c r="G380" i="3" s="1"/>
  <c r="G379" i="3" s="1"/>
  <c r="M388" i="3"/>
  <c r="M387" i="3" s="1"/>
  <c r="M386" i="3" s="1"/>
  <c r="F387" i="3"/>
  <c r="F380" i="3" s="1"/>
  <c r="D388" i="3"/>
  <c r="D256" i="9"/>
  <c r="M257" i="9"/>
  <c r="F255" i="9"/>
  <c r="F254" i="9" s="1"/>
  <c r="D260" i="9"/>
  <c r="F259" i="9"/>
  <c r="D261" i="9"/>
  <c r="D264" i="9"/>
  <c r="F263" i="9"/>
  <c r="K262" i="9"/>
  <c r="K259" i="9"/>
  <c r="I14" i="9"/>
  <c r="I253" i="9"/>
  <c r="L253" i="9"/>
  <c r="H253" i="9"/>
  <c r="G258" i="9"/>
  <c r="E254" i="9"/>
  <c r="L21" i="9"/>
  <c r="L17" i="9" s="1"/>
  <c r="D9" i="5"/>
  <c r="D8" i="5" s="1"/>
  <c r="H147" i="5"/>
  <c r="D145" i="5"/>
  <c r="D147" i="5" s="1"/>
  <c r="D148" i="5" s="1"/>
  <c r="F9" i="5"/>
  <c r="G241" i="9"/>
  <c r="K241" i="9"/>
  <c r="M237" i="9"/>
  <c r="M236" i="9" s="1"/>
  <c r="D238" i="9"/>
  <c r="F236" i="9"/>
  <c r="K237" i="9"/>
  <c r="D239" i="9"/>
  <c r="M233" i="9"/>
  <c r="M232" i="9" s="1"/>
  <c r="F232" i="9"/>
  <c r="D234" i="9"/>
  <c r="I232" i="9"/>
  <c r="D233" i="9"/>
  <c r="E236" i="9"/>
  <c r="J236" i="9"/>
  <c r="J231" i="9" s="1"/>
  <c r="E57" i="9"/>
  <c r="D31" i="9"/>
  <c r="F19" i="13" l="1"/>
  <c r="F139" i="13" s="1"/>
  <c r="O44" i="13"/>
  <c r="F10" i="7"/>
  <c r="F9" i="7" s="1"/>
  <c r="G11" i="3"/>
  <c r="G525" i="2"/>
  <c r="H53" i="1"/>
  <c r="M26" i="3"/>
  <c r="M25" i="3" s="1"/>
  <c r="D329" i="9"/>
  <c r="D330" i="9"/>
  <c r="K11" i="9"/>
  <c r="K10" i="9" s="1"/>
  <c r="E111" i="4"/>
  <c r="I49" i="1"/>
  <c r="M330" i="9"/>
  <c r="M329" i="9" s="1"/>
  <c r="K15" i="9"/>
  <c r="K14" i="9" s="1"/>
  <c r="J21" i="2"/>
  <c r="J687" i="2" s="1"/>
  <c r="F16" i="3"/>
  <c r="G393" i="3"/>
  <c r="F394" i="3"/>
  <c r="J393" i="3"/>
  <c r="E393" i="3"/>
  <c r="D12" i="3"/>
  <c r="I57" i="1"/>
  <c r="I111" i="1" s="1"/>
  <c r="I157" i="1" s="1"/>
  <c r="L10" i="7"/>
  <c r="L9" i="7" s="1"/>
  <c r="I53" i="1"/>
  <c r="H393" i="3"/>
  <c r="D108" i="9"/>
  <c r="G394" i="3"/>
  <c r="I393" i="3"/>
  <c r="G31" i="1"/>
  <c r="G123" i="1" s="1"/>
  <c r="G169" i="1" s="1"/>
  <c r="G64" i="1"/>
  <c r="L7" i="3"/>
  <c r="E394" i="3"/>
  <c r="J394" i="3"/>
  <c r="L140" i="6"/>
  <c r="D22" i="3"/>
  <c r="D20" i="3" s="1"/>
  <c r="J7" i="3"/>
  <c r="F11" i="3"/>
  <c r="F12" i="3"/>
  <c r="E16" i="3"/>
  <c r="F35" i="2"/>
  <c r="F34" i="2" s="1"/>
  <c r="D15" i="3"/>
  <c r="M206" i="3"/>
  <c r="M205" i="3" s="1"/>
  <c r="O32" i="3"/>
  <c r="M24" i="3"/>
  <c r="M175" i="3"/>
  <c r="M174" i="3" s="1"/>
  <c r="H248" i="3"/>
  <c r="K16" i="3"/>
  <c r="F14" i="3"/>
  <c r="I17" i="9"/>
  <c r="J293" i="6"/>
  <c r="J304" i="6" s="1"/>
  <c r="F293" i="6"/>
  <c r="C54" i="1"/>
  <c r="F50" i="4"/>
  <c r="F49" i="4" s="1"/>
  <c r="I152" i="6"/>
  <c r="I149" i="6" s="1"/>
  <c r="I272" i="6" s="1"/>
  <c r="I273" i="6" s="1"/>
  <c r="H24" i="6"/>
  <c r="H23" i="6" s="1"/>
  <c r="J18" i="6"/>
  <c r="J17" i="6" s="1"/>
  <c r="D183" i="6"/>
  <c r="D180" i="6" s="1"/>
  <c r="C31" i="1"/>
  <c r="C123" i="1" s="1"/>
  <c r="C169" i="1" s="1"/>
  <c r="J20" i="6"/>
  <c r="P65" i="1"/>
  <c r="H155" i="8"/>
  <c r="H157" i="8" s="1"/>
  <c r="J155" i="8"/>
  <c r="J157" i="8" s="1"/>
  <c r="J158" i="8" s="1"/>
  <c r="D114" i="8"/>
  <c r="D113" i="8" s="1"/>
  <c r="D165" i="8" s="1"/>
  <c r="E155" i="8"/>
  <c r="F155" i="8"/>
  <c r="F157" i="8" s="1"/>
  <c r="G155" i="8"/>
  <c r="G157" i="8" s="1"/>
  <c r="I155" i="8"/>
  <c r="I157" i="8" s="1"/>
  <c r="C90" i="1"/>
  <c r="D155" i="8"/>
  <c r="D157" i="8" s="1"/>
  <c r="L155" i="8"/>
  <c r="G17" i="7"/>
  <c r="G16" i="7" s="1"/>
  <c r="D68" i="1"/>
  <c r="D64" i="1" s="1"/>
  <c r="K155" i="8"/>
  <c r="K157" i="8" s="1"/>
  <c r="B68" i="1"/>
  <c r="B64" i="1" s="1"/>
  <c r="B63" i="1" s="1"/>
  <c r="B74" i="1" s="1"/>
  <c r="M105" i="8"/>
  <c r="D90" i="1"/>
  <c r="M28" i="6"/>
  <c r="M27" i="6" s="1"/>
  <c r="M26" i="6" s="1"/>
  <c r="J65" i="1"/>
  <c r="J67" i="1"/>
  <c r="I359" i="9"/>
  <c r="I361" i="9" s="1"/>
  <c r="H8" i="9"/>
  <c r="I91" i="1"/>
  <c r="I89" i="1" s="1"/>
  <c r="I88" i="1" s="1"/>
  <c r="I59" i="4"/>
  <c r="F91" i="1"/>
  <c r="F11" i="9"/>
  <c r="F10" i="9" s="1"/>
  <c r="D105" i="8"/>
  <c r="D104" i="8" s="1"/>
  <c r="H59" i="4"/>
  <c r="E91" i="1"/>
  <c r="J59" i="4"/>
  <c r="G91" i="1"/>
  <c r="H360" i="9"/>
  <c r="J360" i="9"/>
  <c r="E271" i="6"/>
  <c r="H359" i="9"/>
  <c r="H361" i="9" s="1"/>
  <c r="B91" i="1"/>
  <c r="M42" i="6"/>
  <c r="M41" i="6" s="1"/>
  <c r="I290" i="6"/>
  <c r="G54" i="1"/>
  <c r="G18" i="6"/>
  <c r="G17" i="6" s="1"/>
  <c r="H140" i="6"/>
  <c r="J152" i="6"/>
  <c r="K41" i="6"/>
  <c r="H96" i="6"/>
  <c r="H18" i="6"/>
  <c r="H17" i="6" s="1"/>
  <c r="J10" i="6"/>
  <c r="G152" i="6"/>
  <c r="H12" i="6"/>
  <c r="K96" i="6"/>
  <c r="G121" i="1"/>
  <c r="G167" i="1" s="1"/>
  <c r="D278" i="6"/>
  <c r="E19" i="6"/>
  <c r="M108" i="6"/>
  <c r="M107" i="6" s="1"/>
  <c r="H19" i="6"/>
  <c r="M41" i="2"/>
  <c r="M40" i="2" s="1"/>
  <c r="G42" i="2"/>
  <c r="D176" i="9"/>
  <c r="D175" i="9" s="1"/>
  <c r="E15" i="9"/>
  <c r="E14" i="9" s="1"/>
  <c r="G15" i="9"/>
  <c r="G14" i="9" s="1"/>
  <c r="H7" i="9"/>
  <c r="J253" i="9"/>
  <c r="D244" i="9"/>
  <c r="M170" i="9"/>
  <c r="F360" i="9"/>
  <c r="I21" i="1"/>
  <c r="I114" i="1" s="1"/>
  <c r="I160" i="1" s="1"/>
  <c r="G8" i="9"/>
  <c r="F15" i="9"/>
  <c r="E171" i="9"/>
  <c r="E11" i="9"/>
  <c r="M149" i="9"/>
  <c r="L10" i="9"/>
  <c r="L9" i="9" s="1"/>
  <c r="D158" i="9"/>
  <c r="E360" i="9"/>
  <c r="J8" i="9"/>
  <c r="J19" i="6"/>
  <c r="K18" i="6"/>
  <c r="K17" i="6" s="1"/>
  <c r="E63" i="1"/>
  <c r="E74" i="1" s="1"/>
  <c r="E123" i="1"/>
  <c r="E169" i="1" s="1"/>
  <c r="D48" i="9"/>
  <c r="D45" i="9" s="1"/>
  <c r="D360" i="9" s="1"/>
  <c r="D22" i="9"/>
  <c r="D21" i="9" s="1"/>
  <c r="D17" i="9" s="1"/>
  <c r="E8" i="9"/>
  <c r="D51" i="9"/>
  <c r="E157" i="8"/>
  <c r="E158" i="8" s="1"/>
  <c r="H20" i="8"/>
  <c r="H10" i="8"/>
  <c r="F108" i="9"/>
  <c r="G17" i="9"/>
  <c r="F17" i="3"/>
  <c r="H292" i="3"/>
  <c r="I18" i="6"/>
  <c r="I17" i="6" s="1"/>
  <c r="I23" i="6"/>
  <c r="I19" i="6" s="1"/>
  <c r="F35" i="1"/>
  <c r="F127" i="1" s="1"/>
  <c r="O300" i="3"/>
  <c r="D304" i="3"/>
  <c r="D108" i="6"/>
  <c r="D107" i="6" s="1"/>
  <c r="D527" i="2"/>
  <c r="P21" i="1"/>
  <c r="D394" i="3"/>
  <c r="E53" i="13"/>
  <c r="E18" i="13"/>
  <c r="E16" i="13" s="1"/>
  <c r="K58" i="1"/>
  <c r="E52" i="1"/>
  <c r="E73" i="1" s="1"/>
  <c r="G20" i="8"/>
  <c r="M58" i="1"/>
  <c r="M12" i="13"/>
  <c r="M11" i="13" s="1"/>
  <c r="M10" i="13" s="1"/>
  <c r="F11" i="13"/>
  <c r="F10" i="13" s="1"/>
  <c r="B61" i="1"/>
  <c r="P61" i="1" s="1"/>
  <c r="P62" i="1"/>
  <c r="K271" i="6"/>
  <c r="U105" i="4"/>
  <c r="U107" i="4" s="1"/>
  <c r="K17" i="7"/>
  <c r="H68" i="1"/>
  <c r="H124" i="1" s="1"/>
  <c r="H170" i="1" s="1"/>
  <c r="B121" i="1"/>
  <c r="B167" i="1" s="1"/>
  <c r="B28" i="1"/>
  <c r="K239" i="6"/>
  <c r="H49" i="1"/>
  <c r="H48" i="1" s="1"/>
  <c r="G6" i="4"/>
  <c r="G5" i="4" s="1"/>
  <c r="K15" i="2"/>
  <c r="G450" i="2"/>
  <c r="F282" i="2"/>
  <c r="J58" i="1"/>
  <c r="D17" i="8"/>
  <c r="D15" i="8" s="1"/>
  <c r="D11" i="8"/>
  <c r="O22" i="8"/>
  <c r="E175" i="9"/>
  <c r="F110" i="4"/>
  <c r="F111" i="4" s="1"/>
  <c r="J59" i="1"/>
  <c r="L65" i="1" s="1"/>
  <c r="D20" i="13"/>
  <c r="G138" i="13"/>
  <c r="D54" i="13"/>
  <c r="D18" i="13" s="1"/>
  <c r="H136" i="13"/>
  <c r="H138" i="13" s="1"/>
  <c r="H139" i="13" s="1"/>
  <c r="B34" i="1"/>
  <c r="B126" i="1" s="1"/>
  <c r="B172" i="1" s="1"/>
  <c r="E12" i="6"/>
  <c r="H290" i="6"/>
  <c r="D42" i="6"/>
  <c r="D41" i="6" s="1"/>
  <c r="O41" i="6" s="1"/>
  <c r="D14" i="6"/>
  <c r="K394" i="3"/>
  <c r="K17" i="3"/>
  <c r="G8" i="3"/>
  <c r="E14" i="3"/>
  <c r="H8" i="3"/>
  <c r="E8" i="3"/>
  <c r="I8" i="3"/>
  <c r="J8" i="3"/>
  <c r="J6" i="3" s="1"/>
  <c r="M59" i="1"/>
  <c r="D526" i="2"/>
  <c r="E526" i="2"/>
  <c r="B54" i="1"/>
  <c r="B53" i="1" s="1"/>
  <c r="P53" i="1" s="1"/>
  <c r="B114" i="1"/>
  <c r="B160" i="1" s="1"/>
  <c r="K363" i="2"/>
  <c r="K362" i="2" s="1"/>
  <c r="K12" i="2"/>
  <c r="K11" i="2" s="1"/>
  <c r="K10" i="2" s="1"/>
  <c r="L449" i="2"/>
  <c r="G686" i="2"/>
  <c r="M452" i="2"/>
  <c r="D31" i="2"/>
  <c r="D28" i="2" s="1"/>
  <c r="E42" i="2"/>
  <c r="I292" i="3"/>
  <c r="D205" i="3"/>
  <c r="D204" i="3" s="1"/>
  <c r="H44" i="3"/>
  <c r="K11" i="3"/>
  <c r="K10" i="3" s="1"/>
  <c r="C19" i="1"/>
  <c r="F19" i="1"/>
  <c r="F112" i="1" s="1"/>
  <c r="F158" i="1" s="1"/>
  <c r="M228" i="3"/>
  <c r="M227" i="3" s="1"/>
  <c r="D465" i="2"/>
  <c r="D464" i="2" s="1"/>
  <c r="E695" i="2"/>
  <c r="E696" i="2" s="1"/>
  <c r="G30" i="1"/>
  <c r="G122" i="1" s="1"/>
  <c r="G168" i="1" s="1"/>
  <c r="L111" i="4"/>
  <c r="G10" i="8"/>
  <c r="D12" i="13"/>
  <c r="D28" i="8"/>
  <c r="M525" i="2"/>
  <c r="M530" i="2"/>
  <c r="M529" i="2" s="1"/>
  <c r="M528" i="2" s="1"/>
  <c r="D50" i="1"/>
  <c r="E18" i="6"/>
  <c r="E17" i="6" s="1"/>
  <c r="D34" i="4"/>
  <c r="D6" i="4" s="1"/>
  <c r="D5" i="4" s="1"/>
  <c r="E290" i="6"/>
  <c r="H293" i="6"/>
  <c r="H304" i="6" s="1"/>
  <c r="I42" i="2"/>
  <c r="G329" i="9"/>
  <c r="D198" i="9"/>
  <c r="D197" i="9" s="1"/>
  <c r="K16" i="7"/>
  <c r="J696" i="2"/>
  <c r="H19" i="1"/>
  <c r="H112" i="1" s="1"/>
  <c r="H158" i="1" s="1"/>
  <c r="O48" i="8"/>
  <c r="E47" i="13"/>
  <c r="E13" i="13"/>
  <c r="B19" i="1" s="1"/>
  <c r="H9" i="7"/>
  <c r="I9" i="3"/>
  <c r="O253" i="3"/>
  <c r="D249" i="3"/>
  <c r="D248" i="3" s="1"/>
  <c r="M249" i="3"/>
  <c r="M248" i="3" s="1"/>
  <c r="M266" i="3"/>
  <c r="D18" i="3"/>
  <c r="O268" i="3"/>
  <c r="B89" i="1"/>
  <c r="M35" i="2"/>
  <c r="H52" i="1"/>
  <c r="H73" i="1" s="1"/>
  <c r="M293" i="3"/>
  <c r="M292" i="3" s="1"/>
  <c r="G293" i="6"/>
  <c r="G304" i="6" s="1"/>
  <c r="K276" i="2"/>
  <c r="E33" i="13"/>
  <c r="E136" i="13" s="1"/>
  <c r="E138" i="13" s="1"/>
  <c r="E139" i="13" s="1"/>
  <c r="L16" i="3"/>
  <c r="L14" i="3" s="1"/>
  <c r="L9" i="3" s="1"/>
  <c r="D89" i="1"/>
  <c r="D228" i="3"/>
  <c r="F288" i="2"/>
  <c r="F9" i="2" s="1"/>
  <c r="F223" i="3"/>
  <c r="M224" i="3"/>
  <c r="M223" i="3" s="1"/>
  <c r="M44" i="3"/>
  <c r="G456" i="2"/>
  <c r="M456" i="2" s="1"/>
  <c r="M455" i="2" s="1"/>
  <c r="M457" i="2"/>
  <c r="G248" i="3"/>
  <c r="E368" i="2"/>
  <c r="E455" i="2"/>
  <c r="E364" i="2"/>
  <c r="E363" i="2" s="1"/>
  <c r="E450" i="2"/>
  <c r="E17" i="9"/>
  <c r="K174" i="3"/>
  <c r="K360" i="9"/>
  <c r="D452" i="2"/>
  <c r="D457" i="2"/>
  <c r="M47" i="4"/>
  <c r="M46" i="4" s="1"/>
  <c r="M90" i="4"/>
  <c r="M89" i="4" s="1"/>
  <c r="C29" i="1"/>
  <c r="C121" i="1" s="1"/>
  <c r="C167" i="1" s="1"/>
  <c r="D451" i="2"/>
  <c r="D364" i="2" s="1"/>
  <c r="D363" i="2" s="1"/>
  <c r="H11" i="2"/>
  <c r="H10" i="2" s="1"/>
  <c r="O139" i="6"/>
  <c r="D293" i="6"/>
  <c r="F379" i="3"/>
  <c r="M380" i="3"/>
  <c r="M379" i="3" s="1"/>
  <c r="J359" i="9"/>
  <c r="L10" i="6"/>
  <c r="M104" i="8"/>
  <c r="L8" i="8"/>
  <c r="L10" i="8"/>
  <c r="F20" i="8"/>
  <c r="D166" i="3"/>
  <c r="P68" i="1"/>
  <c r="I139" i="13"/>
  <c r="D525" i="2"/>
  <c r="D25" i="9"/>
  <c r="D67" i="3"/>
  <c r="D62" i="3"/>
  <c r="L6" i="3"/>
  <c r="D387" i="3"/>
  <c r="D380" i="3" s="1"/>
  <c r="D384" i="3"/>
  <c r="D383" i="3" s="1"/>
  <c r="D382" i="3" s="1"/>
  <c r="E386" i="3"/>
  <c r="E380" i="3"/>
  <c r="E379" i="3" s="1"/>
  <c r="F160" i="3"/>
  <c r="E10" i="3"/>
  <c r="K393" i="3"/>
  <c r="P96" i="6"/>
  <c r="M56" i="1"/>
  <c r="E18" i="1"/>
  <c r="E110" i="1" s="1"/>
  <c r="E156" i="1" s="1"/>
  <c r="L393" i="3"/>
  <c r="L395" i="3" s="1"/>
  <c r="L396" i="3" s="1"/>
  <c r="F17" i="9"/>
  <c r="J56" i="1"/>
  <c r="M204" i="3"/>
  <c r="J66" i="1"/>
  <c r="D336" i="2"/>
  <c r="H10" i="6"/>
  <c r="G19" i="6"/>
  <c r="K59" i="1"/>
  <c r="G10" i="3"/>
  <c r="Q9" i="7"/>
  <c r="O25" i="2"/>
  <c r="J17" i="9"/>
  <c r="G12" i="6"/>
  <c r="K158" i="6"/>
  <c r="D158" i="6" s="1"/>
  <c r="D114" i="1"/>
  <c r="D160" i="1" s="1"/>
  <c r="E40" i="1"/>
  <c r="E22" i="2"/>
  <c r="G290" i="6"/>
  <c r="G363" i="2"/>
  <c r="G12" i="2"/>
  <c r="G11" i="2" s="1"/>
  <c r="K153" i="3"/>
  <c r="K152" i="3" s="1"/>
  <c r="K165" i="3"/>
  <c r="K164" i="3" s="1"/>
  <c r="K8" i="3" s="1"/>
  <c r="D7" i="7"/>
  <c r="D6" i="7" s="1"/>
  <c r="D158" i="7"/>
  <c r="E445" i="2"/>
  <c r="E264" i="2"/>
  <c r="D82" i="13"/>
  <c r="F186" i="3"/>
  <c r="D187" i="3"/>
  <c r="D186" i="3" s="1"/>
  <c r="D393" i="3" s="1"/>
  <c r="O188" i="3"/>
  <c r="D223" i="3"/>
  <c r="O224" i="3"/>
  <c r="F368" i="2"/>
  <c r="D534" i="2"/>
  <c r="D609" i="2"/>
  <c r="D608" i="2" s="1"/>
  <c r="D15" i="5"/>
  <c r="D11" i="5" s="1"/>
  <c r="O23" i="5"/>
  <c r="F61" i="3"/>
  <c r="F302" i="6"/>
  <c r="M302" i="6" s="1"/>
  <c r="F145" i="6"/>
  <c r="M146" i="6"/>
  <c r="K22" i="6"/>
  <c r="K20" i="6" s="1"/>
  <c r="K150" i="6"/>
  <c r="K24" i="6"/>
  <c r="K23" i="6" s="1"/>
  <c r="K152" i="6"/>
  <c r="M12" i="8"/>
  <c r="M11" i="8" s="1"/>
  <c r="M10" i="8" s="1"/>
  <c r="M44" i="8"/>
  <c r="M43" i="8" s="1"/>
  <c r="D23" i="2"/>
  <c r="D22" i="2" s="1"/>
  <c r="D473" i="2"/>
  <c r="D472" i="2" s="1"/>
  <c r="K8" i="5"/>
  <c r="H148" i="5"/>
  <c r="D54" i="1"/>
  <c r="F40" i="1"/>
  <c r="G139" i="13"/>
  <c r="C124" i="1"/>
  <c r="C170" i="1" s="1"/>
  <c r="F17" i="7"/>
  <c r="F16" i="7" s="1"/>
  <c r="M162" i="6"/>
  <c r="G89" i="1"/>
  <c r="C89" i="1"/>
  <c r="L8" i="9"/>
  <c r="K14" i="3"/>
  <c r="I13" i="6"/>
  <c r="I12" i="6" s="1"/>
  <c r="D159" i="6"/>
  <c r="M200" i="6"/>
  <c r="D279" i="6"/>
  <c r="D280" i="6" s="1"/>
  <c r="G31" i="2"/>
  <c r="G28" i="2" s="1"/>
  <c r="M15" i="2"/>
  <c r="E35" i="2"/>
  <c r="E34" i="2" s="1"/>
  <c r="F197" i="9"/>
  <c r="K192" i="9"/>
  <c r="E179" i="9"/>
  <c r="E359" i="9" s="1"/>
  <c r="M333" i="9"/>
  <c r="M332" i="9" s="1"/>
  <c r="D188" i="7"/>
  <c r="K449" i="2"/>
  <c r="O20" i="8"/>
  <c r="D14" i="2"/>
  <c r="O24" i="2" s="1"/>
  <c r="D154" i="3"/>
  <c r="D16" i="3" s="1"/>
  <c r="F174" i="3"/>
  <c r="E210" i="2"/>
  <c r="E89" i="1"/>
  <c r="E140" i="3"/>
  <c r="D141" i="3"/>
  <c r="D140" i="3" s="1"/>
  <c r="D139" i="3" s="1"/>
  <c r="F306" i="2"/>
  <c r="D301" i="2"/>
  <c r="D300" i="2" s="1"/>
  <c r="D36" i="2"/>
  <c r="F248" i="3"/>
  <c r="E372" i="2"/>
  <c r="E369" i="2" s="1"/>
  <c r="E31" i="2"/>
  <c r="B35" i="1" s="1"/>
  <c r="E216" i="2"/>
  <c r="I121" i="1"/>
  <c r="I167" i="1" s="1"/>
  <c r="H9" i="2"/>
  <c r="H7" i="2" s="1"/>
  <c r="F258" i="2"/>
  <c r="E9" i="5"/>
  <c r="E8" i="5" s="1"/>
  <c r="K126" i="6"/>
  <c r="M143" i="6"/>
  <c r="K15" i="6"/>
  <c r="K12" i="6" s="1"/>
  <c r="D143" i="6"/>
  <c r="D15" i="6" s="1"/>
  <c r="F203" i="6"/>
  <c r="M204" i="6"/>
  <c r="K61" i="3"/>
  <c r="K7" i="3" s="1"/>
  <c r="E34" i="1"/>
  <c r="E126" i="1" s="1"/>
  <c r="E172" i="1" s="1"/>
  <c r="D151" i="6"/>
  <c r="K141" i="6"/>
  <c r="D142" i="6"/>
  <c r="D510" i="2"/>
  <c r="D507" i="2" s="1"/>
  <c r="D18" i="2"/>
  <c r="O28" i="2" s="1"/>
  <c r="G140" i="6"/>
  <c r="M465" i="2"/>
  <c r="M464" i="2" s="1"/>
  <c r="H149" i="6"/>
  <c r="H272" i="6" s="1"/>
  <c r="H273" i="6" s="1"/>
  <c r="G9" i="5"/>
  <c r="G8" i="5" s="1"/>
  <c r="I52" i="1"/>
  <c r="I73" i="1" s="1"/>
  <c r="H17" i="9"/>
  <c r="G40" i="1"/>
  <c r="M57" i="1"/>
  <c r="D111" i="1"/>
  <c r="D157" i="1" s="1"/>
  <c r="G114" i="1"/>
  <c r="G160" i="1" s="1"/>
  <c r="F114" i="1"/>
  <c r="F160" i="1" s="1"/>
  <c r="B113" i="1"/>
  <c r="B159" i="1" s="1"/>
  <c r="E116" i="1"/>
  <c r="E162" i="1" s="1"/>
  <c r="B111" i="1"/>
  <c r="B157" i="1" s="1"/>
  <c r="D172" i="9"/>
  <c r="D171" i="9" s="1"/>
  <c r="D170" i="9" s="1"/>
  <c r="G112" i="1"/>
  <c r="G158" i="1" s="1"/>
  <c r="I115" i="1"/>
  <c r="I161" i="1" s="1"/>
  <c r="C115" i="1"/>
  <c r="C161" i="1" s="1"/>
  <c r="G14" i="3"/>
  <c r="D45" i="3"/>
  <c r="D44" i="3" s="1"/>
  <c r="D182" i="3"/>
  <c r="D174" i="3" s="1"/>
  <c r="O190" i="3"/>
  <c r="F686" i="2"/>
  <c r="D112" i="1"/>
  <c r="D158" i="1" s="1"/>
  <c r="D113" i="1"/>
  <c r="D159" i="1" s="1"/>
  <c r="I113" i="1"/>
  <c r="I159" i="1" s="1"/>
  <c r="E113" i="1"/>
  <c r="E159" i="1" s="1"/>
  <c r="H113" i="1"/>
  <c r="H159" i="1" s="1"/>
  <c r="C113" i="1"/>
  <c r="C159" i="1" s="1"/>
  <c r="C111" i="1"/>
  <c r="C157" i="1" s="1"/>
  <c r="E112" i="1"/>
  <c r="E158" i="1" s="1"/>
  <c r="E115" i="1"/>
  <c r="E161" i="1" s="1"/>
  <c r="C114" i="1"/>
  <c r="C160" i="1" s="1"/>
  <c r="G115" i="1"/>
  <c r="G161" i="1" s="1"/>
  <c r="D41" i="2"/>
  <c r="D40" i="2" s="1"/>
  <c r="F153" i="3"/>
  <c r="F152" i="3" s="1"/>
  <c r="D300" i="6"/>
  <c r="D42" i="2"/>
  <c r="E8" i="8"/>
  <c r="F27" i="6"/>
  <c r="F13" i="6"/>
  <c r="F12" i="6" s="1"/>
  <c r="M158" i="7"/>
  <c r="M157" i="7" s="1"/>
  <c r="M7" i="7"/>
  <c r="M6" i="7" s="1"/>
  <c r="P6" i="7" s="1"/>
  <c r="K9" i="13"/>
  <c r="F9" i="13"/>
  <c r="H9" i="13"/>
  <c r="H7" i="13" s="1"/>
  <c r="D47" i="4"/>
  <c r="D46" i="4" s="1"/>
  <c r="D89" i="4"/>
  <c r="L364" i="2"/>
  <c r="O507" i="2"/>
  <c r="O33" i="13"/>
  <c r="F696" i="2"/>
  <c r="D140" i="9"/>
  <c r="L359" i="9"/>
  <c r="L157" i="8"/>
  <c r="L158" i="8" s="1"/>
  <c r="H8" i="8"/>
  <c r="H7" i="8" s="1"/>
  <c r="E240" i="2"/>
  <c r="G153" i="3"/>
  <c r="G152" i="3" s="1"/>
  <c r="G7" i="3" s="1"/>
  <c r="M154" i="3"/>
  <c r="M153" i="3" s="1"/>
  <c r="M152" i="3" s="1"/>
  <c r="I9" i="13"/>
  <c r="I7" i="13" s="1"/>
  <c r="J9" i="13"/>
  <c r="J7" i="13" s="1"/>
  <c r="D161" i="7"/>
  <c r="D15" i="7"/>
  <c r="D14" i="7" s="1"/>
  <c r="D9" i="7" s="1"/>
  <c r="E9" i="13"/>
  <c r="F165" i="3"/>
  <c r="F164" i="3" s="1"/>
  <c r="F8" i="3" s="1"/>
  <c r="M166" i="3"/>
  <c r="M165" i="3" s="1"/>
  <c r="M164" i="3" s="1"/>
  <c r="M8" i="3" s="1"/>
  <c r="D51" i="4"/>
  <c r="D50" i="4" s="1"/>
  <c r="D49" i="4" s="1"/>
  <c r="M86" i="5"/>
  <c r="I97" i="6"/>
  <c r="I96" i="6" s="1"/>
  <c r="M98" i="6"/>
  <c r="M97" i="6" s="1"/>
  <c r="D98" i="6"/>
  <c r="D286" i="6" s="1"/>
  <c r="F450" i="2"/>
  <c r="M451" i="2"/>
  <c r="M450" i="2" s="1"/>
  <c r="K686" i="2"/>
  <c r="G7" i="13"/>
  <c r="G191" i="6"/>
  <c r="M192" i="6"/>
  <c r="D192" i="6"/>
  <c r="F364" i="2"/>
  <c r="D271" i="6"/>
  <c r="D205" i="2"/>
  <c r="D204" i="2" s="1"/>
  <c r="J12" i="6"/>
  <c r="J11" i="6" s="1"/>
  <c r="D9" i="8"/>
  <c r="L7" i="8"/>
  <c r="K20" i="8"/>
  <c r="I20" i="8"/>
  <c r="K9" i="8"/>
  <c r="F8" i="8"/>
  <c r="J8" i="8"/>
  <c r="J7" i="8" s="1"/>
  <c r="E9" i="8"/>
  <c r="D8" i="8"/>
  <c r="G9" i="8"/>
  <c r="G7" i="8" s="1"/>
  <c r="O13" i="8"/>
  <c r="I8" i="8"/>
  <c r="I7" i="8" s="1"/>
  <c r="K8" i="8"/>
  <c r="F9" i="8"/>
  <c r="G22" i="2"/>
  <c r="D28" i="1"/>
  <c r="E197" i="9"/>
  <c r="F258" i="9"/>
  <c r="K258" i="9"/>
  <c r="E258" i="9"/>
  <c r="J7" i="9"/>
  <c r="L7" i="9"/>
  <c r="F41" i="6"/>
  <c r="F304" i="6"/>
  <c r="E149" i="6"/>
  <c r="E272" i="6" s="1"/>
  <c r="D165" i="6"/>
  <c r="I23" i="1"/>
  <c r="L12" i="6"/>
  <c r="L11" i="6" s="1"/>
  <c r="J10" i="3"/>
  <c r="J9" i="3" s="1"/>
  <c r="E449" i="2"/>
  <c r="L8" i="2"/>
  <c r="I21" i="2"/>
  <c r="I687" i="2" s="1"/>
  <c r="I688" i="2" s="1"/>
  <c r="I689" i="2" s="1"/>
  <c r="C50" i="1"/>
  <c r="M11" i="3"/>
  <c r="H10" i="3"/>
  <c r="H9" i="3" s="1"/>
  <c r="F204" i="3"/>
  <c r="D16" i="7"/>
  <c r="M108" i="9"/>
  <c r="G35" i="1"/>
  <c r="G33" i="1" s="1"/>
  <c r="F170" i="9"/>
  <c r="M55" i="1"/>
  <c r="D237" i="9"/>
  <c r="K158" i="9"/>
  <c r="K236" i="9"/>
  <c r="K231" i="9" s="1"/>
  <c r="M124" i="9"/>
  <c r="J55" i="1"/>
  <c r="L67" i="1" s="1"/>
  <c r="F193" i="9"/>
  <c r="M194" i="9"/>
  <c r="M193" i="9" s="1"/>
  <c r="M192" i="9" s="1"/>
  <c r="K183" i="9"/>
  <c r="L81" i="9"/>
  <c r="L360" i="9" s="1"/>
  <c r="D194" i="9"/>
  <c r="D193" i="9" s="1"/>
  <c r="K149" i="9"/>
  <c r="F266" i="9"/>
  <c r="J96" i="6"/>
  <c r="F294" i="6"/>
  <c r="M20" i="1"/>
  <c r="G28" i="1"/>
  <c r="D122" i="1"/>
  <c r="D168" i="1" s="1"/>
  <c r="I28" i="1"/>
  <c r="J32" i="1"/>
  <c r="J125" i="1" s="1"/>
  <c r="J171" i="1" s="1"/>
  <c r="H22" i="2"/>
  <c r="H21" i="2" s="1"/>
  <c r="H687" i="2" s="1"/>
  <c r="H125" i="1"/>
  <c r="H171" i="1" s="1"/>
  <c r="K22" i="1"/>
  <c r="K116" i="1" s="1"/>
  <c r="J20" i="1"/>
  <c r="J113" i="1" s="1"/>
  <c r="K20" i="1"/>
  <c r="E21" i="1"/>
  <c r="K21" i="2"/>
  <c r="K687" i="2" s="1"/>
  <c r="G149" i="6"/>
  <c r="F24" i="6"/>
  <c r="F23" i="6" s="1"/>
  <c r="F19" i="6" s="1"/>
  <c r="F152" i="6"/>
  <c r="D210" i="6"/>
  <c r="D207" i="6" s="1"/>
  <c r="L41" i="6"/>
  <c r="E96" i="6"/>
  <c r="D16" i="6"/>
  <c r="I121" i="6"/>
  <c r="D27" i="6"/>
  <c r="G121" i="6"/>
  <c r="G10" i="6" s="1"/>
  <c r="K26" i="6"/>
  <c r="O39" i="6"/>
  <c r="D32" i="6"/>
  <c r="I26" i="6"/>
  <c r="L24" i="6"/>
  <c r="D153" i="6"/>
  <c r="L152" i="6"/>
  <c r="D126" i="6"/>
  <c r="D291" i="6"/>
  <c r="M291" i="6" s="1"/>
  <c r="F123" i="1"/>
  <c r="F169" i="1" s="1"/>
  <c r="F28" i="1"/>
  <c r="G48" i="1"/>
  <c r="J239" i="6"/>
  <c r="D110" i="4"/>
  <c r="D15" i="4"/>
  <c r="M6" i="4"/>
  <c r="M5" i="4" s="1"/>
  <c r="H162" i="1"/>
  <c r="M22" i="1"/>
  <c r="J22" i="1"/>
  <c r="J116" i="1" s="1"/>
  <c r="M16" i="3"/>
  <c r="M14" i="3" s="1"/>
  <c r="D266" i="3"/>
  <c r="O266" i="3" s="1"/>
  <c r="I108" i="9"/>
  <c r="I8" i="9" s="1"/>
  <c r="F89" i="1"/>
  <c r="F88" i="1" s="1"/>
  <c r="F292" i="3"/>
  <c r="D293" i="3"/>
  <c r="D292" i="3" s="1"/>
  <c r="G63" i="1"/>
  <c r="G74" i="1" s="1"/>
  <c r="D372" i="2"/>
  <c r="D369" i="2" s="1"/>
  <c r="H362" i="2"/>
  <c r="F46" i="13"/>
  <c r="F8" i="13" s="1"/>
  <c r="D13" i="13"/>
  <c r="D47" i="13"/>
  <c r="O48" i="13"/>
  <c r="H25" i="1"/>
  <c r="D16" i="13"/>
  <c r="D53" i="13"/>
  <c r="O54" i="13"/>
  <c r="K139" i="13"/>
  <c r="I140" i="6"/>
  <c r="E140" i="6"/>
  <c r="M158" i="6"/>
  <c r="E10" i="6"/>
  <c r="D172" i="6"/>
  <c r="D24" i="13"/>
  <c r="L8" i="13"/>
  <c r="L7" i="13" s="1"/>
  <c r="D161" i="1"/>
  <c r="K25" i="1"/>
  <c r="K115" i="1" s="1"/>
  <c r="G10" i="13"/>
  <c r="J71" i="1"/>
  <c r="J70" i="1" s="1"/>
  <c r="C70" i="1"/>
  <c r="C61" i="1"/>
  <c r="M61" i="1" s="1"/>
  <c r="M62" i="1"/>
  <c r="J62" i="1"/>
  <c r="M10" i="7"/>
  <c r="M9" i="7" s="1"/>
  <c r="K57" i="1"/>
  <c r="J57" i="1"/>
  <c r="L525" i="2"/>
  <c r="I48" i="1"/>
  <c r="D668" i="2"/>
  <c r="D694" i="2" s="1"/>
  <c r="L91" i="1" s="1"/>
  <c r="K694" i="2"/>
  <c r="H91" i="1" s="1"/>
  <c r="K8" i="13"/>
  <c r="K525" i="2"/>
  <c r="G9" i="2"/>
  <c r="L9" i="2"/>
  <c r="L688" i="2"/>
  <c r="L689" i="2" s="1"/>
  <c r="J688" i="2"/>
  <c r="J689" i="2" s="1"/>
  <c r="B122" i="1"/>
  <c r="B168" i="1" s="1"/>
  <c r="I9" i="9"/>
  <c r="I243" i="6"/>
  <c r="I242" i="6" s="1"/>
  <c r="F54" i="1"/>
  <c r="F53" i="1" s="1"/>
  <c r="M244" i="6"/>
  <c r="M243" i="6" s="1"/>
  <c r="M242" i="6" s="1"/>
  <c r="M240" i="6"/>
  <c r="M239" i="6" s="1"/>
  <c r="F49" i="1"/>
  <c r="F48" i="1" s="1"/>
  <c r="I239" i="6"/>
  <c r="D255" i="6"/>
  <c r="D254" i="6" s="1"/>
  <c r="D244" i="6"/>
  <c r="D243" i="6" s="1"/>
  <c r="D242" i="6" s="1"/>
  <c r="H386" i="3"/>
  <c r="G386" i="3"/>
  <c r="F386" i="3"/>
  <c r="D386" i="3"/>
  <c r="F253" i="9"/>
  <c r="M255" i="9"/>
  <c r="M254" i="9" s="1"/>
  <c r="D255" i="9"/>
  <c r="M259" i="9"/>
  <c r="M258" i="9" s="1"/>
  <c r="F262" i="9"/>
  <c r="D263" i="9"/>
  <c r="D259" i="9"/>
  <c r="G253" i="9"/>
  <c r="G7" i="9" s="1"/>
  <c r="J10" i="9"/>
  <c r="G18" i="1"/>
  <c r="F8" i="5"/>
  <c r="G240" i="9"/>
  <c r="G359" i="9" s="1"/>
  <c r="K240" i="9"/>
  <c r="D241" i="9"/>
  <c r="M231" i="9"/>
  <c r="D236" i="9"/>
  <c r="F231" i="9"/>
  <c r="G26" i="1"/>
  <c r="G117" i="1" s="1"/>
  <c r="J14" i="9"/>
  <c r="I231" i="9"/>
  <c r="I7" i="9" s="1"/>
  <c r="E231" i="9"/>
  <c r="G10" i="9"/>
  <c r="H14" i="9"/>
  <c r="H9" i="9" s="1"/>
  <c r="D232" i="9"/>
  <c r="G110" i="1" l="1"/>
  <c r="K8" i="9"/>
  <c r="C53" i="1"/>
  <c r="K54" i="1"/>
  <c r="K9" i="9"/>
  <c r="H294" i="6"/>
  <c r="H305" i="6" s="1"/>
  <c r="F10" i="3"/>
  <c r="F393" i="3"/>
  <c r="F395" i="3" s="1"/>
  <c r="F396" i="3" s="1"/>
  <c r="J91" i="1"/>
  <c r="D11" i="3"/>
  <c r="I7" i="3"/>
  <c r="I6" i="3" s="1"/>
  <c r="H7" i="3"/>
  <c r="H395" i="3"/>
  <c r="H396" i="3" s="1"/>
  <c r="I362" i="9"/>
  <c r="F305" i="6"/>
  <c r="E35" i="1"/>
  <c r="E127" i="1" s="1"/>
  <c r="E173" i="1" s="1"/>
  <c r="J149" i="6"/>
  <c r="G21" i="2"/>
  <c r="G687" i="2" s="1"/>
  <c r="G688" i="2" s="1"/>
  <c r="G689" i="2" s="1"/>
  <c r="F158" i="8"/>
  <c r="G53" i="1"/>
  <c r="G52" i="1" s="1"/>
  <c r="G73" i="1" s="1"/>
  <c r="G94" i="1" s="1"/>
  <c r="D53" i="1"/>
  <c r="D52" i="1" s="1"/>
  <c r="D73" i="1" s="1"/>
  <c r="H9" i="6"/>
  <c r="H8" i="6" s="1"/>
  <c r="K111" i="1"/>
  <c r="D693" i="2"/>
  <c r="L90" i="1"/>
  <c r="K158" i="8"/>
  <c r="I158" i="8"/>
  <c r="G158" i="8"/>
  <c r="H158" i="8"/>
  <c r="D8" i="9"/>
  <c r="H274" i="6"/>
  <c r="E273" i="6"/>
  <c r="E274" i="6" s="1"/>
  <c r="D192" i="9"/>
  <c r="E88" i="1"/>
  <c r="F33" i="1"/>
  <c r="F27" i="1" s="1"/>
  <c r="F38" i="1" s="1"/>
  <c r="N58" i="1"/>
  <c r="E26" i="1"/>
  <c r="E117" i="1" s="1"/>
  <c r="K50" i="1"/>
  <c r="F26" i="1"/>
  <c r="F24" i="1" s="1"/>
  <c r="G11" i="6"/>
  <c r="H11" i="6"/>
  <c r="I11" i="6"/>
  <c r="M96" i="6"/>
  <c r="M34" i="2"/>
  <c r="D21" i="2"/>
  <c r="D18" i="1"/>
  <c r="D17" i="1" s="1"/>
  <c r="M15" i="9"/>
  <c r="M14" i="9" s="1"/>
  <c r="E170" i="9"/>
  <c r="D262" i="9"/>
  <c r="F359" i="9"/>
  <c r="D15" i="9"/>
  <c r="O22" i="9" s="1"/>
  <c r="F8" i="9"/>
  <c r="D11" i="9"/>
  <c r="D10" i="9" s="1"/>
  <c r="K11" i="6"/>
  <c r="J30" i="1"/>
  <c r="J122" i="1" s="1"/>
  <c r="J168" i="1" s="1"/>
  <c r="M8" i="8"/>
  <c r="F41" i="1"/>
  <c r="I274" i="6"/>
  <c r="D395" i="3"/>
  <c r="O528" i="2"/>
  <c r="G88" i="1"/>
  <c r="K113" i="1"/>
  <c r="E11" i="13"/>
  <c r="E10" i="13" s="1"/>
  <c r="F7" i="8"/>
  <c r="F688" i="2"/>
  <c r="F689" i="2" s="1"/>
  <c r="D11" i="13"/>
  <c r="D10" i="13" s="1"/>
  <c r="B112" i="1"/>
  <c r="B158" i="1" s="1"/>
  <c r="P19" i="1"/>
  <c r="P54" i="1"/>
  <c r="E10" i="9"/>
  <c r="E9" i="9" s="1"/>
  <c r="J361" i="9"/>
  <c r="J362" i="9" s="1"/>
  <c r="B25" i="1"/>
  <c r="M25" i="1" s="1"/>
  <c r="E525" i="2"/>
  <c r="B49" i="1"/>
  <c r="D9" i="2"/>
  <c r="D456" i="2"/>
  <c r="D368" i="2" s="1"/>
  <c r="D366" i="2" s="1"/>
  <c r="D362" i="2" s="1"/>
  <c r="L66" i="1"/>
  <c r="E7" i="8"/>
  <c r="D10" i="8"/>
  <c r="M253" i="9"/>
  <c r="L6" i="9"/>
  <c r="H18" i="1"/>
  <c r="H110" i="1" s="1"/>
  <c r="H156" i="1" s="1"/>
  <c r="N59" i="1"/>
  <c r="B33" i="1"/>
  <c r="B27" i="1" s="1"/>
  <c r="B38" i="1" s="1"/>
  <c r="Q10" i="7"/>
  <c r="D157" i="7"/>
  <c r="E11" i="6"/>
  <c r="H35" i="1"/>
  <c r="H33" i="1" s="1"/>
  <c r="J23" i="1"/>
  <c r="D61" i="3"/>
  <c r="K9" i="3"/>
  <c r="O37" i="2"/>
  <c r="J50" i="1"/>
  <c r="L50" i="1" s="1"/>
  <c r="J90" i="1"/>
  <c r="B127" i="1"/>
  <c r="B173" i="1" s="1"/>
  <c r="K395" i="3"/>
  <c r="K396" i="3" s="1"/>
  <c r="M12" i="3"/>
  <c r="M10" i="3" s="1"/>
  <c r="M9" i="3" s="1"/>
  <c r="M222" i="3"/>
  <c r="M7" i="3" s="1"/>
  <c r="D379" i="3"/>
  <c r="C28" i="1"/>
  <c r="J29" i="1"/>
  <c r="J121" i="1" s="1"/>
  <c r="J167" i="1" s="1"/>
  <c r="I26" i="1"/>
  <c r="I117" i="1" s="1"/>
  <c r="I163" i="1" s="1"/>
  <c r="I395" i="3"/>
  <c r="I396" i="3" s="1"/>
  <c r="F87" i="1"/>
  <c r="F81" i="1" s="1"/>
  <c r="E395" i="3"/>
  <c r="E396" i="3" s="1"/>
  <c r="G14" i="1"/>
  <c r="D27" i="8"/>
  <c r="D20" i="8" s="1"/>
  <c r="D158" i="8" s="1"/>
  <c r="O28" i="8"/>
  <c r="O15" i="8"/>
  <c r="D258" i="9"/>
  <c r="C35" i="1"/>
  <c r="C127" i="1" s="1"/>
  <c r="C173" i="1" s="1"/>
  <c r="H64" i="1"/>
  <c r="H63" i="1" s="1"/>
  <c r="H74" i="1" s="1"/>
  <c r="D19" i="13"/>
  <c r="K9" i="2"/>
  <c r="M293" i="6"/>
  <c r="K688" i="2"/>
  <c r="K689" i="2" s="1"/>
  <c r="D40" i="1"/>
  <c r="M449" i="2"/>
  <c r="N56" i="1"/>
  <c r="E12" i="2"/>
  <c r="E11" i="2" s="1"/>
  <c r="J19" i="1"/>
  <c r="J112" i="1" s="1"/>
  <c r="J158" i="1" s="1"/>
  <c r="E46" i="13"/>
  <c r="E8" i="13" s="1"/>
  <c r="G395" i="3"/>
  <c r="G396" i="3" s="1"/>
  <c r="G9" i="3"/>
  <c r="F9" i="3"/>
  <c r="K19" i="1"/>
  <c r="K112" i="1" s="1"/>
  <c r="C112" i="1"/>
  <c r="C158" i="1" s="1"/>
  <c r="O12" i="3"/>
  <c r="D17" i="3"/>
  <c r="D124" i="1"/>
  <c r="D170" i="1" s="1"/>
  <c r="D63" i="1"/>
  <c r="J68" i="1"/>
  <c r="I94" i="1"/>
  <c r="J54" i="1"/>
  <c r="J53" i="1" s="1"/>
  <c r="H362" i="9"/>
  <c r="D227" i="3"/>
  <c r="D222" i="3" s="1"/>
  <c r="O228" i="3"/>
  <c r="F222" i="3"/>
  <c r="G455" i="2"/>
  <c r="G368" i="2"/>
  <c r="M368" i="2" s="1"/>
  <c r="M366" i="2" s="1"/>
  <c r="M19" i="1"/>
  <c r="O41" i="2"/>
  <c r="D35" i="2"/>
  <c r="D34" i="2" s="1"/>
  <c r="I86" i="1"/>
  <c r="I80" i="1" s="1"/>
  <c r="E366" i="2"/>
  <c r="E362" i="2" s="1"/>
  <c r="E19" i="2"/>
  <c r="E17" i="2" s="1"/>
  <c r="D450" i="2"/>
  <c r="L361" i="9"/>
  <c r="L362" i="9" s="1"/>
  <c r="L338" i="9" s="1"/>
  <c r="L337" i="9" s="1"/>
  <c r="D153" i="3"/>
  <c r="D152" i="3" s="1"/>
  <c r="G6" i="3"/>
  <c r="O167" i="3"/>
  <c r="D165" i="3"/>
  <c r="D164" i="3" s="1"/>
  <c r="D8" i="3" s="1"/>
  <c r="K8" i="2"/>
  <c r="E9" i="3"/>
  <c r="E14" i="1"/>
  <c r="E78" i="1" s="1"/>
  <c r="D10" i="3"/>
  <c r="B124" i="1"/>
  <c r="B170" i="1" s="1"/>
  <c r="M13" i="6"/>
  <c r="D290" i="6"/>
  <c r="M290" i="6" s="1"/>
  <c r="D13" i="6"/>
  <c r="D12" i="6" s="1"/>
  <c r="D97" i="6"/>
  <c r="D96" i="6" s="1"/>
  <c r="J9" i="6"/>
  <c r="J8" i="6" s="1"/>
  <c r="F7" i="13"/>
  <c r="J34" i="1"/>
  <c r="J126" i="1" s="1"/>
  <c r="J172" i="1" s="1"/>
  <c r="E253" i="9"/>
  <c r="K253" i="9"/>
  <c r="J395" i="3"/>
  <c r="J396" i="3" s="1"/>
  <c r="M8" i="9"/>
  <c r="O22" i="3"/>
  <c r="D14" i="3"/>
  <c r="K140" i="6"/>
  <c r="E28" i="2"/>
  <c r="E21" i="2" s="1"/>
  <c r="E687" i="2" s="1"/>
  <c r="B87" i="1" s="1"/>
  <c r="B40" i="1"/>
  <c r="B41" i="1" s="1"/>
  <c r="F18" i="6"/>
  <c r="F144" i="6"/>
  <c r="M145" i="6"/>
  <c r="M144" i="6" s="1"/>
  <c r="M140" i="6" s="1"/>
  <c r="D145" i="6"/>
  <c r="F366" i="2"/>
  <c r="F19" i="2"/>
  <c r="D12" i="2"/>
  <c r="D11" i="2" s="1"/>
  <c r="M9" i="5"/>
  <c r="M8" i="5" s="1"/>
  <c r="G86" i="1"/>
  <c r="L7" i="2"/>
  <c r="K7" i="13"/>
  <c r="F18" i="1"/>
  <c r="F17" i="1" s="1"/>
  <c r="D35" i="1"/>
  <c r="D127" i="1" s="1"/>
  <c r="D141" i="6"/>
  <c r="D150" i="6"/>
  <c r="D22" i="6"/>
  <c r="D20" i="6" s="1"/>
  <c r="M203" i="6"/>
  <c r="M199" i="6" s="1"/>
  <c r="M10" i="6" s="1"/>
  <c r="F199" i="6"/>
  <c r="F10" i="6" s="1"/>
  <c r="C14" i="1" s="1"/>
  <c r="C78" i="1" s="1"/>
  <c r="D203" i="6"/>
  <c r="H21" i="1"/>
  <c r="M15" i="6"/>
  <c r="K121" i="6"/>
  <c r="M11" i="9"/>
  <c r="M10" i="9" s="1"/>
  <c r="E139" i="3"/>
  <c r="E7" i="3" s="1"/>
  <c r="D189" i="7"/>
  <c r="K19" i="6"/>
  <c r="K149" i="6"/>
  <c r="O82" i="13"/>
  <c r="D137" i="13"/>
  <c r="D138" i="13" s="1"/>
  <c r="E686" i="2"/>
  <c r="B86" i="1" s="1"/>
  <c r="D445" i="2"/>
  <c r="D686" i="2" s="1"/>
  <c r="H31" i="1"/>
  <c r="H6" i="9"/>
  <c r="J111" i="1"/>
  <c r="J157" i="1" s="1"/>
  <c r="H115" i="1"/>
  <c r="H161" i="1" s="1"/>
  <c r="F86" i="1"/>
  <c r="F80" i="1" s="1"/>
  <c r="E114" i="1"/>
  <c r="E160" i="1" s="1"/>
  <c r="D301" i="6"/>
  <c r="M300" i="6"/>
  <c r="D240" i="6"/>
  <c r="D239" i="6" s="1"/>
  <c r="O253" i="6"/>
  <c r="K7" i="8"/>
  <c r="F449" i="2"/>
  <c r="L363" i="2"/>
  <c r="L362" i="2" s="1"/>
  <c r="L12" i="2"/>
  <c r="M9" i="13"/>
  <c r="F363" i="2"/>
  <c r="F362" i="2" s="1"/>
  <c r="F12" i="2"/>
  <c r="M364" i="2"/>
  <c r="M363" i="2" s="1"/>
  <c r="D191" i="6"/>
  <c r="D188" i="6" s="1"/>
  <c r="G188" i="6"/>
  <c r="G9" i="6" s="1"/>
  <c r="G8" i="6" s="1"/>
  <c r="M191" i="6"/>
  <c r="M188" i="6" s="1"/>
  <c r="E9" i="2"/>
  <c r="B14" i="1" s="1"/>
  <c r="P14" i="1" s="1"/>
  <c r="F26" i="6"/>
  <c r="D7" i="8"/>
  <c r="E86" i="1"/>
  <c r="E80" i="1" s="1"/>
  <c r="M9" i="8"/>
  <c r="M7" i="8" s="1"/>
  <c r="E361" i="9"/>
  <c r="E362" i="9" s="1"/>
  <c r="E339" i="9" s="1"/>
  <c r="E338" i="9" s="1"/>
  <c r="E337" i="9" s="1"/>
  <c r="E192" i="9"/>
  <c r="M7" i="9"/>
  <c r="G6" i="9"/>
  <c r="D254" i="9"/>
  <c r="G27" i="1"/>
  <c r="G38" i="1" s="1"/>
  <c r="G79" i="1" s="1"/>
  <c r="M23" i="1"/>
  <c r="G294" i="6"/>
  <c r="G305" i="6" s="1"/>
  <c r="E8" i="2"/>
  <c r="G127" i="1"/>
  <c r="G128" i="1" s="1"/>
  <c r="G41" i="1"/>
  <c r="N55" i="1"/>
  <c r="F192" i="9"/>
  <c r="J294" i="6"/>
  <c r="J305" i="6" s="1"/>
  <c r="C40" i="1"/>
  <c r="N20" i="1"/>
  <c r="K21" i="1"/>
  <c r="K114" i="1" s="1"/>
  <c r="J159" i="1"/>
  <c r="E28" i="1"/>
  <c r="E122" i="1"/>
  <c r="E87" i="1"/>
  <c r="H688" i="2"/>
  <c r="H689" i="2" s="1"/>
  <c r="E17" i="1"/>
  <c r="I9" i="6"/>
  <c r="K9" i="6"/>
  <c r="L23" i="6"/>
  <c r="L19" i="6" s="1"/>
  <c r="I35" i="1"/>
  <c r="D26" i="6"/>
  <c r="O26" i="6" s="1"/>
  <c r="D283" i="6"/>
  <c r="D121" i="6"/>
  <c r="D24" i="6"/>
  <c r="D23" i="6" s="1"/>
  <c r="D152" i="6"/>
  <c r="L9" i="6"/>
  <c r="F149" i="6"/>
  <c r="D282" i="6"/>
  <c r="L149" i="6"/>
  <c r="I294" i="6"/>
  <c r="I305" i="6" s="1"/>
  <c r="I10" i="6"/>
  <c r="E294" i="6"/>
  <c r="E9" i="6"/>
  <c r="E8" i="6" s="1"/>
  <c r="G272" i="6"/>
  <c r="D111" i="4"/>
  <c r="N22" i="1"/>
  <c r="L32" i="1"/>
  <c r="J162" i="1"/>
  <c r="J9" i="9"/>
  <c r="C63" i="1"/>
  <c r="M50" i="1"/>
  <c r="C52" i="1"/>
  <c r="D695" i="2"/>
  <c r="D696" i="2" s="1"/>
  <c r="D14" i="1"/>
  <c r="D78" i="1" s="1"/>
  <c r="M9" i="2"/>
  <c r="O21" i="13"/>
  <c r="D46" i="13"/>
  <c r="M8" i="13"/>
  <c r="O26" i="13"/>
  <c r="J61" i="1"/>
  <c r="N61" i="1" s="1"/>
  <c r="N62" i="1"/>
  <c r="N57" i="1"/>
  <c r="K695" i="2"/>
  <c r="K696" i="2" s="1"/>
  <c r="I14" i="1"/>
  <c r="K53" i="1"/>
  <c r="M54" i="1"/>
  <c r="G9" i="9"/>
  <c r="E49" i="1"/>
  <c r="E48" i="1" s="1"/>
  <c r="E94" i="1" s="1"/>
  <c r="D49" i="1"/>
  <c r="D48" i="1" s="1"/>
  <c r="C49" i="1"/>
  <c r="F14" i="9"/>
  <c r="F9" i="9" s="1"/>
  <c r="H26" i="1"/>
  <c r="F173" i="1"/>
  <c r="F174" i="1" s="1"/>
  <c r="F128" i="1"/>
  <c r="G156" i="1"/>
  <c r="G17" i="1"/>
  <c r="K359" i="9"/>
  <c r="H86" i="1" s="1"/>
  <c r="D240" i="9"/>
  <c r="D359" i="9" s="1"/>
  <c r="D231" i="9"/>
  <c r="J6" i="9"/>
  <c r="G24" i="1"/>
  <c r="K49" i="1" l="1"/>
  <c r="K7" i="9"/>
  <c r="K6" i="9" s="1"/>
  <c r="D19" i="2"/>
  <c r="O30" i="2" s="1"/>
  <c r="D7" i="3"/>
  <c r="F7" i="3"/>
  <c r="E41" i="1"/>
  <c r="L30" i="1"/>
  <c r="M6" i="3"/>
  <c r="O6" i="3" s="1"/>
  <c r="D94" i="1"/>
  <c r="E33" i="1"/>
  <c r="E27" i="1" s="1"/>
  <c r="E38" i="1" s="1"/>
  <c r="E120" i="1" s="1"/>
  <c r="B80" i="1"/>
  <c r="J272" i="6"/>
  <c r="J35" i="1"/>
  <c r="J127" i="1" s="1"/>
  <c r="M9" i="6"/>
  <c r="M8" i="6" s="1"/>
  <c r="E13" i="1"/>
  <c r="E12" i="1" s="1"/>
  <c r="E95" i="1" s="1"/>
  <c r="D74" i="1"/>
  <c r="D88" i="1" s="1"/>
  <c r="C74" i="1"/>
  <c r="C88" i="1" s="1"/>
  <c r="J64" i="1"/>
  <c r="J63" i="1" s="1"/>
  <c r="C73" i="1"/>
  <c r="F117" i="1"/>
  <c r="F163" i="1" s="1"/>
  <c r="D294" i="6"/>
  <c r="D305" i="6" s="1"/>
  <c r="E24" i="1"/>
  <c r="E16" i="1" s="1"/>
  <c r="E37" i="1" s="1"/>
  <c r="E109" i="1" s="1"/>
  <c r="G13" i="1"/>
  <c r="G12" i="1" s="1"/>
  <c r="G95" i="1" s="1"/>
  <c r="J49" i="1"/>
  <c r="J48" i="1" s="1"/>
  <c r="D110" i="1"/>
  <c r="D156" i="1" s="1"/>
  <c r="E7" i="9"/>
  <c r="F7" i="9"/>
  <c r="F6" i="9" s="1"/>
  <c r="N23" i="1"/>
  <c r="H6" i="3"/>
  <c r="H127" i="1"/>
  <c r="H173" i="1" s="1"/>
  <c r="G78" i="1"/>
  <c r="H114" i="1"/>
  <c r="H160" i="1" s="1"/>
  <c r="J21" i="1"/>
  <c r="C174" i="1"/>
  <c r="J124" i="1"/>
  <c r="J170" i="1" s="1"/>
  <c r="B52" i="1"/>
  <c r="B73" i="1" s="1"/>
  <c r="C86" i="1"/>
  <c r="D8" i="13"/>
  <c r="D7" i="13" s="1"/>
  <c r="B18" i="1"/>
  <c r="B17" i="1" s="1"/>
  <c r="P17" i="1" s="1"/>
  <c r="B115" i="1"/>
  <c r="B161" i="1" s="1"/>
  <c r="P25" i="1"/>
  <c r="B48" i="1"/>
  <c r="P48" i="1" s="1"/>
  <c r="P49" i="1"/>
  <c r="P64" i="1"/>
  <c r="H80" i="1"/>
  <c r="J25" i="1"/>
  <c r="N25" i="1" s="1"/>
  <c r="H17" i="1"/>
  <c r="M21" i="1"/>
  <c r="M362" i="2"/>
  <c r="C26" i="1"/>
  <c r="C117" i="1" s="1"/>
  <c r="C163" i="1" s="1"/>
  <c r="C128" i="1"/>
  <c r="C33" i="1"/>
  <c r="C27" i="1" s="1"/>
  <c r="C38" i="1" s="1"/>
  <c r="B78" i="1"/>
  <c r="D139" i="13"/>
  <c r="M90" i="1"/>
  <c r="D284" i="6"/>
  <c r="D288" i="6" s="1"/>
  <c r="D19" i="6"/>
  <c r="D396" i="3"/>
  <c r="N50" i="1"/>
  <c r="I24" i="1"/>
  <c r="B26" i="1"/>
  <c r="D17" i="2"/>
  <c r="D10" i="2" s="1"/>
  <c r="E10" i="2"/>
  <c r="B174" i="1"/>
  <c r="K7" i="2"/>
  <c r="L29" i="1"/>
  <c r="N19" i="1"/>
  <c r="D149" i="6"/>
  <c r="D272" i="6" s="1"/>
  <c r="D253" i="9"/>
  <c r="D7" i="9" s="1"/>
  <c r="E7" i="13"/>
  <c r="D128" i="1"/>
  <c r="B128" i="1"/>
  <c r="L89" i="1"/>
  <c r="N54" i="1"/>
  <c r="D6" i="3"/>
  <c r="G449" i="2"/>
  <c r="D455" i="2"/>
  <c r="D449" i="2" s="1"/>
  <c r="D8" i="2" s="1"/>
  <c r="D7" i="2" s="1"/>
  <c r="G366" i="2"/>
  <c r="G362" i="2" s="1"/>
  <c r="O362" i="2" s="1"/>
  <c r="G19" i="2"/>
  <c r="M19" i="2" s="1"/>
  <c r="M17" i="2" s="1"/>
  <c r="D9" i="3"/>
  <c r="F85" i="1"/>
  <c r="F84" i="1" s="1"/>
  <c r="D173" i="1"/>
  <c r="J40" i="1"/>
  <c r="F110" i="1"/>
  <c r="O7" i="8"/>
  <c r="M12" i="6"/>
  <c r="G80" i="1"/>
  <c r="E688" i="2"/>
  <c r="E689" i="2" s="1"/>
  <c r="K10" i="6"/>
  <c r="H14" i="1" s="1"/>
  <c r="H104" i="1" s="1"/>
  <c r="D199" i="6"/>
  <c r="D10" i="6" s="1"/>
  <c r="J14" i="1" s="1"/>
  <c r="O196" i="6"/>
  <c r="F17" i="6"/>
  <c r="F11" i="6" s="1"/>
  <c r="M18" i="6"/>
  <c r="M17" i="6" s="1"/>
  <c r="C41" i="1"/>
  <c r="M7" i="13"/>
  <c r="D33" i="1"/>
  <c r="D27" i="1" s="1"/>
  <c r="D38" i="1" s="1"/>
  <c r="D41" i="1"/>
  <c r="H123" i="1"/>
  <c r="H169" i="1" s="1"/>
  <c r="J31" i="1"/>
  <c r="H28" i="1"/>
  <c r="H27" i="1" s="1"/>
  <c r="H38" i="1" s="1"/>
  <c r="K272" i="6"/>
  <c r="H87" i="1" s="1"/>
  <c r="H85" i="1" s="1"/>
  <c r="K6" i="3"/>
  <c r="F17" i="2"/>
  <c r="D18" i="6"/>
  <c r="D17" i="6" s="1"/>
  <c r="D11" i="6" s="1"/>
  <c r="D144" i="6"/>
  <c r="D140" i="6" s="1"/>
  <c r="O140" i="6" s="1"/>
  <c r="O5" i="6" s="1"/>
  <c r="F140" i="6"/>
  <c r="D687" i="2"/>
  <c r="D688" i="2" s="1"/>
  <c r="D689" i="2" s="1"/>
  <c r="G173" i="1"/>
  <c r="G174" i="1" s="1"/>
  <c r="D14" i="9"/>
  <c r="D9" i="9" s="1"/>
  <c r="G120" i="1"/>
  <c r="G176" i="1" s="1"/>
  <c r="F16" i="1"/>
  <c r="F37" i="1" s="1"/>
  <c r="H117" i="1"/>
  <c r="H163" i="1" s="1"/>
  <c r="M301" i="6"/>
  <c r="D304" i="6"/>
  <c r="M304" i="6" s="1"/>
  <c r="F11" i="2"/>
  <c r="M12" i="2"/>
  <c r="M11" i="2" s="1"/>
  <c r="C18" i="1"/>
  <c r="C110" i="1" s="1"/>
  <c r="F9" i="6"/>
  <c r="F8" i="6" s="1"/>
  <c r="I18" i="1"/>
  <c r="I110" i="1" s="1"/>
  <c r="L11" i="2"/>
  <c r="L10" i="2" s="1"/>
  <c r="F8" i="2"/>
  <c r="T117" i="6"/>
  <c r="G129" i="1"/>
  <c r="L86" i="1"/>
  <c r="D361" i="9"/>
  <c r="D362" i="9" s="1"/>
  <c r="M9" i="9"/>
  <c r="E7" i="2"/>
  <c r="H13" i="1"/>
  <c r="H103" i="1" s="1"/>
  <c r="E168" i="1"/>
  <c r="E174" i="1" s="1"/>
  <c r="E128" i="1"/>
  <c r="E81" i="1"/>
  <c r="E85" i="1"/>
  <c r="I127" i="1"/>
  <c r="I33" i="1"/>
  <c r="I27" i="1" s="1"/>
  <c r="I38" i="1" s="1"/>
  <c r="L272" i="6"/>
  <c r="F272" i="6"/>
  <c r="C87" i="1" s="1"/>
  <c r="D9" i="6"/>
  <c r="G273" i="6"/>
  <c r="G274" i="6" s="1"/>
  <c r="D87" i="1"/>
  <c r="D81" i="1" s="1"/>
  <c r="L8" i="6"/>
  <c r="I13" i="1"/>
  <c r="I12" i="1" s="1"/>
  <c r="I95" i="1" s="1"/>
  <c r="I8" i="6"/>
  <c r="E305" i="6"/>
  <c r="F14" i="1"/>
  <c r="J52" i="1"/>
  <c r="H89" i="1"/>
  <c r="H88" i="1" s="1"/>
  <c r="I100" i="1"/>
  <c r="I104" i="1"/>
  <c r="I78" i="1"/>
  <c r="F52" i="1"/>
  <c r="F73" i="1" s="1"/>
  <c r="M53" i="1"/>
  <c r="N53" i="1" s="1"/>
  <c r="C48" i="1"/>
  <c r="M49" i="1"/>
  <c r="H24" i="1"/>
  <c r="F361" i="9"/>
  <c r="F362" i="9" s="1"/>
  <c r="G16" i="1"/>
  <c r="G37" i="1" s="1"/>
  <c r="G109" i="1" s="1"/>
  <c r="F120" i="1"/>
  <c r="F79" i="1"/>
  <c r="F129" i="1" s="1"/>
  <c r="H94" i="1"/>
  <c r="G361" i="9"/>
  <c r="G362" i="9" s="1"/>
  <c r="D86" i="1"/>
  <c r="K361" i="9"/>
  <c r="K362" i="9" s="1"/>
  <c r="K338" i="9" s="1"/>
  <c r="K337" i="9" s="1"/>
  <c r="M6" i="9"/>
  <c r="G163" i="1"/>
  <c r="G164" i="1" s="1"/>
  <c r="G118" i="1"/>
  <c r="F13" i="1"/>
  <c r="I6" i="9"/>
  <c r="E163" i="1"/>
  <c r="E164" i="1" s="1"/>
  <c r="E118" i="1"/>
  <c r="J73" i="1" l="1"/>
  <c r="M73" i="1" s="1"/>
  <c r="K73" i="1"/>
  <c r="L73" i="1" s="1"/>
  <c r="O17" i="3"/>
  <c r="J86" i="1"/>
  <c r="J80" i="1" s="1"/>
  <c r="J273" i="6"/>
  <c r="J274" i="6" s="1"/>
  <c r="G87" i="1"/>
  <c r="O20" i="6"/>
  <c r="L79" i="1"/>
  <c r="E77" i="1"/>
  <c r="E76" i="1" s="1"/>
  <c r="F118" i="1"/>
  <c r="J74" i="1"/>
  <c r="C94" i="1"/>
  <c r="M52" i="1"/>
  <c r="N52" i="1" s="1"/>
  <c r="E6" i="9"/>
  <c r="B13" i="1"/>
  <c r="P13" i="1" s="1"/>
  <c r="G77" i="1"/>
  <c r="G76" i="1" s="1"/>
  <c r="G119" i="1" s="1"/>
  <c r="L49" i="1"/>
  <c r="N49" i="1"/>
  <c r="D6" i="9"/>
  <c r="O4" i="9" s="1"/>
  <c r="H164" i="1"/>
  <c r="C120" i="1"/>
  <c r="C166" i="1" s="1"/>
  <c r="N21" i="1"/>
  <c r="C79" i="1"/>
  <c r="P52" i="1"/>
  <c r="C24" i="1"/>
  <c r="O7" i="13"/>
  <c r="D174" i="1"/>
  <c r="E79" i="1"/>
  <c r="E92" i="1" s="1"/>
  <c r="J115" i="1"/>
  <c r="J161" i="1" s="1"/>
  <c r="L34" i="1"/>
  <c r="P18" i="1"/>
  <c r="F6" i="3"/>
  <c r="C13" i="1"/>
  <c r="C12" i="1" s="1"/>
  <c r="H81" i="1"/>
  <c r="M14" i="1"/>
  <c r="N14" i="1" s="1"/>
  <c r="J78" i="1"/>
  <c r="L14" i="1"/>
  <c r="B94" i="1"/>
  <c r="P63" i="1"/>
  <c r="B24" i="1"/>
  <c r="P24" i="1" s="1"/>
  <c r="P26" i="1"/>
  <c r="J114" i="1"/>
  <c r="J160" i="1" s="1"/>
  <c r="L31" i="1"/>
  <c r="H16" i="1"/>
  <c r="H37" i="1" s="1"/>
  <c r="H109" i="1" s="1"/>
  <c r="H128" i="1"/>
  <c r="H174" i="1"/>
  <c r="O19" i="6"/>
  <c r="P139" i="6"/>
  <c r="K8" i="6"/>
  <c r="K85" i="1"/>
  <c r="E6" i="3"/>
  <c r="B117" i="1"/>
  <c r="B163" i="1" s="1"/>
  <c r="H100" i="1"/>
  <c r="G166" i="1"/>
  <c r="M294" i="6"/>
  <c r="B110" i="1"/>
  <c r="B156" i="1" s="1"/>
  <c r="J33" i="1"/>
  <c r="F156" i="1"/>
  <c r="F164" i="1" s="1"/>
  <c r="G8" i="2"/>
  <c r="M8" i="2" s="1"/>
  <c r="M7" i="2" s="1"/>
  <c r="G17" i="2"/>
  <c r="G10" i="2" s="1"/>
  <c r="D26" i="1"/>
  <c r="M10" i="2"/>
  <c r="F10" i="2"/>
  <c r="O24" i="6"/>
  <c r="M11" i="6"/>
  <c r="H78" i="1"/>
  <c r="H102" i="1"/>
  <c r="H120" i="1"/>
  <c r="H79" i="1"/>
  <c r="K273" i="6"/>
  <c r="K274" i="6" s="1"/>
  <c r="J123" i="1"/>
  <c r="J169" i="1" s="1"/>
  <c r="J28" i="1"/>
  <c r="H107" i="1"/>
  <c r="M305" i="6"/>
  <c r="B85" i="1"/>
  <c r="B81" i="1"/>
  <c r="D79" i="1"/>
  <c r="D120" i="1"/>
  <c r="G177" i="1"/>
  <c r="H118" i="1"/>
  <c r="J104" i="1"/>
  <c r="F7" i="2"/>
  <c r="I17" i="1"/>
  <c r="M18" i="1"/>
  <c r="J18" i="1"/>
  <c r="J110" i="1" s="1"/>
  <c r="J156" i="1" s="1"/>
  <c r="C17" i="1"/>
  <c r="K18" i="1"/>
  <c r="K110" i="1" s="1"/>
  <c r="J13" i="1"/>
  <c r="J77" i="1" s="1"/>
  <c r="H77" i="1"/>
  <c r="H12" i="1"/>
  <c r="H95" i="1" s="1"/>
  <c r="H99" i="1"/>
  <c r="E84" i="1"/>
  <c r="E176" i="1"/>
  <c r="E177" i="1" s="1"/>
  <c r="E166" i="1"/>
  <c r="I77" i="1"/>
  <c r="I76" i="1" s="1"/>
  <c r="I99" i="1"/>
  <c r="I103" i="1"/>
  <c r="I102" i="1" s="1"/>
  <c r="L273" i="6"/>
  <c r="L274" i="6" s="1"/>
  <c r="I87" i="1"/>
  <c r="F273" i="6"/>
  <c r="F274" i="6" s="1"/>
  <c r="C81" i="1"/>
  <c r="I173" i="1"/>
  <c r="I174" i="1" s="1"/>
  <c r="I128" i="1"/>
  <c r="D8" i="6"/>
  <c r="I79" i="1"/>
  <c r="I107" i="1"/>
  <c r="I120" i="1"/>
  <c r="D273" i="6"/>
  <c r="D274" i="6" s="1"/>
  <c r="L87" i="1"/>
  <c r="L85" i="1" s="1"/>
  <c r="F78" i="1"/>
  <c r="K14" i="1"/>
  <c r="M91" i="1"/>
  <c r="M89" i="1" s="1"/>
  <c r="J89" i="1"/>
  <c r="K52" i="1"/>
  <c r="K48" i="1"/>
  <c r="M48" i="1"/>
  <c r="N48" i="1" s="1"/>
  <c r="C80" i="1"/>
  <c r="J173" i="1"/>
  <c r="F176" i="1"/>
  <c r="F177" i="1" s="1"/>
  <c r="F166" i="1"/>
  <c r="F82" i="1"/>
  <c r="F92" i="1"/>
  <c r="D80" i="1"/>
  <c r="D85" i="1"/>
  <c r="G155" i="1"/>
  <c r="G165" i="1"/>
  <c r="F77" i="1"/>
  <c r="F12" i="1"/>
  <c r="E165" i="1"/>
  <c r="E155" i="1"/>
  <c r="L48" i="1" l="1"/>
  <c r="P5" i="6"/>
  <c r="J94" i="1"/>
  <c r="E119" i="1"/>
  <c r="G81" i="1"/>
  <c r="G82" i="1" s="1"/>
  <c r="G85" i="1"/>
  <c r="C129" i="1"/>
  <c r="O8" i="2"/>
  <c r="C176" i="1"/>
  <c r="C177" i="1" s="1"/>
  <c r="C16" i="1"/>
  <c r="C37" i="1" s="1"/>
  <c r="C109" i="1" s="1"/>
  <c r="C165" i="1" s="1"/>
  <c r="J76" i="1"/>
  <c r="H105" i="1"/>
  <c r="H106" i="1" s="1"/>
  <c r="B16" i="1"/>
  <c r="P16" i="1" s="1"/>
  <c r="B12" i="1"/>
  <c r="P12" i="1" s="1"/>
  <c r="E82" i="1"/>
  <c r="E129" i="1"/>
  <c r="O16" i="6"/>
  <c r="B88" i="1"/>
  <c r="B120" i="1"/>
  <c r="J88" i="1"/>
  <c r="B79" i="1"/>
  <c r="B129" i="1" s="1"/>
  <c r="B84" i="1"/>
  <c r="D129" i="1"/>
  <c r="H129" i="1"/>
  <c r="J128" i="1"/>
  <c r="B77" i="1"/>
  <c r="B76" i="1" s="1"/>
  <c r="M84" i="1"/>
  <c r="H76" i="1"/>
  <c r="H119" i="1" s="1"/>
  <c r="B164" i="1"/>
  <c r="J27" i="1"/>
  <c r="J38" i="1" s="1"/>
  <c r="H84" i="1"/>
  <c r="B118" i="1"/>
  <c r="D117" i="1"/>
  <c r="D24" i="1"/>
  <c r="K26" i="1"/>
  <c r="J26" i="1"/>
  <c r="M26" i="1"/>
  <c r="G7" i="2"/>
  <c r="D13" i="1"/>
  <c r="K13" i="1" s="1"/>
  <c r="K77" i="1" s="1"/>
  <c r="D82" i="1"/>
  <c r="C77" i="1"/>
  <c r="C76" i="1" s="1"/>
  <c r="H82" i="1"/>
  <c r="H166" i="1"/>
  <c r="H176" i="1"/>
  <c r="H177" i="1" s="1"/>
  <c r="D176" i="1"/>
  <c r="D177" i="1" s="1"/>
  <c r="D166" i="1"/>
  <c r="C82" i="1"/>
  <c r="K17" i="1"/>
  <c r="I156" i="1"/>
  <c r="I164" i="1" s="1"/>
  <c r="I118" i="1"/>
  <c r="I119" i="1" s="1"/>
  <c r="C118" i="1"/>
  <c r="C156" i="1"/>
  <c r="N18" i="1"/>
  <c r="J17" i="1"/>
  <c r="I16" i="1"/>
  <c r="M17" i="1"/>
  <c r="J12" i="1"/>
  <c r="J95" i="1" s="1"/>
  <c r="J103" i="1"/>
  <c r="J102" i="1" s="1"/>
  <c r="J87" i="1"/>
  <c r="J85" i="1" s="1"/>
  <c r="C85" i="1"/>
  <c r="C92" i="1" s="1"/>
  <c r="F76" i="1"/>
  <c r="I129" i="1"/>
  <c r="I166" i="1"/>
  <c r="I176" i="1"/>
  <c r="I177" i="1" s="1"/>
  <c r="I85" i="1"/>
  <c r="I81" i="1"/>
  <c r="I82" i="1" s="1"/>
  <c r="K78" i="1"/>
  <c r="Q78" i="1" s="1"/>
  <c r="F94" i="1"/>
  <c r="Q73" i="1"/>
  <c r="F109" i="1"/>
  <c r="J174" i="1"/>
  <c r="J166" i="1"/>
  <c r="D84" i="1"/>
  <c r="D92" i="1"/>
  <c r="M86" i="1"/>
  <c r="C95" i="1"/>
  <c r="F95" i="1"/>
  <c r="H155" i="1"/>
  <c r="H165" i="1"/>
  <c r="G84" i="1" l="1"/>
  <c r="G92" i="1"/>
  <c r="L81" i="1"/>
  <c r="B92" i="1"/>
  <c r="B95" i="1"/>
  <c r="C155" i="1"/>
  <c r="B37" i="1"/>
  <c r="B82" i="1"/>
  <c r="B176" i="1"/>
  <c r="B177" i="1" s="1"/>
  <c r="B166" i="1"/>
  <c r="H92" i="1"/>
  <c r="B119" i="1"/>
  <c r="J79" i="1"/>
  <c r="J107" i="1"/>
  <c r="J120" i="1"/>
  <c r="J176" i="1" s="1"/>
  <c r="J177" i="1" s="1"/>
  <c r="D163" i="1"/>
  <c r="D118" i="1"/>
  <c r="D16" i="1"/>
  <c r="D37" i="1" s="1"/>
  <c r="M24" i="1"/>
  <c r="D12" i="1"/>
  <c r="D77" i="1"/>
  <c r="D76" i="1" s="1"/>
  <c r="K117" i="1"/>
  <c r="K118" i="1" s="1"/>
  <c r="K24" i="1"/>
  <c r="J24" i="1"/>
  <c r="N26" i="1"/>
  <c r="L35" i="1"/>
  <c r="J117" i="1"/>
  <c r="K76" i="1"/>
  <c r="Q76" i="1" s="1"/>
  <c r="K12" i="1"/>
  <c r="C119" i="1"/>
  <c r="F119" i="1"/>
  <c r="C164" i="1"/>
  <c r="I37" i="1"/>
  <c r="N17" i="1"/>
  <c r="C84" i="1"/>
  <c r="J84" i="1"/>
  <c r="K84" i="1"/>
  <c r="M87" i="1"/>
  <c r="M85" i="1" s="1"/>
  <c r="J81" i="1"/>
  <c r="I92" i="1"/>
  <c r="I84" i="1"/>
  <c r="F155" i="1"/>
  <c r="F165" i="1"/>
  <c r="J92" i="1" l="1"/>
  <c r="L80" i="1"/>
  <c r="B109" i="1"/>
  <c r="B165" i="1" s="1"/>
  <c r="D164" i="1"/>
  <c r="J82" i="1"/>
  <c r="J129" i="1"/>
  <c r="M16" i="1"/>
  <c r="N24" i="1"/>
  <c r="J16" i="1"/>
  <c r="J37" i="1" s="1"/>
  <c r="K16" i="1"/>
  <c r="J163" i="1"/>
  <c r="J118" i="1"/>
  <c r="J119" i="1" s="1"/>
  <c r="D95" i="1"/>
  <c r="D119" i="1"/>
  <c r="D109" i="1"/>
  <c r="K37" i="1"/>
  <c r="Q77" i="1"/>
  <c r="I105" i="1"/>
  <c r="I106" i="1" s="1"/>
  <c r="I109" i="1"/>
  <c r="L37" i="1"/>
  <c r="B155" i="1" l="1"/>
  <c r="N16" i="1"/>
  <c r="K163" i="1"/>
  <c r="P163" i="1"/>
  <c r="J164" i="1"/>
  <c r="D165" i="1"/>
  <c r="D155" i="1"/>
  <c r="K109" i="1"/>
  <c r="M37" i="1"/>
  <c r="L39" i="1"/>
  <c r="M39" i="1" s="1"/>
  <c r="I165" i="1"/>
  <c r="I155" i="1"/>
  <c r="J109" i="1"/>
  <c r="J105" i="1"/>
  <c r="J106" i="1" s="1"/>
  <c r="J155" i="1" l="1"/>
  <c r="J165" i="1"/>
</calcChain>
</file>

<file path=xl/comments1.xml><?xml version="1.0" encoding="utf-8"?>
<comments xmlns="http://schemas.openxmlformats.org/spreadsheetml/2006/main">
  <authors>
    <author xml:space="preserve"> Magdalena Potapińska</author>
    <author>Magdalena Zielińska</author>
  </authors>
  <commentList>
    <comment ref="N4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44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
</t>
        </r>
      </text>
    </comment>
    <comment ref="N4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46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56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15.04.2019 WTG</t>
        </r>
      </text>
    </comment>
    <comment ref="E660" authorId="1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  <comment ref="L660" authorId="1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comments2.xml><?xml version="1.0" encoding="utf-8"?>
<comments xmlns="http://schemas.openxmlformats.org/spreadsheetml/2006/main">
  <authors>
    <author xml:space="preserve"> Magdalena Potapińska</author>
  </authors>
  <commentList>
    <comment ref="N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4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5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1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GM/COIiE/WWT, WTiG/WOiRZL</t>
        </r>
      </text>
    </comment>
    <comment ref="N16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comments3.xml><?xml version="1.0" encoding="utf-8"?>
<comments xmlns="http://schemas.openxmlformats.org/spreadsheetml/2006/main">
  <authors>
    <author xml:space="preserve"> Magdalena Potapińska</author>
  </authors>
  <commentList>
    <comment ref="N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3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B4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6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comments4.xml><?xml version="1.0" encoding="utf-8"?>
<comments xmlns="http://schemas.openxmlformats.org/spreadsheetml/2006/main">
  <authors>
    <author xml:space="preserve"> Magdalena Potapińska</author>
  </authors>
  <commentList>
    <comment ref="N10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2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3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
</t>
        </r>
      </text>
    </comment>
    <comment ref="N14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
</t>
        </r>
      </text>
    </comment>
    <comment ref="N17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17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8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
</t>
        </r>
      </text>
    </comment>
    <comment ref="N20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23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2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2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26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3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</commentList>
</comments>
</file>

<file path=xl/comments5.xml><?xml version="1.0" encoding="utf-8"?>
<comments xmlns="http://schemas.openxmlformats.org/spreadsheetml/2006/main">
  <authors>
    <author xml:space="preserve"> Magdalena Potapińska</author>
  </authors>
  <commentList>
    <comment ref="N4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6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sharedStrings.xml><?xml version="1.0" encoding="utf-8"?>
<sst xmlns="http://schemas.openxmlformats.org/spreadsheetml/2006/main" count="3952" uniqueCount="597">
  <si>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</si>
  <si>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</si>
  <si>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</si>
  <si>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</si>
  <si>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</si>
  <si>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</si>
  <si>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</si>
  <si>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</si>
  <si>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</si>
  <si>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</si>
  <si>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</si>
  <si>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</si>
  <si>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</si>
  <si>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</si>
  <si>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</si>
  <si>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</si>
  <si>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</si>
  <si>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</si>
  <si>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</si>
  <si>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</si>
  <si>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</si>
  <si>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</si>
  <si>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</si>
  <si>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</si>
  <si>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</si>
  <si>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</si>
  <si>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</si>
  <si>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</si>
  <si>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</si>
  <si>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</si>
  <si>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</si>
  <si>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</si>
  <si>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</si>
  <si>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</si>
  <si>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</si>
  <si>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</si>
  <si>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</si>
  <si>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</si>
  <si>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</si>
  <si>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</si>
  <si>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</si>
  <si>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</si>
  <si>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</si>
  <si>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</si>
  <si>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</si>
  <si>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</si>
  <si>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</si>
  <si>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</si>
  <si>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środki z funduszy celowych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</si>
  <si>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</si>
  <si>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</si>
  <si>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</si>
  <si>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</si>
  <si>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</si>
  <si>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</si>
  <si>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</si>
  <si>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</si>
  <si>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</si>
  <si>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</si>
  <si>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</si>
  <si>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</si>
  <si>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</si>
  <si>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</si>
  <si>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</si>
  <si>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</si>
  <si>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</si>
  <si>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</si>
  <si>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</si>
  <si>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</si>
  <si>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</si>
  <si>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</si>
  <si>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</si>
  <si>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</si>
  <si>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</si>
  <si>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</si>
  <si>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</si>
  <si>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</si>
  <si>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</si>
  <si>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</si>
  <si>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</si>
  <si>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</si>
  <si>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</si>
  <si>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</si>
  <si>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</si>
  <si>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</si>
  <si>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</si>
  <si>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</si>
  <si>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</si>
  <si>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</si>
  <si>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</si>
  <si>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</si>
  <si>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</si>
  <si>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</si>
  <si>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</si>
  <si>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</si>
  <si>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</si>
  <si>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</si>
  <si>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</si>
  <si>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</si>
  <si>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</si>
  <si>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</si>
  <si>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</si>
  <si>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</si>
  <si>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</si>
  <si>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</si>
  <si>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</si>
  <si>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</si>
  <si>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</si>
  <si>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</si>
  <si>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</si>
  <si>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</si>
  <si>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</si>
  <si>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</si>
  <si>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</si>
  <si>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</si>
  <si>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</si>
  <si>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</si>
  <si>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</si>
  <si>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</si>
  <si>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</si>
  <si>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</si>
  <si>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</si>
  <si>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</si>
  <si>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</si>
  <si>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</si>
  <si>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</si>
  <si>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</si>
  <si>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</si>
  <si>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</si>
  <si>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</si>
  <si>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</si>
  <si>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</si>
  <si>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</si>
  <si>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</si>
  <si>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</si>
  <si>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</si>
  <si>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</si>
  <si>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</si>
  <si>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</si>
  <si>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</si>
  <si>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</si>
  <si>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</si>
  <si>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</si>
  <si>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</si>
  <si>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</si>
  <si>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</si>
  <si>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</si>
  <si>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Zamek Książąt Pomorskich 
w Szczecinie - nadzór WKNiDN</t>
  </si>
  <si>
    <t>rozdz.
92109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</si>
  <si>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</si>
  <si>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</si>
  <si>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</si>
  <si>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</si>
  <si>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</si>
  <si>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</si>
  <si>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</si>
  <si>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</si>
  <si>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</si>
  <si>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</si>
  <si>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</si>
  <si>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</si>
  <si>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Modernizacja budynku internatu przy pl. Orła Białego 2 
w Szczecinie Akademii Sztuki w Szczecinie  (2013-2015)</t>
  </si>
  <si>
    <t>rozdz. 75095</t>
  </si>
  <si>
    <t>2019 r.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</si>
  <si>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</si>
  <si>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</si>
  <si>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</si>
  <si>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</si>
  <si>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</si>
  <si>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</si>
  <si>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</si>
  <si>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</si>
  <si>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</si>
  <si>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</si>
  <si>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</si>
  <si>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22.</t>
  </si>
  <si>
    <t>23.</t>
  </si>
  <si>
    <t>WTiG</t>
  </si>
  <si>
    <t>A</t>
  </si>
  <si>
    <t>B</t>
  </si>
  <si>
    <t xml:space="preserve">II. POZOSTAŁE PRZEDSIĘWZIĘCIA W ZAKRESIE OCHRONY ZDROWIA 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</si>
  <si>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</si>
  <si>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</si>
  <si>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</si>
  <si>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</si>
  <si>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</si>
  <si>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</si>
  <si>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</si>
  <si>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</si>
  <si>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</si>
  <si>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</si>
  <si>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</si>
  <si>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</si>
  <si>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</si>
  <si>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</si>
  <si>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</si>
  <si>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</si>
  <si>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</si>
  <si>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</si>
  <si>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</si>
  <si>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</si>
  <si>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</si>
  <si>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</si>
  <si>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</si>
  <si>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</si>
  <si>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</si>
  <si>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</si>
  <si>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</si>
  <si>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</si>
  <si>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</si>
  <si>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</si>
  <si>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</si>
  <si>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</si>
  <si>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</si>
  <si>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</si>
  <si>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</si>
  <si>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</si>
  <si>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</si>
  <si>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</si>
  <si>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</si>
  <si>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</si>
  <si>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</si>
  <si>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</si>
  <si>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</si>
  <si>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</si>
  <si>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</si>
  <si>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</si>
  <si>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</si>
  <si>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</si>
  <si>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</si>
  <si>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</si>
  <si>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</si>
  <si>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</si>
  <si>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</si>
  <si>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Lp.</t>
  </si>
  <si>
    <t>19.</t>
  </si>
  <si>
    <t>21.</t>
  </si>
  <si>
    <t>WOiRZL</t>
  </si>
  <si>
    <t>9b</t>
  </si>
  <si>
    <t>9c</t>
  </si>
  <si>
    <t>środki z budżetu województwa (subwencja)</t>
  </si>
  <si>
    <t>Oś X, Pomoc techniczna RPO WZ 2014-2020 (2015-2023)</t>
  </si>
  <si>
    <t>rozdz. 
60001
75863</t>
  </si>
  <si>
    <t>Brak decyzji</t>
  </si>
  <si>
    <t>rozdz. 
15011</t>
  </si>
  <si>
    <t>Sieć Punktów Informacyjnych Funduszy Europejskich (PIFE) w Województwie Zachodniopomorskim w ramach PO Pomoc Techniczna - zakupy inwestycyjne  (2015-2020)</t>
  </si>
  <si>
    <t>ROPS</t>
  </si>
  <si>
    <t>rozdz.
75864</t>
  </si>
  <si>
    <t xml:space="preserve">rozdz. 
75018
85395
</t>
  </si>
  <si>
    <t>WRiR</t>
  </si>
  <si>
    <t>ROPS/
WOiRZL</t>
  </si>
  <si>
    <t>Regionalny Szpital 
w Kołobrzegu 
pod nadzorem WZ</t>
  </si>
  <si>
    <t>WZS</t>
  </si>
  <si>
    <t>WIiN, WZS</t>
  </si>
  <si>
    <t>WIiN</t>
  </si>
  <si>
    <t>WA, WSIiI</t>
  </si>
  <si>
    <t xml:space="preserve">WPROW 
</t>
  </si>
  <si>
    <t>RBGP WZ w Szczecinie pod nadzorem WZS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</si>
  <si>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</si>
  <si>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</si>
  <si>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</si>
  <si>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</si>
  <si>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</si>
  <si>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</si>
  <si>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</si>
  <si>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</si>
  <si>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</si>
  <si>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</si>
  <si>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</si>
  <si>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</si>
  <si>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</si>
  <si>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>majątkowe/
bieżące*</t>
  </si>
  <si>
    <t>rozdz. 
15011
75018</t>
  </si>
  <si>
    <t xml:space="preserve"> - Gmina i Miasto Koszalin/AZR</t>
  </si>
  <si>
    <t>BW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</si>
  <si>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</si>
  <si>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</si>
  <si>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</si>
  <si>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</si>
  <si>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</si>
  <si>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</si>
  <si>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</si>
  <si>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- środki z budżetu województwa WOiRZL</t>
  </si>
  <si>
    <t>- dotacje celowe / płatności z UE WOiRZL</t>
  </si>
  <si>
    <t>WZS, WWRPO, WOiRZL, GM, WWŚRPO</t>
  </si>
  <si>
    <t>Samodzielny Publiczny Wojewódzki
Szpital
 Zespolony w Szczecinie pod nadzorem WZ</t>
  </si>
  <si>
    <t>Wykonanie wg sprawozdania</t>
  </si>
  <si>
    <t xml:space="preserve">Różnica
</t>
  </si>
  <si>
    <t>WZS, WWRPO, GM, WWŚRPO</t>
  </si>
  <si>
    <t>Budowa wiaduktu w m. Rzeczyca w ciągu drogi nr 206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</si>
  <si>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</si>
  <si>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</si>
  <si>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</si>
  <si>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</si>
  <si>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</si>
  <si>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</si>
  <si>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</si>
  <si>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</si>
  <si>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</si>
  <si>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</si>
  <si>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</si>
  <si>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</si>
  <si>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</si>
  <si>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</si>
  <si>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</si>
  <si>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</si>
  <si>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 xml:space="preserve">► różnica </t>
  </si>
  <si>
    <t>Decyzja jest - do uzupełnienia - po 5 czerwca</t>
  </si>
  <si>
    <t>rozdz.
60095</t>
  </si>
  <si>
    <t>rozdz. 60095
75018</t>
  </si>
  <si>
    <t>Przebudowa odcinków szlakowych dróg wojewódzkich (2017-2019)</t>
  </si>
  <si>
    <t>rozdz. 63003/75018</t>
  </si>
  <si>
    <t>rozdz. 
60013</t>
  </si>
  <si>
    <t>umowa</t>
  </si>
  <si>
    <t>kontynuowane</t>
  </si>
  <si>
    <t>Bałtyckie trasy dziedzictwa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</si>
  <si>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</si>
  <si>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</si>
  <si>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</si>
  <si>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</si>
  <si>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</si>
  <si>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</si>
  <si>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</si>
  <si>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</si>
  <si>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8a</t>
  </si>
  <si>
    <t>8b</t>
  </si>
  <si>
    <t>Wymiana i rozbudowa parku maszyn i urządzeń ZZDW w Koszalinie (2016-2018)</t>
  </si>
  <si>
    <t>decyzja z 25.09.17</t>
  </si>
  <si>
    <t>Specjalistyczny Szpital im. A. Sokołowskiego 
w Szczecinie - Zdunowo - następca prawny SPWSZ 
w Szczecinie   
pod nadzorem WZ</t>
  </si>
  <si>
    <t>ZZMiUW w Szczecinie
w likwidacji 
pod nadzorem WRiR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</si>
  <si>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</si>
  <si>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</si>
  <si>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</si>
  <si>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25.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</si>
  <si>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</si>
  <si>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</si>
  <si>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</si>
  <si>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</si>
  <si>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</si>
  <si>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</si>
  <si>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środki z budżetu krajowego</t>
  </si>
  <si>
    <t xml:space="preserve"> Muzeum Narodowe w Szczecinie - nadzór WKNiDN</t>
  </si>
  <si>
    <t>decyzja z listopada 2017</t>
  </si>
  <si>
    <t>CZĘŚĆ II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</si>
  <si>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</si>
  <si>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</si>
  <si>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</si>
  <si>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</si>
  <si>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</si>
  <si>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</si>
  <si>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</si>
  <si>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t>ROPS
WZS</t>
  </si>
  <si>
    <t xml:space="preserve">rozdz. 
75018
85595
</t>
  </si>
  <si>
    <t>rozdz. 
85395</t>
  </si>
  <si>
    <t>Rozbudowa Teatru Polskiego w Szczecinie w ramach RPO WZ (2018-2021)</t>
  </si>
  <si>
    <t xml:space="preserve">ROPS
</t>
  </si>
  <si>
    <t xml:space="preserve">rozdz. 
85595
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</si>
  <si>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</si>
  <si>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</si>
  <si>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</si>
  <si>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</si>
  <si>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woj. nr 114 przez m. Brzózki w ramach IW INTERREG V A (2016-2017)</t>
  </si>
  <si>
    <t>ROPS/
WZS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</si>
  <si>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</si>
  <si>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</si>
  <si>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</si>
  <si>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</si>
  <si>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>Pomoc Techniczna Programu Operacyjnego „Rybactwo i Morze 2014-2020” (2016-2023)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</si>
  <si>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</si>
  <si>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</si>
  <si>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</si>
  <si>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Oś Priorytetowa VI, Pomoc Techniczna w ramach  PO WER 2014-2020 - wydatki majątkowe (2015-2023)</t>
  </si>
  <si>
    <t>Rozbudowa drogi wojewódzkiej nr 114 na szlakowym odcinku Brzózki - Trzebież oraz przebudowa przejścia przez miejscowości Warnołęka i Brzózki w ramach Osi V RPO WZ (2016-2020)</t>
  </si>
  <si>
    <t>WIiT / WZS</t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</si>
  <si>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</si>
  <si>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</si>
  <si>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</si>
  <si>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</si>
  <si>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</si>
  <si>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wkład własny (poza budżetem)</t>
  </si>
  <si>
    <t>Zakup instrumentów muzycznych na potrzeby działalności kulturalnej Opery na Zamku w Szczecinie (2018-2019)</t>
  </si>
  <si>
    <t>Opera na Zamku w Szczecinie - nadzór WKNiDN</t>
  </si>
  <si>
    <t>PROJEKTY  REALIZOWANE  W  RAMACH  PW  INTERREG</t>
  </si>
  <si>
    <t>Przebudowa i rozbudowa przejścia drogi wojewódzkiej nr 120 przez m. Wełtyń w ramach PW INTERREG V A (2016-2018)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</si>
  <si>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</si>
  <si>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</si>
  <si>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TENTacle – wykorzystanie korytarzy sieci bazowej TEN-T w ramach PW INTERREG VB (2016-2019)</t>
  </si>
  <si>
    <t>TalkNET - Sieć zainteresowanych podmiotów z sektora transportu i logistyki w ramach PW INTERREG VB (2017-2020)</t>
  </si>
  <si>
    <t>PW INTERREG VA 2014 - 2020</t>
  </si>
  <si>
    <t>RPO WZ  2014-2020</t>
  </si>
  <si>
    <t>RPO WZ 2007-2013</t>
  </si>
  <si>
    <t>Zrównoważona turystyka wodna w unikalnej Dolinie Dolnej Odry w ramach PW INTERREG VA - wydatki majątkowe (2016-2020)</t>
  </si>
  <si>
    <t>Zrównoważona turystyka wodna w unikalnej Dolinie Dolnej Odry w ramach PW INTERREG VA (2016-2020)</t>
  </si>
  <si>
    <t>Bałtyckie trasy dziedzictwa w ramach PW INTERREG Południowy Bałtyk (2017-2020)</t>
  </si>
  <si>
    <t>BALTIC STORIES - Rozwój turystyki poprzez profesjonalizację wydarzeń w regionie południowego bałtyku w ramach PW INTERREG Południowy Bałtyk (2017-2020)</t>
  </si>
  <si>
    <t>Fish Markets - dziedzictwo rybołówstwa przybrzeżnego jako potencjał rozwoju turystyki w ramach PW INTERREG Południowy Bałtyk 2014-2020 (2017-2019)</t>
  </si>
  <si>
    <t>Biking South Baltic! Promocja i rozwój Trasy Rowerowej Morza Bałtyckiego (EuroVelo 10) w Danii, Niemczech, Litwie, Polsce i Szwecji w ramach PW INTERREG Południowy Bałtyk (2017-2019) - zakupy inwestycyjne</t>
  </si>
  <si>
    <t>Biking South Baltic! Promocja i rozwój Trasy Rowerowej Morza Bałtyckiego (EuroVelo 10) w Danii, Niemczech, Litwie, Polsce i Szwecji w ramach PW INTERREG Południowy Bałtyk (2017-2019)</t>
  </si>
  <si>
    <t>Pomoc Techniczna  w ramach PROW 2014-2020 (2015-2023)</t>
  </si>
  <si>
    <t>Wzmacnianie ochrony bociana białego i nietoperzy oraz realizacja zadań czynnej ochrony w rezerwatach przyrody na obszarach parków krajobrazowych województwa zachodniopomorskiego - majątkowe w ramach Osi IV RPO WZ (2016-2020)</t>
  </si>
  <si>
    <t xml:space="preserve">Wzmacnianie ochrony bociana białego i nietoperzy oraz realizacja zadań czynnej ochrony w rezerwatach przyrody na obszarach parków krajobrazowych województwa zachodniopomorskiego- bieżące" w ramach Osi IV RPO WZ (2016-2020) </t>
  </si>
  <si>
    <t>Wspólne dziedzictwo wspólna przyszłość w ramach PW INTERREG VA (2014-2020)</t>
  </si>
  <si>
    <t>Wspólne dziedzictwo wspólna przyszłość w ramach PW INTERREG VA - wydatki majątkowe (2014-2020)</t>
  </si>
  <si>
    <t>podać nr umowy do arkusza dane do wpf</t>
  </si>
  <si>
    <t>II. POZOSTAŁE  PRZEDSIĘWZIĘCIA  W ZAKRESIE OŚWIATY I EDUKACYJNEJ OPIEKI WYCHOWAWCZEJ</t>
  </si>
  <si>
    <t xml:space="preserve">Stypendia dla młodzieży rozpoczynającej naukę na uczelniach wyższych na obszarze województwa zachodniopomorskiego (2018-2023) </t>
  </si>
  <si>
    <t>Rozbudowa drogi wojewódzkiej nr 111 na odcinku Recław - Stepnica w ramach Osi V RPO WZ (2018-2021)</t>
  </si>
  <si>
    <t>ZZMiUW</t>
  </si>
  <si>
    <t>Modernizacja i remont dziedzińców Zamku Książąt Pomorskich w Szczecinie (2017-2020)</t>
  </si>
  <si>
    <t>rozdz. 85141</t>
  </si>
  <si>
    <t>Wojewódzka Stacja Pogotowia Ratunkowego w Szczecinie
pod nadzorem WZ</t>
  </si>
  <si>
    <t>Wsparcie budowy nowych siedzib Wojewódzkiej Stacji Pogotowia Ratunkowego w Szczecinie (2019-2021)</t>
  </si>
  <si>
    <t>rozdz. 85195</t>
  </si>
  <si>
    <t>dotacje celowe z budżetu państwa (kontrakt wojewódzki)</t>
  </si>
  <si>
    <t>Wydział 
Zdrowia</t>
  </si>
  <si>
    <t xml:space="preserve">dotacje celowe / płatności z UE </t>
  </si>
  <si>
    <t xml:space="preserve">I. PRZEDSIĘWZIĘCIA FINANSOWANE PRZY WSPÓŁUDZIALE ŚRODKÓW, O KTÓRYCH MOWA W ART. 5 UST. 1 PKT 2 I 3 UFP  W ZAKRESIE OCHRONY ZDROWIA </t>
  </si>
  <si>
    <t>Wydział 
Zdrowia, Wydział Zarządzania Strategicznego</t>
  </si>
  <si>
    <t xml:space="preserve">Wydział Organizacji i Rozwoju Zasobów Ludzkich </t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</si>
  <si>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32.586.323 zł</t>
    </r>
    <r>
      <rPr>
        <i/>
        <sz val="8"/>
        <rFont val="Arial CE"/>
        <charset val="238"/>
      </rPr>
      <t>.</t>
    </r>
  </si>
  <si>
    <t>Wspólny Sekretariat - Pomoc Techniczna w ramach  Programu Współpracy INTERREG VA (2016-2022)</t>
  </si>
  <si>
    <t>BP</t>
  </si>
  <si>
    <t>BG</t>
  </si>
  <si>
    <t>BG
WZS</t>
  </si>
  <si>
    <t>rodz. 
75863</t>
  </si>
  <si>
    <t>Zaprojektowanie i wykonanie szlaku rowerowego na wale przeciwpowodziowym nad rzeką Iną, wale Skoszewo i Skoszewo - Czarnocin w ramach Osi IV RPO WZ (2017-2019)</t>
  </si>
  <si>
    <t>Teatr Polski 
w Szczecinie - nadzór WKNiDN</t>
  </si>
  <si>
    <t>Strategia Rozwoju Województwa Zachodniopomorskiego do roku 2030 - badania, analizy i oceny eksperckie (2017-2019)</t>
  </si>
  <si>
    <t>Utrzymanie i naprawy pojazdów szynowych Województwa (2015 -2022)</t>
  </si>
  <si>
    <t>Ubezpieczenie taboru kolejowego Województwa (2011-2022)</t>
  </si>
  <si>
    <t xml:space="preserve">Usługi telekomunikacyjne dla pojazdów szynowych Województwa (2015-2022) </t>
  </si>
  <si>
    <t>WSiI</t>
  </si>
  <si>
    <t>WA</t>
  </si>
  <si>
    <t>- zwrot podatku VAT</t>
  </si>
  <si>
    <t>- odszkodowanie z tyt. katastrofy budowlanej</t>
  </si>
  <si>
    <t>środki budżetu województwa, w tym:</t>
  </si>
  <si>
    <t>Likwidacja skutków katastrofy budowlanej w skrzydle północnym Zamku Książąt Pomorskich w Szczecinie (2017-2019)</t>
  </si>
  <si>
    <t>Wieloletnie umowy zapewniające ciągłość działania Urzędu (2012 - 2023)</t>
  </si>
  <si>
    <t>Polsko - niemiecka sieć teatralna (theater-po.net) w ramach programu INTERREG VA (2017-2021)</t>
  </si>
  <si>
    <t>Polsko - niemiecka sieć teatralna (theater-po.net) w ramach programu INTERREG VA - wydatki majątkowe (2017-2021)</t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</si>
  <si>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</si>
  <si>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r>
      <t>Dokumentacje techniczne na budowę sieci tras rowerowych Pomorza Zachodniego</t>
    </r>
    <r>
      <rPr>
        <b/>
        <sz val="9"/>
        <rFont val="Arial CE"/>
        <charset val="238"/>
      </rPr>
      <t xml:space="preserve"> w ramach Osi IV RPO WZ </t>
    </r>
    <r>
      <rPr>
        <b/>
        <sz val="9"/>
        <rFont val="Arial CE"/>
        <family val="2"/>
        <charset val="238"/>
      </rPr>
      <t xml:space="preserve"> (2018-2020)</t>
    </r>
  </si>
  <si>
    <t>rozdział 75863,
75864</t>
  </si>
  <si>
    <t>Budowa obejścia Gryfic - połączenie dróg woj. nr 110 (ul. Niechorska) i nr 105 (ul. Piastów) w ramach Osi V RPO WZ (2019-2021)</t>
  </si>
  <si>
    <r>
      <t>Limit zobowiązań na lata 2019-20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</si>
  <si>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2019-2023  i lata następne</t>
  </si>
  <si>
    <t>Prognozowane nakłady inwestycyjne /dochody 
w latach 2019 - 2023</t>
  </si>
  <si>
    <t>Prognozowane nakłady inwestycyjne / dochody z tytułu realizacji projektów  w latach 2019-2023</t>
  </si>
  <si>
    <t>Limit` 19</t>
  </si>
  <si>
    <t>II. POZOSTAŁE  PRZEDSIĘWZIĘCIA  W ZAKRESIE POLITYKI SPOŁECZNEJ I ROZWOJU PRZEDSIĘBIORCZOŚCI</t>
  </si>
  <si>
    <t>WWS</t>
  </si>
  <si>
    <t xml:space="preserve">Zadania w zakresie rozwoju aktywności społecznej i wspierania  inicjatyw obywatelskich (2019-2021) </t>
  </si>
  <si>
    <t>Rozbudowa przejścia przez m. Barnówko w ciągu drogi woj. nr 130 (2018-2019)</t>
  </si>
  <si>
    <t>Dofinansowanie Państwowej Wyższej Szkoły Zawodowej w Koszalinie do zadania w ramach IX Osi Priorytetowej Działanie 9.8 RPO WZ (2019-2020)</t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</si>
  <si>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(2016-2019)</t>
    </r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</si>
  <si>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b/>
        <sz val="9"/>
        <rFont val="Arial CE"/>
        <family val="2"/>
        <charset val="238"/>
      </rPr>
      <t xml:space="preserve"> (2016-2019)</t>
    </r>
    <r>
      <rPr>
        <b/>
        <sz val="9"/>
        <rFont val="Arial CE"/>
        <charset val="238"/>
      </rPr>
      <t>*</t>
    </r>
  </si>
  <si>
    <t>Limit zobowiązań na lata 2019-2023 i lata następne</t>
  </si>
  <si>
    <t xml:space="preserve">3. </t>
  </si>
  <si>
    <t>Budowa sieci tras rowerowych Pomorza Zachodniego - Trasa VeloBaltica odc. Pleśna - Mielno w ramach Osi IV RPO WZ (2018-2019)</t>
  </si>
  <si>
    <t>zmiana nazwy zadania</t>
  </si>
  <si>
    <t>Wykonanie</t>
  </si>
  <si>
    <t>Zintegrowane wsparcie dla rodzin i pieczy zastępczej na terenie województwa zachodniopomorskiego w ramach działania 7.6 RPO WZ (2017-2019)</t>
  </si>
  <si>
    <t>WWS/GM</t>
  </si>
  <si>
    <t>rozdz. 75075, 75095</t>
  </si>
  <si>
    <t>Modernizacja obiektów SPSZOZ "ZDROJE" w Szczecinie przy ul. Św. Wojciecha na potrzeby przeniesienia Ośrodka Rehabilitacji Dzieci i Młodzieży (2019-2020)</t>
  </si>
  <si>
    <t>Zespół Parków Krajobrazowych WZ pod nadzorem WTiG do 14 marca 2019 r./ pod nadzorem WRiR od 15 marca 2019 r.</t>
  </si>
  <si>
    <t>rozdz. 73095</t>
  </si>
  <si>
    <t>- środki z budżetu województwa GM</t>
  </si>
  <si>
    <t>- dotacje celowe / płatności z UE GM</t>
  </si>
  <si>
    <t>- środki z budżetu województwa ZZDW</t>
  </si>
  <si>
    <t>- dotacje celowe / płatności z UE ZZDW</t>
  </si>
  <si>
    <t xml:space="preserve">Na dwóch kółkach wokół Zalewu Szczecińskiego w ramach PW Interreg VA (2019-2021) </t>
  </si>
  <si>
    <t xml:space="preserve">Na dwóch kółkach wokół Zalewu Szczecińskiego w ramach PW Interreg VA - wydatki majątkowe (2019-2021) </t>
  </si>
  <si>
    <t>Wykonanie 2018 r.</t>
  </si>
  <si>
    <t>- w ramach działania 10.1 RPO WZ 2014-2020</t>
  </si>
  <si>
    <t>- w ramach działania 2.1 RPO WZ 2014-2020</t>
  </si>
  <si>
    <t>- w ramach działania 2.13 RPO WZ 2014-2020</t>
  </si>
  <si>
    <t>Porty Kreatywne - Internacjonalizacja branży kulturalnej i twórczej w regionie Morza Bałtyckiego w ramach PW INTERREG BSR (2019-2021)</t>
  </si>
  <si>
    <t>Wspieranie innowacyjnych ekosystemów przedsiębiorczości w regionach na rzecz młodych przedsiębiorców (iEER) w ramach PW INTERREG VC (2016-2020)</t>
  </si>
  <si>
    <t>Oś Priorytetowa VI, Pomoc Techniczna w ramach  PO WER 2014-2020 (2015-2023)</t>
  </si>
  <si>
    <t>GM
ZZDW</t>
  </si>
  <si>
    <t xml:space="preserve">GM
WOiRZL
</t>
  </si>
  <si>
    <t>rozdz. 75018/75075</t>
  </si>
  <si>
    <t>rozdz. 63003/75075</t>
  </si>
  <si>
    <r>
      <t xml:space="preserve">Zachodniopomorskie e-zdrowie w ramach Osi IX RPO WZ (2018-2021) - </t>
    </r>
    <r>
      <rPr>
        <sz val="9"/>
        <rFont val="Arial CE"/>
        <family val="2"/>
        <charset val="238"/>
      </rPr>
      <t>wydatki majątkowe</t>
    </r>
  </si>
  <si>
    <r>
      <t xml:space="preserve">Zachodniopomorskie e-zdrowie w ramach Osi IX RPO WZ (2018-2021) - </t>
    </r>
    <r>
      <rPr>
        <sz val="9"/>
        <rFont val="Arial CE"/>
        <charset val="238"/>
      </rPr>
      <t>wydatki bieżące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</si>
  <si>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</si>
  <si>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 xml:space="preserve">Wolontariat europejski EVS, wymiana międzynarodowa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(2016-2019)</t>
    </r>
  </si>
  <si>
    <r>
      <t xml:space="preserve">rozdz. 80395/
</t>
    </r>
    <r>
      <rPr>
        <sz val="8"/>
        <rFont val="Arial CE"/>
        <charset val="238"/>
      </rPr>
      <t>od 2019 roku</t>
    </r>
    <r>
      <rPr>
        <b/>
        <sz val="8"/>
        <rFont val="Arial CE"/>
        <charset val="238"/>
      </rPr>
      <t xml:space="preserve"> 73095</t>
    </r>
  </si>
  <si>
    <t>Dokumentacje techniczne na zadania drogowe (2011-2021)</t>
  </si>
  <si>
    <t>Bieżące utrzymanie dróg i mostów (2017-2021)</t>
  </si>
  <si>
    <t>Konsolidacja siedziby Urzędu Marszałkowskiego Województwa Zachodniopomorskiego - razem etap A i B  (2016-2022)</t>
  </si>
  <si>
    <t>rozdz. 92114</t>
  </si>
  <si>
    <t>Budowa sieci tras rowerowych Pomorza Zachodniego - Trasa Pojezierzy Zachodnich odc. Pełczyce - Choszczno w ramach Osi IV RPO WZ (2019-2020)</t>
  </si>
  <si>
    <t>WWT/od 2019 WWTiT</t>
  </si>
  <si>
    <t>WWTiT</t>
  </si>
  <si>
    <t>ARRIVAL REGIONS - Obszary napływowe - analiza podejść do innowacji społecznych na rzecz społecznej i gospodarczej integracji obywateli państw nienależących do UE w ramach PW Interrego VB (2019-2022)</t>
  </si>
  <si>
    <t>rozdz.
75018
75095</t>
  </si>
  <si>
    <t>rozdz.
75095</t>
  </si>
  <si>
    <t>WWTiT/WOiRZL</t>
  </si>
  <si>
    <t>WTiG/od 2019 WWTiT</t>
  </si>
  <si>
    <t>Przebudowa i rozbudowa przejścia drogowego przez m. Tanowo na drodze woj. Nr 115 w ramach PW INTERREG V A (2010-2020)</t>
  </si>
  <si>
    <t>COiE/od 2019 CIG</t>
  </si>
  <si>
    <t>WUP 
w Szczecinie 
pod nadzorem CIG</t>
  </si>
  <si>
    <t>WUP
 w Szczecinie 
pod nadzorem CIG</t>
  </si>
  <si>
    <t>WUP
 w Szczecinie
pod nadzorem CIG</t>
  </si>
  <si>
    <t>- środki z budżetu województwa WWTiT</t>
  </si>
  <si>
    <t>- dotacje celowe / płatności z UE WWTiT</t>
  </si>
  <si>
    <t>Wypłata odszkodowań za nieruchomości pod planowane inwestycje drogowe  (2012-2019)</t>
  </si>
  <si>
    <t xml:space="preserve">Zespół Parków Krajobrazowych WZ pod nadzorem WRiR </t>
  </si>
  <si>
    <t>CIG/
WZS</t>
  </si>
  <si>
    <t>Zachodniopomorskie Małe Skarby w ramach działania 6.6 RPO WZ 2014-2020 (2018-2023)</t>
  </si>
  <si>
    <t>Budowa Regionalnej Infrastruktury Informacji Przestrzennej Województwa Zachodniopomorskiego w ramach działania 9.10 RPO WZ (2019 - 2022)</t>
  </si>
  <si>
    <t>Budowa Regionalnej Infrastruktury Informacji Przestrzennej Województwa Zachodniopomorskiego w ramach działania 9.10 RPO WZ - wydatki bieżące (2019 - 2022)</t>
  </si>
  <si>
    <t>BG
WOiRZL</t>
  </si>
  <si>
    <t>Azymut-Samodzielność w ramach, Osi II, działania 2.8 PO WER - wydatki majątkowe (2018-2022)</t>
  </si>
  <si>
    <t xml:space="preserve">rozdz. 
85395
</t>
  </si>
  <si>
    <t>do 2018 r.</t>
  </si>
  <si>
    <t>rozdz. 71095
75018</t>
  </si>
  <si>
    <t>rodz.
75863</t>
  </si>
  <si>
    <t>do 2018</t>
  </si>
  <si>
    <t xml:space="preserve">
Sekretariat ds.Młodzieży Województwa Zachodnio - pomorskiego 
pod nadzorem WWTiT</t>
  </si>
  <si>
    <t>środki budżetu województwa (subwencja)</t>
  </si>
  <si>
    <t xml:space="preserve"> WWTiT</t>
  </si>
  <si>
    <t xml:space="preserve">
WWTiT</t>
  </si>
  <si>
    <t xml:space="preserve">
GM/CIG/WWTiT/
WOiRZL</t>
  </si>
  <si>
    <t>CIG</t>
  </si>
  <si>
    <r>
      <t xml:space="preserve">Tabela Nr 6F  </t>
    </r>
    <r>
      <rPr>
        <sz val="10"/>
        <rFont val="Arial"/>
        <family val="2"/>
        <charset val="238"/>
      </rPr>
      <t>do Załącznika Nr 3</t>
    </r>
  </si>
  <si>
    <t>WWTiT/ WOiRZL</t>
  </si>
  <si>
    <t xml:space="preserve">WWTiT </t>
  </si>
  <si>
    <r>
      <t>Budowa sieci tras rowerowych Pomorza Zachodniego - Trasa Pojezierzy Zachodnich etap III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(2016-2020)</t>
    </r>
  </si>
  <si>
    <t>Przystosowanie mostu europejskiego Siekierki-Neurudnitz do ruchu turystycznego w ramach PW INTERREG VA (2016-2021)</t>
  </si>
  <si>
    <r>
      <t>Budowa sieci tras rowerowych Pomorza Zachodniego - Trasa Pojezierzy Zachodnich etap 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(2018-2020)</t>
    </r>
  </si>
  <si>
    <t>Przyroda bez granic w Unikalnej Dolinie Dolnej Odry w ramach PW INTERREG VA (2020-2022)</t>
  </si>
  <si>
    <t>Przyroda bez granic w Unikalnej Dolinie Dolnej Odry w ramach PW INTERREG VA (2020-2022) - wydatki majątkowe</t>
  </si>
  <si>
    <t>Ochrona powietrza atmosferycznego i klimatu (2019 - 2020)</t>
  </si>
  <si>
    <t>WOŚ</t>
  </si>
  <si>
    <t>rozdz. 90005</t>
  </si>
  <si>
    <t>dotacje celowe z budżetu państwa (w tym na zadania zlecone)</t>
  </si>
  <si>
    <t>dotacje celowe z budżetu państwa (w tyma na zadania zlecone)</t>
  </si>
  <si>
    <t>rozdz. 90019</t>
  </si>
  <si>
    <t>Budowa sieci tras rowerowych Pomorza Zachodniego - Trasa Velo Baltica na odc. Dźwirzyno - Marszewo  w ramach Osi IV RPO WZ (2019-2020)</t>
  </si>
  <si>
    <t>- dotacje celowe / płatności z UE   ZZDW</t>
  </si>
  <si>
    <t>- dotacje celowe / płatności z UE   WIiT(dotacje dla Miasta Szczecina)</t>
  </si>
  <si>
    <t>ZZDW w Koszalinie / WIT</t>
  </si>
  <si>
    <t xml:space="preserve">rozdz.
15011
75018
</t>
  </si>
  <si>
    <t>rozdz.
15011</t>
  </si>
  <si>
    <t>GREen Startup Support (GREES) - Wsparcie dla startupów zielonych sektorów gospodarki w ramach PW Interreg VC (2019-2022)</t>
  </si>
  <si>
    <t>środki własne budżetu województwa (opłaty)</t>
  </si>
  <si>
    <t>Przystosowanie mostu europejskiego Siekierki-Neurudnitz do ruchu turystycznego w ramach PW INTERREG VA - wydatki majątkowe (2016-2021)</t>
  </si>
  <si>
    <t>System zarządzania opłatami środowiskowymi (2019 - 2021)</t>
  </si>
  <si>
    <t>System zarządzania opłatami środowiskowymi (2019 - 2021) - wydatki majątkowe</t>
  </si>
  <si>
    <t>Remont instalacji elektrycznej skrzydła Menniczego budynku Zamku Książąt Pomorskich w Szczecinie (2018-2020)</t>
  </si>
  <si>
    <t>Regionalny Punkt Kontaktowy - Pomoc Techniczna w ramach Programu Współpracy INTERREG VA - wydatki bieżące (2016-2020)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</si>
  <si>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</si>
  <si>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</si>
  <si>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</si>
  <si>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</si>
  <si>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</si>
  <si>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</si>
  <si>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</si>
  <si>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(2007-2019)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</si>
  <si>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</si>
  <si>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</si>
  <si>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</si>
  <si>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</si>
  <si>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(2010-2019)</t>
    </r>
  </si>
  <si>
    <r>
      <t xml:space="preserve">Przebudowa ul. Jagiełły w ciągu drogi wojewódzkiej nr 160 i ul. Drawieńskiej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(2016-2019)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</si>
  <si>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</si>
  <si>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</si>
  <si>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(2017-2020)</t>
    </r>
  </si>
  <si>
    <r>
      <t>Budowa obejścia m. Trzebiatów - połączenie drogi woj. nr 103 i nr 102 w ramach Osi V RPO WZ</t>
    </r>
    <r>
      <rPr>
        <b/>
        <sz val="9"/>
        <rFont val="Arial CE"/>
        <charset val="238"/>
      </rPr>
      <t xml:space="preserve"> (2019-2021)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</si>
  <si>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(2017-2021)</t>
    </r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</si>
  <si>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</si>
  <si>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</si>
  <si>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Tabela Nr 6E  </t>
    </r>
    <r>
      <rPr>
        <sz val="10"/>
        <rFont val="Arial"/>
        <family val="2"/>
        <charset val="238"/>
      </rPr>
      <t>do Załącznika Nr 3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</si>
  <si>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</si>
  <si>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Budowa sieci tras rowerowych Pomorza Zachodniego - Trasa Stary Kolejowy Szlak </t>
    </r>
    <r>
      <rPr>
        <b/>
        <sz val="9"/>
        <rFont val="Arial CE"/>
        <charset val="238"/>
      </rPr>
      <t>na odc. Mielno/Kołobrzeg - Złocieniec</t>
    </r>
    <r>
      <rPr>
        <b/>
        <sz val="9"/>
        <rFont val="Arial CE"/>
        <family val="2"/>
        <charset val="238"/>
      </rPr>
      <t xml:space="preserve"> etap I w ramach Osi IV RPO WZ (2018-2020)</t>
    </r>
  </si>
  <si>
    <t>rozdz. 75802</t>
  </si>
  <si>
    <t>rozdz. 
75018
75095
90011</t>
  </si>
  <si>
    <t>Wspieranie realizacji zadań publicznych Województwa Zachodniopomorskiego w zakresie upowszechniania kultury fizycznej (2014-2022)</t>
  </si>
  <si>
    <t>WYDATKI ŁĄCZNIE - 
stan na 24 PAŹDZIERNIKA 2019 r.</t>
  </si>
  <si>
    <t>DOCHODY ŁĄCZNIE - 
stan na 24 PAŹDZIERNIKA 2019 r.</t>
  </si>
  <si>
    <t>WYDATKI ŁĄCZNIE - 
stan na WRZESIEŃ  2019 r.</t>
  </si>
  <si>
    <t>DOCHODY ŁĄCZNIE - 
stan na WRZESIEŃ 2019 r.</t>
  </si>
  <si>
    <t>Standardy obsługi inwestora w samorządach województwa zachodniopomorskiego w ramach PO WER 2014-2020 (2019-2021)</t>
  </si>
  <si>
    <t>CIG/WOiRZL</t>
  </si>
  <si>
    <t>Akademia przyszłości w ramach działania 7.6 RPO WZ (2019-2022)</t>
  </si>
  <si>
    <t>Bieżąca obsługa projektów dla tras rowerowych na wałach przeciwpowodziowych w ramach RPO WZ (2018-2020)</t>
  </si>
  <si>
    <t>Zaprojektowanie i wykonanie szlaku rowerowego na wale przeciwpowodziowym wzdłuż rzeki Chełszcząca i jeziora Dąbie w ramach Osi IV RPO WZ (2017-2020)</t>
  </si>
  <si>
    <t>Wsparcie gmin w przygotowaniu i koordynacji programów rewitalizacji w ramach PO PT (2019-2021)</t>
  </si>
  <si>
    <t>rozdz. 
75095</t>
  </si>
  <si>
    <t>83899 - rok 2024</t>
  </si>
  <si>
    <t xml:space="preserve">Kompleksowe zagospodarowanie tarasów Zamku Książąt Pomorskich w Szczecinie (2015-2022) </t>
  </si>
  <si>
    <t>Utrzymanie i naprawa szlaków rowerowych na wybranych odcinkach wałów przeciwpowodziowych w Województwie Zachodniopomorskim (2020 - 2024)</t>
  </si>
  <si>
    <r>
      <t xml:space="preserve">Tabela Nr 6C </t>
    </r>
    <r>
      <rPr>
        <sz val="10"/>
        <rFont val="Arial"/>
        <family val="2"/>
        <charset val="238"/>
      </rPr>
      <t xml:space="preserve"> do Załącznika Nr 3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</si>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</sst>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_ ;\-#,##0\ "/>
    <numFmt numFmtId="165" formatCode="0.0%"/>
  </numFmts>
  <fonts count="9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 Black"/>
      <family val="2"/>
      <charset val="238"/>
    </font>
    <font>
      <sz val="7.5"/>
      <name val="Arial"/>
      <family val="2"/>
      <charset val="238"/>
    </font>
    <font>
      <sz val="9"/>
      <color rgb="FFFF0000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1"/>
      <name val="Arial CE"/>
      <family val="2"/>
      <charset val="238"/>
    </font>
    <font>
      <b/>
      <u/>
      <sz val="9"/>
      <name val="Arial CE"/>
      <charset val="238"/>
    </font>
    <font>
      <b/>
      <sz val="9"/>
      <color rgb="FFFF0000"/>
      <name val="Arial CE"/>
      <charset val="238"/>
    </font>
    <font>
      <b/>
      <i/>
      <sz val="9"/>
      <color rgb="FFFF0000"/>
      <name val="Arial CE"/>
      <charset val="238"/>
    </font>
    <font>
      <b/>
      <sz val="9"/>
      <color rgb="FFFF0000"/>
      <name val="Arial CE"/>
      <family val="2"/>
      <charset val="238"/>
    </font>
    <font>
      <b/>
      <i/>
      <sz val="9"/>
      <color rgb="FFFF0000"/>
      <name val="Arial CE"/>
      <family val="2"/>
      <charset val="238"/>
    </font>
    <font>
      <sz val="9"/>
      <color rgb="FFFF0000"/>
      <name val="Arial CE"/>
      <charset val="238"/>
    </font>
    <font>
      <sz val="12"/>
      <color rgb="FFFF0000"/>
      <name val="Arial CE"/>
      <family val="2"/>
      <charset val="238"/>
    </font>
    <font>
      <sz val="8"/>
      <color rgb="FFFF0000"/>
      <name val="Arial CE"/>
      <charset val="238"/>
    </font>
    <font>
      <b/>
      <i/>
      <sz val="12"/>
      <name val="Arial Black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37" borderId="0">
      <alignment horizontal="left" vertical="top"/>
    </xf>
    <xf numFmtId="0" fontId="45" fillId="37" borderId="0">
      <alignment horizontal="center" vertical="top"/>
    </xf>
    <xf numFmtId="0" fontId="44" fillId="37" borderId="0">
      <alignment horizontal="lef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5" fillId="38" borderId="0">
      <alignment horizontal="lef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9" borderId="0">
      <alignment horizontal="left" vertical="top"/>
    </xf>
    <xf numFmtId="0" fontId="45" fillId="39" borderId="0">
      <alignment horizontal="right" vertical="top"/>
    </xf>
    <xf numFmtId="0" fontId="45" fillId="39" borderId="0">
      <alignment horizontal="right" vertical="top"/>
    </xf>
    <xf numFmtId="0" fontId="46" fillId="37" borderId="0">
      <alignment horizontal="center" vertical="top"/>
    </xf>
    <xf numFmtId="0" fontId="45" fillId="39" borderId="0">
      <alignment horizontal="right" vertical="top"/>
    </xf>
    <xf numFmtId="0" fontId="44" fillId="40" borderId="0">
      <alignment horizontal="lef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7" fillId="41" borderId="0">
      <alignment horizontal="left" vertical="top"/>
    </xf>
    <xf numFmtId="0" fontId="48" fillId="37" borderId="0">
      <alignment horizontal="left" vertical="top"/>
    </xf>
    <xf numFmtId="0" fontId="49" fillId="37" borderId="0">
      <alignment horizontal="left" vertical="top"/>
    </xf>
    <xf numFmtId="0" fontId="45" fillId="37" borderId="0">
      <alignment horizontal="right" vertical="top"/>
    </xf>
    <xf numFmtId="0" fontId="45" fillId="37" borderId="0">
      <alignment horizontal="righ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0" fontId="49" fillId="41" borderId="0">
      <alignment horizontal="left" vertical="top"/>
    </xf>
    <xf numFmtId="0" fontId="45" fillId="41" borderId="0">
      <alignment horizontal="right" vertical="top"/>
    </xf>
    <xf numFmtId="0" fontId="45" fillId="41" borderId="0">
      <alignment horizontal="right" vertical="top"/>
    </xf>
    <xf numFmtId="0" fontId="44" fillId="37" borderId="0">
      <alignment horizontal="left" vertical="center"/>
    </xf>
    <xf numFmtId="0" fontId="47" fillId="42" borderId="0">
      <alignment horizontal="left" vertical="top"/>
    </xf>
    <xf numFmtId="0" fontId="47" fillId="42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2" borderId="0">
      <alignment horizontal="left" vertical="top"/>
    </xf>
    <xf numFmtId="0" fontId="49" fillId="37" borderId="0">
      <alignment horizontal="left"/>
    </xf>
    <xf numFmtId="0" fontId="49" fillId="37" borderId="0">
      <alignment horizontal="left"/>
    </xf>
    <xf numFmtId="0" fontId="49" fillId="37" borderId="0">
      <alignment horizontal="right"/>
    </xf>
    <xf numFmtId="0" fontId="50" fillId="37" borderId="0">
      <alignment horizontal="right"/>
    </xf>
    <xf numFmtId="4" fontId="51" fillId="13" borderId="85" applyNumberFormat="0" applyProtection="0">
      <alignment vertical="center"/>
    </xf>
    <xf numFmtId="4" fontId="52" fillId="13" borderId="85" applyNumberFormat="0" applyProtection="0">
      <alignment vertical="center"/>
    </xf>
    <xf numFmtId="4" fontId="51" fillId="13" borderId="85" applyNumberFormat="0" applyProtection="0">
      <alignment horizontal="left" vertical="center" indent="1"/>
    </xf>
    <xf numFmtId="4" fontId="51" fillId="1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35" borderId="85" applyNumberFormat="0" applyProtection="0">
      <alignment horizontal="right" vertical="center"/>
    </xf>
    <xf numFmtId="4" fontId="51" fillId="43" borderId="85" applyNumberFormat="0" applyProtection="0">
      <alignment horizontal="right" vertical="center"/>
    </xf>
    <xf numFmtId="4" fontId="51" fillId="44" borderId="85" applyNumberFormat="0" applyProtection="0">
      <alignment horizontal="right" vertical="center"/>
    </xf>
    <xf numFmtId="4" fontId="51" fillId="12" borderId="85" applyNumberFormat="0" applyProtection="0">
      <alignment horizontal="right" vertical="center"/>
    </xf>
    <xf numFmtId="4" fontId="51" fillId="45" borderId="85" applyNumberFormat="0" applyProtection="0">
      <alignment horizontal="right" vertical="center"/>
    </xf>
    <xf numFmtId="4" fontId="51" fillId="15" borderId="85" applyNumberFormat="0" applyProtection="0">
      <alignment horizontal="right" vertical="center"/>
    </xf>
    <xf numFmtId="4" fontId="51" fillId="17" borderId="85" applyNumberFormat="0" applyProtection="0">
      <alignment horizontal="right" vertical="center"/>
    </xf>
    <xf numFmtId="4" fontId="51" fillId="16" borderId="85" applyNumberFormat="0" applyProtection="0">
      <alignment horizontal="right" vertical="center"/>
    </xf>
    <xf numFmtId="4" fontId="51" fillId="19" borderId="85" applyNumberFormat="0" applyProtection="0">
      <alignment horizontal="right" vertical="center"/>
    </xf>
    <xf numFmtId="4" fontId="53" fillId="46" borderId="85" applyNumberFormat="0" applyProtection="0">
      <alignment horizontal="left" vertical="center" indent="1"/>
    </xf>
    <xf numFmtId="4" fontId="51" fillId="47" borderId="86" applyNumberFormat="0" applyProtection="0">
      <alignment horizontal="left" vertical="center" indent="1"/>
    </xf>
    <xf numFmtId="4" fontId="54" fillId="48" borderId="0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" fillId="47" borderId="85" applyNumberFormat="0" applyProtection="0">
      <alignment horizontal="left" vertical="center" indent="1"/>
    </xf>
    <xf numFmtId="4" fontId="5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20" borderId="85" applyNumberFormat="0" applyProtection="0">
      <alignment vertical="center"/>
    </xf>
    <xf numFmtId="4" fontId="52" fillId="20" borderId="85" applyNumberFormat="0" applyProtection="0">
      <alignment vertical="center"/>
    </xf>
    <xf numFmtId="4" fontId="51" fillId="20" borderId="85" applyNumberFormat="0" applyProtection="0">
      <alignment horizontal="left" vertical="center" indent="1"/>
    </xf>
    <xf numFmtId="4" fontId="51" fillId="20" borderId="85" applyNumberFormat="0" applyProtection="0">
      <alignment horizontal="left" vertical="center" indent="1"/>
    </xf>
    <xf numFmtId="4" fontId="51" fillId="47" borderId="85" applyNumberFormat="0" applyProtection="0">
      <alignment horizontal="right" vertical="center"/>
    </xf>
    <xf numFmtId="4" fontId="52" fillId="47" borderId="85" applyNumberFormat="0" applyProtection="0">
      <alignment horizontal="right" vertical="center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55" fillId="0" borderId="0"/>
    <xf numFmtId="4" fontId="56" fillId="47" borderId="85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4" applyNumberFormat="0" applyProtection="0">
      <alignment vertical="center"/>
    </xf>
    <xf numFmtId="4" fontId="52" fillId="13" borderId="94" applyNumberFormat="0" applyProtection="0">
      <alignment vertical="center"/>
    </xf>
    <xf numFmtId="4" fontId="51" fillId="13" borderId="94" applyNumberFormat="0" applyProtection="0">
      <alignment horizontal="left" vertical="center" indent="1"/>
    </xf>
    <xf numFmtId="4" fontId="51" fillId="1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35" borderId="94" applyNumberFormat="0" applyProtection="0">
      <alignment horizontal="right" vertical="center"/>
    </xf>
    <xf numFmtId="4" fontId="51" fillId="43" borderId="94" applyNumberFormat="0" applyProtection="0">
      <alignment horizontal="right" vertical="center"/>
    </xf>
    <xf numFmtId="4" fontId="51" fillId="44" borderId="94" applyNumberFormat="0" applyProtection="0">
      <alignment horizontal="right" vertical="center"/>
    </xf>
    <xf numFmtId="4" fontId="51" fillId="12" borderId="94" applyNumberFormat="0" applyProtection="0">
      <alignment horizontal="right" vertical="center"/>
    </xf>
    <xf numFmtId="4" fontId="51" fillId="45" borderId="94" applyNumberFormat="0" applyProtection="0">
      <alignment horizontal="right" vertical="center"/>
    </xf>
    <xf numFmtId="4" fontId="51" fillId="15" borderId="94" applyNumberFormat="0" applyProtection="0">
      <alignment horizontal="right" vertical="center"/>
    </xf>
    <xf numFmtId="4" fontId="51" fillId="17" borderId="94" applyNumberFormat="0" applyProtection="0">
      <alignment horizontal="right" vertical="center"/>
    </xf>
    <xf numFmtId="4" fontId="51" fillId="16" borderId="94" applyNumberFormat="0" applyProtection="0">
      <alignment horizontal="right" vertical="center"/>
    </xf>
    <xf numFmtId="4" fontId="51" fillId="19" borderId="94" applyNumberFormat="0" applyProtection="0">
      <alignment horizontal="right" vertical="center"/>
    </xf>
    <xf numFmtId="4" fontId="53" fillId="46" borderId="94" applyNumberFormat="0" applyProtection="0">
      <alignment horizontal="left" vertical="center" indent="1"/>
    </xf>
    <xf numFmtId="4" fontId="51" fillId="47" borderId="95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" fillId="47" borderId="94" applyNumberFormat="0" applyProtection="0">
      <alignment horizontal="left" vertical="center" indent="1"/>
    </xf>
    <xf numFmtId="4" fontId="5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20" borderId="94" applyNumberFormat="0" applyProtection="0">
      <alignment vertical="center"/>
    </xf>
    <xf numFmtId="4" fontId="52" fillId="20" borderId="94" applyNumberFormat="0" applyProtection="0">
      <alignment vertical="center"/>
    </xf>
    <xf numFmtId="4" fontId="51" fillId="20" borderId="94" applyNumberFormat="0" applyProtection="0">
      <alignment horizontal="left" vertical="center" indent="1"/>
    </xf>
    <xf numFmtId="4" fontId="51" fillId="20" borderId="94" applyNumberFormat="0" applyProtection="0">
      <alignment horizontal="left" vertical="center" indent="1"/>
    </xf>
    <xf numFmtId="4" fontId="51" fillId="47" borderId="94" applyNumberFormat="0" applyProtection="0">
      <alignment horizontal="right" vertical="center"/>
    </xf>
    <xf numFmtId="4" fontId="52" fillId="47" borderId="94" applyNumberFormat="0" applyProtection="0">
      <alignment horizontal="right" vertical="center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6" fillId="47" borderId="94" applyNumberFormat="0" applyProtection="0">
      <alignment horizontal="right" vertical="center"/>
    </xf>
    <xf numFmtId="0" fontId="4" fillId="0" borderId="0"/>
    <xf numFmtId="4" fontId="51" fillId="13" borderId="133" applyNumberFormat="0" applyProtection="0">
      <alignment horizontal="left" vertical="center" indent="1"/>
    </xf>
    <xf numFmtId="4" fontId="51" fillId="12" borderId="142" applyNumberFormat="0" applyProtection="0">
      <alignment horizontal="right" vertical="center"/>
    </xf>
    <xf numFmtId="4" fontId="51" fillId="13" borderId="133" applyNumberFormat="0" applyProtection="0">
      <alignment horizontal="left" vertical="center" indent="1"/>
    </xf>
    <xf numFmtId="4" fontId="52" fillId="13" borderId="133" applyNumberFormat="0" applyProtection="0">
      <alignment vertical="center"/>
    </xf>
    <xf numFmtId="4" fontId="51" fillId="13" borderId="133" applyNumberFormat="0" applyProtection="0">
      <alignment vertical="center"/>
    </xf>
    <xf numFmtId="4" fontId="51" fillId="17" borderId="142" applyNumberFormat="0" applyProtection="0">
      <alignment horizontal="right" vertical="center"/>
    </xf>
    <xf numFmtId="4" fontId="53" fillId="46" borderId="142" applyNumberFormat="0" applyProtection="0">
      <alignment horizontal="left" vertical="center" indent="1"/>
    </xf>
    <xf numFmtId="0" fontId="2" fillId="0" borderId="0"/>
    <xf numFmtId="4" fontId="51" fillId="13" borderId="141" applyNumberFormat="0" applyProtection="0">
      <alignment vertical="center"/>
    </xf>
    <xf numFmtId="4" fontId="52" fillId="13" borderId="141" applyNumberFormat="0" applyProtection="0">
      <alignment vertical="center"/>
    </xf>
    <xf numFmtId="4" fontId="51" fillId="13" borderId="141" applyNumberFormat="0" applyProtection="0">
      <alignment horizontal="left" vertical="center" indent="1"/>
    </xf>
    <xf numFmtId="4" fontId="51" fillId="13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1" fillId="35" borderId="141" applyNumberFormat="0" applyProtection="0">
      <alignment horizontal="right" vertical="center"/>
    </xf>
    <xf numFmtId="4" fontId="51" fillId="43" borderId="141" applyNumberFormat="0" applyProtection="0">
      <alignment horizontal="right" vertical="center"/>
    </xf>
    <xf numFmtId="4" fontId="51" fillId="44" borderId="141" applyNumberFormat="0" applyProtection="0">
      <alignment horizontal="right" vertical="center"/>
    </xf>
    <xf numFmtId="4" fontId="51" fillId="12" borderId="141" applyNumberFormat="0" applyProtection="0">
      <alignment horizontal="right" vertical="center"/>
    </xf>
    <xf numFmtId="4" fontId="51" fillId="45" borderId="141" applyNumberFormat="0" applyProtection="0">
      <alignment horizontal="right" vertical="center"/>
    </xf>
    <xf numFmtId="4" fontId="51" fillId="15" borderId="141" applyNumberFormat="0" applyProtection="0">
      <alignment horizontal="right" vertical="center"/>
    </xf>
    <xf numFmtId="4" fontId="51" fillId="17" borderId="141" applyNumberFormat="0" applyProtection="0">
      <alignment horizontal="right" vertical="center"/>
    </xf>
    <xf numFmtId="4" fontId="51" fillId="16" borderId="141" applyNumberFormat="0" applyProtection="0">
      <alignment horizontal="right" vertical="center"/>
    </xf>
    <xf numFmtId="4" fontId="51" fillId="19" borderId="141" applyNumberFormat="0" applyProtection="0">
      <alignment horizontal="right" vertical="center"/>
    </xf>
    <xf numFmtId="4" fontId="53" fillId="46" borderId="141" applyNumberFormat="0" applyProtection="0">
      <alignment horizontal="left" vertical="center" indent="1"/>
    </xf>
    <xf numFmtId="0" fontId="4" fillId="30" borderId="141" applyNumberFormat="0" applyProtection="0">
      <alignment horizontal="left" vertical="center" indent="1"/>
    </xf>
    <xf numFmtId="0" fontId="4" fillId="33" borderId="141" applyNumberFormat="0" applyProtection="0">
      <alignment horizontal="left" vertical="center" indent="1"/>
    </xf>
    <xf numFmtId="0" fontId="4" fillId="33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1" fillId="20" borderId="141" applyNumberFormat="0" applyProtection="0">
      <alignment vertical="center"/>
    </xf>
    <xf numFmtId="4" fontId="52" fillId="20" borderId="141" applyNumberFormat="0" applyProtection="0">
      <alignment vertical="center"/>
    </xf>
    <xf numFmtId="4" fontId="51" fillId="20" borderId="141" applyNumberFormat="0" applyProtection="0">
      <alignment horizontal="left" vertical="center" indent="1"/>
    </xf>
    <xf numFmtId="4" fontId="51" fillId="20" borderId="141" applyNumberFormat="0" applyProtection="0">
      <alignment horizontal="left" vertical="center" indent="1"/>
    </xf>
    <xf numFmtId="4" fontId="51" fillId="47" borderId="141" applyNumberFormat="0" applyProtection="0">
      <alignment horizontal="right" vertical="center"/>
    </xf>
    <xf numFmtId="4" fontId="52" fillId="47" borderId="141" applyNumberFormat="0" applyProtection="0">
      <alignment horizontal="right" vertical="center"/>
    </xf>
    <xf numFmtId="4" fontId="51" fillId="13" borderId="147" applyNumberFormat="0" applyProtection="0">
      <alignment vertical="center"/>
    </xf>
    <xf numFmtId="4" fontId="56" fillId="47" borderId="141" applyNumberFormat="0" applyProtection="0">
      <alignment horizontal="right" vertical="center"/>
    </xf>
    <xf numFmtId="0" fontId="4" fillId="11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" fillId="47" borderId="141" applyNumberFormat="0" applyProtection="0">
      <alignment horizontal="left" vertical="center" indent="1"/>
    </xf>
    <xf numFmtId="0" fontId="4" fillId="49" borderId="141" applyNumberFormat="0" applyProtection="0">
      <alignment horizontal="left" vertical="center" indent="1"/>
    </xf>
    <xf numFmtId="4" fontId="51" fillId="13" borderId="129" applyNumberFormat="0" applyProtection="0">
      <alignment vertical="center"/>
    </xf>
    <xf numFmtId="4" fontId="52" fillId="13" borderId="129" applyNumberFormat="0" applyProtection="0">
      <alignment vertical="center"/>
    </xf>
    <xf numFmtId="4" fontId="51" fillId="13" borderId="129" applyNumberFormat="0" applyProtection="0">
      <alignment horizontal="left" vertical="center" indent="1"/>
    </xf>
    <xf numFmtId="4" fontId="51" fillId="13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1" fillId="35" borderId="129" applyNumberFormat="0" applyProtection="0">
      <alignment horizontal="right" vertical="center"/>
    </xf>
    <xf numFmtId="4" fontId="51" fillId="43" borderId="129" applyNumberFormat="0" applyProtection="0">
      <alignment horizontal="right" vertical="center"/>
    </xf>
    <xf numFmtId="4" fontId="51" fillId="44" borderId="129" applyNumberFormat="0" applyProtection="0">
      <alignment horizontal="right" vertical="center"/>
    </xf>
    <xf numFmtId="4" fontId="51" fillId="12" borderId="129" applyNumberFormat="0" applyProtection="0">
      <alignment horizontal="right" vertical="center"/>
    </xf>
    <xf numFmtId="4" fontId="51" fillId="45" borderId="129" applyNumberFormat="0" applyProtection="0">
      <alignment horizontal="right" vertical="center"/>
    </xf>
    <xf numFmtId="4" fontId="51" fillId="15" borderId="129" applyNumberFormat="0" applyProtection="0">
      <alignment horizontal="right" vertical="center"/>
    </xf>
    <xf numFmtId="4" fontId="51" fillId="17" borderId="129" applyNumberFormat="0" applyProtection="0">
      <alignment horizontal="right" vertical="center"/>
    </xf>
    <xf numFmtId="4" fontId="51" fillId="16" borderId="129" applyNumberFormat="0" applyProtection="0">
      <alignment horizontal="right" vertical="center"/>
    </xf>
    <xf numFmtId="4" fontId="51" fillId="19" borderId="129" applyNumberFormat="0" applyProtection="0">
      <alignment horizontal="right" vertical="center"/>
    </xf>
    <xf numFmtId="4" fontId="53" fillId="46" borderId="129" applyNumberFormat="0" applyProtection="0">
      <alignment horizontal="left" vertical="center" indent="1"/>
    </xf>
    <xf numFmtId="4" fontId="51" fillId="47" borderId="130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" fillId="47" borderId="129" applyNumberFormat="0" applyProtection="0">
      <alignment horizontal="left" vertical="center" indent="1"/>
    </xf>
    <xf numFmtId="4" fontId="5" fillId="49" borderId="129" applyNumberFormat="0" applyProtection="0">
      <alignment horizontal="left" vertical="center" indent="1"/>
    </xf>
    <xf numFmtId="0" fontId="4" fillId="49" borderId="129" applyNumberFormat="0" applyProtection="0">
      <alignment horizontal="left" vertical="center" indent="1"/>
    </xf>
    <xf numFmtId="0" fontId="4" fillId="49" borderId="129" applyNumberFormat="0" applyProtection="0">
      <alignment horizontal="left" vertical="center" indent="1"/>
    </xf>
    <xf numFmtId="0" fontId="4" fillId="30" borderId="129" applyNumberFormat="0" applyProtection="0">
      <alignment horizontal="left" vertical="center" indent="1"/>
    </xf>
    <xf numFmtId="0" fontId="4" fillId="30" borderId="129" applyNumberFormat="0" applyProtection="0">
      <alignment horizontal="left" vertical="center" indent="1"/>
    </xf>
    <xf numFmtId="0" fontId="4" fillId="33" borderId="129" applyNumberFormat="0" applyProtection="0">
      <alignment horizontal="left" vertical="center" indent="1"/>
    </xf>
    <xf numFmtId="0" fontId="4" fillId="33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1" fillId="20" borderId="129" applyNumberFormat="0" applyProtection="0">
      <alignment vertical="center"/>
    </xf>
    <xf numFmtId="4" fontId="52" fillId="20" borderId="129" applyNumberFormat="0" applyProtection="0">
      <alignment vertical="center"/>
    </xf>
    <xf numFmtId="4" fontId="51" fillId="20" borderId="129" applyNumberFormat="0" applyProtection="0">
      <alignment horizontal="left" vertical="center" indent="1"/>
    </xf>
    <xf numFmtId="4" fontId="51" fillId="20" borderId="129" applyNumberFormat="0" applyProtection="0">
      <alignment horizontal="left" vertical="center" indent="1"/>
    </xf>
    <xf numFmtId="4" fontId="51" fillId="47" borderId="129" applyNumberFormat="0" applyProtection="0">
      <alignment horizontal="right" vertical="center"/>
    </xf>
    <xf numFmtId="4" fontId="52" fillId="47" borderId="129" applyNumberFormat="0" applyProtection="0">
      <alignment horizontal="right" vertical="center"/>
    </xf>
    <xf numFmtId="0" fontId="4" fillId="11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6" fillId="47" borderId="129" applyNumberFormat="0" applyProtection="0">
      <alignment horizontal="right" vertical="center"/>
    </xf>
    <xf numFmtId="0" fontId="4" fillId="11" borderId="141" applyNumberFormat="0" applyProtection="0">
      <alignment horizontal="left" vertical="center" indent="1"/>
    </xf>
    <xf numFmtId="0" fontId="4" fillId="0" borderId="0"/>
    <xf numFmtId="4" fontId="51" fillId="13" borderId="131" applyNumberFormat="0" applyProtection="0">
      <alignment vertical="center"/>
    </xf>
    <xf numFmtId="4" fontId="52" fillId="13" borderId="131" applyNumberFormat="0" applyProtection="0">
      <alignment vertical="center"/>
    </xf>
    <xf numFmtId="4" fontId="51" fillId="13" borderId="131" applyNumberFormat="0" applyProtection="0">
      <alignment horizontal="left" vertical="center" indent="1"/>
    </xf>
    <xf numFmtId="4" fontId="51" fillId="13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1" fillId="35" borderId="131" applyNumberFormat="0" applyProtection="0">
      <alignment horizontal="right" vertical="center"/>
    </xf>
    <xf numFmtId="4" fontId="51" fillId="43" borderId="131" applyNumberFormat="0" applyProtection="0">
      <alignment horizontal="right" vertical="center"/>
    </xf>
    <xf numFmtId="4" fontId="51" fillId="44" borderId="131" applyNumberFormat="0" applyProtection="0">
      <alignment horizontal="right" vertical="center"/>
    </xf>
    <xf numFmtId="4" fontId="51" fillId="12" borderId="131" applyNumberFormat="0" applyProtection="0">
      <alignment horizontal="right" vertical="center"/>
    </xf>
    <xf numFmtId="4" fontId="51" fillId="45" borderId="131" applyNumberFormat="0" applyProtection="0">
      <alignment horizontal="right" vertical="center"/>
    </xf>
    <xf numFmtId="4" fontId="51" fillId="15" borderId="131" applyNumberFormat="0" applyProtection="0">
      <alignment horizontal="right" vertical="center"/>
    </xf>
    <xf numFmtId="4" fontId="51" fillId="17" borderId="131" applyNumberFormat="0" applyProtection="0">
      <alignment horizontal="right" vertical="center"/>
    </xf>
    <xf numFmtId="4" fontId="51" fillId="16" borderId="131" applyNumberFormat="0" applyProtection="0">
      <alignment horizontal="right" vertical="center"/>
    </xf>
    <xf numFmtId="4" fontId="51" fillId="19" borderId="131" applyNumberFormat="0" applyProtection="0">
      <alignment horizontal="right" vertical="center"/>
    </xf>
    <xf numFmtId="4" fontId="53" fillId="46" borderId="131" applyNumberFormat="0" applyProtection="0">
      <alignment horizontal="left" vertical="center" indent="1"/>
    </xf>
    <xf numFmtId="4" fontId="51" fillId="47" borderId="132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" fillId="47" borderId="131" applyNumberFormat="0" applyProtection="0">
      <alignment horizontal="left" vertical="center" indent="1"/>
    </xf>
    <xf numFmtId="4" fontId="5" fillId="49" borderId="131" applyNumberFormat="0" applyProtection="0">
      <alignment horizontal="left" vertical="center" indent="1"/>
    </xf>
    <xf numFmtId="0" fontId="4" fillId="49" borderId="131" applyNumberFormat="0" applyProtection="0">
      <alignment horizontal="left" vertical="center" indent="1"/>
    </xf>
    <xf numFmtId="0" fontId="4" fillId="49" borderId="131" applyNumberFormat="0" applyProtection="0">
      <alignment horizontal="left" vertical="center" indent="1"/>
    </xf>
    <xf numFmtId="0" fontId="4" fillId="30" borderId="131" applyNumberFormat="0" applyProtection="0">
      <alignment horizontal="left" vertical="center" indent="1"/>
    </xf>
    <xf numFmtId="0" fontId="4" fillId="30" borderId="131" applyNumberFormat="0" applyProtection="0">
      <alignment horizontal="left" vertical="center" indent="1"/>
    </xf>
    <xf numFmtId="0" fontId="4" fillId="33" borderId="131" applyNumberFormat="0" applyProtection="0">
      <alignment horizontal="left" vertical="center" indent="1"/>
    </xf>
    <xf numFmtId="0" fontId="4" fillId="33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1" fillId="20" borderId="131" applyNumberFormat="0" applyProtection="0">
      <alignment vertical="center"/>
    </xf>
    <xf numFmtId="4" fontId="52" fillId="20" borderId="131" applyNumberFormat="0" applyProtection="0">
      <alignment vertical="center"/>
    </xf>
    <xf numFmtId="4" fontId="51" fillId="20" borderId="131" applyNumberFormat="0" applyProtection="0">
      <alignment horizontal="left" vertical="center" indent="1"/>
    </xf>
    <xf numFmtId="4" fontId="51" fillId="20" borderId="131" applyNumberFormat="0" applyProtection="0">
      <alignment horizontal="left" vertical="center" indent="1"/>
    </xf>
    <xf numFmtId="4" fontId="51" fillId="47" borderId="131" applyNumberFormat="0" applyProtection="0">
      <alignment horizontal="right" vertical="center"/>
    </xf>
    <xf numFmtId="4" fontId="52" fillId="47" borderId="131" applyNumberFormat="0" applyProtection="0">
      <alignment horizontal="right" vertical="center"/>
    </xf>
    <xf numFmtId="0" fontId="4" fillId="11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6" fillId="47" borderId="131" applyNumberFormat="0" applyProtection="0">
      <alignment horizontal="right" vertical="center"/>
    </xf>
    <xf numFmtId="0" fontId="4" fillId="11" borderId="133" applyNumberFormat="0" applyProtection="0">
      <alignment horizontal="left" vertical="center" indent="1"/>
    </xf>
    <xf numFmtId="4" fontId="51" fillId="35" borderId="133" applyNumberFormat="0" applyProtection="0">
      <alignment horizontal="right" vertical="center"/>
    </xf>
    <xf numFmtId="4" fontId="51" fillId="43" borderId="133" applyNumberFormat="0" applyProtection="0">
      <alignment horizontal="right" vertical="center"/>
    </xf>
    <xf numFmtId="4" fontId="51" fillId="44" borderId="133" applyNumberFormat="0" applyProtection="0">
      <alignment horizontal="right" vertical="center"/>
    </xf>
    <xf numFmtId="4" fontId="51" fillId="12" borderId="133" applyNumberFormat="0" applyProtection="0">
      <alignment horizontal="right" vertical="center"/>
    </xf>
    <xf numFmtId="4" fontId="51" fillId="45" borderId="133" applyNumberFormat="0" applyProtection="0">
      <alignment horizontal="right" vertical="center"/>
    </xf>
    <xf numFmtId="4" fontId="51" fillId="15" borderId="133" applyNumberFormat="0" applyProtection="0">
      <alignment horizontal="right" vertical="center"/>
    </xf>
    <xf numFmtId="4" fontId="51" fillId="17" borderId="133" applyNumberFormat="0" applyProtection="0">
      <alignment horizontal="right" vertical="center"/>
    </xf>
    <xf numFmtId="4" fontId="51" fillId="16" borderId="133" applyNumberFormat="0" applyProtection="0">
      <alignment horizontal="right" vertical="center"/>
    </xf>
    <xf numFmtId="4" fontId="51" fillId="19" borderId="133" applyNumberFormat="0" applyProtection="0">
      <alignment horizontal="right" vertical="center"/>
    </xf>
    <xf numFmtId="4" fontId="53" fillId="46" borderId="133" applyNumberFormat="0" applyProtection="0">
      <alignment horizontal="left" vertical="center" indent="1"/>
    </xf>
    <xf numFmtId="4" fontId="51" fillId="47" borderId="134" applyNumberFormat="0" applyProtection="0">
      <alignment horizontal="left" vertical="center" indent="1"/>
    </xf>
    <xf numFmtId="4" fontId="51" fillId="47" borderId="139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" fillId="47" borderId="133" applyNumberFormat="0" applyProtection="0">
      <alignment horizontal="left" vertical="center" indent="1"/>
    </xf>
    <xf numFmtId="4" fontId="5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1" fillId="20" borderId="133" applyNumberFormat="0" applyProtection="0">
      <alignment vertical="center"/>
    </xf>
    <xf numFmtId="4" fontId="52" fillId="20" borderId="133" applyNumberFormat="0" applyProtection="0">
      <alignment vertical="center"/>
    </xf>
    <xf numFmtId="4" fontId="51" fillId="20" borderId="133" applyNumberFormat="0" applyProtection="0">
      <alignment horizontal="left" vertical="center" indent="1"/>
    </xf>
    <xf numFmtId="4" fontId="51" fillId="20" borderId="133" applyNumberFormat="0" applyProtection="0">
      <alignment horizontal="left" vertical="center" indent="1"/>
    </xf>
    <xf numFmtId="4" fontId="51" fillId="47" borderId="133" applyNumberFormat="0" applyProtection="0">
      <alignment horizontal="right" vertical="center"/>
    </xf>
    <xf numFmtId="4" fontId="52" fillId="47" borderId="133" applyNumberFormat="0" applyProtection="0">
      <alignment horizontal="right" vertical="center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" fillId="49" borderId="142" applyNumberFormat="0" applyProtection="0">
      <alignment horizontal="left" vertical="center" indent="1"/>
    </xf>
    <xf numFmtId="4" fontId="56" fillId="47" borderId="133" applyNumberFormat="0" applyProtection="0">
      <alignment horizontal="right" vertical="center"/>
    </xf>
    <xf numFmtId="0" fontId="4" fillId="30" borderId="141" applyNumberFormat="0" applyProtection="0">
      <alignment horizontal="left" vertical="center" indent="1"/>
    </xf>
    <xf numFmtId="4" fontId="5" fillId="49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1" fillId="13" borderId="133" applyNumberFormat="0" applyProtection="0">
      <alignment vertical="center"/>
    </xf>
    <xf numFmtId="4" fontId="52" fillId="13" borderId="133" applyNumberFormat="0" applyProtection="0">
      <alignment vertical="center"/>
    </xf>
    <xf numFmtId="4" fontId="51" fillId="13" borderId="133" applyNumberFormat="0" applyProtection="0">
      <alignment horizontal="left" vertical="center" indent="1"/>
    </xf>
    <xf numFmtId="4" fontId="51" fillId="13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1" fillId="35" borderId="133" applyNumberFormat="0" applyProtection="0">
      <alignment horizontal="right" vertical="center"/>
    </xf>
    <xf numFmtId="4" fontId="51" fillId="43" borderId="133" applyNumberFormat="0" applyProtection="0">
      <alignment horizontal="right" vertical="center"/>
    </xf>
    <xf numFmtId="4" fontId="51" fillId="44" borderId="133" applyNumberFormat="0" applyProtection="0">
      <alignment horizontal="right" vertical="center"/>
    </xf>
    <xf numFmtId="4" fontId="51" fillId="12" borderId="133" applyNumberFormat="0" applyProtection="0">
      <alignment horizontal="right" vertical="center"/>
    </xf>
    <xf numFmtId="4" fontId="51" fillId="45" borderId="133" applyNumberFormat="0" applyProtection="0">
      <alignment horizontal="right" vertical="center"/>
    </xf>
    <xf numFmtId="4" fontId="51" fillId="15" borderId="133" applyNumberFormat="0" applyProtection="0">
      <alignment horizontal="right" vertical="center"/>
    </xf>
    <xf numFmtId="4" fontId="51" fillId="17" borderId="133" applyNumberFormat="0" applyProtection="0">
      <alignment horizontal="right" vertical="center"/>
    </xf>
    <xf numFmtId="4" fontId="51" fillId="16" borderId="133" applyNumberFormat="0" applyProtection="0">
      <alignment horizontal="right" vertical="center"/>
    </xf>
    <xf numFmtId="4" fontId="51" fillId="19" borderId="133" applyNumberFormat="0" applyProtection="0">
      <alignment horizontal="right" vertical="center"/>
    </xf>
    <xf numFmtId="4" fontId="53" fillId="46" borderId="133" applyNumberFormat="0" applyProtection="0">
      <alignment horizontal="left" vertical="center" indent="1"/>
    </xf>
    <xf numFmtId="4" fontId="51" fillId="47" borderId="135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" fillId="47" borderId="133" applyNumberFormat="0" applyProtection="0">
      <alignment horizontal="left" vertical="center" indent="1"/>
    </xf>
    <xf numFmtId="4" fontId="5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1" fillId="20" borderId="133" applyNumberFormat="0" applyProtection="0">
      <alignment vertical="center"/>
    </xf>
    <xf numFmtId="4" fontId="52" fillId="20" borderId="133" applyNumberFormat="0" applyProtection="0">
      <alignment vertical="center"/>
    </xf>
    <xf numFmtId="4" fontId="51" fillId="20" borderId="133" applyNumberFormat="0" applyProtection="0">
      <alignment horizontal="left" vertical="center" indent="1"/>
    </xf>
    <xf numFmtId="4" fontId="51" fillId="20" borderId="133" applyNumberFormat="0" applyProtection="0">
      <alignment horizontal="left" vertical="center" indent="1"/>
    </xf>
    <xf numFmtId="4" fontId="51" fillId="47" borderId="133" applyNumberFormat="0" applyProtection="0">
      <alignment horizontal="right" vertical="center"/>
    </xf>
    <xf numFmtId="4" fontId="52" fillId="47" borderId="133" applyNumberFormat="0" applyProtection="0">
      <alignment horizontal="right" vertical="center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6" fillId="47" borderId="133" applyNumberFormat="0" applyProtection="0">
      <alignment horizontal="right" vertical="center"/>
    </xf>
    <xf numFmtId="0" fontId="4" fillId="49" borderId="141" applyNumberFormat="0" applyProtection="0">
      <alignment horizontal="left" vertical="center" indent="1"/>
    </xf>
    <xf numFmtId="4" fontId="51" fillId="13" borderId="142" applyNumberFormat="0" applyProtection="0">
      <alignment vertical="center"/>
    </xf>
    <xf numFmtId="4" fontId="52" fillId="13" borderId="142" applyNumberFormat="0" applyProtection="0">
      <alignment vertical="center"/>
    </xf>
    <xf numFmtId="4" fontId="51" fillId="13" borderId="142" applyNumberFormat="0" applyProtection="0">
      <alignment horizontal="left" vertical="center" indent="1"/>
    </xf>
    <xf numFmtId="4" fontId="51" fillId="13" borderId="142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1" fillId="35" borderId="142" applyNumberFormat="0" applyProtection="0">
      <alignment horizontal="right" vertical="center"/>
    </xf>
    <xf numFmtId="4" fontId="51" fillId="43" borderId="142" applyNumberFormat="0" applyProtection="0">
      <alignment horizontal="right" vertical="center"/>
    </xf>
    <xf numFmtId="4" fontId="51" fillId="47" borderId="136" applyNumberFormat="0" applyProtection="0">
      <alignment horizontal="left" vertical="center" indent="1"/>
    </xf>
    <xf numFmtId="4" fontId="51" fillId="47" borderId="143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" fillId="47" borderId="142" applyNumberFormat="0" applyProtection="0">
      <alignment horizontal="left" vertical="center" indent="1"/>
    </xf>
    <xf numFmtId="0" fontId="4" fillId="49" borderId="142" applyNumberFormat="0" applyProtection="0">
      <alignment horizontal="left" vertical="center" indent="1"/>
    </xf>
    <xf numFmtId="0" fontId="4" fillId="49" borderId="142" applyNumberFormat="0" applyProtection="0">
      <alignment horizontal="left" vertical="center" indent="1"/>
    </xf>
    <xf numFmtId="0" fontId="4" fillId="30" borderId="142" applyNumberFormat="0" applyProtection="0">
      <alignment horizontal="left" vertical="center" indent="1"/>
    </xf>
    <xf numFmtId="0" fontId="4" fillId="30" borderId="142" applyNumberFormat="0" applyProtection="0">
      <alignment horizontal="left" vertical="center" indent="1"/>
    </xf>
    <xf numFmtId="0" fontId="4" fillId="33" borderId="142" applyNumberFormat="0" applyProtection="0">
      <alignment horizontal="left" vertical="center" indent="1"/>
    </xf>
    <xf numFmtId="0" fontId="4" fillId="33" borderId="142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2" fillId="20" borderId="142" applyNumberFormat="0" applyProtection="0">
      <alignment vertical="center"/>
    </xf>
    <xf numFmtId="4" fontId="51" fillId="20" borderId="142" applyNumberFormat="0" applyProtection="0">
      <alignment horizontal="left" vertical="center" indent="1"/>
    </xf>
    <xf numFmtId="4" fontId="51" fillId="20" borderId="142" applyNumberFormat="0" applyProtection="0">
      <alignment horizontal="left" vertical="center" indent="1"/>
    </xf>
    <xf numFmtId="4" fontId="51" fillId="47" borderId="142" applyNumberFormat="0" applyProtection="0">
      <alignment horizontal="right" vertical="center"/>
    </xf>
    <xf numFmtId="4" fontId="52" fillId="47" borderId="142" applyNumberFormat="0" applyProtection="0">
      <alignment horizontal="right" vertical="center"/>
    </xf>
    <xf numFmtId="0" fontId="4" fillId="11" borderId="142" applyNumberFormat="0" applyProtection="0">
      <alignment horizontal="left" vertical="center" indent="1"/>
    </xf>
    <xf numFmtId="4" fontId="51" fillId="45" borderId="142" applyNumberFormat="0" applyProtection="0">
      <alignment horizontal="right" vertical="center"/>
    </xf>
    <xf numFmtId="0" fontId="4" fillId="11" borderId="142" applyNumberFormat="0" applyProtection="0">
      <alignment horizontal="left" vertical="center" indent="1"/>
    </xf>
    <xf numFmtId="4" fontId="51" fillId="15" borderId="142" applyNumberFormat="0" applyProtection="0">
      <alignment horizontal="right" vertical="center"/>
    </xf>
    <xf numFmtId="4" fontId="51" fillId="16" borderId="142" applyNumberFormat="0" applyProtection="0">
      <alignment horizontal="right" vertical="center"/>
    </xf>
    <xf numFmtId="4" fontId="51" fillId="44" borderId="142" applyNumberFormat="0" applyProtection="0">
      <alignment horizontal="right" vertical="center"/>
    </xf>
    <xf numFmtId="0" fontId="4" fillId="11" borderId="142" applyNumberFormat="0" applyProtection="0">
      <alignment horizontal="left" vertical="center" indent="1"/>
    </xf>
    <xf numFmtId="4" fontId="51" fillId="20" borderId="142" applyNumberFormat="0" applyProtection="0">
      <alignment vertical="center"/>
    </xf>
    <xf numFmtId="4" fontId="51" fillId="13" borderId="137" applyNumberFormat="0" applyProtection="0">
      <alignment vertical="center"/>
    </xf>
    <xf numFmtId="4" fontId="52" fillId="13" borderId="137" applyNumberFormat="0" applyProtection="0">
      <alignment vertical="center"/>
    </xf>
    <xf numFmtId="4" fontId="51" fillId="13" borderId="137" applyNumberFormat="0" applyProtection="0">
      <alignment horizontal="left" vertical="center" indent="1"/>
    </xf>
    <xf numFmtId="4" fontId="51" fillId="13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1" fillId="35" borderId="137" applyNumberFormat="0" applyProtection="0">
      <alignment horizontal="right" vertical="center"/>
    </xf>
    <xf numFmtId="4" fontId="51" fillId="43" borderId="137" applyNumberFormat="0" applyProtection="0">
      <alignment horizontal="right" vertical="center"/>
    </xf>
    <xf numFmtId="4" fontId="51" fillId="44" borderId="137" applyNumberFormat="0" applyProtection="0">
      <alignment horizontal="right" vertical="center"/>
    </xf>
    <xf numFmtId="4" fontId="51" fillId="12" borderId="137" applyNumberFormat="0" applyProtection="0">
      <alignment horizontal="right" vertical="center"/>
    </xf>
    <xf numFmtId="4" fontId="51" fillId="45" borderId="137" applyNumberFormat="0" applyProtection="0">
      <alignment horizontal="right" vertical="center"/>
    </xf>
    <xf numFmtId="4" fontId="51" fillId="15" borderId="137" applyNumberFormat="0" applyProtection="0">
      <alignment horizontal="right" vertical="center"/>
    </xf>
    <xf numFmtId="4" fontId="51" fillId="17" borderId="137" applyNumberFormat="0" applyProtection="0">
      <alignment horizontal="right" vertical="center"/>
    </xf>
    <xf numFmtId="4" fontId="51" fillId="16" borderId="137" applyNumberFormat="0" applyProtection="0">
      <alignment horizontal="right" vertical="center"/>
    </xf>
    <xf numFmtId="4" fontId="51" fillId="19" borderId="137" applyNumberFormat="0" applyProtection="0">
      <alignment horizontal="right" vertical="center"/>
    </xf>
    <xf numFmtId="4" fontId="53" fillId="46" borderId="137" applyNumberFormat="0" applyProtection="0">
      <alignment horizontal="left" vertical="center" indent="1"/>
    </xf>
    <xf numFmtId="4" fontId="51" fillId="47" borderId="138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" fillId="47" borderId="137" applyNumberFormat="0" applyProtection="0">
      <alignment horizontal="left" vertical="center" indent="1"/>
    </xf>
    <xf numFmtId="4" fontId="5" fillId="49" borderId="137" applyNumberFormat="0" applyProtection="0">
      <alignment horizontal="left" vertical="center" indent="1"/>
    </xf>
    <xf numFmtId="0" fontId="4" fillId="49" borderId="137" applyNumberFormat="0" applyProtection="0">
      <alignment horizontal="left" vertical="center" indent="1"/>
    </xf>
    <xf numFmtId="0" fontId="4" fillId="49" borderId="137" applyNumberFormat="0" applyProtection="0">
      <alignment horizontal="left" vertical="center" indent="1"/>
    </xf>
    <xf numFmtId="0" fontId="4" fillId="30" borderId="137" applyNumberFormat="0" applyProtection="0">
      <alignment horizontal="left" vertical="center" indent="1"/>
    </xf>
    <xf numFmtId="0" fontId="4" fillId="30" borderId="137" applyNumberFormat="0" applyProtection="0">
      <alignment horizontal="left" vertical="center" indent="1"/>
    </xf>
    <xf numFmtId="0" fontId="4" fillId="33" borderId="137" applyNumberFormat="0" applyProtection="0">
      <alignment horizontal="left" vertical="center" indent="1"/>
    </xf>
    <xf numFmtId="0" fontId="4" fillId="33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1" fillId="20" borderId="137" applyNumberFormat="0" applyProtection="0">
      <alignment vertical="center"/>
    </xf>
    <xf numFmtId="4" fontId="52" fillId="20" borderId="137" applyNumberFormat="0" applyProtection="0">
      <alignment vertical="center"/>
    </xf>
    <xf numFmtId="4" fontId="51" fillId="20" borderId="137" applyNumberFormat="0" applyProtection="0">
      <alignment horizontal="left" vertical="center" indent="1"/>
    </xf>
    <xf numFmtId="4" fontId="51" fillId="20" borderId="137" applyNumberFormat="0" applyProtection="0">
      <alignment horizontal="left" vertical="center" indent="1"/>
    </xf>
    <xf numFmtId="4" fontId="51" fillId="47" borderId="137" applyNumberFormat="0" applyProtection="0">
      <alignment horizontal="right" vertical="center"/>
    </xf>
    <xf numFmtId="4" fontId="52" fillId="47" borderId="137" applyNumberFormat="0" applyProtection="0">
      <alignment horizontal="right" vertical="center"/>
    </xf>
    <xf numFmtId="0" fontId="4" fillId="11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6" fillId="47" borderId="137" applyNumberFormat="0" applyProtection="0">
      <alignment horizontal="right" vertical="center"/>
    </xf>
    <xf numFmtId="4" fontId="51" fillId="47" borderId="146" applyNumberFormat="0" applyProtection="0">
      <alignment horizontal="left" vertical="center" indent="1"/>
    </xf>
    <xf numFmtId="4" fontId="51" fillId="47" borderId="140" applyNumberFormat="0" applyProtection="0">
      <alignment horizontal="left" vertical="center" indent="1"/>
    </xf>
    <xf numFmtId="4" fontId="51" fillId="19" borderId="142" applyNumberFormat="0" applyProtection="0">
      <alignment horizontal="right" vertical="center"/>
    </xf>
    <xf numFmtId="4" fontId="56" fillId="47" borderId="142" applyNumberFormat="0" applyProtection="0">
      <alignment horizontal="right" vertical="center"/>
    </xf>
    <xf numFmtId="4" fontId="51" fillId="13" borderId="144" applyNumberFormat="0" applyProtection="0">
      <alignment vertical="center"/>
    </xf>
    <xf numFmtId="4" fontId="52" fillId="13" borderId="144" applyNumberFormat="0" applyProtection="0">
      <alignment vertical="center"/>
    </xf>
    <xf numFmtId="4" fontId="51" fillId="13" borderId="144" applyNumberFormat="0" applyProtection="0">
      <alignment horizontal="left" vertical="center" indent="1"/>
    </xf>
    <xf numFmtId="4" fontId="51" fillId="1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35" borderId="144" applyNumberFormat="0" applyProtection="0">
      <alignment horizontal="right" vertical="center"/>
    </xf>
    <xf numFmtId="4" fontId="51" fillId="43" borderId="144" applyNumberFormat="0" applyProtection="0">
      <alignment horizontal="right" vertical="center"/>
    </xf>
    <xf numFmtId="4" fontId="51" fillId="44" borderId="144" applyNumberFormat="0" applyProtection="0">
      <alignment horizontal="right" vertical="center"/>
    </xf>
    <xf numFmtId="4" fontId="51" fillId="12" borderId="144" applyNumberFormat="0" applyProtection="0">
      <alignment horizontal="right" vertical="center"/>
    </xf>
    <xf numFmtId="4" fontId="51" fillId="45" borderId="144" applyNumberFormat="0" applyProtection="0">
      <alignment horizontal="right" vertical="center"/>
    </xf>
    <xf numFmtId="4" fontId="51" fillId="15" borderId="144" applyNumberFormat="0" applyProtection="0">
      <alignment horizontal="right" vertical="center"/>
    </xf>
    <xf numFmtId="4" fontId="51" fillId="17" borderId="144" applyNumberFormat="0" applyProtection="0">
      <alignment horizontal="right" vertical="center"/>
    </xf>
    <xf numFmtId="4" fontId="51" fillId="16" borderId="144" applyNumberFormat="0" applyProtection="0">
      <alignment horizontal="right" vertical="center"/>
    </xf>
    <xf numFmtId="4" fontId="51" fillId="19" borderId="144" applyNumberFormat="0" applyProtection="0">
      <alignment horizontal="right" vertical="center"/>
    </xf>
    <xf numFmtId="4" fontId="53" fillId="46" borderId="144" applyNumberFormat="0" applyProtection="0">
      <alignment horizontal="left" vertical="center" indent="1"/>
    </xf>
    <xf numFmtId="4" fontId="51" fillId="47" borderId="145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" fillId="47" borderId="144" applyNumberFormat="0" applyProtection="0">
      <alignment horizontal="left" vertical="center" indent="1"/>
    </xf>
    <xf numFmtId="4" fontId="5" fillId="49" borderId="144" applyNumberFormat="0" applyProtection="0">
      <alignment horizontal="left" vertical="center" indent="1"/>
    </xf>
    <xf numFmtId="0" fontId="4" fillId="49" borderId="144" applyNumberFormat="0" applyProtection="0">
      <alignment horizontal="left" vertical="center" indent="1"/>
    </xf>
    <xf numFmtId="0" fontId="4" fillId="49" borderId="144" applyNumberFormat="0" applyProtection="0">
      <alignment horizontal="left" vertical="center" indent="1"/>
    </xf>
    <xf numFmtId="0" fontId="4" fillId="30" borderId="144" applyNumberFormat="0" applyProtection="0">
      <alignment horizontal="left" vertical="center" indent="1"/>
    </xf>
    <xf numFmtId="0" fontId="4" fillId="30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20" borderId="144" applyNumberFormat="0" applyProtection="0">
      <alignment vertical="center"/>
    </xf>
    <xf numFmtId="4" fontId="52" fillId="20" borderId="144" applyNumberFormat="0" applyProtection="0">
      <alignment vertical="center"/>
    </xf>
    <xf numFmtId="4" fontId="51" fillId="20" borderId="144" applyNumberFormat="0" applyProtection="0">
      <alignment horizontal="left" vertical="center" indent="1"/>
    </xf>
    <xf numFmtId="4" fontId="51" fillId="20" borderId="144" applyNumberFormat="0" applyProtection="0">
      <alignment horizontal="left" vertical="center" indent="1"/>
    </xf>
    <xf numFmtId="4" fontId="51" fillId="47" borderId="144" applyNumberFormat="0" applyProtection="0">
      <alignment horizontal="right" vertical="center"/>
    </xf>
    <xf numFmtId="4" fontId="52" fillId="47" borderId="144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6" fillId="47" borderId="144" applyNumberFormat="0" applyProtection="0">
      <alignment horizontal="right"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3" borderId="147" applyNumberFormat="0" applyProtection="0">
      <alignment horizontal="right" vertical="center"/>
    </xf>
    <xf numFmtId="4" fontId="51" fillId="44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45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46" borderId="147" applyNumberFormat="0" applyProtection="0">
      <alignment horizontal="left" vertical="center" indent="1"/>
    </xf>
    <xf numFmtId="4" fontId="51" fillId="47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47" borderId="147" applyNumberFormat="0" applyProtection="0">
      <alignment horizontal="left" vertical="center" indent="1"/>
    </xf>
    <xf numFmtId="4" fontId="5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47" borderId="147" applyNumberFormat="0" applyProtection="0">
      <alignment horizontal="right" vertical="center"/>
    </xf>
    <xf numFmtId="4" fontId="52" fillId="47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47" borderId="147" applyNumberFormat="0" applyProtection="0">
      <alignment horizontal="right" vertical="center"/>
    </xf>
    <xf numFmtId="0" fontId="1" fillId="0" borderId="0"/>
    <xf numFmtId="4" fontId="51" fillId="13" borderId="161" applyNumberFormat="0" applyProtection="0">
      <alignment vertical="center"/>
    </xf>
    <xf numFmtId="4" fontId="52" fillId="13" borderId="161" applyNumberFormat="0" applyProtection="0">
      <alignment vertical="center"/>
    </xf>
    <xf numFmtId="4" fontId="51" fillId="13" borderId="161" applyNumberFormat="0" applyProtection="0">
      <alignment horizontal="left" vertical="center" indent="1"/>
    </xf>
    <xf numFmtId="4" fontId="51" fillId="13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1" fillId="35" borderId="161" applyNumberFormat="0" applyProtection="0">
      <alignment horizontal="right" vertical="center"/>
    </xf>
    <xf numFmtId="4" fontId="51" fillId="43" borderId="161" applyNumberFormat="0" applyProtection="0">
      <alignment horizontal="right" vertical="center"/>
    </xf>
    <xf numFmtId="4" fontId="51" fillId="44" borderId="161" applyNumberFormat="0" applyProtection="0">
      <alignment horizontal="right" vertical="center"/>
    </xf>
    <xf numFmtId="4" fontId="51" fillId="12" borderId="161" applyNumberFormat="0" applyProtection="0">
      <alignment horizontal="right" vertical="center"/>
    </xf>
    <xf numFmtId="4" fontId="51" fillId="45" borderId="161" applyNumberFormat="0" applyProtection="0">
      <alignment horizontal="right" vertical="center"/>
    </xf>
    <xf numFmtId="4" fontId="51" fillId="15" borderId="161" applyNumberFormat="0" applyProtection="0">
      <alignment horizontal="right" vertical="center"/>
    </xf>
    <xf numFmtId="4" fontId="51" fillId="17" borderId="161" applyNumberFormat="0" applyProtection="0">
      <alignment horizontal="right" vertical="center"/>
    </xf>
    <xf numFmtId="4" fontId="51" fillId="16" borderId="161" applyNumberFormat="0" applyProtection="0">
      <alignment horizontal="right" vertical="center"/>
    </xf>
    <xf numFmtId="4" fontId="51" fillId="19" borderId="161" applyNumberFormat="0" applyProtection="0">
      <alignment horizontal="right" vertical="center"/>
    </xf>
    <xf numFmtId="4" fontId="53" fillId="46" borderId="161" applyNumberFormat="0" applyProtection="0">
      <alignment horizontal="left" vertical="center" indent="1"/>
    </xf>
    <xf numFmtId="4" fontId="51" fillId="47" borderId="162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" fillId="47" borderId="161" applyNumberFormat="0" applyProtection="0">
      <alignment horizontal="left" vertical="center" indent="1"/>
    </xf>
    <xf numFmtId="4" fontId="5" fillId="49" borderId="161" applyNumberFormat="0" applyProtection="0">
      <alignment horizontal="left" vertical="center" indent="1"/>
    </xf>
    <xf numFmtId="0" fontId="4" fillId="49" borderId="161" applyNumberFormat="0" applyProtection="0">
      <alignment horizontal="left" vertical="center" indent="1"/>
    </xf>
    <xf numFmtId="0" fontId="4" fillId="49" borderId="161" applyNumberFormat="0" applyProtection="0">
      <alignment horizontal="left" vertical="center" indent="1"/>
    </xf>
    <xf numFmtId="0" fontId="4" fillId="30" borderId="161" applyNumberFormat="0" applyProtection="0">
      <alignment horizontal="left" vertical="center" indent="1"/>
    </xf>
    <xf numFmtId="0" fontId="4" fillId="30" borderId="161" applyNumberFormat="0" applyProtection="0">
      <alignment horizontal="left" vertical="center" indent="1"/>
    </xf>
    <xf numFmtId="0" fontId="4" fillId="33" borderId="161" applyNumberFormat="0" applyProtection="0">
      <alignment horizontal="left" vertical="center" indent="1"/>
    </xf>
    <xf numFmtId="0" fontId="4" fillId="33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1" fillId="20" borderId="161" applyNumberFormat="0" applyProtection="0">
      <alignment vertical="center"/>
    </xf>
    <xf numFmtId="4" fontId="52" fillId="20" borderId="161" applyNumberFormat="0" applyProtection="0">
      <alignment vertical="center"/>
    </xf>
    <xf numFmtId="4" fontId="51" fillId="20" borderId="161" applyNumberFormat="0" applyProtection="0">
      <alignment horizontal="left" vertical="center" indent="1"/>
    </xf>
    <xf numFmtId="4" fontId="51" fillId="20" borderId="161" applyNumberFormat="0" applyProtection="0">
      <alignment horizontal="left" vertical="center" indent="1"/>
    </xf>
    <xf numFmtId="4" fontId="51" fillId="47" borderId="161" applyNumberFormat="0" applyProtection="0">
      <alignment horizontal="right" vertical="center"/>
    </xf>
    <xf numFmtId="4" fontId="52" fillId="47" borderId="161" applyNumberFormat="0" applyProtection="0">
      <alignment horizontal="right" vertical="center"/>
    </xf>
    <xf numFmtId="0" fontId="4" fillId="11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6" fillId="47" borderId="161" applyNumberFormat="0" applyProtection="0">
      <alignment horizontal="right" vertical="center"/>
    </xf>
    <xf numFmtId="4" fontId="51" fillId="13" borderId="163" applyNumberFormat="0" applyProtection="0">
      <alignment horizontal="left" vertical="center" indent="1"/>
    </xf>
    <xf numFmtId="4" fontId="51" fillId="12" borderId="163" applyNumberFormat="0" applyProtection="0">
      <alignment horizontal="right" vertical="center"/>
    </xf>
    <xf numFmtId="4" fontId="51" fillId="13" borderId="163" applyNumberFormat="0" applyProtection="0">
      <alignment horizontal="left" vertical="center" indent="1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vertical="center"/>
    </xf>
    <xf numFmtId="4" fontId="51" fillId="17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0" fontId="1" fillId="0" borderId="0"/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4" fontId="51" fillId="13" borderId="163" applyNumberFormat="0" applyProtection="0">
      <alignment vertical="center"/>
    </xf>
    <xf numFmtId="4" fontId="56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30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49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7" borderId="164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45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15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4" fontId="51" fillId="47" borderId="164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4" fontId="51" fillId="19" borderId="163" applyNumberFormat="0" applyProtection="0">
      <alignment horizontal="right" vertical="center"/>
    </xf>
    <xf numFmtId="4" fontId="56" fillId="47" borderId="163" applyNumberFormat="0" applyProtection="0">
      <alignment horizontal="right" vertical="center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</cellStyleXfs>
  <cellXfs count="4651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68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77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77" xfId="4" applyFont="1" applyBorder="1" applyAlignment="1">
      <alignment horizontal="center" vertical="center" wrapText="1"/>
    </xf>
    <xf numFmtId="3" fontId="27" fillId="21" borderId="68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68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0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0" fontId="7" fillId="0" borderId="74" xfId="4" applyFont="1" applyFill="1" applyBorder="1" applyAlignment="1">
      <alignment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4" fillId="6" borderId="9" xfId="4" applyNumberFormat="1" applyFont="1" applyFill="1" applyBorder="1" applyAlignment="1">
      <alignment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1" xfId="4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5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68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1" xfId="4" applyNumberFormat="1" applyFont="1" applyFill="1" applyBorder="1" applyAlignment="1">
      <alignment vertical="center" wrapText="1"/>
    </xf>
    <xf numFmtId="0" fontId="31" fillId="0" borderId="82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6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68" xfId="0" applyNumberFormat="1" applyFont="1" applyFill="1" applyBorder="1" applyAlignment="1">
      <alignment vertical="center"/>
    </xf>
    <xf numFmtId="0" fontId="16" fillId="2" borderId="84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77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0" fontId="27" fillId="50" borderId="45" xfId="4" applyFont="1" applyFill="1" applyBorder="1" applyAlignment="1">
      <alignment horizontal="left" vertical="center"/>
    </xf>
    <xf numFmtId="0" fontId="27" fillId="50" borderId="16" xfId="4" applyFont="1" applyFill="1" applyBorder="1" applyAlignment="1">
      <alignment horizontal="left" vertical="center"/>
    </xf>
    <xf numFmtId="3" fontId="27" fillId="50" borderId="17" xfId="4" applyNumberFormat="1" applyFont="1" applyFill="1" applyBorder="1" applyAlignment="1">
      <alignment horizontal="right" vertical="center"/>
    </xf>
    <xf numFmtId="0" fontId="27" fillId="50" borderId="65" xfId="4" applyFont="1" applyFill="1" applyBorder="1" applyAlignment="1">
      <alignment horizontal="left" vertical="center"/>
    </xf>
    <xf numFmtId="0" fontId="27" fillId="50" borderId="6" xfId="4" applyFont="1" applyFill="1" applyBorder="1" applyAlignment="1">
      <alignment horizontal="left" vertical="center"/>
    </xf>
    <xf numFmtId="3" fontId="27" fillId="50" borderId="27" xfId="4" applyNumberFormat="1" applyFont="1" applyFill="1" applyBorder="1" applyAlignment="1">
      <alignment horizontal="right" vertical="center"/>
    </xf>
    <xf numFmtId="0" fontId="27" fillId="50" borderId="65" xfId="0" applyFont="1" applyFill="1" applyBorder="1" applyAlignment="1">
      <alignment horizontal="left" vertical="top"/>
    </xf>
    <xf numFmtId="0" fontId="28" fillId="50" borderId="6" xfId="0" quotePrefix="1" applyFont="1" applyFill="1" applyBorder="1" applyAlignment="1">
      <alignment horizontal="center" vertical="top"/>
    </xf>
    <xf numFmtId="3" fontId="27" fillId="50" borderId="27" xfId="0" quotePrefix="1" applyNumberFormat="1" applyFont="1" applyFill="1" applyBorder="1" applyAlignment="1">
      <alignment horizontal="right" vertical="top"/>
    </xf>
    <xf numFmtId="0" fontId="27" fillId="50" borderId="36" xfId="4" applyFont="1" applyFill="1" applyBorder="1" applyAlignment="1">
      <alignment horizontal="left" vertical="center"/>
    </xf>
    <xf numFmtId="0" fontId="27" fillId="50" borderId="20" xfId="4" applyFont="1" applyFill="1" applyBorder="1" applyAlignment="1">
      <alignment horizontal="left" vertical="center"/>
    </xf>
    <xf numFmtId="3" fontId="27" fillId="50" borderId="9" xfId="4" applyNumberFormat="1" applyFont="1" applyFill="1" applyBorder="1" applyAlignment="1">
      <alignment horizontal="right" vertical="center"/>
    </xf>
    <xf numFmtId="0" fontId="27" fillId="50" borderId="46" xfId="0" applyFont="1" applyFill="1" applyBorder="1" applyAlignment="1">
      <alignment horizontal="left" vertical="top"/>
    </xf>
    <xf numFmtId="3" fontId="27" fillId="50" borderId="23" xfId="0" quotePrefix="1" applyNumberFormat="1" applyFont="1" applyFill="1" applyBorder="1" applyAlignment="1">
      <alignment horizontal="right" vertical="top"/>
    </xf>
    <xf numFmtId="0" fontId="27" fillId="50" borderId="11" xfId="4" applyFont="1" applyFill="1" applyBorder="1" applyAlignment="1">
      <alignment horizontal="left" vertical="center"/>
    </xf>
    <xf numFmtId="0" fontId="27" fillId="50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0" fontId="0" fillId="0" borderId="0" xfId="0" applyFont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0" borderId="19" xfId="4" applyFont="1" applyFill="1" applyBorder="1" applyAlignment="1">
      <alignment horizontal="left" vertical="center"/>
    </xf>
    <xf numFmtId="3" fontId="31" fillId="0" borderId="63" xfId="4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0" fontId="24" fillId="8" borderId="82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3" xfId="4" applyNumberFormat="1" applyFont="1" applyFill="1" applyBorder="1" applyAlignment="1">
      <alignment horizontal="right"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2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87" xfId="0" applyNumberFormat="1" applyFont="1" applyFill="1" applyBorder="1" applyAlignment="1">
      <alignment vertical="center"/>
    </xf>
    <xf numFmtId="3" fontId="29" fillId="23" borderId="87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87" xfId="0" applyNumberFormat="1" applyFont="1" applyFill="1" applyBorder="1" applyAlignment="1">
      <alignment vertical="center"/>
    </xf>
    <xf numFmtId="3" fontId="7" fillId="23" borderId="87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87" xfId="1" applyFont="1" applyFill="1" applyBorder="1" applyAlignment="1">
      <alignment vertical="center"/>
    </xf>
    <xf numFmtId="0" fontId="7" fillId="8" borderId="93" xfId="0" applyFont="1" applyFill="1" applyBorder="1" applyAlignment="1">
      <alignment vertical="top" wrapText="1"/>
    </xf>
    <xf numFmtId="0" fontId="7" fillId="8" borderId="88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4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89" xfId="0" applyNumberFormat="1" applyFont="1" applyFill="1" applyBorder="1" applyAlignment="1">
      <alignment vertical="top"/>
    </xf>
    <xf numFmtId="3" fontId="27" fillId="2" borderId="89" xfId="0" applyNumberFormat="1" applyFont="1" applyFill="1" applyBorder="1" applyAlignment="1">
      <alignment vertical="top"/>
    </xf>
    <xf numFmtId="3" fontId="25" fillId="25" borderId="87" xfId="0" applyNumberFormat="1" applyFont="1" applyFill="1" applyBorder="1" applyAlignment="1">
      <alignment vertical="top"/>
    </xf>
    <xf numFmtId="3" fontId="27" fillId="0" borderId="89" xfId="0" applyNumberFormat="1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top"/>
    </xf>
    <xf numFmtId="0" fontId="31" fillId="0" borderId="74" xfId="4" applyFont="1" applyFill="1" applyBorder="1" applyAlignment="1">
      <alignment vertical="center"/>
    </xf>
    <xf numFmtId="3" fontId="25" fillId="6" borderId="87" xfId="0" applyNumberFormat="1" applyFont="1" applyFill="1" applyBorder="1" applyAlignment="1">
      <alignment vertical="top"/>
    </xf>
    <xf numFmtId="3" fontId="27" fillId="2" borderId="87" xfId="0" applyNumberFormat="1" applyFont="1" applyFill="1" applyBorder="1" applyAlignment="1">
      <alignment vertical="top"/>
    </xf>
    <xf numFmtId="3" fontId="27" fillId="0" borderId="87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89" xfId="0" applyNumberFormat="1" applyFont="1" applyFill="1" applyBorder="1" applyAlignment="1">
      <alignment vertical="center"/>
    </xf>
    <xf numFmtId="3" fontId="25" fillId="6" borderId="9" xfId="0" applyNumberFormat="1" applyFont="1" applyFill="1" applyBorder="1" applyAlignment="1">
      <alignment vertical="center"/>
    </xf>
    <xf numFmtId="3" fontId="27" fillId="50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19" fillId="0" borderId="26" xfId="0" applyFont="1" applyBorder="1" applyAlignment="1">
      <alignment vertical="top"/>
    </xf>
    <xf numFmtId="0" fontId="19" fillId="0" borderId="66" xfId="0" applyFont="1" applyBorder="1" applyAlignment="1">
      <alignment vertical="top"/>
    </xf>
    <xf numFmtId="3" fontId="31" fillId="8" borderId="18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39" fillId="0" borderId="98" xfId="0" applyFont="1" applyBorder="1"/>
    <xf numFmtId="3" fontId="27" fillId="50" borderId="89" xfId="4" applyNumberFormat="1" applyFont="1" applyFill="1" applyBorder="1" applyAlignment="1">
      <alignment horizontal="right" vertical="center"/>
    </xf>
    <xf numFmtId="3" fontId="31" fillId="0" borderId="98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top"/>
    </xf>
    <xf numFmtId="3" fontId="27" fillId="2" borderId="99" xfId="0" applyNumberFormat="1" applyFont="1" applyFill="1" applyBorder="1" applyAlignment="1">
      <alignment vertical="top"/>
    </xf>
    <xf numFmtId="3" fontId="27" fillId="0" borderId="99" xfId="0" applyNumberFormat="1" applyFont="1" applyFill="1" applyBorder="1" applyAlignment="1">
      <alignment vertical="top"/>
    </xf>
    <xf numFmtId="0" fontId="15" fillId="2" borderId="9" xfId="0" applyFont="1" applyFill="1" applyBorder="1" applyAlignment="1">
      <alignment horizontal="right" vertical="center"/>
    </xf>
    <xf numFmtId="0" fontId="15" fillId="2" borderId="99" xfId="0" applyFont="1" applyFill="1" applyBorder="1" applyAlignment="1">
      <alignment horizontal="right" vertical="center"/>
    </xf>
    <xf numFmtId="0" fontId="27" fillId="50" borderId="90" xfId="4" applyFont="1" applyFill="1" applyBorder="1" applyAlignment="1">
      <alignment horizontal="left" vertical="center"/>
    </xf>
    <xf numFmtId="0" fontId="31" fillId="6" borderId="28" xfId="0" applyFont="1" applyFill="1" applyBorder="1" applyAlignment="1">
      <alignment vertical="center"/>
    </xf>
    <xf numFmtId="3" fontId="25" fillId="22" borderId="89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27" fillId="50" borderId="6" xfId="4" applyNumberFormat="1" applyFont="1" applyFill="1" applyBorder="1" applyAlignment="1">
      <alignment horizontal="left" vertical="center"/>
    </xf>
    <xf numFmtId="0" fontId="24" fillId="8" borderId="36" xfId="4" applyFont="1" applyFill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27" fillId="2" borderId="32" xfId="4" applyFont="1" applyFill="1" applyBorder="1" applyAlignment="1">
      <alignment vertical="center"/>
    </xf>
    <xf numFmtId="0" fontId="39" fillId="0" borderId="108" xfId="0" applyFont="1" applyBorder="1"/>
    <xf numFmtId="0" fontId="63" fillId="8" borderId="20" xfId="4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7" fillId="0" borderId="112" xfId="4" applyNumberFormat="1" applyFont="1" applyFill="1" applyBorder="1" applyAlignment="1">
      <alignment horizontal="right" vertical="center"/>
    </xf>
    <xf numFmtId="0" fontId="27" fillId="50" borderId="17" xfId="4" applyFont="1" applyFill="1" applyBorder="1" applyAlignment="1">
      <alignment horizontal="left" vertical="center"/>
    </xf>
    <xf numFmtId="0" fontId="24" fillId="6" borderId="115" xfId="4" applyFont="1" applyFill="1" applyBorder="1" applyAlignment="1">
      <alignment horizontal="left" vertical="center"/>
    </xf>
    <xf numFmtId="3" fontId="31" fillId="0" borderId="117" xfId="0" applyNumberFormat="1" applyFont="1" applyFill="1" applyBorder="1" applyAlignment="1">
      <alignment vertical="top"/>
    </xf>
    <xf numFmtId="0" fontId="24" fillId="6" borderId="122" xfId="4" applyFont="1" applyFill="1" applyBorder="1" applyAlignment="1">
      <alignment horizontal="left" vertical="center"/>
    </xf>
    <xf numFmtId="3" fontId="31" fillId="0" borderId="117" xfId="0" applyNumberFormat="1" applyFont="1" applyFill="1" applyBorder="1" applyAlignment="1">
      <alignment vertical="center"/>
    </xf>
    <xf numFmtId="3" fontId="27" fillId="0" borderId="117" xfId="0" applyNumberFormat="1" applyFont="1" applyFill="1" applyBorder="1" applyAlignment="1">
      <alignment vertical="top"/>
    </xf>
    <xf numFmtId="3" fontId="7" fillId="0" borderId="119" xfId="4" applyNumberFormat="1" applyFont="1" applyFill="1" applyBorder="1" applyAlignment="1">
      <alignment horizontal="right" vertical="center"/>
    </xf>
    <xf numFmtId="0" fontId="25" fillId="6" borderId="117" xfId="4" applyFont="1" applyFill="1" applyBorder="1" applyAlignment="1">
      <alignment horizontal="left" vertical="center"/>
    </xf>
    <xf numFmtId="3" fontId="25" fillId="22" borderId="117" xfId="4" applyNumberFormat="1" applyFont="1" applyFill="1" applyBorder="1" applyAlignment="1">
      <alignment horizontal="right" vertical="center"/>
    </xf>
    <xf numFmtId="3" fontId="24" fillId="6" borderId="117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0" fontId="25" fillId="6" borderId="110" xfId="4" applyFont="1" applyFill="1" applyBorder="1" applyAlignment="1">
      <alignment horizontal="left" vertical="center"/>
    </xf>
    <xf numFmtId="0" fontId="21" fillId="0" borderId="65" xfId="0" applyFont="1" applyBorder="1" applyAlignment="1">
      <alignment vertical="top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17" xfId="0" applyNumberFormat="1" applyFont="1" applyFill="1" applyBorder="1" applyAlignment="1">
      <alignment vertical="top"/>
    </xf>
    <xf numFmtId="3" fontId="25" fillId="6" borderId="117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17" xfId="0" applyNumberFormat="1" applyFont="1" applyFill="1" applyBorder="1" applyAlignment="1">
      <alignment vertical="top"/>
    </xf>
    <xf numFmtId="3" fontId="25" fillId="25" borderId="117" xfId="0" applyNumberFormat="1" applyFont="1" applyFill="1" applyBorder="1" applyAlignment="1">
      <alignment vertical="top"/>
    </xf>
    <xf numFmtId="3" fontId="31" fillId="0" borderId="112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5" fillId="8" borderId="68" xfId="0" applyFont="1" applyFill="1" applyBorder="1" applyAlignment="1">
      <alignment vertical="center" wrapText="1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12" xfId="0" applyNumberFormat="1" applyFont="1" applyFill="1" applyBorder="1" applyAlignment="1">
      <alignment vertical="center"/>
    </xf>
    <xf numFmtId="3" fontId="31" fillId="25" borderId="117" xfId="0" applyNumberFormat="1" applyFont="1" applyFill="1" applyBorder="1" applyAlignment="1">
      <alignment horizontal="center" vertical="top"/>
    </xf>
    <xf numFmtId="3" fontId="25" fillId="0" borderId="117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4" xfId="0" applyFont="1" applyBorder="1" applyAlignment="1">
      <alignment vertical="top"/>
    </xf>
    <xf numFmtId="0" fontId="21" fillId="0" borderId="64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5" xfId="0" applyFont="1" applyBorder="1" applyAlignment="1">
      <alignment horizontal="center" vertical="top" wrapText="1"/>
    </xf>
    <xf numFmtId="0" fontId="20" fillId="0" borderId="66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7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3" fontId="27" fillId="25" borderId="119" xfId="4" applyNumberFormat="1" applyFont="1" applyFill="1" applyBorder="1" applyAlignment="1">
      <alignment horizontal="right" vertical="center"/>
    </xf>
    <xf numFmtId="3" fontId="31" fillId="25" borderId="119" xfId="4" applyNumberFormat="1" applyFont="1" applyFill="1" applyBorder="1" applyAlignment="1">
      <alignment horizontal="right" vertical="center"/>
    </xf>
    <xf numFmtId="3" fontId="7" fillId="0" borderId="116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18" xfId="4" applyNumberFormat="1" applyFont="1" applyFill="1" applyBorder="1" applyAlignment="1">
      <alignment horizontal="right" vertical="center"/>
    </xf>
    <xf numFmtId="3" fontId="32" fillId="8" borderId="119" xfId="114" applyNumberFormat="1" applyFont="1" applyFill="1" applyBorder="1" applyAlignment="1">
      <alignment vertical="center"/>
    </xf>
    <xf numFmtId="0" fontId="31" fillId="8" borderId="115" xfId="4" applyFont="1" applyFill="1" applyBorder="1" applyAlignment="1">
      <alignment vertical="center"/>
    </xf>
    <xf numFmtId="3" fontId="24" fillId="6" borderId="119" xfId="4" applyNumberFormat="1" applyFont="1" applyFill="1" applyBorder="1" applyAlignment="1">
      <alignment horizontal="right" vertical="center"/>
    </xf>
    <xf numFmtId="0" fontId="27" fillId="8" borderId="122" xfId="4" applyFont="1" applyFill="1" applyBorder="1" applyAlignment="1">
      <alignment vertical="center"/>
    </xf>
    <xf numFmtId="0" fontId="27" fillId="8" borderId="110" xfId="4" applyFont="1" applyFill="1" applyBorder="1" applyAlignment="1">
      <alignment vertical="center"/>
    </xf>
    <xf numFmtId="3" fontId="33" fillId="8" borderId="119" xfId="114" applyNumberFormat="1" applyFont="1" applyFill="1" applyBorder="1" applyAlignment="1">
      <alignment vertical="center"/>
    </xf>
    <xf numFmtId="0" fontId="31" fillId="8" borderId="110" xfId="4" applyFont="1" applyFill="1" applyBorder="1" applyAlignment="1">
      <alignment vertical="center"/>
    </xf>
    <xf numFmtId="3" fontId="31" fillId="8" borderId="117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18" xfId="4" applyNumberFormat="1" applyFont="1" applyFill="1" applyBorder="1" applyAlignment="1">
      <alignment horizontal="right" vertical="center"/>
    </xf>
    <xf numFmtId="3" fontId="33" fillId="0" borderId="117" xfId="114" applyNumberFormat="1" applyFont="1" applyFill="1" applyBorder="1" applyAlignment="1">
      <alignment vertical="center"/>
    </xf>
    <xf numFmtId="3" fontId="27" fillId="0" borderId="116" xfId="4" applyNumberFormat="1" applyFont="1" applyFill="1" applyBorder="1" applyAlignment="1">
      <alignment horizontal="right" vertical="center"/>
    </xf>
    <xf numFmtId="3" fontId="27" fillId="8" borderId="117" xfId="0" applyNumberFormat="1" applyFont="1" applyFill="1" applyBorder="1" applyAlignment="1">
      <alignment vertical="center"/>
    </xf>
    <xf numFmtId="3" fontId="31" fillId="28" borderId="117" xfId="0" applyNumberFormat="1" applyFont="1" applyFill="1" applyBorder="1" applyAlignment="1">
      <alignment vertical="center"/>
    </xf>
    <xf numFmtId="3" fontId="27" fillId="2" borderId="115" xfId="4" applyNumberFormat="1" applyFont="1" applyFill="1" applyBorder="1" applyAlignment="1">
      <alignment vertical="center" wrapText="1"/>
    </xf>
    <xf numFmtId="0" fontId="31" fillId="0" borderId="74" xfId="0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3" fontId="27" fillId="25" borderId="150" xfId="4" applyNumberFormat="1" applyFont="1" applyFill="1" applyBorder="1" applyAlignment="1">
      <alignment horizontal="right" vertical="center"/>
    </xf>
    <xf numFmtId="3" fontId="33" fillId="0" borderId="150" xfId="6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horizontal="right" vertical="center"/>
    </xf>
    <xf numFmtId="3" fontId="31" fillId="0" borderId="112" xfId="0" applyNumberFormat="1" applyFont="1" applyFill="1" applyBorder="1" applyAlignment="1">
      <alignment horizontal="right" vertical="center"/>
    </xf>
    <xf numFmtId="0" fontId="28" fillId="50" borderId="22" xfId="0" quotePrefix="1" applyFont="1" applyFill="1" applyBorder="1" applyAlignment="1">
      <alignment horizontal="center" vertical="top"/>
    </xf>
    <xf numFmtId="0" fontId="30" fillId="8" borderId="11" xfId="0" applyFont="1" applyFill="1" applyBorder="1" applyAlignment="1">
      <alignment vertical="center"/>
    </xf>
    <xf numFmtId="0" fontId="25" fillId="6" borderId="115" xfId="4" applyFont="1" applyFill="1" applyBorder="1" applyAlignment="1">
      <alignment horizontal="left" vertical="center"/>
    </xf>
    <xf numFmtId="43" fontId="25" fillId="6" borderId="149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55" xfId="4" applyFont="1" applyFill="1" applyBorder="1" applyAlignment="1">
      <alignment horizontal="left" vertical="center"/>
    </xf>
    <xf numFmtId="3" fontId="25" fillId="6" borderId="149" xfId="0" applyNumberFormat="1" applyFont="1" applyFill="1" applyBorder="1" applyAlignment="1"/>
    <xf numFmtId="3" fontId="29" fillId="2" borderId="115" xfId="4" applyNumberFormat="1" applyFont="1" applyFill="1" applyBorder="1" applyAlignment="1">
      <alignment vertical="center" wrapText="1"/>
    </xf>
    <xf numFmtId="3" fontId="31" fillId="0" borderId="149" xfId="0" applyNumberFormat="1" applyFont="1" applyFill="1" applyBorder="1" applyAlignment="1">
      <alignment vertical="top"/>
    </xf>
    <xf numFmtId="0" fontId="29" fillId="2" borderId="115" xfId="4" applyFont="1" applyFill="1" applyBorder="1" applyAlignment="1">
      <alignment vertical="center"/>
    </xf>
    <xf numFmtId="3" fontId="27" fillId="0" borderId="13" xfId="0" applyNumberFormat="1" applyFont="1" applyFill="1" applyBorder="1" applyAlignment="1">
      <alignment vertical="top"/>
    </xf>
    <xf numFmtId="43" fontId="31" fillId="0" borderId="149" xfId="1" applyFont="1" applyFill="1" applyBorder="1" applyAlignment="1">
      <alignment vertical="center"/>
    </xf>
    <xf numFmtId="43" fontId="31" fillId="0" borderId="150" xfId="1" applyFont="1" applyFill="1" applyBorder="1" applyAlignment="1">
      <alignment vertical="center"/>
    </xf>
    <xf numFmtId="0" fontId="29" fillId="2" borderId="155" xfId="4" applyFont="1" applyFill="1" applyBorder="1" applyAlignment="1">
      <alignment vertical="center"/>
    </xf>
    <xf numFmtId="0" fontId="7" fillId="0" borderId="123" xfId="4" applyFont="1" applyFill="1" applyBorder="1" applyAlignment="1">
      <alignment vertical="center"/>
    </xf>
    <xf numFmtId="3" fontId="25" fillId="6" borderId="149" xfId="0" applyNumberFormat="1" applyFont="1" applyFill="1" applyBorder="1" applyAlignment="1">
      <alignment vertical="center"/>
    </xf>
    <xf numFmtId="43" fontId="31" fillId="0" borderId="112" xfId="1" applyFont="1" applyFill="1" applyBorder="1" applyAlignment="1">
      <alignment vertical="top"/>
    </xf>
    <xf numFmtId="43" fontId="27" fillId="2" borderId="150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50" xfId="0" applyNumberFormat="1" applyFont="1" applyFill="1" applyBorder="1" applyAlignment="1">
      <alignment vertical="top"/>
    </xf>
    <xf numFmtId="0" fontId="27" fillId="2" borderId="115" xfId="4" applyFont="1" applyFill="1" applyBorder="1" applyAlignment="1">
      <alignment vertical="top"/>
    </xf>
    <xf numFmtId="0" fontId="31" fillId="0" borderId="124" xfId="0" applyFont="1" applyFill="1" applyBorder="1" applyAlignment="1">
      <alignment horizontal="left" vertical="center" wrapText="1"/>
    </xf>
    <xf numFmtId="43" fontId="25" fillId="6" borderId="150" xfId="1" applyFont="1" applyFill="1" applyBorder="1" applyAlignment="1">
      <alignment vertical="top"/>
    </xf>
    <xf numFmtId="3" fontId="31" fillId="0" borderId="126" xfId="0" applyNumberFormat="1" applyFont="1" applyFill="1" applyBorder="1" applyAlignment="1">
      <alignment vertical="top"/>
    </xf>
    <xf numFmtId="3" fontId="31" fillId="25" borderId="117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12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0" fontId="27" fillId="50" borderId="21" xfId="4" applyFont="1" applyFill="1" applyBorder="1" applyAlignment="1">
      <alignment horizontal="left" vertical="center"/>
    </xf>
    <xf numFmtId="0" fontId="7" fillId="8" borderId="11" xfId="4" applyFont="1" applyFill="1" applyBorder="1" applyAlignment="1">
      <alignment vertical="top"/>
    </xf>
    <xf numFmtId="3" fontId="24" fillId="6" borderId="150" xfId="4" applyNumberFormat="1" applyFont="1" applyFill="1" applyBorder="1" applyAlignment="1">
      <alignment vertical="center"/>
    </xf>
    <xf numFmtId="3" fontId="24" fillId="6" borderId="149" xfId="4" applyNumberFormat="1" applyFont="1" applyFill="1" applyBorder="1" applyAlignment="1">
      <alignment vertical="center"/>
    </xf>
    <xf numFmtId="3" fontId="29" fillId="0" borderId="150" xfId="4" applyNumberFormat="1" applyFont="1" applyFill="1" applyBorder="1" applyAlignment="1">
      <alignment horizontal="right" vertical="center"/>
    </xf>
    <xf numFmtId="0" fontId="7" fillId="0" borderId="115" xfId="4" applyFont="1" applyFill="1" applyBorder="1" applyAlignment="1">
      <alignment vertical="top"/>
    </xf>
    <xf numFmtId="3" fontId="7" fillId="0" borderId="150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49" xfId="1" applyFont="1" applyFill="1" applyBorder="1" applyAlignment="1">
      <alignment vertical="center"/>
    </xf>
    <xf numFmtId="0" fontId="31" fillId="0" borderId="0" xfId="0" applyFont="1" applyBorder="1" applyAlignment="1">
      <alignment vertical="top"/>
    </xf>
    <xf numFmtId="3" fontId="25" fillId="6" borderId="150" xfId="4" applyNumberFormat="1" applyFont="1" applyFill="1" applyBorder="1" applyAlignment="1">
      <alignment vertical="center"/>
    </xf>
    <xf numFmtId="0" fontId="31" fillId="0" borderId="0" xfId="0" applyFont="1" applyBorder="1" applyAlignment="1"/>
    <xf numFmtId="3" fontId="27" fillId="0" borderId="150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9" fillId="25" borderId="150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25" fillId="6" borderId="154" xfId="4" applyFont="1" applyFill="1" applyBorder="1" applyAlignment="1">
      <alignment horizontal="left" vertical="center"/>
    </xf>
    <xf numFmtId="43" fontId="24" fillId="6" borderId="150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0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0" fontId="18" fillId="8" borderId="43" xfId="4" applyFont="1" applyFill="1" applyBorder="1" applyAlignment="1">
      <alignment horizontal="center" vertical="center"/>
    </xf>
    <xf numFmtId="0" fontId="17" fillId="8" borderId="25" xfId="4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0" fontId="7" fillId="8" borderId="76" xfId="0" applyFont="1" applyFill="1" applyBorder="1" applyAlignment="1">
      <alignment vertical="center"/>
    </xf>
    <xf numFmtId="3" fontId="7" fillId="8" borderId="76" xfId="0" applyNumberFormat="1" applyFont="1" applyFill="1" applyBorder="1" applyAlignment="1">
      <alignment vertical="center"/>
    </xf>
    <xf numFmtId="3" fontId="7" fillId="23" borderId="68" xfId="0" applyNumberFormat="1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0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0" borderId="25" xfId="112" applyFont="1" applyFill="1" applyBorder="1" applyAlignment="1">
      <alignment horizontal="left" vertical="center"/>
    </xf>
    <xf numFmtId="0" fontId="28" fillId="50" borderId="22" xfId="112" quotePrefix="1" applyFont="1" applyFill="1" applyBorder="1" applyAlignment="1">
      <alignment horizontal="center" vertical="center"/>
    </xf>
    <xf numFmtId="3" fontId="27" fillId="50" borderId="23" xfId="112" quotePrefix="1" applyNumberFormat="1" applyFont="1" applyFill="1" applyBorder="1" applyAlignment="1">
      <alignment horizontal="right" vertical="center"/>
    </xf>
    <xf numFmtId="3" fontId="29" fillId="8" borderId="122" xfId="4" applyNumberFormat="1" applyFont="1" applyFill="1" applyBorder="1" applyAlignment="1">
      <alignment vertical="center" wrapText="1"/>
    </xf>
    <xf numFmtId="3" fontId="29" fillId="8" borderId="110" xfId="4" applyNumberFormat="1" applyFont="1" applyFill="1" applyBorder="1" applyAlignment="1">
      <alignment vertical="center" wrapText="1"/>
    </xf>
    <xf numFmtId="3" fontId="27" fillId="8" borderId="117" xfId="112" applyNumberFormat="1" applyFont="1" applyFill="1" applyBorder="1" applyAlignment="1">
      <alignment vertical="center"/>
    </xf>
    <xf numFmtId="3" fontId="27" fillId="23" borderId="117" xfId="112" applyNumberFormat="1" applyFont="1" applyFill="1" applyBorder="1" applyAlignment="1">
      <alignment vertical="center"/>
    </xf>
    <xf numFmtId="3" fontId="7" fillId="8" borderId="122" xfId="4" applyNumberFormat="1" applyFont="1" applyFill="1" applyBorder="1" applyAlignment="1">
      <alignment vertical="center" wrapText="1"/>
    </xf>
    <xf numFmtId="3" fontId="7" fillId="8" borderId="110" xfId="4" applyNumberFormat="1" applyFont="1" applyFill="1" applyBorder="1" applyAlignment="1">
      <alignment vertical="center" wrapText="1"/>
    </xf>
    <xf numFmtId="3" fontId="7" fillId="8" borderId="117" xfId="112" applyNumberFormat="1" applyFont="1" applyFill="1" applyBorder="1" applyAlignment="1">
      <alignment vertical="center"/>
    </xf>
    <xf numFmtId="0" fontId="29" fillId="8" borderId="122" xfId="4" applyFont="1" applyFill="1" applyBorder="1" applyAlignment="1">
      <alignment vertical="center"/>
    </xf>
    <xf numFmtId="0" fontId="29" fillId="8" borderId="110" xfId="4" applyFont="1" applyFill="1" applyBorder="1" applyAlignment="1">
      <alignment vertical="center"/>
    </xf>
    <xf numFmtId="0" fontId="7" fillId="8" borderId="110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76" xfId="112" applyFont="1" applyFill="1" applyBorder="1" applyAlignment="1">
      <alignment vertical="center"/>
    </xf>
    <xf numFmtId="3" fontId="7" fillId="23" borderId="68" xfId="112" applyNumberFormat="1" applyFont="1" applyFill="1" applyBorder="1" applyAlignment="1">
      <alignment vertical="center"/>
    </xf>
    <xf numFmtId="3" fontId="29" fillId="2" borderId="122" xfId="4" applyNumberFormat="1" applyFont="1" applyFill="1" applyBorder="1" applyAlignment="1">
      <alignment vertical="center" wrapText="1"/>
    </xf>
    <xf numFmtId="0" fontId="7" fillId="0" borderId="122" xfId="4" applyFont="1" applyFill="1" applyBorder="1" applyAlignment="1">
      <alignment vertical="center"/>
    </xf>
    <xf numFmtId="0" fontId="29" fillId="2" borderId="122" xfId="4" applyFont="1" applyFill="1" applyBorder="1" applyAlignment="1">
      <alignment vertical="center"/>
    </xf>
    <xf numFmtId="0" fontId="31" fillId="0" borderId="123" xfId="4" applyFont="1" applyFill="1" applyBorder="1" applyAlignment="1">
      <alignment vertical="center"/>
    </xf>
    <xf numFmtId="3" fontId="24" fillId="6" borderId="119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1" fillId="0" borderId="128" xfId="4" applyFont="1" applyFill="1" applyBorder="1" applyAlignment="1">
      <alignment vertical="center"/>
    </xf>
    <xf numFmtId="0" fontId="27" fillId="50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0" fillId="0" borderId="64" xfId="0" applyFont="1" applyBorder="1" applyAlignment="1">
      <alignment vertical="center"/>
    </xf>
    <xf numFmtId="3" fontId="18" fillId="8" borderId="65" xfId="4" applyNumberFormat="1" applyFont="1" applyFill="1" applyBorder="1" applyAlignment="1">
      <alignment vertical="center" wrapText="1"/>
    </xf>
    <xf numFmtId="0" fontId="28" fillId="50" borderId="6" xfId="0" quotePrefix="1" applyFont="1" applyFill="1" applyBorder="1" applyAlignment="1">
      <alignment horizontal="center" vertical="center"/>
    </xf>
    <xf numFmtId="3" fontId="27" fillId="50" borderId="27" xfId="0" quotePrefix="1" applyNumberFormat="1" applyFont="1" applyFill="1" applyBorder="1" applyAlignment="1">
      <alignment horizontal="right" vertical="center"/>
    </xf>
    <xf numFmtId="3" fontId="24" fillId="6" borderId="68" xfId="4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0" fontId="24" fillId="8" borderId="6" xfId="4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29" fillId="50" borderId="27" xfId="4" applyNumberFormat="1" applyFont="1" applyFill="1" applyBorder="1" applyAlignment="1">
      <alignment horizontal="right" vertical="center"/>
    </xf>
    <xf numFmtId="3" fontId="31" fillId="0" borderId="112" xfId="4" applyNumberFormat="1" applyFont="1" applyFill="1" applyBorder="1" applyAlignment="1">
      <alignment vertical="center"/>
    </xf>
    <xf numFmtId="3" fontId="31" fillId="0" borderId="126" xfId="4" applyNumberFormat="1" applyFont="1" applyFill="1" applyBorder="1" applyAlignment="1">
      <alignment vertical="center"/>
    </xf>
    <xf numFmtId="3" fontId="29" fillId="50" borderId="17" xfId="4" applyNumberFormat="1" applyFont="1" applyFill="1" applyBorder="1" applyAlignment="1">
      <alignment horizontal="right" vertical="center"/>
    </xf>
    <xf numFmtId="3" fontId="29" fillId="50" borderId="23" xfId="112" quotePrefix="1" applyNumberFormat="1" applyFont="1" applyFill="1" applyBorder="1" applyAlignment="1">
      <alignment horizontal="right" vertical="center"/>
    </xf>
    <xf numFmtId="3" fontId="31" fillId="0" borderId="151" xfId="4" applyNumberFormat="1" applyFont="1" applyFill="1" applyBorder="1" applyAlignment="1">
      <alignment vertical="center"/>
    </xf>
    <xf numFmtId="3" fontId="33" fillId="0" borderId="149" xfId="6" applyNumberFormat="1" applyFont="1" applyFill="1" applyBorder="1" applyAlignment="1">
      <alignment vertical="center"/>
    </xf>
    <xf numFmtId="43" fontId="7" fillId="0" borderId="150" xfId="1" applyFont="1" applyFill="1" applyBorder="1" applyAlignment="1">
      <alignment horizontal="right" vertical="center"/>
    </xf>
    <xf numFmtId="43" fontId="33" fillId="0" borderId="150" xfId="1" applyFont="1" applyFill="1" applyBorder="1" applyAlignment="1">
      <alignment vertical="center"/>
    </xf>
    <xf numFmtId="3" fontId="27" fillId="2" borderId="155" xfId="4" applyNumberFormat="1" applyFont="1" applyFill="1" applyBorder="1" applyAlignment="1">
      <alignment vertical="center" wrapText="1"/>
    </xf>
    <xf numFmtId="0" fontId="7" fillId="0" borderId="128" xfId="4" applyFont="1" applyFill="1" applyBorder="1" applyAlignment="1">
      <alignment vertical="center"/>
    </xf>
    <xf numFmtId="0" fontId="31" fillId="0" borderId="115" xfId="4" applyFont="1" applyFill="1" applyBorder="1" applyAlignment="1">
      <alignment vertical="center"/>
    </xf>
    <xf numFmtId="43" fontId="33" fillId="0" borderId="149" xfId="1" applyFont="1" applyFill="1" applyBorder="1" applyAlignment="1">
      <alignment vertical="center"/>
    </xf>
    <xf numFmtId="3" fontId="37" fillId="0" borderId="0" xfId="0" applyNumberFormat="1" applyFont="1" applyAlignment="1">
      <alignment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55" xfId="4" applyFont="1" applyFill="1" applyBorder="1" applyAlignment="1">
      <alignment horizontal="left" vertical="center"/>
    </xf>
    <xf numFmtId="0" fontId="31" fillId="6" borderId="150" xfId="0" applyFont="1" applyFill="1" applyBorder="1" applyAlignment="1">
      <alignment vertical="top"/>
    </xf>
    <xf numFmtId="3" fontId="27" fillId="2" borderId="150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1" borderId="159" xfId="4" applyNumberFormat="1" applyFont="1" applyFill="1" applyBorder="1" applyAlignment="1">
      <alignment horizontal="right" vertical="center"/>
    </xf>
    <xf numFmtId="3" fontId="29" fillId="8" borderId="150" xfId="4" applyNumberFormat="1" applyFont="1" applyFill="1" applyBorder="1" applyAlignment="1">
      <alignment vertical="center"/>
    </xf>
    <xf numFmtId="3" fontId="7" fillId="8" borderId="150" xfId="4" applyNumberFormat="1" applyFont="1" applyFill="1" applyBorder="1" applyAlignment="1">
      <alignment vertical="center"/>
    </xf>
    <xf numFmtId="3" fontId="27" fillId="8" borderId="150" xfId="4" applyNumberFormat="1" applyFont="1" applyFill="1" applyBorder="1" applyAlignment="1">
      <alignment vertical="center"/>
    </xf>
    <xf numFmtId="0" fontId="21" fillId="2" borderId="154" xfId="0" applyFont="1" applyFill="1" applyBorder="1" applyAlignment="1">
      <alignment horizontal="center" vertical="top"/>
    </xf>
    <xf numFmtId="0" fontId="21" fillId="2" borderId="149" xfId="0" applyFont="1" applyFill="1" applyBorder="1" applyAlignment="1">
      <alignment horizontal="center" vertical="top"/>
    </xf>
    <xf numFmtId="0" fontId="21" fillId="2" borderId="149" xfId="0" quotePrefix="1" applyFont="1" applyFill="1" applyBorder="1" applyAlignment="1">
      <alignment horizontal="center" vertical="top"/>
    </xf>
    <xf numFmtId="0" fontId="21" fillId="26" borderId="149" xfId="0" quotePrefix="1" applyFont="1" applyFill="1" applyBorder="1" applyAlignment="1">
      <alignment horizontal="center" vertical="top"/>
    </xf>
    <xf numFmtId="0" fontId="21" fillId="2" borderId="152" xfId="0" quotePrefix="1" applyFont="1" applyFill="1" applyBorder="1" applyAlignment="1">
      <alignment horizontal="center" vertical="top"/>
    </xf>
    <xf numFmtId="0" fontId="34" fillId="0" borderId="51" xfId="0" applyFont="1" applyFill="1" applyBorder="1" applyAlignment="1">
      <alignment vertical="top"/>
    </xf>
    <xf numFmtId="0" fontId="6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0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5" fillId="4" borderId="16" xfId="4" applyFont="1" applyFill="1" applyBorder="1" applyAlignment="1">
      <alignment horizontal="left" vertical="center"/>
    </xf>
    <xf numFmtId="3" fontId="65" fillId="4" borderId="17" xfId="0" applyNumberFormat="1" applyFont="1" applyFill="1" applyBorder="1" applyAlignment="1">
      <alignment horizontal="right" vertical="center" wrapText="1"/>
    </xf>
    <xf numFmtId="3" fontId="65" fillId="5" borderId="1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1" fillId="0" borderId="0" xfId="0" applyFont="1" applyFill="1" applyBorder="1" applyAlignment="1">
      <alignment vertical="center"/>
    </xf>
    <xf numFmtId="0" fontId="63" fillId="8" borderId="20" xfId="4" applyFont="1" applyFill="1" applyBorder="1" applyAlignment="1">
      <alignment vertical="center"/>
    </xf>
    <xf numFmtId="3" fontId="63" fillId="8" borderId="9" xfId="0" applyNumberFormat="1" applyFont="1" applyFill="1" applyBorder="1" applyAlignment="1">
      <alignment horizontal="right" vertical="center" wrapText="1"/>
    </xf>
    <xf numFmtId="3" fontId="63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0" fontId="71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7" fillId="52" borderId="38" xfId="0" applyFont="1" applyFill="1" applyBorder="1" applyAlignment="1">
      <alignment vertical="center"/>
    </xf>
    <xf numFmtId="3" fontId="61" fillId="52" borderId="39" xfId="0" applyNumberFormat="1" applyFont="1" applyFill="1" applyBorder="1" applyAlignment="1">
      <alignment vertical="center" wrapText="1"/>
    </xf>
    <xf numFmtId="3" fontId="61" fillId="52" borderId="40" xfId="0" applyNumberFormat="1" applyFont="1" applyFill="1" applyBorder="1" applyAlignment="1">
      <alignment vertical="center" wrapText="1"/>
    </xf>
    <xf numFmtId="3" fontId="71" fillId="0" borderId="0" xfId="0" applyNumberFormat="1" applyFont="1" applyFill="1" applyBorder="1" applyAlignment="1">
      <alignment vertical="center"/>
    </xf>
    <xf numFmtId="3" fontId="61" fillId="52" borderId="12" xfId="0" applyNumberFormat="1" applyFont="1" applyFill="1" applyBorder="1" applyAlignment="1">
      <alignment vertical="center" wrapText="1"/>
    </xf>
    <xf numFmtId="3" fontId="61" fillId="52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64" fillId="8" borderId="35" xfId="0" applyNumberFormat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67" fillId="4" borderId="38" xfId="0" applyFont="1" applyFill="1" applyBorder="1" applyAlignment="1">
      <alignment vertical="center"/>
    </xf>
    <xf numFmtId="3" fontId="61" fillId="4" borderId="39" xfId="0" applyNumberFormat="1" applyFont="1" applyFill="1" applyBorder="1" applyAlignment="1">
      <alignment vertical="center" wrapText="1"/>
    </xf>
    <xf numFmtId="3" fontId="61" fillId="4" borderId="51" xfId="0" applyNumberFormat="1" applyFont="1" applyFill="1" applyBorder="1" applyAlignment="1">
      <alignment vertical="center" wrapText="1"/>
    </xf>
    <xf numFmtId="3" fontId="61" fillId="4" borderId="52" xfId="0" applyNumberFormat="1" applyFont="1" applyFill="1" applyBorder="1" applyAlignment="1">
      <alignment vertical="center" wrapText="1"/>
    </xf>
    <xf numFmtId="3" fontId="61" fillId="4" borderId="12" xfId="0" applyNumberFormat="1" applyFont="1" applyFill="1" applyBorder="1" applyAlignment="1">
      <alignment vertical="center" wrapText="1"/>
    </xf>
    <xf numFmtId="3" fontId="61" fillId="4" borderId="23" xfId="0" applyNumberFormat="1" applyFont="1" applyFill="1" applyBorder="1" applyAlignment="1">
      <alignment vertical="center" wrapText="1"/>
    </xf>
    <xf numFmtId="3" fontId="61" fillId="4" borderId="25" xfId="0" applyNumberFormat="1" applyFont="1" applyFill="1" applyBorder="1" applyAlignment="1">
      <alignment horizontal="center" vertical="center" wrapText="1"/>
    </xf>
    <xf numFmtId="3" fontId="61" fillId="2" borderId="0" xfId="0" applyNumberFormat="1" applyFont="1" applyFill="1" applyBorder="1" applyAlignment="1">
      <alignment vertical="center" wrapText="1"/>
    </xf>
    <xf numFmtId="0" fontId="71" fillId="2" borderId="0" xfId="0" applyFont="1" applyFill="1" applyBorder="1" applyAlignment="1">
      <alignment vertical="center"/>
    </xf>
    <xf numFmtId="0" fontId="65" fillId="13" borderId="53" xfId="4" applyFont="1" applyFill="1" applyBorder="1" applyAlignment="1">
      <alignment horizontal="left" vertical="center"/>
    </xf>
    <xf numFmtId="3" fontId="61" fillId="13" borderId="54" xfId="0" applyNumberFormat="1" applyFont="1" applyFill="1" applyBorder="1" applyAlignment="1">
      <alignment vertical="center" wrapText="1"/>
    </xf>
    <xf numFmtId="3" fontId="61" fillId="13" borderId="55" xfId="0" applyNumberFormat="1" applyFont="1" applyFill="1" applyBorder="1" applyAlignment="1">
      <alignment vertical="center" wrapText="1"/>
    </xf>
    <xf numFmtId="3" fontId="61" fillId="13" borderId="56" xfId="0" applyNumberFormat="1" applyFont="1" applyFill="1" applyBorder="1" applyAlignment="1">
      <alignment vertical="center" wrapText="1"/>
    </xf>
    <xf numFmtId="3" fontId="72" fillId="13" borderId="35" xfId="0" applyNumberFormat="1" applyFont="1" applyFill="1" applyBorder="1" applyAlignment="1">
      <alignment vertical="center" wrapText="1"/>
    </xf>
    <xf numFmtId="3" fontId="72" fillId="13" borderId="7" xfId="0" applyNumberFormat="1" applyFont="1" applyFill="1" applyBorder="1" applyAlignment="1">
      <alignment vertical="center" wrapText="1"/>
    </xf>
    <xf numFmtId="3" fontId="72" fillId="13" borderId="21" xfId="0" applyNumberFormat="1" applyFont="1" applyFill="1" applyBorder="1" applyAlignment="1">
      <alignment vertical="center" wrapText="1"/>
    </xf>
    <xf numFmtId="3" fontId="61" fillId="13" borderId="57" xfId="0" applyNumberFormat="1" applyFont="1" applyFill="1" applyBorder="1" applyAlignment="1">
      <alignment vertical="center" wrapText="1"/>
    </xf>
    <xf numFmtId="3" fontId="61" fillId="13" borderId="58" xfId="0" applyNumberFormat="1" applyFont="1" applyFill="1" applyBorder="1" applyAlignment="1">
      <alignment horizontal="center" vertical="center" wrapText="1"/>
    </xf>
    <xf numFmtId="3" fontId="61" fillId="13" borderId="59" xfId="0" applyNumberFormat="1" applyFont="1" applyFill="1" applyBorder="1" applyAlignment="1">
      <alignment horizontal="center" vertical="center" wrapText="1"/>
    </xf>
    <xf numFmtId="3" fontId="71" fillId="2" borderId="0" xfId="0" applyNumberFormat="1" applyFont="1" applyFill="1" applyBorder="1" applyAlignment="1">
      <alignment vertical="center"/>
    </xf>
    <xf numFmtId="3" fontId="61" fillId="13" borderId="74" xfId="0" applyNumberFormat="1" applyFont="1" applyFill="1" applyBorder="1" applyAlignment="1">
      <alignment horizontal="center" vertical="center" wrapText="1"/>
    </xf>
    <xf numFmtId="3" fontId="61" fillId="13" borderId="0" xfId="0" applyNumberFormat="1" applyFont="1" applyFill="1" applyBorder="1" applyAlignment="1">
      <alignment vertical="center" wrapText="1"/>
    </xf>
    <xf numFmtId="3" fontId="61" fillId="0" borderId="0" xfId="0" applyNumberFormat="1" applyFont="1" applyFill="1" applyBorder="1" applyAlignment="1">
      <alignment vertical="center" wrapText="1"/>
    </xf>
    <xf numFmtId="3" fontId="61" fillId="0" borderId="54" xfId="0" applyNumberFormat="1" applyFont="1" applyFill="1" applyBorder="1" applyAlignment="1">
      <alignment vertical="center" wrapText="1"/>
    </xf>
    <xf numFmtId="3" fontId="61" fillId="0" borderId="55" xfId="0" applyNumberFormat="1" applyFont="1" applyFill="1" applyBorder="1" applyAlignment="1">
      <alignment vertical="center" wrapText="1"/>
    </xf>
    <xf numFmtId="3" fontId="74" fillId="0" borderId="35" xfId="0" applyNumberFormat="1" applyFont="1" applyFill="1" applyBorder="1" applyAlignment="1">
      <alignment vertical="center" wrapText="1"/>
    </xf>
    <xf numFmtId="3" fontId="72" fillId="0" borderId="7" xfId="0" applyNumberFormat="1" applyFont="1" applyFill="1" applyBorder="1" applyAlignment="1">
      <alignment vertical="center" wrapText="1"/>
    </xf>
    <xf numFmtId="3" fontId="61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4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5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71" fillId="0" borderId="0" xfId="0" applyNumberFormat="1" applyFont="1" applyFill="1" applyBorder="1" applyAlignment="1">
      <alignment vertical="center" wrapText="1"/>
    </xf>
    <xf numFmtId="3" fontId="71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0" fontId="7" fillId="6" borderId="37" xfId="0" applyFont="1" applyFill="1" applyBorder="1" applyAlignment="1">
      <alignment vertical="center" wrapText="1"/>
    </xf>
    <xf numFmtId="3" fontId="75" fillId="12" borderId="0" xfId="0" applyNumberFormat="1" applyFont="1" applyFill="1" applyBorder="1" applyAlignment="1">
      <alignment vertical="center"/>
    </xf>
    <xf numFmtId="3" fontId="75" fillId="8" borderId="0" xfId="0" applyNumberFormat="1" applyFont="1" applyFill="1" applyBorder="1"/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35" xfId="0" applyNumberFormat="1" applyFont="1" applyFill="1" applyBorder="1"/>
    <xf numFmtId="3" fontId="36" fillId="6" borderId="12" xfId="0" applyNumberFormat="1" applyFont="1" applyFill="1" applyBorder="1"/>
    <xf numFmtId="3" fontId="75" fillId="12" borderId="0" xfId="0" applyNumberFormat="1" applyFont="1" applyFill="1" applyBorder="1"/>
    <xf numFmtId="3" fontId="75" fillId="12" borderId="8" xfId="0" applyNumberFormat="1" applyFont="1" applyFill="1" applyBorder="1"/>
    <xf numFmtId="0" fontId="64" fillId="0" borderId="0" xfId="0" applyFont="1" applyBorder="1" applyAlignment="1">
      <alignment horizontal="center" vertic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127" xfId="0" applyNumberFormat="1" applyFont="1" applyFill="1" applyBorder="1"/>
    <xf numFmtId="3" fontId="76" fillId="17" borderId="0" xfId="0" applyNumberFormat="1" applyFont="1" applyFill="1" applyBorder="1"/>
    <xf numFmtId="3" fontId="76" fillId="8" borderId="0" xfId="0" applyNumberFormat="1" applyFont="1" applyFill="1" applyBorder="1"/>
    <xf numFmtId="3" fontId="19" fillId="8" borderId="0" xfId="0" applyNumberFormat="1" applyFont="1" applyFill="1" applyBorder="1"/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0" xfId="0" applyNumberFormat="1" applyFont="1" applyFill="1" applyBorder="1"/>
    <xf numFmtId="3" fontId="8" fillId="17" borderId="0" xfId="0" applyNumberFormat="1" applyFont="1" applyFill="1" applyBorder="1"/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3" fontId="6" fillId="11" borderId="0" xfId="0" applyNumberFormat="1" applyFont="1" applyFill="1" applyBorder="1"/>
    <xf numFmtId="3" fontId="75" fillId="18" borderId="0" xfId="0" applyNumberFormat="1" applyFont="1" applyFill="1" applyBorder="1" applyAlignment="1">
      <alignment vertical="top"/>
    </xf>
    <xf numFmtId="3" fontId="75" fillId="2" borderId="0" xfId="0" applyNumberFormat="1" applyFont="1" applyFill="1" applyBorder="1" applyAlignment="1">
      <alignment vertical="top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43" fontId="8" fillId="11" borderId="0" xfId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5" fillId="0" borderId="0" xfId="0" applyNumberFormat="1" applyFont="1" applyBorder="1"/>
    <xf numFmtId="3" fontId="75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0" fontId="7" fillId="0" borderId="158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7" fillId="50" borderId="9" xfId="1" applyFont="1" applyFill="1" applyBorder="1" applyAlignment="1">
      <alignment horizontal="right" vertical="center"/>
    </xf>
    <xf numFmtId="3" fontId="7" fillId="8" borderId="76" xfId="4" applyNumberFormat="1" applyFont="1" applyFill="1" applyBorder="1" applyAlignment="1">
      <alignment horizontal="right" vertical="center"/>
    </xf>
    <xf numFmtId="3" fontId="7" fillId="23" borderId="68" xfId="4" applyNumberFormat="1" applyFont="1" applyFill="1" applyBorder="1" applyAlignment="1">
      <alignment horizontal="right" vertical="center"/>
    </xf>
    <xf numFmtId="43" fontId="7" fillId="0" borderId="127" xfId="1" applyFont="1" applyFill="1" applyBorder="1" applyAlignment="1">
      <alignment vertical="top"/>
    </xf>
    <xf numFmtId="3" fontId="7" fillId="0" borderId="127" xfId="4" applyNumberFormat="1" applyFont="1" applyFill="1" applyBorder="1" applyAlignment="1">
      <alignment vertical="top"/>
    </xf>
    <xf numFmtId="0" fontId="21" fillId="0" borderId="0" xfId="0" applyFont="1" applyAlignment="1">
      <alignment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6" fillId="0" borderId="41" xfId="0" applyFont="1" applyBorder="1" applyAlignment="1"/>
    <xf numFmtId="0" fontId="27" fillId="50" borderId="8" xfId="4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right" vertical="center"/>
    </xf>
    <xf numFmtId="0" fontId="27" fillId="50" borderId="0" xfId="4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right" vertical="center"/>
    </xf>
    <xf numFmtId="0" fontId="27" fillId="50" borderId="66" xfId="0" applyFont="1" applyFill="1" applyBorder="1" applyAlignment="1">
      <alignment horizontal="left" vertical="center"/>
    </xf>
    <xf numFmtId="3" fontId="27" fillId="50" borderId="22" xfId="0" quotePrefix="1" applyNumberFormat="1" applyFont="1" applyFill="1" applyBorder="1" applyAlignment="1">
      <alignment horizontal="right" vertical="center"/>
    </xf>
    <xf numFmtId="0" fontId="29" fillId="8" borderId="11" xfId="0" applyFont="1" applyFill="1" applyBorder="1" applyAlignment="1">
      <alignment vertical="top"/>
    </xf>
    <xf numFmtId="0" fontId="7" fillId="8" borderId="26" xfId="4" applyFont="1" applyFill="1" applyBorder="1" applyAlignment="1">
      <alignment vertical="top"/>
    </xf>
    <xf numFmtId="0" fontId="24" fillId="8" borderId="26" xfId="4" applyFont="1" applyFill="1" applyBorder="1" applyAlignment="1">
      <alignment horizontal="right" vertical="top"/>
    </xf>
    <xf numFmtId="0" fontId="7" fillId="8" borderId="66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43" fontId="27" fillId="8" borderId="117" xfId="1" applyFont="1" applyFill="1" applyBorder="1" applyAlignment="1">
      <alignment vertical="center"/>
    </xf>
    <xf numFmtId="43" fontId="31" fillId="28" borderId="117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center" vertical="top"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37" fillId="0" borderId="165" xfId="0" applyNumberFormat="1" applyFont="1" applyBorder="1" applyAlignment="1">
      <alignment vertical="center"/>
    </xf>
    <xf numFmtId="0" fontId="39" fillId="0" borderId="165" xfId="0" applyFont="1" applyBorder="1" applyAlignment="1">
      <alignment vertical="center"/>
    </xf>
    <xf numFmtId="3" fontId="39" fillId="0" borderId="165" xfId="0" applyNumberFormat="1" applyFont="1" applyBorder="1" applyAlignment="1">
      <alignment vertical="center"/>
    </xf>
    <xf numFmtId="0" fontId="18" fillId="0" borderId="165" xfId="0" applyFont="1" applyBorder="1" applyAlignment="1">
      <alignment vertical="top"/>
    </xf>
    <xf numFmtId="3" fontId="37" fillId="0" borderId="165" xfId="0" applyNumberFormat="1" applyFont="1" applyBorder="1"/>
    <xf numFmtId="3" fontId="8" fillId="0" borderId="165" xfId="0" applyNumberFormat="1" applyFont="1" applyBorder="1" applyAlignment="1">
      <alignment vertical="top"/>
    </xf>
    <xf numFmtId="0" fontId="37" fillId="0" borderId="165" xfId="0" applyFont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3" fontId="73" fillId="2" borderId="0" xfId="0" applyNumberFormat="1" applyFont="1" applyFill="1" applyBorder="1" applyAlignment="1">
      <alignment vertical="center"/>
    </xf>
    <xf numFmtId="0" fontId="24" fillId="8" borderId="76" xfId="4" applyFont="1" applyFill="1" applyBorder="1" applyAlignment="1">
      <alignment vertical="center" wrapText="1"/>
    </xf>
    <xf numFmtId="0" fontId="24" fillId="8" borderId="68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19" xfId="0" applyNumberFormat="1" applyFont="1" applyFill="1" applyBorder="1" applyAlignment="1">
      <alignment vertical="top"/>
    </xf>
    <xf numFmtId="0" fontId="31" fillId="0" borderId="115" xfId="0" applyFont="1" applyFill="1" applyBorder="1" applyAlignment="1">
      <alignment horizontal="left" vertical="center" wrapText="1"/>
    </xf>
    <xf numFmtId="0" fontId="31" fillId="0" borderId="74" xfId="0" applyFont="1" applyFill="1" applyBorder="1" applyAlignment="1">
      <alignment vertical="top"/>
    </xf>
    <xf numFmtId="3" fontId="25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3" fontId="32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3" fontId="25" fillId="6" borderId="35" xfId="4" applyNumberFormat="1" applyFont="1" applyFill="1" applyBorder="1" applyAlignment="1">
      <alignment vertical="center"/>
    </xf>
    <xf numFmtId="3" fontId="7" fillId="8" borderId="13" xfId="4" applyNumberFormat="1" applyFont="1" applyFill="1" applyBorder="1" applyAlignment="1">
      <alignment vertical="top"/>
    </xf>
    <xf numFmtId="0" fontId="7" fillId="8" borderId="74" xfId="4" applyFont="1" applyFill="1" applyBorder="1" applyAlignment="1">
      <alignment vertical="top" wrapText="1"/>
    </xf>
    <xf numFmtId="0" fontId="0" fillId="0" borderId="0" xfId="0" applyFont="1" applyAlignment="1">
      <alignment horizontal="left" vertical="center"/>
    </xf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31" fillId="0" borderId="165" xfId="4" applyNumberFormat="1" applyFont="1" applyFill="1" applyBorder="1" applyAlignment="1">
      <alignment vertical="center"/>
    </xf>
    <xf numFmtId="0" fontId="31" fillId="6" borderId="100" xfId="0" applyFont="1" applyFill="1" applyBorder="1" applyAlignment="1">
      <alignment vertical="top"/>
    </xf>
    <xf numFmtId="0" fontId="31" fillId="0" borderId="102" xfId="0" applyFont="1" applyFill="1" applyBorder="1" applyAlignment="1">
      <alignment horizontal="left" vertical="center" wrapText="1"/>
    </xf>
    <xf numFmtId="0" fontId="7" fillId="6" borderId="100" xfId="0" applyFont="1" applyFill="1" applyBorder="1" applyAlignment="1">
      <alignment horizontal="left" vertical="center" wrapText="1"/>
    </xf>
    <xf numFmtId="3" fontId="27" fillId="2" borderId="107" xfId="4" applyNumberFormat="1" applyFont="1" applyFill="1" applyBorder="1" applyAlignment="1">
      <alignment vertical="center" wrapText="1"/>
    </xf>
    <xf numFmtId="0" fontId="27" fillId="2" borderId="103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31" fillId="8" borderId="112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18" fillId="8" borderId="76" xfId="0" applyFont="1" applyFill="1" applyBorder="1" applyAlignment="1">
      <alignment vertical="center"/>
    </xf>
    <xf numFmtId="3" fontId="18" fillId="23" borderId="68" xfId="0" applyNumberFormat="1" applyFont="1" applyFill="1" applyBorder="1" applyAlignment="1">
      <alignment vertical="center"/>
    </xf>
    <xf numFmtId="43" fontId="27" fillId="0" borderId="150" xfId="1" applyFont="1" applyFill="1" applyBorder="1" applyAlignment="1">
      <alignment vertical="center"/>
    </xf>
    <xf numFmtId="0" fontId="30" fillId="8" borderId="5" xfId="0" applyFont="1" applyFill="1" applyBorder="1" applyAlignment="1">
      <alignment vertical="top"/>
    </xf>
    <xf numFmtId="3" fontId="27" fillId="50" borderId="18" xfId="4" applyNumberFormat="1" applyFont="1" applyFill="1" applyBorder="1" applyAlignment="1">
      <alignment horizontal="right" vertical="center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49" xfId="0" applyNumberFormat="1" applyFont="1" applyFill="1" applyBorder="1" applyAlignment="1">
      <alignment vertical="center"/>
    </xf>
    <xf numFmtId="3" fontId="31" fillId="8" borderId="35" xfId="0" applyNumberFormat="1" applyFont="1" applyFill="1" applyBorder="1" applyAlignment="1">
      <alignment vertical="center"/>
    </xf>
    <xf numFmtId="0" fontId="31" fillId="8" borderId="115" xfId="0" applyFont="1" applyFill="1" applyBorder="1" applyAlignment="1">
      <alignment vertical="center" wrapText="1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24" xfId="4" applyFont="1" applyFill="1" applyBorder="1" applyAlignment="1">
      <alignment vertical="top" wrapText="1"/>
    </xf>
    <xf numFmtId="0" fontId="31" fillId="8" borderId="154" xfId="0" applyFont="1" applyFill="1" applyBorder="1" applyAlignment="1">
      <alignment vertical="top" wrapText="1"/>
    </xf>
    <xf numFmtId="3" fontId="31" fillId="8" borderId="118" xfId="0" applyNumberFormat="1" applyFont="1" applyFill="1" applyBorder="1" applyAlignment="1">
      <alignment vertical="top"/>
    </xf>
    <xf numFmtId="0" fontId="31" fillId="8" borderId="27" xfId="0" applyFont="1" applyFill="1" applyBorder="1" applyAlignment="1">
      <alignment vertical="top" wrapText="1"/>
    </xf>
    <xf numFmtId="43" fontId="25" fillId="6" borderId="149" xfId="1" applyFont="1" applyFill="1" applyBorder="1" applyAlignment="1"/>
    <xf numFmtId="3" fontId="31" fillId="0" borderId="119" xfId="4" applyNumberFormat="1" applyFont="1" applyFill="1" applyBorder="1" applyAlignment="1"/>
    <xf numFmtId="3" fontId="27" fillId="2" borderId="149" xfId="0" applyNumberFormat="1" applyFont="1" applyFill="1" applyBorder="1" applyAlignment="1">
      <alignment vertical="center"/>
    </xf>
    <xf numFmtId="43" fontId="27" fillId="2" borderId="149" xfId="1" applyFont="1" applyFill="1" applyBorder="1" applyAlignment="1">
      <alignment vertical="center"/>
    </xf>
    <xf numFmtId="3" fontId="27" fillId="2" borderId="160" xfId="0" applyNumberFormat="1" applyFont="1" applyFill="1" applyBorder="1" applyAlignment="1">
      <alignment vertical="center"/>
    </xf>
    <xf numFmtId="3" fontId="31" fillId="0" borderId="160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49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49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3" fontId="34" fillId="2" borderId="51" xfId="0" applyNumberFormat="1" applyFont="1" applyFill="1" applyBorder="1" applyAlignment="1">
      <alignment vertical="top"/>
    </xf>
    <xf numFmtId="43" fontId="7" fillId="8" borderId="76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66" xfId="4" applyNumberFormat="1" applyFont="1" applyFill="1" applyBorder="1" applyAlignment="1">
      <alignment vertical="center"/>
    </xf>
    <xf numFmtId="0" fontId="31" fillId="6" borderId="167" xfId="0" applyFont="1" applyFill="1" applyBorder="1" applyAlignment="1">
      <alignment vertical="top"/>
    </xf>
    <xf numFmtId="3" fontId="27" fillId="2" borderId="174" xfId="0" applyNumberFormat="1" applyFont="1" applyFill="1" applyBorder="1" applyAlignment="1">
      <alignment vertical="top"/>
    </xf>
    <xf numFmtId="3" fontId="25" fillId="25" borderId="175" xfId="0" applyNumberFormat="1" applyFont="1" applyFill="1" applyBorder="1" applyAlignment="1">
      <alignment vertical="top"/>
    </xf>
    <xf numFmtId="3" fontId="28" fillId="2" borderId="174" xfId="0" applyNumberFormat="1" applyFont="1" applyFill="1" applyBorder="1" applyAlignment="1">
      <alignment vertical="top"/>
    </xf>
    <xf numFmtId="3" fontId="31" fillId="0" borderId="174" xfId="0" applyNumberFormat="1" applyFont="1" applyFill="1" applyBorder="1" applyAlignment="1">
      <alignment vertical="top"/>
    </xf>
    <xf numFmtId="3" fontId="31" fillId="25" borderId="175" xfId="0" applyNumberFormat="1" applyFont="1" applyFill="1" applyBorder="1" applyAlignment="1">
      <alignment vertical="top"/>
    </xf>
    <xf numFmtId="3" fontId="27" fillId="0" borderId="174" xfId="0" applyNumberFormat="1" applyFont="1" applyFill="1" applyBorder="1" applyAlignment="1">
      <alignment vertical="top"/>
    </xf>
    <xf numFmtId="43" fontId="27" fillId="0" borderId="174" xfId="1" applyFont="1" applyFill="1" applyBorder="1" applyAlignment="1">
      <alignment vertical="top"/>
    </xf>
    <xf numFmtId="3" fontId="31" fillId="0" borderId="174" xfId="0" applyNumberFormat="1" applyFont="1" applyFill="1" applyBorder="1" applyAlignment="1">
      <alignment horizontal="right" vertical="center"/>
    </xf>
    <xf numFmtId="43" fontId="31" fillId="0" borderId="174" xfId="1" applyFont="1" applyFill="1" applyBorder="1" applyAlignment="1">
      <alignment horizontal="right" vertical="center"/>
    </xf>
    <xf numFmtId="0" fontId="7" fillId="6" borderId="176" xfId="0" applyFont="1" applyFill="1" applyBorder="1" applyAlignment="1">
      <alignment horizontal="left" vertical="center" wrapText="1"/>
    </xf>
    <xf numFmtId="3" fontId="25" fillId="6" borderId="174" xfId="0" applyNumberFormat="1" applyFont="1" applyFill="1" applyBorder="1" applyAlignment="1">
      <alignment vertical="top"/>
    </xf>
    <xf numFmtId="3" fontId="27" fillId="2" borderId="177" xfId="4" applyNumberFormat="1" applyFont="1" applyFill="1" applyBorder="1" applyAlignment="1">
      <alignment vertical="center" wrapText="1"/>
    </xf>
    <xf numFmtId="3" fontId="31" fillId="0" borderId="175" xfId="0" applyNumberFormat="1" applyFont="1" applyFill="1" applyBorder="1" applyAlignment="1">
      <alignment vertical="top"/>
    </xf>
    <xf numFmtId="0" fontId="27" fillId="2" borderId="178" xfId="4" applyFont="1" applyFill="1" applyBorder="1" applyAlignment="1">
      <alignment vertical="top"/>
    </xf>
    <xf numFmtId="3" fontId="28" fillId="2" borderId="126" xfId="0" applyNumberFormat="1" applyFont="1" applyFill="1" applyBorder="1" applyAlignment="1">
      <alignment vertical="top"/>
    </xf>
    <xf numFmtId="3" fontId="25" fillId="6" borderId="174" xfId="0" applyNumberFormat="1" applyFont="1" applyFill="1" applyBorder="1" applyAlignment="1">
      <alignment vertical="center"/>
    </xf>
    <xf numFmtId="3" fontId="27" fillId="32" borderId="174" xfId="0" applyNumberFormat="1" applyFont="1" applyFill="1" applyBorder="1" applyAlignment="1">
      <alignment vertical="center"/>
    </xf>
    <xf numFmtId="3" fontId="27" fillId="25" borderId="175" xfId="0" applyNumberFormat="1" applyFont="1" applyFill="1" applyBorder="1" applyAlignment="1">
      <alignment vertical="center"/>
    </xf>
    <xf numFmtId="3" fontId="25" fillId="32" borderId="174" xfId="0" applyNumberFormat="1" applyFont="1" applyFill="1" applyBorder="1" applyAlignment="1">
      <alignment vertical="top"/>
    </xf>
    <xf numFmtId="3" fontId="31" fillId="0" borderId="174" xfId="4" applyNumberFormat="1" applyFont="1" applyFill="1" applyBorder="1" applyAlignment="1">
      <alignment vertical="center"/>
    </xf>
    <xf numFmtId="3" fontId="27" fillId="0" borderId="175" xfId="0" applyNumberFormat="1" applyFont="1" applyFill="1" applyBorder="1" applyAlignment="1">
      <alignment vertical="top"/>
    </xf>
    <xf numFmtId="3" fontId="31" fillId="0" borderId="175" xfId="4" applyNumberFormat="1" applyFont="1" applyFill="1" applyBorder="1" applyAlignment="1">
      <alignment vertical="center"/>
    </xf>
    <xf numFmtId="3" fontId="25" fillId="6" borderId="175" xfId="0" applyNumberFormat="1" applyFont="1" applyFill="1" applyBorder="1" applyAlignment="1">
      <alignment vertical="center"/>
    </xf>
    <xf numFmtId="0" fontId="31" fillId="6" borderId="176" xfId="0" applyFont="1" applyFill="1" applyBorder="1" applyAlignment="1">
      <alignment vertical="center"/>
    </xf>
    <xf numFmtId="3" fontId="25" fillId="22" borderId="174" xfId="0" applyNumberFormat="1" applyFont="1" applyFill="1" applyBorder="1" applyAlignment="1">
      <alignment vertical="center"/>
    </xf>
    <xf numFmtId="0" fontId="31" fillId="0" borderId="180" xfId="0" applyFont="1" applyFill="1" applyBorder="1" applyAlignment="1">
      <alignment horizontal="left" vertical="center" wrapText="1"/>
    </xf>
    <xf numFmtId="3" fontId="25" fillId="6" borderId="175" xfId="0" applyNumberFormat="1" applyFont="1" applyFill="1" applyBorder="1" applyAlignment="1">
      <alignment vertical="top"/>
    </xf>
    <xf numFmtId="3" fontId="27" fillId="2" borderId="175" xfId="0" applyNumberFormat="1" applyFont="1" applyFill="1" applyBorder="1" applyAlignment="1">
      <alignment vertical="top"/>
    </xf>
    <xf numFmtId="0" fontId="25" fillId="6" borderId="179" xfId="4" applyFont="1" applyFill="1" applyBorder="1" applyAlignment="1">
      <alignment horizontal="left" vertical="center"/>
    </xf>
    <xf numFmtId="0" fontId="25" fillId="6" borderId="176" xfId="4" applyFont="1" applyFill="1" applyBorder="1" applyAlignment="1">
      <alignment horizontal="left" vertical="center"/>
    </xf>
    <xf numFmtId="3" fontId="24" fillId="6" borderId="174" xfId="4" applyNumberFormat="1" applyFont="1" applyFill="1" applyBorder="1" applyAlignment="1">
      <alignment vertical="center"/>
    </xf>
    <xf numFmtId="3" fontId="25" fillId="22" borderId="175" xfId="4" applyNumberFormat="1" applyFont="1" applyFill="1" applyBorder="1" applyAlignment="1">
      <alignment horizontal="right" vertical="center"/>
    </xf>
    <xf numFmtId="3" fontId="27" fillId="2" borderId="178" xfId="4" applyNumberFormat="1" applyFont="1" applyFill="1" applyBorder="1" applyAlignment="1">
      <alignment vertical="center" wrapText="1"/>
    </xf>
    <xf numFmtId="3" fontId="33" fillId="0" borderId="174" xfId="6" applyNumberFormat="1" applyFont="1" applyFill="1" applyBorder="1" applyAlignment="1">
      <alignment vertical="center"/>
    </xf>
    <xf numFmtId="3" fontId="27" fillId="25" borderId="174" xfId="4" applyNumberFormat="1" applyFont="1" applyFill="1" applyBorder="1" applyAlignment="1">
      <alignment horizontal="right" vertical="center"/>
    </xf>
    <xf numFmtId="0" fontId="7" fillId="0" borderId="178" xfId="4" applyFont="1" applyFill="1" applyBorder="1" applyAlignment="1">
      <alignment vertical="center"/>
    </xf>
    <xf numFmtId="3" fontId="7" fillId="0" borderId="166" xfId="4" applyNumberFormat="1" applyFont="1" applyFill="1" applyBorder="1" applyAlignment="1">
      <alignment horizontal="right" vertical="center"/>
    </xf>
    <xf numFmtId="3" fontId="27" fillId="2" borderId="179" xfId="4" applyNumberFormat="1" applyFont="1" applyFill="1" applyBorder="1" applyAlignment="1">
      <alignment vertical="center" wrapText="1"/>
    </xf>
    <xf numFmtId="3" fontId="27" fillId="0" borderId="166" xfId="4" applyNumberFormat="1" applyFont="1" applyFill="1" applyBorder="1" applyAlignment="1">
      <alignment horizontal="right" vertical="center"/>
    </xf>
    <xf numFmtId="3" fontId="33" fillId="0" borderId="175" xfId="6" applyNumberFormat="1" applyFont="1" applyFill="1" applyBorder="1" applyAlignment="1">
      <alignment vertical="center"/>
    </xf>
    <xf numFmtId="43" fontId="24" fillId="6" borderId="174" xfId="4" applyNumberFormat="1" applyFont="1" applyFill="1" applyBorder="1" applyAlignment="1">
      <alignment vertical="center"/>
    </xf>
    <xf numFmtId="43" fontId="33" fillId="0" borderId="174" xfId="6" applyNumberFormat="1" applyFont="1" applyFill="1" applyBorder="1" applyAlignment="1">
      <alignment vertical="center"/>
    </xf>
    <xf numFmtId="3" fontId="7" fillId="0" borderId="175" xfId="4" applyNumberFormat="1" applyFont="1" applyFill="1" applyBorder="1" applyAlignment="1">
      <alignment horizontal="right" vertical="center"/>
    </xf>
    <xf numFmtId="3" fontId="27" fillId="0" borderId="174" xfId="4" applyNumberFormat="1" applyFont="1" applyFill="1" applyBorder="1" applyAlignment="1">
      <alignment horizontal="right" vertical="center"/>
    </xf>
    <xf numFmtId="3" fontId="7" fillId="0" borderId="174" xfId="4" applyNumberFormat="1" applyFont="1" applyFill="1" applyBorder="1" applyAlignment="1">
      <alignment horizontal="right" vertical="center"/>
    </xf>
    <xf numFmtId="3" fontId="31" fillId="25" borderId="174" xfId="4" applyNumberFormat="1" applyFont="1" applyFill="1" applyBorder="1" applyAlignment="1">
      <alignment horizontal="right" vertical="center"/>
    </xf>
    <xf numFmtId="3" fontId="29" fillId="2" borderId="179" xfId="4" applyNumberFormat="1" applyFont="1" applyFill="1" applyBorder="1" applyAlignment="1">
      <alignment vertical="center" wrapText="1"/>
    </xf>
    <xf numFmtId="3" fontId="32" fillId="0" borderId="175" xfId="6" applyNumberFormat="1" applyFont="1" applyFill="1" applyBorder="1" applyAlignment="1">
      <alignment vertical="center"/>
    </xf>
    <xf numFmtId="3" fontId="27" fillId="2" borderId="174" xfId="4" applyNumberFormat="1" applyFont="1" applyFill="1" applyBorder="1" applyAlignment="1">
      <alignment vertical="center"/>
    </xf>
    <xf numFmtId="43" fontId="31" fillId="0" borderId="166" xfId="1" applyFont="1" applyFill="1" applyBorder="1" applyAlignment="1">
      <alignment horizontal="right" vertical="center"/>
    </xf>
    <xf numFmtId="0" fontId="7" fillId="0" borderId="179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43" fontId="7" fillId="0" borderId="171" xfId="1" applyFont="1" applyFill="1" applyBorder="1" applyAlignment="1">
      <alignment horizontal="right" vertical="center"/>
    </xf>
    <xf numFmtId="3" fontId="7" fillId="0" borderId="171" xfId="4" applyNumberFormat="1" applyFont="1" applyFill="1" applyBorder="1" applyAlignment="1">
      <alignment horizontal="right" vertical="center"/>
    </xf>
    <xf numFmtId="0" fontId="27" fillId="2" borderId="179" xfId="4" applyFont="1" applyFill="1" applyBorder="1" applyAlignment="1">
      <alignment vertical="center"/>
    </xf>
    <xf numFmtId="3" fontId="29" fillId="0" borderId="174" xfId="4" applyNumberFormat="1" applyFont="1" applyFill="1" applyBorder="1" applyAlignment="1">
      <alignment horizontal="right" vertical="center"/>
    </xf>
    <xf numFmtId="43" fontId="7" fillId="0" borderId="174" xfId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3" fontId="25" fillId="6" borderId="175" xfId="4" applyNumberFormat="1" applyFont="1" applyFill="1" applyBorder="1" applyAlignment="1">
      <alignment horizontal="right" vertical="center"/>
    </xf>
    <xf numFmtId="3" fontId="24" fillId="22" borderId="175" xfId="4" applyNumberFormat="1" applyFont="1" applyFill="1" applyBorder="1" applyAlignment="1">
      <alignment horizontal="right" vertical="center"/>
    </xf>
    <xf numFmtId="43" fontId="25" fillId="6" borderId="175" xfId="1" applyFont="1" applyFill="1" applyBorder="1" applyAlignment="1">
      <alignment vertical="center"/>
    </xf>
    <xf numFmtId="43" fontId="33" fillId="0" borderId="175" xfId="1" applyFont="1" applyFill="1" applyBorder="1" applyAlignment="1">
      <alignment vertical="center"/>
    </xf>
    <xf numFmtId="3" fontId="24" fillId="6" borderId="175" xfId="4" applyNumberFormat="1" applyFont="1" applyFill="1" applyBorder="1" applyAlignment="1">
      <alignment vertical="center"/>
    </xf>
    <xf numFmtId="3" fontId="25" fillId="22" borderId="174" xfId="4" applyNumberFormat="1" applyFont="1" applyFill="1" applyBorder="1" applyAlignment="1">
      <alignment horizontal="right" vertical="center"/>
    </xf>
    <xf numFmtId="43" fontId="25" fillId="6" borderId="174" xfId="1" applyFont="1" applyFill="1" applyBorder="1" applyAlignment="1">
      <alignment vertical="top"/>
    </xf>
    <xf numFmtId="3" fontId="25" fillId="22" borderId="174" xfId="0" applyNumberFormat="1" applyFont="1" applyFill="1" applyBorder="1" applyAlignment="1">
      <alignment vertical="top"/>
    </xf>
    <xf numFmtId="3" fontId="27" fillId="2" borderId="182" xfId="4" applyNumberFormat="1" applyFont="1" applyFill="1" applyBorder="1" applyAlignment="1">
      <alignment vertical="center" wrapText="1"/>
    </xf>
    <xf numFmtId="3" fontId="27" fillId="0" borderId="175" xfId="0" applyNumberFormat="1" applyFont="1" applyFill="1" applyBorder="1" applyAlignment="1">
      <alignment vertical="center"/>
    </xf>
    <xf numFmtId="3" fontId="27" fillId="8" borderId="175" xfId="0" applyNumberFormat="1" applyFont="1" applyFill="1" applyBorder="1" applyAlignment="1">
      <alignment vertical="center"/>
    </xf>
    <xf numFmtId="3" fontId="27" fillId="23" borderId="175" xfId="0" applyNumberFormat="1" applyFont="1" applyFill="1" applyBorder="1" applyAlignment="1">
      <alignment vertical="center"/>
    </xf>
    <xf numFmtId="3" fontId="31" fillId="28" borderId="175" xfId="0" applyNumberFormat="1" applyFont="1" applyFill="1" applyBorder="1" applyAlignment="1">
      <alignment vertical="center"/>
    </xf>
    <xf numFmtId="3" fontId="7" fillId="23" borderId="175" xfId="0" applyNumberFormat="1" applyFont="1" applyFill="1" applyBorder="1" applyAlignment="1">
      <alignment vertical="center"/>
    </xf>
    <xf numFmtId="3" fontId="27" fillId="25" borderId="174" xfId="0" applyNumberFormat="1" applyFont="1" applyFill="1" applyBorder="1" applyAlignment="1">
      <alignment vertical="top"/>
    </xf>
    <xf numFmtId="3" fontId="27" fillId="2" borderId="175" xfId="0" applyNumberFormat="1" applyFont="1" applyFill="1" applyBorder="1" applyAlignment="1">
      <alignment vertical="center"/>
    </xf>
    <xf numFmtId="3" fontId="7" fillId="8" borderId="175" xfId="4" applyNumberFormat="1" applyFont="1" applyFill="1" applyBorder="1" applyAlignment="1">
      <alignment horizontal="right" vertical="center"/>
    </xf>
    <xf numFmtId="3" fontId="29" fillId="0" borderId="175" xfId="4" applyNumberFormat="1" applyFont="1" applyFill="1" applyBorder="1" applyAlignment="1">
      <alignment horizontal="right" vertical="center"/>
    </xf>
    <xf numFmtId="0" fontId="31" fillId="0" borderId="179" xfId="4" applyFont="1" applyFill="1" applyBorder="1" applyAlignment="1">
      <alignment vertical="center"/>
    </xf>
    <xf numFmtId="3" fontId="33" fillId="25" borderId="175" xfId="6" applyNumberFormat="1" applyFont="1" applyFill="1" applyBorder="1" applyAlignment="1">
      <alignment vertical="center"/>
    </xf>
    <xf numFmtId="0" fontId="25" fillId="6" borderId="175" xfId="4" applyFont="1" applyFill="1" applyBorder="1" applyAlignment="1">
      <alignment horizontal="left" vertical="center"/>
    </xf>
    <xf numFmtId="3" fontId="25" fillId="22" borderId="175" xfId="0" applyNumberFormat="1" applyFont="1" applyFill="1" applyBorder="1" applyAlignment="1">
      <alignment vertical="top"/>
    </xf>
    <xf numFmtId="3" fontId="31" fillId="23" borderId="175" xfId="0" applyNumberFormat="1" applyFont="1" applyFill="1" applyBorder="1" applyAlignment="1">
      <alignment vertical="top"/>
    </xf>
    <xf numFmtId="3" fontId="31" fillId="0" borderId="175" xfId="0" applyNumberFormat="1" applyFont="1" applyFill="1" applyBorder="1" applyAlignment="1">
      <alignment vertical="center"/>
    </xf>
    <xf numFmtId="3" fontId="27" fillId="0" borderId="175" xfId="4" applyNumberFormat="1" applyFont="1" applyFill="1" applyBorder="1" applyAlignment="1">
      <alignment vertical="center" wrapText="1"/>
    </xf>
    <xf numFmtId="0" fontId="32" fillId="0" borderId="185" xfId="0" applyFont="1" applyBorder="1" applyAlignment="1">
      <alignment vertical="center"/>
    </xf>
    <xf numFmtId="3" fontId="31" fillId="0" borderId="186" xfId="4" applyNumberFormat="1" applyFont="1" applyFill="1" applyBorder="1" applyAlignment="1">
      <alignment vertical="center"/>
    </xf>
    <xf numFmtId="3" fontId="31" fillId="0" borderId="185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17" fillId="8" borderId="11" xfId="0" applyNumberFormat="1" applyFont="1" applyFill="1" applyBorder="1" applyAlignment="1">
      <alignment vertical="center"/>
    </xf>
    <xf numFmtId="2" fontId="27" fillId="50" borderId="36" xfId="4" applyNumberFormat="1" applyFont="1" applyFill="1" applyBorder="1" applyAlignment="1">
      <alignment horizontal="left" vertical="center"/>
    </xf>
    <xf numFmtId="2" fontId="27" fillId="50" borderId="20" xfId="4" applyNumberFormat="1" applyFont="1" applyFill="1" applyBorder="1" applyAlignment="1">
      <alignment horizontal="left" vertical="center"/>
    </xf>
    <xf numFmtId="2" fontId="7" fillId="28" borderId="65" xfId="0" applyNumberFormat="1" applyFont="1" applyFill="1" applyBorder="1" applyAlignment="1">
      <alignment horizontal="center" vertical="top" wrapText="1"/>
    </xf>
    <xf numFmtId="2" fontId="27" fillId="50" borderId="65" xfId="4" applyNumberFormat="1" applyFont="1" applyFill="1" applyBorder="1" applyAlignment="1">
      <alignment horizontal="left" vertical="center"/>
    </xf>
    <xf numFmtId="2" fontId="27" fillId="50" borderId="6" xfId="4" applyNumberFormat="1" applyFont="1" applyFill="1" applyBorder="1" applyAlignment="1">
      <alignment horizontal="left" vertical="center"/>
    </xf>
    <xf numFmtId="2" fontId="27" fillId="50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18" fillId="8" borderId="65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17" fillId="8" borderId="11" xfId="0" applyNumberFormat="1" applyFont="1" applyFill="1" applyBorder="1" applyAlignment="1">
      <alignment vertical="top"/>
    </xf>
    <xf numFmtId="2" fontId="7" fillId="8" borderId="180" xfId="0" applyNumberFormat="1" applyFont="1" applyFill="1" applyBorder="1" applyAlignment="1">
      <alignment vertical="top" wrapText="1"/>
    </xf>
    <xf numFmtId="2" fontId="7" fillId="8" borderId="173" xfId="0" applyNumberFormat="1" applyFont="1" applyFill="1" applyBorder="1" applyAlignment="1">
      <alignment vertical="top" wrapText="1"/>
    </xf>
    <xf numFmtId="2" fontId="18" fillId="8" borderId="65" xfId="0" applyNumberFormat="1" applyFont="1" applyFill="1" applyBorder="1" applyAlignment="1">
      <alignment horizontal="center" vertical="top" wrapText="1"/>
    </xf>
    <xf numFmtId="2" fontId="7" fillId="28" borderId="65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31" fillId="0" borderId="21" xfId="0" applyNumberFormat="1" applyFont="1" applyFill="1" applyBorder="1" applyAlignment="1">
      <alignment vertical="top"/>
    </xf>
    <xf numFmtId="2" fontId="31" fillId="0" borderId="174" xfId="0" applyNumberFormat="1" applyFont="1" applyFill="1" applyBorder="1" applyAlignment="1">
      <alignment vertical="top"/>
    </xf>
    <xf numFmtId="2" fontId="31" fillId="0" borderId="180" xfId="0" applyNumberFormat="1" applyFont="1" applyFill="1" applyBorder="1" applyAlignment="1">
      <alignment horizontal="left" vertical="center" wrapText="1"/>
    </xf>
    <xf numFmtId="2" fontId="27" fillId="2" borderId="182" xfId="4" applyNumberFormat="1" applyFont="1" applyFill="1" applyBorder="1" applyAlignment="1">
      <alignment vertical="center" wrapText="1"/>
    </xf>
    <xf numFmtId="2" fontId="31" fillId="0" borderId="82" xfId="0" applyNumberFormat="1" applyFont="1" applyFill="1" applyBorder="1" applyAlignment="1">
      <alignment vertical="top"/>
    </xf>
    <xf numFmtId="2" fontId="31" fillId="0" borderId="175" xfId="0" applyNumberFormat="1" applyFont="1" applyFill="1" applyBorder="1" applyAlignment="1">
      <alignment vertical="top"/>
    </xf>
    <xf numFmtId="2" fontId="27" fillId="2" borderId="178" xfId="4" applyNumberFormat="1" applyFont="1" applyFill="1" applyBorder="1" applyAlignment="1">
      <alignment vertical="top"/>
    </xf>
    <xf numFmtId="2" fontId="31" fillId="0" borderId="74" xfId="0" applyNumberFormat="1" applyFont="1" applyFill="1" applyBorder="1" applyAlignment="1">
      <alignment horizontal="left" vertical="center" wrapText="1"/>
    </xf>
    <xf numFmtId="2" fontId="27" fillId="2" borderId="182" xfId="4" applyNumberFormat="1" applyFont="1" applyFill="1" applyBorder="1" applyAlignment="1">
      <alignment vertical="top"/>
    </xf>
    <xf numFmtId="2" fontId="31" fillId="0" borderId="187" xfId="0" applyNumberFormat="1" applyFont="1" applyFill="1" applyBorder="1" applyAlignment="1">
      <alignment horizontal="left" vertical="center" wrapText="1"/>
    </xf>
    <xf numFmtId="2" fontId="25" fillId="6" borderId="182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188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31" fillId="8" borderId="174" xfId="0" applyNumberFormat="1" applyFont="1" applyFill="1" applyBorder="1" applyAlignment="1">
      <alignment vertical="top"/>
    </xf>
    <xf numFmtId="2" fontId="7" fillId="23" borderId="171" xfId="0" applyNumberFormat="1" applyFont="1" applyFill="1" applyBorder="1" applyAlignment="1">
      <alignment vertical="top"/>
    </xf>
    <xf numFmtId="2" fontId="31" fillId="8" borderId="174" xfId="0" applyNumberFormat="1" applyFont="1" applyFill="1" applyBorder="1" applyAlignment="1">
      <alignment vertical="center"/>
    </xf>
    <xf numFmtId="2" fontId="25" fillId="23" borderId="174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74" xfId="0" applyNumberFormat="1" applyFont="1" applyFill="1" applyBorder="1" applyAlignment="1">
      <alignment horizontal="right" vertical="center"/>
    </xf>
    <xf numFmtId="2" fontId="27" fillId="8" borderId="175" xfId="0" applyNumberFormat="1" applyFont="1" applyFill="1" applyBorder="1" applyAlignment="1">
      <alignment horizontal="right" vertical="center"/>
    </xf>
    <xf numFmtId="2" fontId="25" fillId="23" borderId="174" xfId="0" applyNumberFormat="1" applyFont="1" applyFill="1" applyBorder="1" applyAlignment="1">
      <alignment horizontal="center" vertical="center"/>
    </xf>
    <xf numFmtId="2" fontId="20" fillId="8" borderId="65" xfId="0" applyNumberFormat="1" applyFont="1" applyFill="1" applyBorder="1" applyAlignment="1">
      <alignment horizontal="center" vertical="center" wrapText="1"/>
    </xf>
    <xf numFmtId="2" fontId="31" fillId="8" borderId="175" xfId="0" applyNumberFormat="1" applyFont="1" applyFill="1" applyBorder="1" applyAlignment="1">
      <alignment vertical="top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75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74" xfId="0" applyNumberFormat="1" applyFont="1" applyFill="1" applyBorder="1" applyAlignment="1">
      <alignment vertical="center"/>
    </xf>
    <xf numFmtId="2" fontId="27" fillId="8" borderId="174" xfId="0" applyNumberFormat="1" applyFont="1" applyFill="1" applyBorder="1" applyAlignment="1">
      <alignment vertical="center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6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74" xfId="0" applyNumberFormat="1" applyFont="1" applyFill="1" applyBorder="1" applyAlignment="1">
      <alignment vertical="center"/>
    </xf>
    <xf numFmtId="2" fontId="25" fillId="0" borderId="174" xfId="0" applyNumberFormat="1" applyFont="1" applyFill="1" applyBorder="1" applyAlignment="1">
      <alignment vertical="center"/>
    </xf>
    <xf numFmtId="2" fontId="31" fillId="32" borderId="174" xfId="0" applyNumberFormat="1" applyFont="1" applyFill="1" applyBorder="1" applyAlignment="1">
      <alignment vertical="center"/>
    </xf>
    <xf numFmtId="2" fontId="32" fillId="0" borderId="0" xfId="0" applyNumberFormat="1" applyFont="1" applyBorder="1"/>
    <xf numFmtId="2" fontId="25" fillId="6" borderId="174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center"/>
    </xf>
    <xf numFmtId="2" fontId="25" fillId="6" borderId="175" xfId="0" applyNumberFormat="1" applyFont="1" applyFill="1" applyBorder="1" applyAlignment="1"/>
    <xf numFmtId="2" fontId="27" fillId="2" borderId="175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31" fillId="0" borderId="171" xfId="0" applyNumberFormat="1" applyFont="1" applyFill="1" applyBorder="1" applyAlignment="1">
      <alignment vertical="top"/>
    </xf>
    <xf numFmtId="2" fontId="7" fillId="23" borderId="175" xfId="0" applyNumberFormat="1" applyFont="1" applyFill="1" applyBorder="1" applyAlignment="1">
      <alignment horizontal="center" vertical="top"/>
    </xf>
    <xf numFmtId="2" fontId="25" fillId="2" borderId="175" xfId="0" applyNumberFormat="1" applyFont="1" applyFill="1" applyBorder="1" applyAlignment="1"/>
    <xf numFmtId="2" fontId="28" fillId="2" borderId="175" xfId="0" applyNumberFormat="1" applyFont="1" applyFill="1" applyBorder="1" applyAlignment="1"/>
    <xf numFmtId="2" fontId="31" fillId="2" borderId="175" xfId="0" applyNumberFormat="1" applyFont="1" applyFill="1" applyBorder="1" applyAlignment="1"/>
    <xf numFmtId="2" fontId="31" fillId="2" borderId="74" xfId="4" applyNumberFormat="1" applyFont="1" applyFill="1" applyBorder="1" applyAlignment="1">
      <alignment vertical="center" wrapText="1"/>
    </xf>
    <xf numFmtId="2" fontId="24" fillId="8" borderId="83" xfId="0" applyNumberFormat="1" applyFont="1" applyFill="1" applyBorder="1" applyAlignment="1">
      <alignment vertical="center" wrapText="1"/>
    </xf>
    <xf numFmtId="2" fontId="24" fillId="8" borderId="68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2" xfId="4" applyNumberFormat="1" applyFont="1" applyFill="1" applyBorder="1" applyAlignment="1">
      <alignment horizontal="left" vertical="center"/>
    </xf>
    <xf numFmtId="2" fontId="25" fillId="6" borderId="175" xfId="0" applyNumberFormat="1" applyFont="1" applyFill="1" applyBorder="1" applyAlignment="1">
      <alignment vertical="center"/>
    </xf>
    <xf numFmtId="2" fontId="25" fillId="22" borderId="175" xfId="0" applyNumberFormat="1" applyFont="1" applyFill="1" applyBorder="1" applyAlignment="1">
      <alignment vertical="center"/>
    </xf>
    <xf numFmtId="2" fontId="29" fillId="0" borderId="82" xfId="0" applyNumberFormat="1" applyFont="1" applyFill="1" applyBorder="1" applyAlignment="1">
      <alignment vertical="center"/>
    </xf>
    <xf numFmtId="2" fontId="25" fillId="25" borderId="175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188" xfId="0" applyNumberFormat="1" applyFont="1" applyFill="1" applyBorder="1" applyAlignment="1">
      <alignment vertical="center" wrapText="1"/>
    </xf>
    <xf numFmtId="2" fontId="31" fillId="2" borderId="185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39" fillId="0" borderId="175" xfId="0" applyNumberFormat="1" applyFont="1" applyBorder="1" applyAlignment="1">
      <alignment vertical="center"/>
    </xf>
    <xf numFmtId="2" fontId="18" fillId="0" borderId="175" xfId="0" applyNumberFormat="1" applyFont="1" applyBorder="1" applyAlignment="1">
      <alignment vertical="top"/>
    </xf>
    <xf numFmtId="3" fontId="29" fillId="8" borderId="175" xfId="0" applyNumberFormat="1" applyFont="1" applyFill="1" applyBorder="1" applyAlignment="1">
      <alignment vertical="center"/>
    </xf>
    <xf numFmtId="3" fontId="7" fillId="28" borderId="175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71" xfId="0" applyNumberFormat="1" applyFont="1" applyFill="1" applyBorder="1" applyAlignment="1">
      <alignment horizontal="right" vertical="center"/>
    </xf>
    <xf numFmtId="3" fontId="25" fillId="6" borderId="171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185" xfId="0" applyNumberFormat="1" applyFont="1" applyFill="1" applyBorder="1" applyAlignment="1">
      <alignment vertical="top"/>
    </xf>
    <xf numFmtId="3" fontId="31" fillId="0" borderId="185" xfId="0" applyNumberFormat="1" applyFont="1" applyFill="1" applyBorder="1" applyAlignment="1">
      <alignment horizontal="right" vertical="center"/>
    </xf>
    <xf numFmtId="3" fontId="31" fillId="0" borderId="174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170" xfId="0" quotePrefix="1" applyNumberFormat="1" applyFont="1" applyFill="1" applyBorder="1" applyAlignment="1">
      <alignment horizontal="center" vertical="top"/>
    </xf>
    <xf numFmtId="1" fontId="21" fillId="0" borderId="68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5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5" fillId="6" borderId="178" xfId="0" applyNumberFormat="1" applyFont="1" applyFill="1" applyBorder="1" applyAlignment="1">
      <alignment horizontal="right" vertical="center" wrapText="1"/>
    </xf>
    <xf numFmtId="3" fontId="63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3" fillId="8" borderId="178" xfId="0" applyNumberFormat="1" applyFont="1" applyFill="1" applyBorder="1" applyAlignment="1">
      <alignment vertical="center" wrapText="1"/>
    </xf>
    <xf numFmtId="3" fontId="61" fillId="6" borderId="178" xfId="0" applyNumberFormat="1" applyFont="1" applyFill="1" applyBorder="1" applyAlignment="1">
      <alignment wrapText="1"/>
    </xf>
    <xf numFmtId="3" fontId="64" fillId="8" borderId="178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1" fillId="52" borderId="51" xfId="0" applyNumberFormat="1" applyFont="1" applyFill="1" applyBorder="1" applyAlignment="1">
      <alignment vertical="center" wrapText="1"/>
    </xf>
    <xf numFmtId="3" fontId="61" fillId="52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5" fillId="4" borderId="76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27" xfId="0" quotePrefix="1" applyNumberFormat="1" applyFont="1" applyFill="1" applyBorder="1" applyAlignment="1">
      <alignment horizontal="right"/>
    </xf>
    <xf numFmtId="3" fontId="61" fillId="6" borderId="178" xfId="0" applyNumberFormat="1" applyFont="1" applyFill="1" applyBorder="1" applyAlignment="1">
      <alignment vertical="center" wrapText="1"/>
    </xf>
    <xf numFmtId="3" fontId="64" fillId="8" borderId="8" xfId="0" applyNumberFormat="1" applyFont="1" applyFill="1" applyBorder="1" applyAlignment="1">
      <alignment vertical="center" wrapText="1"/>
    </xf>
    <xf numFmtId="3" fontId="8" fillId="0" borderId="127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3" fontId="31" fillId="0" borderId="185" xfId="4" applyNumberFormat="1" applyFont="1" applyFill="1" applyBorder="1" applyAlignment="1">
      <alignment vertical="center"/>
    </xf>
    <xf numFmtId="3" fontId="31" fillId="0" borderId="186" xfId="4" applyNumberFormat="1" applyFont="1" applyFill="1" applyBorder="1" applyAlignment="1"/>
    <xf numFmtId="3" fontId="27" fillId="50" borderId="151" xfId="4" applyNumberFormat="1" applyFont="1" applyFill="1" applyBorder="1" applyAlignment="1">
      <alignment horizontal="right" vertical="center"/>
    </xf>
    <xf numFmtId="3" fontId="27" fillId="21" borderId="171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0" borderId="175" xfId="4" applyNumberFormat="1" applyFont="1" applyFill="1" applyBorder="1" applyAlignment="1">
      <alignment horizontal="right" vertical="center"/>
    </xf>
    <xf numFmtId="43" fontId="27" fillId="0" borderId="174" xfId="1" applyFont="1" applyFill="1" applyBorder="1" applyAlignment="1">
      <alignment horizontal="right" vertical="center"/>
    </xf>
    <xf numFmtId="43" fontId="33" fillId="0" borderId="174" xfId="1" applyFont="1" applyFill="1" applyBorder="1" applyAlignment="1">
      <alignment vertical="center"/>
    </xf>
    <xf numFmtId="43" fontId="24" fillId="6" borderId="174" xfId="1" applyFont="1" applyFill="1" applyBorder="1" applyAlignment="1">
      <alignment vertical="center"/>
    </xf>
    <xf numFmtId="43" fontId="27" fillId="2" borderId="174" xfId="1" applyFont="1" applyFill="1" applyBorder="1" applyAlignment="1">
      <alignment vertical="center"/>
    </xf>
    <xf numFmtId="3" fontId="27" fillId="25" borderId="175" xfId="4" applyNumberFormat="1" applyFont="1" applyFill="1" applyBorder="1" applyAlignment="1">
      <alignment horizontal="right" vertical="center"/>
    </xf>
    <xf numFmtId="3" fontId="7" fillId="0" borderId="185" xfId="4" applyNumberFormat="1" applyFont="1" applyFill="1" applyBorder="1" applyAlignment="1">
      <alignment horizontal="right" vertical="center"/>
    </xf>
    <xf numFmtId="43" fontId="7" fillId="0" borderId="185" xfId="1" applyFont="1" applyFill="1" applyBorder="1" applyAlignment="1">
      <alignment horizontal="right" vertical="center"/>
    </xf>
    <xf numFmtId="43" fontId="31" fillId="0" borderId="175" xfId="1" applyFont="1" applyFill="1" applyBorder="1" applyAlignment="1">
      <alignment vertical="center"/>
    </xf>
    <xf numFmtId="43" fontId="31" fillId="0" borderId="185" xfId="1" applyFont="1" applyFill="1" applyBorder="1" applyAlignment="1">
      <alignment vertical="center"/>
    </xf>
    <xf numFmtId="3" fontId="28" fillId="23" borderId="175" xfId="4" applyNumberFormat="1" applyFont="1" applyFill="1" applyBorder="1" applyAlignment="1">
      <alignment horizontal="right" vertical="center"/>
    </xf>
    <xf numFmtId="3" fontId="24" fillId="6" borderId="175" xfId="4" applyNumberFormat="1" applyFont="1" applyFill="1" applyBorder="1" applyAlignment="1"/>
    <xf numFmtId="3" fontId="33" fillId="23" borderId="175" xfId="6" applyNumberFormat="1" applyFont="1" applyFill="1" applyBorder="1" applyAlignment="1">
      <alignment vertical="center"/>
    </xf>
    <xf numFmtId="3" fontId="31" fillId="23" borderId="175" xfId="4" applyNumberFormat="1" applyFont="1" applyFill="1" applyBorder="1" applyAlignment="1">
      <alignment vertical="center"/>
    </xf>
    <xf numFmtId="3" fontId="25" fillId="22" borderId="175" xfId="4" applyNumberFormat="1" applyFont="1" applyFill="1" applyBorder="1" applyAlignment="1">
      <alignment vertical="center"/>
    </xf>
    <xf numFmtId="3" fontId="31" fillId="0" borderId="175" xfId="4" applyNumberFormat="1" applyFont="1" applyFill="1" applyBorder="1" applyAlignment="1">
      <alignment horizontal="right" vertical="center"/>
    </xf>
    <xf numFmtId="3" fontId="31" fillId="0" borderId="185" xfId="4" applyNumberFormat="1" applyFont="1" applyFill="1" applyBorder="1" applyAlignment="1"/>
    <xf numFmtId="3" fontId="31" fillId="0" borderId="185" xfId="4" applyNumberFormat="1" applyFont="1" applyFill="1" applyBorder="1" applyAlignment="1">
      <alignment horizontal="right" vertical="center"/>
    </xf>
    <xf numFmtId="0" fontId="32" fillId="0" borderId="35" xfId="0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1" borderId="0" xfId="0" applyNumberFormat="1" applyFont="1" applyFill="1" applyBorder="1" applyAlignment="1">
      <alignment vertical="top"/>
    </xf>
    <xf numFmtId="3" fontId="7" fillId="8" borderId="178" xfId="4" applyNumberFormat="1" applyFont="1" applyFill="1" applyBorder="1" applyAlignment="1">
      <alignment vertical="center" wrapText="1"/>
    </xf>
    <xf numFmtId="3" fontId="7" fillId="8" borderId="175" xfId="0" applyNumberFormat="1" applyFont="1" applyFill="1" applyBorder="1" applyAlignment="1">
      <alignment vertical="center"/>
    </xf>
    <xf numFmtId="3" fontId="32" fillId="8" borderId="174" xfId="6" applyNumberFormat="1" applyFont="1" applyFill="1" applyBorder="1" applyAlignment="1">
      <alignment vertical="center"/>
    </xf>
    <xf numFmtId="3" fontId="27" fillId="0" borderId="171" xfId="4" applyNumberFormat="1" applyFont="1" applyFill="1" applyBorder="1" applyAlignment="1">
      <alignment horizontal="right" vertical="center"/>
    </xf>
    <xf numFmtId="43" fontId="7" fillId="0" borderId="166" xfId="1" applyFont="1" applyFill="1" applyBorder="1" applyAlignment="1">
      <alignment horizontal="right" vertical="center"/>
    </xf>
    <xf numFmtId="43" fontId="7" fillId="0" borderId="166" xfId="1" applyNumberFormat="1" applyFont="1" applyFill="1" applyBorder="1" applyAlignment="1">
      <alignment horizontal="right" vertical="center"/>
    </xf>
    <xf numFmtId="43" fontId="27" fillId="0" borderId="166" xfId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3" fontId="27" fillId="21" borderId="72" xfId="4" applyNumberFormat="1" applyFont="1" applyFill="1" applyBorder="1" applyAlignment="1">
      <alignment horizontal="right" vertical="center"/>
    </xf>
    <xf numFmtId="3" fontId="27" fillId="21" borderId="184" xfId="4" applyNumberFormat="1" applyFont="1" applyFill="1" applyBorder="1" applyAlignment="1">
      <alignment horizontal="right" vertical="center"/>
    </xf>
    <xf numFmtId="3" fontId="31" fillId="0" borderId="190" xfId="4" applyNumberFormat="1" applyFont="1" applyFill="1" applyBorder="1" applyAlignment="1">
      <alignment vertical="center"/>
    </xf>
    <xf numFmtId="43" fontId="38" fillId="57" borderId="175" xfId="1" applyFont="1" applyFill="1" applyBorder="1" applyAlignment="1">
      <alignment horizontal="right" vertical="center"/>
    </xf>
    <xf numFmtId="0" fontId="39" fillId="0" borderId="175" xfId="0" applyFont="1" applyBorder="1"/>
    <xf numFmtId="43" fontId="24" fillId="32" borderId="175" xfId="1" applyFont="1" applyFill="1" applyBorder="1" applyAlignment="1"/>
    <xf numFmtId="3" fontId="31" fillId="32" borderId="175" xfId="4" applyNumberFormat="1" applyFont="1" applyFill="1" applyBorder="1" applyAlignment="1"/>
    <xf numFmtId="41" fontId="24" fillId="6" borderId="174" xfId="4" applyNumberFormat="1" applyFont="1" applyFill="1" applyBorder="1" applyAlignment="1">
      <alignment vertical="center"/>
    </xf>
    <xf numFmtId="41" fontId="33" fillId="0" borderId="175" xfId="6" applyNumberFormat="1" applyFont="1" applyFill="1" applyBorder="1" applyAlignment="1">
      <alignment vertical="center"/>
    </xf>
    <xf numFmtId="41" fontId="7" fillId="0" borderId="185" xfId="4" applyNumberFormat="1" applyFont="1" applyFill="1" applyBorder="1" applyAlignment="1">
      <alignment horizontal="right" vertical="center"/>
    </xf>
    <xf numFmtId="43" fontId="7" fillId="0" borderId="166" xfId="4" applyNumberFormat="1" applyFont="1" applyFill="1" applyBorder="1" applyAlignment="1">
      <alignment horizontal="right" vertical="center"/>
    </xf>
    <xf numFmtId="43" fontId="27" fillId="0" borderId="166" xfId="1" applyNumberFormat="1" applyFont="1" applyFill="1" applyBorder="1" applyAlignment="1">
      <alignment horizontal="right" vertical="center"/>
    </xf>
    <xf numFmtId="43" fontId="27" fillId="0" borderId="166" xfId="4" applyNumberFormat="1" applyFont="1" applyFill="1" applyBorder="1" applyAlignment="1">
      <alignment horizontal="right" vertical="center"/>
    </xf>
    <xf numFmtId="43" fontId="33" fillId="0" borderId="175" xfId="1" applyNumberFormat="1" applyFont="1" applyFill="1" applyBorder="1" applyAlignment="1">
      <alignment vertical="center"/>
    </xf>
    <xf numFmtId="43" fontId="7" fillId="0" borderId="175" xfId="1" applyNumberFormat="1" applyFont="1" applyFill="1" applyBorder="1" applyAlignment="1">
      <alignment horizontal="right" vertical="center"/>
    </xf>
    <xf numFmtId="43" fontId="7" fillId="0" borderId="185" xfId="1" applyNumberFormat="1" applyFont="1" applyFill="1" applyBorder="1" applyAlignment="1">
      <alignment horizontal="right" vertical="center"/>
    </xf>
    <xf numFmtId="43" fontId="7" fillId="0" borderId="185" xfId="4" applyNumberFormat="1" applyFont="1" applyFill="1" applyBorder="1" applyAlignment="1">
      <alignment horizontal="right" vertical="center"/>
    </xf>
    <xf numFmtId="3" fontId="8" fillId="6" borderId="174" xfId="0" applyNumberFormat="1" applyFont="1" applyFill="1" applyBorder="1"/>
    <xf numFmtId="3" fontId="8" fillId="8" borderId="174" xfId="0" applyNumberFormat="1" applyFont="1" applyFill="1" applyBorder="1"/>
    <xf numFmtId="3" fontId="6" fillId="11" borderId="174" xfId="0" applyNumberFormat="1" applyFont="1" applyFill="1" applyBorder="1"/>
    <xf numFmtId="3" fontId="61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1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6" fillId="6" borderId="74" xfId="0" applyNumberFormat="1" applyFont="1" applyFill="1" applyBorder="1"/>
    <xf numFmtId="3" fontId="75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74" xfId="0" applyNumberFormat="1" applyFont="1" applyFill="1" applyBorder="1"/>
    <xf numFmtId="3" fontId="75" fillId="12" borderId="11" xfId="0" applyNumberFormat="1" applyFont="1" applyFill="1" applyBorder="1"/>
    <xf numFmtId="3" fontId="75" fillId="12" borderId="21" xfId="0" applyNumberFormat="1" applyFont="1" applyFill="1" applyBorder="1"/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74" xfId="0" applyNumberFormat="1" applyFont="1" applyFill="1" applyBorder="1"/>
    <xf numFmtId="3" fontId="76" fillId="17" borderId="11" xfId="0" applyNumberFormat="1" applyFont="1" applyFill="1" applyBorder="1"/>
    <xf numFmtId="3" fontId="76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0" fontId="8" fillId="18" borderId="5" xfId="0" applyFont="1" applyFill="1" applyBorder="1" applyAlignment="1">
      <alignment vertical="center"/>
    </xf>
    <xf numFmtId="3" fontId="75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38" fillId="0" borderId="175" xfId="4" applyNumberFormat="1" applyFont="1" applyFill="1" applyBorder="1" applyAlignment="1">
      <alignment horizontal="right" vertical="center"/>
    </xf>
    <xf numFmtId="0" fontId="39" fillId="0" borderId="165" xfId="0" applyFont="1" applyBorder="1"/>
    <xf numFmtId="3" fontId="37" fillId="0" borderId="175" xfId="0" applyNumberFormat="1" applyFont="1" applyBorder="1"/>
    <xf numFmtId="3" fontId="8" fillId="0" borderId="175" xfId="0" applyNumberFormat="1" applyFont="1" applyBorder="1" applyAlignment="1">
      <alignment vertical="top"/>
    </xf>
    <xf numFmtId="0" fontId="24" fillId="0" borderId="43" xfId="4" applyFont="1" applyFill="1" applyBorder="1" applyAlignment="1">
      <alignment vertical="center" wrapText="1"/>
    </xf>
    <xf numFmtId="3" fontId="25" fillId="22" borderId="160" xfId="4" applyNumberFormat="1" applyFont="1" applyFill="1" applyBorder="1" applyAlignment="1">
      <alignment horizontal="right" vertical="center"/>
    </xf>
    <xf numFmtId="3" fontId="27" fillId="0" borderId="160" xfId="4" applyNumberFormat="1" applyFont="1" applyFill="1" applyBorder="1" applyAlignment="1">
      <alignment horizontal="right" vertical="center"/>
    </xf>
    <xf numFmtId="3" fontId="31" fillId="0" borderId="160" xfId="4" applyNumberFormat="1" applyFont="1" applyFill="1" applyBorder="1" applyAlignment="1">
      <alignment vertical="center"/>
    </xf>
    <xf numFmtId="3" fontId="31" fillId="23" borderId="185" xfId="4" applyNumberFormat="1" applyFont="1" applyFill="1" applyBorder="1" applyAlignment="1">
      <alignment vertical="center"/>
    </xf>
    <xf numFmtId="3" fontId="25" fillId="6" borderId="160" xfId="4" applyNumberFormat="1" applyFont="1" applyFill="1" applyBorder="1" applyAlignment="1">
      <alignment vertical="center"/>
    </xf>
    <xf numFmtId="3" fontId="24" fillId="6" borderId="160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vertical="center"/>
    </xf>
    <xf numFmtId="0" fontId="24" fillId="6" borderId="175" xfId="4" applyFont="1" applyFill="1" applyBorder="1" applyAlignment="1">
      <alignment horizontal="left" vertical="center"/>
    </xf>
    <xf numFmtId="3" fontId="29" fillId="2" borderId="175" xfId="4" applyNumberFormat="1" applyFont="1" applyFill="1" applyBorder="1" applyAlignment="1">
      <alignment vertical="top" wrapText="1"/>
    </xf>
    <xf numFmtId="0" fontId="7" fillId="0" borderId="175" xfId="4" applyFont="1" applyFill="1" applyBorder="1" applyAlignment="1">
      <alignment vertical="top"/>
    </xf>
    <xf numFmtId="0" fontId="29" fillId="2" borderId="175" xfId="4" applyFont="1" applyFill="1" applyBorder="1" applyAlignment="1">
      <alignment vertical="top"/>
    </xf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6" borderId="175" xfId="4" applyNumberFormat="1" applyFont="1" applyFill="1" applyBorder="1" applyAlignment="1">
      <alignment horizontal="right" vertical="center"/>
    </xf>
    <xf numFmtId="3" fontId="29" fillId="2" borderId="175" xfId="4" applyNumberFormat="1" applyFont="1" applyFill="1" applyBorder="1" applyAlignment="1">
      <alignment vertical="center" wrapText="1"/>
    </xf>
    <xf numFmtId="0" fontId="7" fillId="0" borderId="185" xfId="4" applyFont="1" applyFill="1" applyBorder="1" applyAlignment="1">
      <alignment vertical="center"/>
    </xf>
    <xf numFmtId="0" fontId="27" fillId="2" borderId="92" xfId="4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0" fontId="31" fillId="0" borderId="21" xfId="0" applyFont="1" applyFill="1" applyBorder="1" applyAlignment="1">
      <alignment horizontal="left" vertical="center" wrapText="1"/>
    </xf>
    <xf numFmtId="3" fontId="31" fillId="0" borderId="175" xfId="0" applyNumberFormat="1" applyFont="1" applyFill="1" applyBorder="1" applyAlignment="1">
      <alignment horizontal="right" vertical="center"/>
    </xf>
    <xf numFmtId="43" fontId="31" fillId="0" borderId="175" xfId="1" applyFont="1" applyFill="1" applyBorder="1" applyAlignment="1">
      <alignment vertical="top"/>
    </xf>
    <xf numFmtId="3" fontId="38" fillId="0" borderId="149" xfId="0" applyNumberFormat="1" applyFont="1" applyFill="1" applyBorder="1" applyAlignment="1">
      <alignment vertical="center"/>
    </xf>
    <xf numFmtId="3" fontId="38" fillId="0" borderId="112" xfId="0" applyNumberFormat="1" applyFont="1" applyFill="1" applyBorder="1" applyAlignment="1">
      <alignment vertical="center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center"/>
    </xf>
    <xf numFmtId="3" fontId="28" fillId="0" borderId="87" xfId="0" applyNumberFormat="1" applyFont="1" applyFill="1" applyBorder="1" applyAlignment="1">
      <alignment vertical="center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89" xfId="0" applyNumberFormat="1" applyFont="1" applyFill="1" applyBorder="1" applyAlignment="1">
      <alignment vertical="top"/>
    </xf>
    <xf numFmtId="0" fontId="31" fillId="0" borderId="93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12" xfId="0" applyNumberFormat="1" applyFont="1" applyFill="1" applyBorder="1" applyAlignment="1">
      <alignment horizontal="right" vertical="center"/>
    </xf>
    <xf numFmtId="3" fontId="27" fillId="0" borderId="160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top"/>
    </xf>
    <xf numFmtId="0" fontId="31" fillId="6" borderId="175" xfId="0" applyFont="1" applyFill="1" applyBorder="1" applyAlignment="1">
      <alignment vertical="top"/>
    </xf>
    <xf numFmtId="3" fontId="27" fillId="0" borderId="175" xfId="4" applyNumberFormat="1" applyFont="1" applyFill="1" applyBorder="1" applyAlignment="1">
      <alignment vertical="top" wrapText="1"/>
    </xf>
    <xf numFmtId="0" fontId="32" fillId="0" borderId="175" xfId="0" applyFont="1" applyBorder="1"/>
    <xf numFmtId="3" fontId="31" fillId="2" borderId="175" xfId="0" applyNumberFormat="1" applyFont="1" applyFill="1" applyBorder="1" applyAlignment="1">
      <alignment vertical="top"/>
    </xf>
    <xf numFmtId="0" fontId="32" fillId="0" borderId="175" xfId="0" applyFont="1" applyBorder="1" applyAlignment="1">
      <alignment vertical="center"/>
    </xf>
    <xf numFmtId="3" fontId="31" fillId="2" borderId="175" xfId="0" applyNumberFormat="1" applyFont="1" applyFill="1" applyBorder="1" applyAlignment="1">
      <alignment vertical="center"/>
    </xf>
    <xf numFmtId="0" fontId="33" fillId="0" borderId="175" xfId="0" applyFont="1" applyBorder="1" applyAlignment="1">
      <alignment vertical="center"/>
    </xf>
    <xf numFmtId="0" fontId="31" fillId="6" borderId="175" xfId="0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191" xfId="4" applyNumberFormat="1" applyFont="1" applyFill="1" applyBorder="1" applyAlignment="1">
      <alignment vertical="center"/>
    </xf>
    <xf numFmtId="43" fontId="31" fillId="0" borderId="191" xfId="1" applyFont="1" applyFill="1" applyBorder="1" applyAlignment="1"/>
    <xf numFmtId="0" fontId="24" fillId="8" borderId="19" xfId="4" applyFont="1" applyFill="1" applyBorder="1" applyAlignment="1">
      <alignment horizontal="left" vertical="center" wrapText="1"/>
    </xf>
    <xf numFmtId="3" fontId="7" fillId="0" borderId="151" xfId="4" applyNumberFormat="1" applyFont="1" applyFill="1" applyBorder="1" applyAlignment="1">
      <alignment vertical="center"/>
    </xf>
    <xf numFmtId="0" fontId="7" fillId="32" borderId="74" xfId="4" applyFont="1" applyFill="1" applyBorder="1" applyAlignment="1">
      <alignment vertical="top"/>
    </xf>
    <xf numFmtId="3" fontId="27" fillId="23" borderId="175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3" fontId="24" fillId="6" borderId="174" xfId="1" applyNumberFormat="1" applyFont="1" applyFill="1" applyBorder="1" applyAlignment="1">
      <alignment horizontal="right" vertical="center"/>
    </xf>
    <xf numFmtId="3" fontId="27" fillId="0" borderId="171" xfId="1" applyNumberFormat="1" applyFont="1" applyFill="1" applyBorder="1" applyAlignment="1">
      <alignment horizontal="right" vertical="center"/>
    </xf>
    <xf numFmtId="43" fontId="27" fillId="0" borderId="171" xfId="1" applyFont="1" applyFill="1" applyBorder="1" applyAlignment="1">
      <alignment horizontal="right" vertical="center"/>
    </xf>
    <xf numFmtId="43" fontId="31" fillId="0" borderId="174" xfId="1" applyFont="1" applyFill="1" applyBorder="1" applyAlignment="1"/>
    <xf numFmtId="3" fontId="33" fillId="0" borderId="175" xfId="1" applyNumberFormat="1" applyFont="1" applyFill="1" applyBorder="1" applyAlignment="1">
      <alignment horizontal="right" vertical="center"/>
    </xf>
    <xf numFmtId="3" fontId="31" fillId="2" borderId="185" xfId="0" applyNumberFormat="1" applyFont="1" applyFill="1" applyBorder="1" applyAlignment="1">
      <alignment vertical="center"/>
    </xf>
    <xf numFmtId="43" fontId="27" fillId="2" borderId="175" xfId="1" applyFont="1" applyFill="1" applyBorder="1" applyAlignment="1">
      <alignment vertical="center"/>
    </xf>
    <xf numFmtId="3" fontId="7" fillId="0" borderId="185" xfId="4" applyNumberFormat="1" applyFont="1" applyFill="1" applyBorder="1" applyAlignment="1"/>
    <xf numFmtId="0" fontId="38" fillId="0" borderId="35" xfId="4" applyFont="1" applyFill="1" applyBorder="1" applyAlignment="1">
      <alignment vertical="top"/>
    </xf>
    <xf numFmtId="3" fontId="62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8" fillId="6" borderId="35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43" fontId="29" fillId="0" borderId="175" xfId="1" applyFont="1" applyFill="1" applyBorder="1" applyAlignment="1">
      <alignment horizontal="right" vertical="center"/>
    </xf>
    <xf numFmtId="0" fontId="37" fillId="0" borderId="175" xfId="0" applyFont="1" applyBorder="1" applyAlignment="1">
      <alignment vertical="center"/>
    </xf>
    <xf numFmtId="0" fontId="39" fillId="0" borderId="175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2" fontId="31" fillId="0" borderId="191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0" fontId="7" fillId="0" borderId="185" xfId="4" applyFont="1" applyFill="1" applyBorder="1" applyAlignment="1">
      <alignment vertical="top"/>
    </xf>
    <xf numFmtId="3" fontId="27" fillId="23" borderId="175" xfId="4" applyNumberFormat="1" applyFont="1" applyFill="1" applyBorder="1" applyAlignment="1">
      <alignment horizontal="right" vertical="center"/>
    </xf>
    <xf numFmtId="3" fontId="7" fillId="25" borderId="175" xfId="4" applyNumberFormat="1" applyFont="1" applyFill="1" applyBorder="1" applyAlignment="1">
      <alignment horizontal="right" vertical="center"/>
    </xf>
    <xf numFmtId="0" fontId="64" fillId="0" borderId="183" xfId="0" applyFont="1" applyBorder="1" applyAlignment="1">
      <alignment horizontal="center" vertical="center"/>
    </xf>
    <xf numFmtId="0" fontId="64" fillId="0" borderId="171" xfId="0" applyFont="1" applyBorder="1" applyAlignment="1">
      <alignment horizontal="center" vertical="center"/>
    </xf>
    <xf numFmtId="0" fontId="64" fillId="0" borderId="171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75" xfId="0" applyNumberFormat="1" applyFont="1" applyFill="1" applyBorder="1"/>
    <xf numFmtId="3" fontId="6" fillId="6" borderId="175" xfId="0" applyNumberFormat="1" applyFont="1" applyFill="1" applyBorder="1"/>
    <xf numFmtId="0" fontId="27" fillId="2" borderId="193" xfId="4" applyFont="1" applyFill="1" applyBorder="1" applyAlignment="1">
      <alignment vertical="top"/>
    </xf>
    <xf numFmtId="0" fontId="25" fillId="0" borderId="0" xfId="0" applyFont="1" applyBorder="1" applyAlignment="1">
      <alignment vertical="center"/>
    </xf>
    <xf numFmtId="0" fontId="18" fillId="0" borderId="175" xfId="0" applyFont="1" applyBorder="1" applyAlignment="1">
      <alignment vertical="center"/>
    </xf>
    <xf numFmtId="3" fontId="8" fillId="0" borderId="175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9" fillId="8" borderId="193" xfId="4" applyFont="1" applyFill="1" applyBorder="1" applyAlignment="1">
      <alignment vertical="top"/>
    </xf>
    <xf numFmtId="3" fontId="27" fillId="8" borderId="160" xfId="4" applyNumberFormat="1" applyFont="1" applyFill="1" applyBorder="1" applyAlignment="1">
      <alignment vertical="top"/>
    </xf>
    <xf numFmtId="0" fontId="7" fillId="8" borderId="193" xfId="4" applyFont="1" applyFill="1" applyBorder="1" applyAlignment="1">
      <alignment vertical="top" wrapText="1"/>
    </xf>
    <xf numFmtId="3" fontId="7" fillId="8" borderId="160" xfId="4" applyNumberFormat="1" applyFont="1" applyFill="1" applyBorder="1" applyAlignment="1">
      <alignment vertical="top"/>
    </xf>
    <xf numFmtId="0" fontId="7" fillId="8" borderId="193" xfId="4" applyFont="1" applyFill="1" applyBorder="1" applyAlignment="1">
      <alignment vertical="top"/>
    </xf>
    <xf numFmtId="3" fontId="7" fillId="8" borderId="185" xfId="4" applyNumberFormat="1" applyFont="1" applyFill="1" applyBorder="1" applyAlignment="1">
      <alignment vertical="top"/>
    </xf>
    <xf numFmtId="0" fontId="24" fillId="6" borderId="193" xfId="4" applyFont="1" applyFill="1" applyBorder="1" applyAlignment="1">
      <alignment horizontal="left" vertical="center"/>
    </xf>
    <xf numFmtId="3" fontId="24" fillId="22" borderId="160" xfId="4" applyNumberFormat="1" applyFont="1" applyFill="1" applyBorder="1" applyAlignment="1">
      <alignment vertical="center"/>
    </xf>
    <xf numFmtId="0" fontId="29" fillId="0" borderId="193" xfId="4" applyFont="1" applyFill="1" applyBorder="1" applyAlignment="1">
      <alignment vertical="top"/>
    </xf>
    <xf numFmtId="3" fontId="29" fillId="0" borderId="160" xfId="4" applyNumberFormat="1" applyFont="1" applyFill="1" applyBorder="1" applyAlignment="1">
      <alignment horizontal="right" vertical="center"/>
    </xf>
    <xf numFmtId="3" fontId="29" fillId="25" borderId="160" xfId="4" applyNumberFormat="1" applyFont="1" applyFill="1" applyBorder="1" applyAlignment="1">
      <alignment horizontal="right" vertical="center"/>
    </xf>
    <xf numFmtId="0" fontId="7" fillId="0" borderId="193" xfId="4" applyFont="1" applyFill="1" applyBorder="1" applyAlignment="1">
      <alignment vertical="top"/>
    </xf>
    <xf numFmtId="3" fontId="7" fillId="0" borderId="160" xfId="4" applyNumberFormat="1" applyFont="1" applyFill="1" applyBorder="1" applyAlignment="1"/>
    <xf numFmtId="3" fontId="7" fillId="0" borderId="160" xfId="4" applyNumberFormat="1" applyFont="1" applyFill="1" applyBorder="1" applyAlignment="1">
      <alignment vertical="top"/>
    </xf>
    <xf numFmtId="3" fontId="7" fillId="25" borderId="160" xfId="4" applyNumberFormat="1" applyFont="1" applyFill="1" applyBorder="1" applyAlignment="1">
      <alignment vertical="center"/>
    </xf>
    <xf numFmtId="0" fontId="7" fillId="32" borderId="193" xfId="4" applyFont="1" applyFill="1" applyBorder="1" applyAlignment="1">
      <alignment vertical="top"/>
    </xf>
    <xf numFmtId="0" fontId="29" fillId="0" borderId="193" xfId="4" applyFont="1" applyFill="1" applyBorder="1" applyAlignment="1">
      <alignment horizontal="left" vertical="center"/>
    </xf>
    <xf numFmtId="0" fontId="29" fillId="8" borderId="176" xfId="4" applyFont="1" applyFill="1" applyBorder="1" applyAlignment="1">
      <alignment vertical="center"/>
    </xf>
    <xf numFmtId="3" fontId="29" fillId="23" borderId="160" xfId="4" applyNumberFormat="1" applyFont="1" applyFill="1" applyBorder="1" applyAlignment="1">
      <alignment vertical="center"/>
    </xf>
    <xf numFmtId="3" fontId="7" fillId="8" borderId="176" xfId="4" applyNumberFormat="1" applyFont="1" applyFill="1" applyBorder="1" applyAlignment="1">
      <alignment vertical="center" wrapText="1"/>
    </xf>
    <xf numFmtId="3" fontId="27" fillId="23" borderId="160" xfId="4" applyNumberFormat="1" applyFont="1" applyFill="1" applyBorder="1" applyAlignment="1">
      <alignment vertical="center"/>
    </xf>
    <xf numFmtId="0" fontId="7" fillId="8" borderId="176" xfId="4" applyFont="1" applyFill="1" applyBorder="1" applyAlignment="1">
      <alignment vertical="center" wrapText="1"/>
    </xf>
    <xf numFmtId="0" fontId="7" fillId="8" borderId="193" xfId="4" applyFont="1" applyFill="1" applyBorder="1" applyAlignment="1">
      <alignment vertical="center" wrapText="1"/>
    </xf>
    <xf numFmtId="0" fontId="25" fillId="6" borderId="193" xfId="4" applyFont="1" applyFill="1" applyBorder="1" applyAlignment="1">
      <alignment horizontal="left" vertical="center"/>
    </xf>
    <xf numFmtId="3" fontId="27" fillId="8" borderId="193" xfId="4" applyNumberFormat="1" applyFont="1" applyFill="1" applyBorder="1" applyAlignment="1">
      <alignment vertical="center" wrapText="1"/>
    </xf>
    <xf numFmtId="3" fontId="27" fillId="8" borderId="176" xfId="4" applyNumberFormat="1" applyFont="1" applyFill="1" applyBorder="1" applyAlignment="1">
      <alignment vertical="center" wrapText="1"/>
    </xf>
    <xf numFmtId="0" fontId="27" fillId="8" borderId="193" xfId="4" applyFont="1" applyFill="1" applyBorder="1" applyAlignment="1">
      <alignment vertical="center"/>
    </xf>
    <xf numFmtId="0" fontId="27" fillId="8" borderId="17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2" fontId="22" fillId="0" borderId="0" xfId="0" applyNumberFormat="1" applyFont="1" applyBorder="1" applyAlignment="1">
      <alignment horizontal="center" vertical="center" wrapText="1"/>
    </xf>
    <xf numFmtId="3" fontId="31" fillId="8" borderId="9" xfId="0" applyNumberFormat="1" applyFont="1" applyFill="1" applyBorder="1" applyAlignment="1">
      <alignment vertical="center"/>
    </xf>
    <xf numFmtId="2" fontId="17" fillId="32" borderId="25" xfId="0" applyNumberFormat="1" applyFont="1" applyFill="1" applyBorder="1" applyAlignment="1">
      <alignment vertical="center"/>
    </xf>
    <xf numFmtId="2" fontId="18" fillId="32" borderId="67" xfId="0" applyNumberFormat="1" applyFont="1" applyFill="1" applyBorder="1" applyAlignment="1">
      <alignment horizontal="center" vertical="center" wrapText="1"/>
    </xf>
    <xf numFmtId="2" fontId="18" fillId="32" borderId="0" xfId="0" applyNumberFormat="1" applyFont="1" applyFill="1" applyBorder="1" applyAlignment="1">
      <alignment vertical="center"/>
    </xf>
    <xf numFmtId="3" fontId="31" fillId="8" borderId="185" xfId="0" applyNumberFormat="1" applyFont="1" applyFill="1" applyBorder="1" applyAlignment="1">
      <alignment vertical="center"/>
    </xf>
    <xf numFmtId="3" fontId="31" fillId="8" borderId="191" xfId="0" applyNumberFormat="1" applyFont="1" applyFill="1" applyBorder="1" applyAlignment="1">
      <alignment vertical="center"/>
    </xf>
    <xf numFmtId="3" fontId="27" fillId="2" borderId="193" xfId="4" applyNumberFormat="1" applyFont="1" applyFill="1" applyBorder="1" applyAlignment="1">
      <alignment vertical="center" wrapText="1"/>
    </xf>
    <xf numFmtId="0" fontId="27" fillId="2" borderId="193" xfId="4" applyFont="1" applyFill="1" applyBorder="1" applyAlignment="1">
      <alignment vertical="center"/>
    </xf>
    <xf numFmtId="0" fontId="25" fillId="2" borderId="5" xfId="0" applyFont="1" applyFill="1" applyBorder="1" applyAlignment="1">
      <alignment horizontal="center" vertical="top"/>
    </xf>
    <xf numFmtId="9" fontId="25" fillId="2" borderId="21" xfId="2" applyFont="1" applyFill="1" applyBorder="1" applyAlignment="1">
      <alignment horizontal="center" vertical="top"/>
    </xf>
    <xf numFmtId="0" fontId="21" fillId="2" borderId="160" xfId="0" quotePrefix="1" applyFont="1" applyFill="1" applyBorder="1" applyAlignment="1">
      <alignment horizontal="center" vertical="top"/>
    </xf>
    <xf numFmtId="0" fontId="21" fillId="26" borderId="160" xfId="0" quotePrefix="1" applyFont="1" applyFill="1" applyBorder="1" applyAlignment="1">
      <alignment horizontal="center" vertical="top"/>
    </xf>
    <xf numFmtId="0" fontId="21" fillId="2" borderId="170" xfId="0" quotePrefix="1" applyFont="1" applyFill="1" applyBorder="1" applyAlignment="1">
      <alignment horizontal="center" vertical="top"/>
    </xf>
    <xf numFmtId="0" fontId="25" fillId="8" borderId="26" xfId="0" applyFont="1" applyFill="1" applyBorder="1" applyAlignment="1">
      <alignment vertical="center"/>
    </xf>
    <xf numFmtId="3" fontId="27" fillId="23" borderId="160" xfId="4" applyNumberFormat="1" applyFont="1" applyFill="1" applyBorder="1" applyAlignment="1">
      <alignment vertical="top"/>
    </xf>
    <xf numFmtId="3" fontId="7" fillId="23" borderId="160" xfId="4" applyNumberFormat="1" applyFont="1" applyFill="1" applyBorder="1" applyAlignment="1">
      <alignment vertical="top"/>
    </xf>
    <xf numFmtId="0" fontId="18" fillId="0" borderId="120" xfId="4" applyFont="1" applyFill="1" applyBorder="1" applyAlignment="1">
      <alignment horizontal="center" vertical="center" wrapText="1"/>
    </xf>
    <xf numFmtId="3" fontId="25" fillId="6" borderId="158" xfId="4" applyNumberFormat="1" applyFont="1" applyFill="1" applyBorder="1" applyAlignment="1">
      <alignment vertical="center"/>
    </xf>
    <xf numFmtId="3" fontId="25" fillId="22" borderId="160" xfId="4" applyNumberFormat="1" applyFont="1" applyFill="1" applyBorder="1" applyAlignment="1">
      <alignment vertical="center"/>
    </xf>
    <xf numFmtId="3" fontId="29" fillId="0" borderId="153" xfId="4" applyNumberFormat="1" applyFont="1" applyFill="1" applyBorder="1" applyAlignment="1">
      <alignment horizontal="right" vertical="center"/>
    </xf>
    <xf numFmtId="3" fontId="27" fillId="25" borderId="160" xfId="4" applyNumberFormat="1" applyFont="1" applyFill="1" applyBorder="1" applyAlignment="1">
      <alignment horizontal="right" vertical="center"/>
    </xf>
    <xf numFmtId="0" fontId="7" fillId="0" borderId="193" xfId="4" applyFont="1" applyFill="1" applyBorder="1" applyAlignment="1"/>
    <xf numFmtId="3" fontId="31" fillId="0" borderId="153" xfId="4" applyNumberFormat="1" applyFont="1" applyFill="1" applyBorder="1" applyAlignment="1"/>
    <xf numFmtId="3" fontId="31" fillId="0" borderId="160" xfId="4" applyNumberFormat="1" applyFont="1" applyFill="1" applyBorder="1" applyAlignment="1"/>
    <xf numFmtId="3" fontId="29" fillId="0" borderId="158" xfId="4" applyNumberFormat="1" applyFont="1" applyFill="1" applyBorder="1" applyAlignment="1">
      <alignment horizontal="right" vertical="center"/>
    </xf>
    <xf numFmtId="3" fontId="31" fillId="0" borderId="153" xfId="4" applyNumberFormat="1" applyFont="1" applyFill="1" applyBorder="1" applyAlignment="1">
      <alignment horizontal="right" vertical="center"/>
    </xf>
    <xf numFmtId="3" fontId="7" fillId="0" borderId="153" xfId="4" applyNumberFormat="1" applyFont="1" applyFill="1" applyBorder="1" applyAlignment="1">
      <alignment horizontal="right" vertical="center"/>
    </xf>
    <xf numFmtId="3" fontId="24" fillId="6" borderId="158" xfId="4" applyNumberFormat="1" applyFont="1" applyFill="1" applyBorder="1" applyAlignment="1">
      <alignment vertical="center"/>
    </xf>
    <xf numFmtId="0" fontId="24" fillId="0" borderId="11" xfId="4" applyFont="1" applyFill="1" applyBorder="1" applyAlignment="1">
      <alignment vertical="center"/>
    </xf>
    <xf numFmtId="0" fontId="18" fillId="0" borderId="43" xfId="4" applyFont="1" applyFill="1" applyBorder="1" applyAlignment="1">
      <alignment vertical="center" wrapText="1"/>
    </xf>
    <xf numFmtId="43" fontId="7" fillId="23" borderId="98" xfId="1" applyFont="1" applyFill="1" applyBorder="1" applyAlignment="1">
      <alignment horizontal="center" vertical="center"/>
    </xf>
    <xf numFmtId="3" fontId="8" fillId="0" borderId="185" xfId="0" applyNumberFormat="1" applyFont="1" applyFill="1" applyBorder="1" applyAlignment="1">
      <alignment vertical="center" wrapText="1"/>
    </xf>
    <xf numFmtId="0" fontId="38" fillId="0" borderId="175" xfId="4" applyFont="1" applyFill="1" applyBorder="1" applyAlignment="1">
      <alignment vertical="top"/>
    </xf>
    <xf numFmtId="3" fontId="62" fillId="0" borderId="175" xfId="6" applyNumberFormat="1" applyFont="1" applyFill="1" applyBorder="1" applyAlignment="1">
      <alignment vertical="center"/>
    </xf>
    <xf numFmtId="0" fontId="29" fillId="2" borderId="179" xfId="4" applyFont="1" applyFill="1" applyBorder="1" applyAlignment="1">
      <alignment vertical="center"/>
    </xf>
    <xf numFmtId="3" fontId="25" fillId="32" borderId="9" xfId="0" applyNumberFormat="1" applyFont="1" applyFill="1" applyBorder="1" applyAlignment="1">
      <alignment vertical="top"/>
    </xf>
    <xf numFmtId="3" fontId="31" fillId="32" borderId="191" xfId="4" applyNumberFormat="1" applyFont="1" applyFill="1" applyBorder="1" applyAlignment="1"/>
    <xf numFmtId="3" fontId="31" fillId="32" borderId="185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3" fontId="7" fillId="23" borderId="153" xfId="4" applyNumberFormat="1" applyFont="1" applyFill="1" applyBorder="1" applyAlignment="1">
      <alignment horizontal="right" vertical="center"/>
    </xf>
    <xf numFmtId="3" fontId="7" fillId="0" borderId="185" xfId="4" applyNumberFormat="1" applyFont="1" applyFill="1" applyBorder="1" applyAlignment="1">
      <alignment vertical="center"/>
    </xf>
    <xf numFmtId="3" fontId="29" fillId="0" borderId="118" xfId="4" applyNumberFormat="1" applyFont="1" applyFill="1" applyBorder="1" applyAlignment="1">
      <alignment horizontal="right" vertical="center"/>
    </xf>
    <xf numFmtId="3" fontId="29" fillId="0" borderId="117" xfId="4" applyNumberFormat="1" applyFont="1" applyFill="1" applyBorder="1" applyAlignment="1">
      <alignment horizontal="right" vertical="center"/>
    </xf>
    <xf numFmtId="3" fontId="29" fillId="25" borderId="117" xfId="4" applyNumberFormat="1" applyFont="1" applyFill="1" applyBorder="1" applyAlignment="1">
      <alignment horizontal="right" vertical="center"/>
    </xf>
    <xf numFmtId="3" fontId="31" fillId="0" borderId="116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0" fontId="24" fillId="6" borderId="179" xfId="4" applyFont="1" applyFill="1" applyBorder="1" applyAlignment="1">
      <alignment horizontal="left" vertical="center"/>
    </xf>
    <xf numFmtId="3" fontId="25" fillId="6" borderId="174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43" fontId="25" fillId="6" borderId="150" xfId="1" applyFont="1" applyFill="1" applyBorder="1" applyAlignment="1">
      <alignment vertical="center"/>
    </xf>
    <xf numFmtId="3" fontId="29" fillId="0" borderId="150" xfId="4" applyNumberFormat="1" applyFont="1" applyFill="1" applyBorder="1" applyAlignment="1">
      <alignment vertical="center"/>
    </xf>
    <xf numFmtId="3" fontId="31" fillId="0" borderId="159" xfId="4" applyNumberFormat="1" applyFont="1" applyFill="1" applyBorder="1" applyAlignment="1">
      <alignment horizontal="right" vertical="center"/>
    </xf>
    <xf numFmtId="43" fontId="27" fillId="0" borderId="150" xfId="1" applyFont="1" applyFill="1" applyBorder="1" applyAlignment="1">
      <alignment horizontal="right" vertical="center"/>
    </xf>
    <xf numFmtId="43" fontId="31" fillId="0" borderId="159" xfId="1" applyFont="1" applyFill="1" applyBorder="1" applyAlignment="1">
      <alignment horizontal="right" vertical="center"/>
    </xf>
    <xf numFmtId="1" fontId="61" fillId="13" borderId="0" xfId="0" applyNumberFormat="1" applyFont="1" applyFill="1" applyBorder="1" applyAlignment="1">
      <alignment horizontal="center" vertical="center" wrapText="1"/>
    </xf>
    <xf numFmtId="0" fontId="17" fillId="8" borderId="6" xfId="4" applyFont="1" applyFill="1" applyBorder="1" applyAlignment="1">
      <alignment vertical="top"/>
    </xf>
    <xf numFmtId="0" fontId="7" fillId="8" borderId="175" xfId="4" applyFont="1" applyFill="1" applyBorder="1" applyAlignment="1">
      <alignment vertical="top" wrapText="1"/>
    </xf>
    <xf numFmtId="3" fontId="7" fillId="8" borderId="175" xfId="4" applyNumberFormat="1" applyFont="1" applyFill="1" applyBorder="1" applyAlignment="1">
      <alignment vertical="top" wrapText="1"/>
    </xf>
    <xf numFmtId="0" fontId="18" fillId="8" borderId="170" xfId="4" applyFont="1" applyFill="1" applyBorder="1" applyAlignment="1">
      <alignment horizontal="center" vertical="top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3" fontId="18" fillId="8" borderId="113" xfId="4" applyNumberFormat="1" applyFont="1" applyFill="1" applyBorder="1" applyAlignment="1">
      <alignment horizontal="center" vertical="top"/>
    </xf>
    <xf numFmtId="0" fontId="37" fillId="0" borderId="98" xfId="0" applyFont="1" applyBorder="1" applyAlignment="1">
      <alignment wrapText="1"/>
    </xf>
    <xf numFmtId="3" fontId="7" fillId="8" borderId="17" xfId="0" applyNumberFormat="1" applyFont="1" applyFill="1" applyBorder="1" applyAlignment="1">
      <alignment vertical="top"/>
    </xf>
    <xf numFmtId="0" fontId="7" fillId="0" borderId="114" xfId="4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27" fillId="50" borderId="11" xfId="0" applyFont="1" applyFill="1" applyBorder="1" applyAlignment="1">
      <alignment horizontal="left" vertical="center"/>
    </xf>
    <xf numFmtId="0" fontId="29" fillId="8" borderId="21" xfId="4" applyFont="1" applyFill="1" applyBorder="1" applyAlignment="1">
      <alignment vertical="center"/>
    </xf>
    <xf numFmtId="0" fontId="7" fillId="8" borderId="21" xfId="4" applyFont="1" applyFill="1" applyBorder="1" applyAlignment="1">
      <alignment vertical="center"/>
    </xf>
    <xf numFmtId="0" fontId="7" fillId="8" borderId="74" xfId="4" applyFont="1" applyFill="1" applyBorder="1" applyAlignment="1">
      <alignment vertical="center" wrapText="1"/>
    </xf>
    <xf numFmtId="0" fontId="7" fillId="8" borderId="37" xfId="4" applyFont="1" applyFill="1" applyBorder="1" applyAlignment="1">
      <alignment vertical="center"/>
    </xf>
    <xf numFmtId="3" fontId="7" fillId="8" borderId="185" xfId="4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top"/>
    </xf>
    <xf numFmtId="3" fontId="25" fillId="6" borderId="171" xfId="0" applyNumberFormat="1" applyFont="1" applyFill="1" applyBorder="1" applyAlignment="1">
      <alignment vertical="center"/>
    </xf>
    <xf numFmtId="3" fontId="31" fillId="0" borderId="23" xfId="4" applyNumberFormat="1" applyFont="1" applyFill="1" applyBorder="1" applyAlignment="1">
      <alignment vertical="center"/>
    </xf>
    <xf numFmtId="3" fontId="31" fillId="28" borderId="39" xfId="0" applyNumberFormat="1" applyFont="1" applyFill="1" applyBorder="1" applyAlignment="1">
      <alignment vertical="center"/>
    </xf>
    <xf numFmtId="3" fontId="32" fillId="8" borderId="50" xfId="6" applyNumberFormat="1" applyFont="1" applyFill="1" applyBorder="1" applyAlignment="1">
      <alignment vertical="center"/>
    </xf>
    <xf numFmtId="0" fontId="25" fillId="6" borderId="84" xfId="4" applyFont="1" applyFill="1" applyBorder="1" applyAlignment="1">
      <alignment horizontal="left" vertical="center"/>
    </xf>
    <xf numFmtId="0" fontId="25" fillId="6" borderId="38" xfId="4" applyFont="1" applyFill="1" applyBorder="1" applyAlignment="1">
      <alignment horizontal="left" vertical="center"/>
    </xf>
    <xf numFmtId="3" fontId="24" fillId="6" borderId="39" xfId="4" applyNumberFormat="1" applyFont="1" applyFill="1" applyBorder="1" applyAlignment="1">
      <alignment vertical="center"/>
    </xf>
    <xf numFmtId="3" fontId="29" fillId="8" borderId="84" xfId="4" applyNumberFormat="1" applyFont="1" applyFill="1" applyBorder="1" applyAlignment="1">
      <alignment vertical="center" wrapText="1"/>
    </xf>
    <xf numFmtId="3" fontId="32" fillId="8" borderId="38" xfId="6" applyNumberFormat="1" applyFont="1" applyFill="1" applyBorder="1" applyAlignment="1">
      <alignment vertical="center"/>
    </xf>
    <xf numFmtId="3" fontId="33" fillId="8" borderId="50" xfId="6" applyNumberFormat="1" applyFont="1" applyFill="1" applyBorder="1" applyAlignment="1">
      <alignment vertical="center"/>
    </xf>
    <xf numFmtId="3" fontId="7" fillId="8" borderId="84" xfId="4" applyNumberFormat="1" applyFont="1" applyFill="1" applyBorder="1" applyAlignment="1">
      <alignment vertical="center" wrapText="1"/>
    </xf>
    <xf numFmtId="0" fontId="17" fillId="28" borderId="25" xfId="0" applyFont="1" applyFill="1" applyBorder="1" applyAlignment="1">
      <alignment vertical="center"/>
    </xf>
    <xf numFmtId="0" fontId="17" fillId="8" borderId="52" xfId="4" applyFont="1" applyFill="1" applyBorder="1" applyAlignment="1">
      <alignment horizontal="center" vertical="center"/>
    </xf>
    <xf numFmtId="43" fontId="7" fillId="0" borderId="191" xfId="1" applyFont="1" applyFill="1" applyBorder="1" applyAlignment="1">
      <alignment horizontal="right" vertical="center"/>
    </xf>
    <xf numFmtId="0" fontId="7" fillId="8" borderId="193" xfId="4" applyFont="1" applyFill="1" applyBorder="1" applyAlignment="1">
      <alignment vertical="center"/>
    </xf>
    <xf numFmtId="3" fontId="31" fillId="28" borderId="185" xfId="0" applyNumberFormat="1" applyFont="1" applyFill="1" applyBorder="1" applyAlignment="1">
      <alignment vertical="center"/>
    </xf>
    <xf numFmtId="0" fontId="31" fillId="8" borderId="21" xfId="4" applyFont="1" applyFill="1" applyBorder="1" applyAlignment="1">
      <alignment vertical="center"/>
    </xf>
    <xf numFmtId="3" fontId="31" fillId="28" borderId="35" xfId="0" applyNumberFormat="1" applyFont="1" applyFill="1" applyBorder="1" applyAlignment="1">
      <alignment vertical="center"/>
    </xf>
    <xf numFmtId="3" fontId="32" fillId="8" borderId="9" xfId="6" applyNumberFormat="1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center"/>
    </xf>
    <xf numFmtId="3" fontId="27" fillId="25" borderId="9" xfId="4" applyNumberFormat="1" applyFont="1" applyFill="1" applyBorder="1" applyAlignment="1">
      <alignment horizontal="right" vertical="center"/>
    </xf>
    <xf numFmtId="0" fontId="18" fillId="0" borderId="24" xfId="112" applyFont="1" applyBorder="1" applyAlignment="1">
      <alignment horizontal="center" vertical="center" wrapText="1"/>
    </xf>
    <xf numFmtId="0" fontId="18" fillId="0" borderId="51" xfId="112" applyFont="1" applyBorder="1" applyAlignment="1">
      <alignment horizontal="center" vertical="center" wrapText="1"/>
    </xf>
    <xf numFmtId="0" fontId="18" fillId="0" borderId="3" xfId="112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/>
    </xf>
    <xf numFmtId="0" fontId="21" fillId="0" borderId="51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6" fillId="0" borderId="40" xfId="0" applyFont="1" applyBorder="1" applyAlignment="1"/>
    <xf numFmtId="0" fontId="26" fillId="0" borderId="42" xfId="0" applyFont="1" applyBorder="1" applyAlignment="1"/>
    <xf numFmtId="2" fontId="18" fillId="0" borderId="51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/>
    </xf>
    <xf numFmtId="0" fontId="8" fillId="0" borderId="51" xfId="0" applyFont="1" applyBorder="1"/>
    <xf numFmtId="0" fontId="18" fillId="0" borderId="24" xfId="112" applyFont="1" applyBorder="1" applyAlignment="1">
      <alignment vertical="center"/>
    </xf>
    <xf numFmtId="0" fontId="18" fillId="0" borderId="51" xfId="112" applyFont="1" applyBorder="1" applyAlignment="1">
      <alignment vertical="center"/>
    </xf>
    <xf numFmtId="0" fontId="18" fillId="0" borderId="3" xfId="112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1" fillId="0" borderId="51" xfId="0" applyFont="1" applyBorder="1" applyAlignment="1">
      <alignment vertical="top"/>
    </xf>
    <xf numFmtId="2" fontId="18" fillId="0" borderId="51" xfId="0" applyNumberFormat="1" applyFont="1" applyBorder="1" applyAlignment="1">
      <alignment vertical="top"/>
    </xf>
    <xf numFmtId="2" fontId="18" fillId="0" borderId="3" xfId="0" applyNumberFormat="1" applyFont="1" applyBorder="1" applyAlignment="1">
      <alignment vertical="top"/>
    </xf>
    <xf numFmtId="0" fontId="18" fillId="0" borderId="2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4" xfId="112" applyFont="1" applyBorder="1" applyAlignment="1">
      <alignment vertical="center"/>
    </xf>
    <xf numFmtId="0" fontId="17" fillId="0" borderId="51" xfId="112" applyFont="1" applyBorder="1" applyAlignment="1">
      <alignment vertical="center"/>
    </xf>
    <xf numFmtId="0" fontId="17" fillId="0" borderId="3" xfId="112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5" fillId="0" borderId="51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0" fillId="0" borderId="24" xfId="0" applyFont="1" applyBorder="1" applyAlignment="1">
      <alignment vertical="top"/>
    </xf>
    <xf numFmtId="0" fontId="20" fillId="0" borderId="51" xfId="0" applyFont="1" applyBorder="1" applyAlignment="1">
      <alignment vertical="top"/>
    </xf>
    <xf numFmtId="0" fontId="20" fillId="0" borderId="3" xfId="0" applyFont="1" applyBorder="1" applyAlignment="1">
      <alignment vertical="top"/>
    </xf>
    <xf numFmtId="0" fontId="19" fillId="0" borderId="5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2" fontId="17" fillId="0" borderId="51" xfId="0" applyNumberFormat="1" applyFont="1" applyBorder="1" applyAlignment="1">
      <alignment vertical="top"/>
    </xf>
    <xf numFmtId="2" fontId="17" fillId="0" borderId="3" xfId="0" applyNumberFormat="1" applyFont="1" applyBorder="1" applyAlignment="1">
      <alignment vertical="top"/>
    </xf>
    <xf numFmtId="3" fontId="32" fillId="8" borderId="191" xfId="6" applyNumberFormat="1" applyFont="1" applyFill="1" applyBorder="1" applyAlignment="1">
      <alignment vertical="center"/>
    </xf>
    <xf numFmtId="0" fontId="21" fillId="0" borderId="77" xfId="0" applyFont="1" applyBorder="1" applyAlignment="1">
      <alignment horizontal="center" vertical="top" wrapText="1"/>
    </xf>
    <xf numFmtId="3" fontId="27" fillId="2" borderId="45" xfId="4" applyNumberFormat="1" applyFont="1" applyFill="1" applyBorder="1" applyAlignment="1">
      <alignment vertical="center" wrapText="1"/>
    </xf>
    <xf numFmtId="43" fontId="31" fillId="0" borderId="191" xfId="1" applyFont="1" applyFill="1" applyBorder="1" applyAlignment="1">
      <alignment vertical="center"/>
    </xf>
    <xf numFmtId="43" fontId="8" fillId="11" borderId="3" xfId="1" applyFont="1" applyFill="1" applyBorder="1"/>
    <xf numFmtId="2" fontId="17" fillId="8" borderId="52" xfId="0" applyNumberFormat="1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center"/>
    </xf>
    <xf numFmtId="2" fontId="35" fillId="8" borderId="5" xfId="0" applyNumberFormat="1" applyFont="1" applyFill="1" applyBorder="1" applyAlignment="1">
      <alignment vertical="top"/>
    </xf>
    <xf numFmtId="0" fontId="57" fillId="0" borderId="51" xfId="0" applyFont="1" applyFill="1" applyBorder="1" applyAlignment="1">
      <alignment vertical="top"/>
    </xf>
    <xf numFmtId="0" fontId="19" fillId="0" borderId="3" xfId="0" applyFont="1" applyBorder="1" applyAlignment="1">
      <alignment horizontal="center" vertical="top"/>
    </xf>
    <xf numFmtId="0" fontId="60" fillId="13" borderId="22" xfId="0" applyFont="1" applyFill="1" applyBorder="1" applyAlignment="1">
      <alignment vertical="center"/>
    </xf>
    <xf numFmtId="0" fontId="65" fillId="0" borderId="38" xfId="4" applyFont="1" applyFill="1" applyBorder="1" applyAlignment="1">
      <alignment horizontal="left" vertical="center"/>
    </xf>
    <xf numFmtId="2" fontId="27" fillId="50" borderId="38" xfId="4" applyNumberFormat="1" applyFont="1" applyFill="1" applyBorder="1" applyAlignment="1">
      <alignment horizontal="left" vertical="center"/>
    </xf>
    <xf numFmtId="3" fontId="71" fillId="2" borderId="24" xfId="0" applyNumberFormat="1" applyFont="1" applyFill="1" applyBorder="1" applyAlignment="1">
      <alignment vertical="center"/>
    </xf>
    <xf numFmtId="3" fontId="27" fillId="25" borderId="7" xfId="0" applyNumberFormat="1" applyFont="1" applyFill="1" applyBorder="1" applyAlignment="1">
      <alignment horizontal="center" vertical="top"/>
    </xf>
    <xf numFmtId="3" fontId="31" fillId="25" borderId="7" xfId="0" applyNumberFormat="1" applyFont="1" applyFill="1" applyBorder="1" applyAlignment="1">
      <alignment horizontal="center" vertical="center"/>
    </xf>
    <xf numFmtId="3" fontId="7" fillId="23" borderId="76" xfId="0" applyNumberFormat="1" applyFont="1" applyFill="1" applyBorder="1" applyAlignment="1">
      <alignment vertical="center"/>
    </xf>
    <xf numFmtId="3" fontId="27" fillId="21" borderId="7" xfId="4" applyNumberFormat="1" applyFont="1" applyFill="1" applyBorder="1" applyAlignment="1">
      <alignment horizontal="right" vertical="center"/>
    </xf>
    <xf numFmtId="2" fontId="25" fillId="22" borderId="7" xfId="0" applyNumberFormat="1" applyFont="1" applyFill="1" applyBorder="1" applyAlignment="1">
      <alignment vertical="top"/>
    </xf>
    <xf numFmtId="3" fontId="37" fillId="0" borderId="69" xfId="0" applyNumberFormat="1" applyFont="1" applyBorder="1" applyAlignment="1">
      <alignment vertical="top"/>
    </xf>
    <xf numFmtId="3" fontId="24" fillId="22" borderId="7" xfId="4" applyNumberFormat="1" applyFont="1" applyFill="1" applyBorder="1" applyAlignment="1">
      <alignment horizontal="right" vertical="center"/>
    </xf>
    <xf numFmtId="0" fontId="18" fillId="0" borderId="84" xfId="112" applyFont="1" applyBorder="1" applyAlignment="1">
      <alignment horizontal="center" vertical="center" wrapText="1"/>
    </xf>
    <xf numFmtId="0" fontId="18" fillId="0" borderId="1" xfId="112" applyFont="1" applyBorder="1" applyAlignment="1">
      <alignment horizontal="center" vertical="center" wrapText="1"/>
    </xf>
    <xf numFmtId="2" fontId="20" fillId="8" borderId="52" xfId="0" applyNumberFormat="1" applyFont="1" applyFill="1" applyBorder="1" applyAlignment="1">
      <alignment horizontal="center" vertical="center" wrapText="1"/>
    </xf>
    <xf numFmtId="2" fontId="35" fillId="8" borderId="5" xfId="0" applyNumberFormat="1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vertical="top"/>
    </xf>
    <xf numFmtId="0" fontId="18" fillId="0" borderId="66" xfId="112" applyFont="1" applyBorder="1" applyAlignment="1">
      <alignment horizontal="center" vertical="center" wrapText="1"/>
    </xf>
    <xf numFmtId="3" fontId="24" fillId="6" borderId="23" xfId="4" applyNumberFormat="1" applyFont="1" applyFill="1" applyBorder="1" applyAlignment="1">
      <alignment vertical="center"/>
    </xf>
    <xf numFmtId="2" fontId="17" fillId="8" borderId="25" xfId="0" applyNumberFormat="1" applyFont="1" applyFill="1" applyBorder="1" applyAlignment="1">
      <alignment vertical="top"/>
    </xf>
    <xf numFmtId="2" fontId="27" fillId="21" borderId="72" xfId="4" applyNumberFormat="1" applyFont="1" applyFill="1" applyBorder="1" applyAlignment="1">
      <alignment horizontal="right" vertical="center"/>
    </xf>
    <xf numFmtId="0" fontId="39" fillId="0" borderId="22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/>
    <xf numFmtId="3" fontId="25" fillId="22" borderId="7" xfId="0" applyNumberFormat="1" applyFont="1" applyFill="1" applyBorder="1" applyAlignment="1">
      <alignment vertical="center"/>
    </xf>
    <xf numFmtId="0" fontId="39" fillId="0" borderId="14" xfId="0" applyFont="1" applyFill="1" applyBorder="1" applyAlignment="1">
      <alignment vertical="center"/>
    </xf>
    <xf numFmtId="0" fontId="18" fillId="0" borderId="26" xfId="112" applyFont="1" applyBorder="1" applyAlignment="1">
      <alignment horizontal="center" vertical="center" wrapText="1"/>
    </xf>
    <xf numFmtId="2" fontId="27" fillId="50" borderId="65" xfId="0" applyNumberFormat="1" applyFont="1" applyFill="1" applyBorder="1" applyAlignment="1">
      <alignment horizontal="left" vertical="top"/>
    </xf>
    <xf numFmtId="2" fontId="28" fillId="50" borderId="6" xfId="0" quotePrefix="1" applyNumberFormat="1" applyFont="1" applyFill="1" applyBorder="1" applyAlignment="1">
      <alignment horizontal="center" vertical="top"/>
    </xf>
    <xf numFmtId="2" fontId="27" fillId="50" borderId="27" xfId="0" quotePrefix="1" applyNumberFormat="1" applyFont="1" applyFill="1" applyBorder="1" applyAlignment="1">
      <alignment horizontal="right" vertical="top"/>
    </xf>
    <xf numFmtId="2" fontId="27" fillId="21" borderId="10" xfId="4" applyNumberFormat="1" applyFont="1" applyFill="1" applyBorder="1" applyAlignment="1">
      <alignment horizontal="right" vertical="center"/>
    </xf>
    <xf numFmtId="0" fontId="39" fillId="0" borderId="6" xfId="0" applyFont="1" applyFill="1" applyBorder="1" applyAlignment="1">
      <alignment vertical="center"/>
    </xf>
    <xf numFmtId="3" fontId="74" fillId="0" borderId="13" xfId="0" applyNumberFormat="1" applyFont="1" applyFill="1" applyBorder="1" applyAlignment="1">
      <alignment vertical="center" wrapText="1"/>
    </xf>
    <xf numFmtId="3" fontId="72" fillId="0" borderId="10" xfId="0" applyNumberFormat="1" applyFont="1" applyFill="1" applyBorder="1" applyAlignment="1">
      <alignment vertical="center" wrapText="1"/>
    </xf>
    <xf numFmtId="2" fontId="31" fillId="8" borderId="21" xfId="0" applyNumberFormat="1" applyFont="1" applyFill="1" applyBorder="1" applyAlignment="1">
      <alignment vertical="top"/>
    </xf>
    <xf numFmtId="2" fontId="31" fillId="8" borderId="9" xfId="0" applyNumberFormat="1" applyFont="1" applyFill="1" applyBorder="1" applyAlignment="1">
      <alignment vertical="top"/>
    </xf>
    <xf numFmtId="0" fontId="37" fillId="0" borderId="0" xfId="0" applyFont="1" applyBorder="1" applyAlignment="1">
      <alignment vertical="center"/>
    </xf>
    <xf numFmtId="0" fontId="4" fillId="0" borderId="0" xfId="0" applyFont="1" applyBorder="1"/>
    <xf numFmtId="3" fontId="4" fillId="0" borderId="0" xfId="0" applyNumberFormat="1" applyFont="1" applyBorder="1"/>
    <xf numFmtId="3" fontId="33" fillId="0" borderId="0" xfId="6" applyNumberFormat="1" applyFont="1" applyFill="1" applyBorder="1" applyAlignment="1">
      <alignment vertical="center"/>
    </xf>
    <xf numFmtId="2" fontId="25" fillId="6" borderId="0" xfId="4" applyNumberFormat="1" applyFont="1" applyFill="1" applyBorder="1" applyAlignment="1">
      <alignment horizontal="left" vertical="center"/>
    </xf>
    <xf numFmtId="2" fontId="25" fillId="6" borderId="0" xfId="0" applyNumberFormat="1" applyFont="1" applyFill="1" applyBorder="1" applyAlignment="1">
      <alignment vertical="top"/>
    </xf>
    <xf numFmtId="2" fontId="25" fillId="22" borderId="0" xfId="0" applyNumberFormat="1" applyFont="1" applyFill="1" applyBorder="1" applyAlignment="1">
      <alignment vertical="top"/>
    </xf>
    <xf numFmtId="2" fontId="27" fillId="8" borderId="0" xfId="4" applyNumberFormat="1" applyFont="1" applyFill="1" applyBorder="1" applyAlignment="1">
      <alignment vertical="top"/>
    </xf>
    <xf numFmtId="2" fontId="27" fillId="8" borderId="0" xfId="0" applyNumberFormat="1" applyFont="1" applyFill="1" applyBorder="1" applyAlignment="1">
      <alignment vertical="top"/>
    </xf>
    <xf numFmtId="2" fontId="27" fillId="23" borderId="0" xfId="0" applyNumberFormat="1" applyFont="1" applyFill="1" applyBorder="1" applyAlignment="1">
      <alignment vertical="top"/>
    </xf>
    <xf numFmtId="0" fontId="24" fillId="6" borderId="0" xfId="4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0" fontId="31" fillId="6" borderId="194" xfId="0" applyFont="1" applyFill="1" applyBorder="1" applyAlignment="1">
      <alignment vertical="center"/>
    </xf>
    <xf numFmtId="43" fontId="25" fillId="6" borderId="174" xfId="1" applyFont="1" applyFill="1" applyBorder="1" applyAlignment="1">
      <alignment vertical="center"/>
    </xf>
    <xf numFmtId="3" fontId="27" fillId="0" borderId="174" xfId="0" applyNumberFormat="1" applyFont="1" applyFill="1" applyBorder="1" applyAlignment="1">
      <alignment vertical="center"/>
    </xf>
    <xf numFmtId="43" fontId="27" fillId="0" borderId="174" xfId="1" applyFont="1" applyFill="1" applyBorder="1" applyAlignment="1">
      <alignment vertical="center"/>
    </xf>
    <xf numFmtId="0" fontId="25" fillId="6" borderId="194" xfId="4" applyFont="1" applyFill="1" applyBorder="1" applyAlignment="1">
      <alignment horizontal="left" vertical="center"/>
    </xf>
    <xf numFmtId="2" fontId="27" fillId="50" borderId="67" xfId="4" applyNumberFormat="1" applyFont="1" applyFill="1" applyBorder="1" applyAlignment="1">
      <alignment horizontal="left" vertical="center"/>
    </xf>
    <xf numFmtId="3" fontId="61" fillId="0" borderId="12" xfId="0" applyNumberFormat="1" applyFont="1" applyFill="1" applyBorder="1" applyAlignment="1">
      <alignment vertical="center" wrapText="1"/>
    </xf>
    <xf numFmtId="2" fontId="27" fillId="50" borderId="179" xfId="4" applyNumberFormat="1" applyFont="1" applyFill="1" applyBorder="1" applyAlignment="1">
      <alignment horizontal="left" vertical="center"/>
    </xf>
    <xf numFmtId="3" fontId="61" fillId="0" borderId="8" xfId="0" applyNumberFormat="1" applyFont="1" applyFill="1" applyBorder="1" applyAlignment="1">
      <alignment vertical="center" wrapText="1"/>
    </xf>
    <xf numFmtId="3" fontId="27" fillId="0" borderId="12" xfId="0" applyNumberFormat="1" applyFont="1" applyFill="1" applyBorder="1" applyAlignment="1">
      <alignment vertical="center"/>
    </xf>
    <xf numFmtId="2" fontId="27" fillId="50" borderId="23" xfId="4" applyNumberFormat="1" applyFont="1" applyFill="1" applyBorder="1" applyAlignment="1">
      <alignment horizontal="right" vertical="center"/>
    </xf>
    <xf numFmtId="3" fontId="61" fillId="0" borderId="72" xfId="0" applyNumberFormat="1" applyFont="1" applyFill="1" applyBorder="1" applyAlignment="1">
      <alignment vertical="center" wrapText="1"/>
    </xf>
    <xf numFmtId="2" fontId="27" fillId="50" borderId="174" xfId="4" applyNumberFormat="1" applyFont="1" applyFill="1" applyBorder="1" applyAlignment="1">
      <alignment horizontal="right" vertical="center"/>
    </xf>
    <xf numFmtId="3" fontId="71" fillId="2" borderId="8" xfId="0" applyNumberFormat="1" applyFont="1" applyFill="1" applyBorder="1" applyAlignment="1">
      <alignment vertical="center"/>
    </xf>
    <xf numFmtId="3" fontId="73" fillId="2" borderId="8" xfId="0" applyNumberFormat="1" applyFont="1" applyFill="1" applyBorder="1" applyAlignment="1">
      <alignment vertical="center"/>
    </xf>
    <xf numFmtId="0" fontId="38" fillId="0" borderId="24" xfId="0" applyFont="1" applyFill="1" applyBorder="1" applyAlignment="1">
      <alignment vertical="top"/>
    </xf>
    <xf numFmtId="3" fontId="37" fillId="0" borderId="35" xfId="0" applyNumberFormat="1" applyFont="1" applyBorder="1"/>
    <xf numFmtId="3" fontId="31" fillId="0" borderId="35" xfId="4" applyNumberFormat="1" applyFont="1" applyFill="1" applyBorder="1" applyAlignment="1">
      <alignment vertical="center"/>
    </xf>
    <xf numFmtId="2" fontId="7" fillId="23" borderId="10" xfId="0" applyNumberFormat="1" applyFont="1" applyFill="1" applyBorder="1" applyAlignment="1">
      <alignment vertical="top"/>
    </xf>
    <xf numFmtId="0" fontId="7" fillId="0" borderId="35" xfId="4" applyFont="1" applyFill="1" applyBorder="1" applyAlignment="1">
      <alignment vertical="top"/>
    </xf>
    <xf numFmtId="3" fontId="32" fillId="0" borderId="35" xfId="6" applyNumberFormat="1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vertical="top"/>
    </xf>
    <xf numFmtId="2" fontId="25" fillId="23" borderId="0" xfId="0" applyNumberFormat="1" applyFont="1" applyFill="1" applyBorder="1" applyAlignment="1">
      <alignment horizontal="center" vertical="top"/>
    </xf>
    <xf numFmtId="3" fontId="29" fillId="2" borderId="0" xfId="4" applyNumberFormat="1" applyFont="1" applyFill="1" applyBorder="1" applyAlignment="1">
      <alignment vertical="top" wrapText="1"/>
    </xf>
    <xf numFmtId="3" fontId="25" fillId="22" borderId="178" xfId="0" applyNumberFormat="1" applyFont="1" applyFill="1" applyBorder="1" applyAlignment="1">
      <alignment vertical="center"/>
    </xf>
    <xf numFmtId="3" fontId="27" fillId="25" borderId="178" xfId="4" applyNumberFormat="1" applyFont="1" applyFill="1" applyBorder="1" applyAlignment="1">
      <alignment horizontal="right" vertical="center"/>
    </xf>
    <xf numFmtId="3" fontId="25" fillId="22" borderId="183" xfId="4" applyNumberFormat="1" applyFont="1" applyFill="1" applyBorder="1" applyAlignment="1">
      <alignment horizontal="right" vertical="center"/>
    </xf>
    <xf numFmtId="3" fontId="27" fillId="25" borderId="8" xfId="4" applyNumberFormat="1" applyFont="1" applyFill="1" applyBorder="1" applyAlignment="1">
      <alignment horizontal="right" vertical="center"/>
    </xf>
    <xf numFmtId="2" fontId="24" fillId="2" borderId="8" xfId="0" applyNumberFormat="1" applyFont="1" applyFill="1" applyBorder="1" applyAlignment="1">
      <alignment horizontal="left" vertical="top" wrapText="1"/>
    </xf>
    <xf numFmtId="2" fontId="27" fillId="21" borderId="7" xfId="4" applyNumberFormat="1" applyFont="1" applyFill="1" applyBorder="1" applyAlignment="1">
      <alignment horizontal="right" vertical="center"/>
    </xf>
    <xf numFmtId="0" fontId="73" fillId="2" borderId="8" xfId="0" applyFont="1" applyFill="1" applyBorder="1" applyAlignment="1">
      <alignment vertical="center"/>
    </xf>
    <xf numFmtId="3" fontId="27" fillId="23" borderId="183" xfId="0" applyNumberFormat="1" applyFont="1" applyFill="1" applyBorder="1" applyAlignment="1">
      <alignment vertical="center"/>
    </xf>
    <xf numFmtId="3" fontId="31" fillId="25" borderId="178" xfId="4" applyNumberFormat="1" applyFont="1" applyFill="1" applyBorder="1" applyAlignment="1">
      <alignment horizontal="right" vertical="center"/>
    </xf>
    <xf numFmtId="3" fontId="31" fillId="23" borderId="183" xfId="0" applyNumberFormat="1" applyFont="1" applyFill="1" applyBorder="1" applyAlignment="1">
      <alignment vertical="center"/>
    </xf>
    <xf numFmtId="3" fontId="25" fillId="22" borderId="183" xfId="0" applyNumberFormat="1" applyFont="1" applyFill="1" applyBorder="1" applyAlignment="1">
      <alignment vertical="top"/>
    </xf>
    <xf numFmtId="3" fontId="25" fillId="25" borderId="183" xfId="0" applyNumberFormat="1" applyFont="1" applyFill="1" applyBorder="1" applyAlignment="1">
      <alignment vertical="top"/>
    </xf>
    <xf numFmtId="3" fontId="31" fillId="25" borderId="183" xfId="0" applyNumberFormat="1" applyFont="1" applyFill="1" applyBorder="1" applyAlignment="1">
      <alignment vertical="top"/>
    </xf>
    <xf numFmtId="3" fontId="27" fillId="25" borderId="183" xfId="4" applyNumberFormat="1" applyFont="1" applyFill="1" applyBorder="1" applyAlignment="1">
      <alignment horizontal="right" vertical="center"/>
    </xf>
    <xf numFmtId="3" fontId="33" fillId="25" borderId="183" xfId="6" applyNumberFormat="1" applyFont="1" applyFill="1" applyBorder="1" applyAlignment="1">
      <alignment vertical="center"/>
    </xf>
    <xf numFmtId="0" fontId="34" fillId="0" borderId="64" xfId="0" applyFont="1" applyFill="1" applyBorder="1" applyAlignment="1">
      <alignment vertical="center"/>
    </xf>
    <xf numFmtId="3" fontId="61" fillId="0" borderId="76" xfId="0" applyNumberFormat="1" applyFont="1" applyFill="1" applyBorder="1" applyAlignment="1">
      <alignment vertical="center" wrapText="1"/>
    </xf>
    <xf numFmtId="3" fontId="31" fillId="2" borderId="171" xfId="0" applyNumberFormat="1" applyFont="1" applyFill="1" applyBorder="1" applyAlignment="1">
      <alignment vertical="center"/>
    </xf>
    <xf numFmtId="3" fontId="27" fillId="0" borderId="68" xfId="0" applyNumberFormat="1" applyFont="1" applyFill="1" applyBorder="1" applyAlignment="1">
      <alignment vertical="center"/>
    </xf>
    <xf numFmtId="3" fontId="27" fillId="25" borderId="76" xfId="0" applyNumberFormat="1" applyFont="1" applyFill="1" applyBorder="1" applyAlignment="1">
      <alignment horizontal="center" vertical="center"/>
    </xf>
    <xf numFmtId="3" fontId="33" fillId="0" borderId="68" xfId="6" applyNumberFormat="1" applyFont="1" applyFill="1" applyBorder="1" applyAlignment="1">
      <alignment vertical="center"/>
    </xf>
    <xf numFmtId="3" fontId="31" fillId="0" borderId="171" xfId="4" applyNumberFormat="1" applyFont="1" applyFill="1" applyBorder="1" applyAlignment="1">
      <alignment vertical="center"/>
    </xf>
    <xf numFmtId="3" fontId="31" fillId="0" borderId="12" xfId="4" applyNumberFormat="1" applyFont="1" applyFill="1" applyBorder="1" applyAlignment="1">
      <alignment vertical="center"/>
    </xf>
    <xf numFmtId="0" fontId="23" fillId="6" borderId="174" xfId="0" applyFont="1" applyFill="1" applyBorder="1" applyAlignment="1">
      <alignment horizontal="center" vertical="center"/>
    </xf>
    <xf numFmtId="3" fontId="27" fillId="2" borderId="175" xfId="4" applyNumberFormat="1" applyFont="1" applyFill="1" applyBorder="1" applyAlignment="1">
      <alignment vertical="top" wrapText="1"/>
    </xf>
    <xf numFmtId="0" fontId="31" fillId="0" borderId="175" xfId="4" applyFont="1" applyFill="1" applyBorder="1" applyAlignment="1">
      <alignment vertical="center"/>
    </xf>
    <xf numFmtId="3" fontId="25" fillId="25" borderId="174" xfId="0" applyNumberFormat="1" applyFont="1" applyFill="1" applyBorder="1" applyAlignment="1">
      <alignment vertical="top"/>
    </xf>
    <xf numFmtId="0" fontId="23" fillId="6" borderId="8" xfId="0" applyFont="1" applyFill="1" applyBorder="1" applyAlignment="1">
      <alignment horizontal="center" vertical="center"/>
    </xf>
    <xf numFmtId="3" fontId="25" fillId="22" borderId="9" xfId="0" applyNumberFormat="1" applyFont="1" applyFill="1" applyBorder="1" applyAlignment="1">
      <alignment vertical="center"/>
    </xf>
    <xf numFmtId="0" fontId="31" fillId="8" borderId="175" xfId="0" applyFont="1" applyFill="1" applyBorder="1" applyAlignment="1">
      <alignment vertical="top"/>
    </xf>
    <xf numFmtId="3" fontId="31" fillId="8" borderId="175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43" fontId="33" fillId="0" borderId="35" xfId="1" applyFont="1" applyFill="1" applyBorder="1" applyAlignment="1">
      <alignment vertical="center"/>
    </xf>
    <xf numFmtId="0" fontId="7" fillId="8" borderId="65" xfId="4" applyFont="1" applyFill="1" applyBorder="1" applyAlignment="1">
      <alignment vertical="center"/>
    </xf>
    <xf numFmtId="3" fontId="31" fillId="28" borderId="171" xfId="0" applyNumberFormat="1" applyFont="1" applyFill="1" applyBorder="1" applyAlignment="1">
      <alignment vertical="center"/>
    </xf>
    <xf numFmtId="43" fontId="31" fillId="28" borderId="171" xfId="1" applyFont="1" applyFill="1" applyBorder="1" applyAlignment="1">
      <alignment vertical="center"/>
    </xf>
    <xf numFmtId="3" fontId="27" fillId="25" borderId="178" xfId="0" applyNumberFormat="1" applyFont="1" applyFill="1" applyBorder="1" applyAlignment="1">
      <alignment vertical="center"/>
    </xf>
    <xf numFmtId="0" fontId="7" fillId="0" borderId="175" xfId="4" applyFont="1" applyFill="1" applyBorder="1" applyAlignment="1">
      <alignment vertical="center"/>
    </xf>
    <xf numFmtId="3" fontId="24" fillId="8" borderId="18" xfId="4" applyNumberFormat="1" applyFont="1" applyFill="1" applyBorder="1" applyAlignment="1">
      <alignment horizontal="right" vertical="center"/>
    </xf>
    <xf numFmtId="3" fontId="7" fillId="8" borderId="18" xfId="4" applyNumberFormat="1" applyFont="1" applyFill="1" applyBorder="1" applyAlignment="1">
      <alignment horizontal="right" vertical="center"/>
    </xf>
    <xf numFmtId="3" fontId="32" fillId="0" borderId="171" xfId="6" applyNumberFormat="1" applyFont="1" applyFill="1" applyBorder="1" applyAlignment="1">
      <alignment vertical="center"/>
    </xf>
    <xf numFmtId="0" fontId="25" fillId="8" borderId="76" xfId="0" applyFont="1" applyFill="1" applyBorder="1" applyAlignment="1">
      <alignment horizontal="center" vertical="center" wrapText="1"/>
    </xf>
    <xf numFmtId="3" fontId="25" fillId="8" borderId="18" xfId="0" applyNumberFormat="1" applyFont="1" applyFill="1" applyBorder="1" applyAlignment="1">
      <alignment vertical="top"/>
    </xf>
    <xf numFmtId="3" fontId="31" fillId="0" borderId="15" xfId="4" applyNumberFormat="1" applyFont="1" applyFill="1" applyBorder="1" applyAlignment="1">
      <alignment vertical="center"/>
    </xf>
    <xf numFmtId="0" fontId="31" fillId="8" borderId="18" xfId="0" applyFont="1" applyFill="1" applyBorder="1" applyAlignment="1">
      <alignment vertical="top"/>
    </xf>
    <xf numFmtId="0" fontId="25" fillId="8" borderId="7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3" fontId="24" fillId="8" borderId="178" xfId="4" applyNumberFormat="1" applyFont="1" applyFill="1" applyBorder="1" applyAlignment="1">
      <alignment horizontal="center" vertical="center"/>
    </xf>
    <xf numFmtId="3" fontId="24" fillId="8" borderId="18" xfId="4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vertical="center"/>
    </xf>
    <xf numFmtId="0" fontId="18" fillId="8" borderId="17" xfId="0" applyFont="1" applyFill="1" applyBorder="1" applyAlignment="1">
      <alignment vertical="center"/>
    </xf>
    <xf numFmtId="43" fontId="7" fillId="8" borderId="18" xfId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vertical="center"/>
    </xf>
    <xf numFmtId="0" fontId="7" fillId="8" borderId="18" xfId="112" applyFont="1" applyFill="1" applyBorder="1" applyAlignment="1">
      <alignment vertical="center"/>
    </xf>
    <xf numFmtId="3" fontId="7" fillId="8" borderId="18" xfId="112" applyNumberFormat="1" applyFont="1" applyFill="1" applyBorder="1" applyAlignment="1">
      <alignment vertical="center"/>
    </xf>
    <xf numFmtId="3" fontId="7" fillId="8" borderId="17" xfId="112" applyNumberFormat="1" applyFont="1" applyFill="1" applyBorder="1" applyAlignment="1">
      <alignment vertical="center"/>
    </xf>
    <xf numFmtId="3" fontId="33" fillId="0" borderId="175" xfId="1" applyNumberFormat="1" applyFont="1" applyFill="1" applyBorder="1" applyAlignment="1">
      <alignment vertical="center"/>
    </xf>
    <xf numFmtId="3" fontId="7" fillId="0" borderId="175" xfId="1" applyNumberFormat="1" applyFont="1" applyFill="1" applyBorder="1" applyAlignment="1">
      <alignment horizontal="right" vertical="center"/>
    </xf>
    <xf numFmtId="43" fontId="18" fillId="8" borderId="18" xfId="1" applyFont="1" applyFill="1" applyBorder="1" applyAlignment="1">
      <alignment vertical="center"/>
    </xf>
    <xf numFmtId="3" fontId="18" fillId="8" borderId="18" xfId="0" applyNumberFormat="1" applyFont="1" applyFill="1" applyBorder="1" applyAlignment="1">
      <alignment vertical="center"/>
    </xf>
    <xf numFmtId="0" fontId="27" fillId="50" borderId="125" xfId="4" applyFont="1" applyFill="1" applyBorder="1" applyAlignment="1">
      <alignment horizontal="left" vertical="center"/>
    </xf>
    <xf numFmtId="3" fontId="27" fillId="50" borderId="119" xfId="4" applyNumberFormat="1" applyFont="1" applyFill="1" applyBorder="1" applyAlignment="1">
      <alignment horizontal="right" vertical="center"/>
    </xf>
    <xf numFmtId="0" fontId="27" fillId="50" borderId="10" xfId="4" applyFont="1" applyFill="1" applyBorder="1" applyAlignment="1">
      <alignment horizontal="left" vertical="center"/>
    </xf>
    <xf numFmtId="0" fontId="27" fillId="50" borderId="72" xfId="0" applyFont="1" applyFill="1" applyBorder="1" applyAlignment="1">
      <alignment horizontal="left" vertical="top"/>
    </xf>
    <xf numFmtId="0" fontId="28" fillId="50" borderId="12" xfId="0" quotePrefix="1" applyFont="1" applyFill="1" applyBorder="1" applyAlignment="1">
      <alignment horizontal="center" vertical="top"/>
    </xf>
    <xf numFmtId="0" fontId="27" fillId="8" borderId="117" xfId="4" applyFont="1" applyFill="1" applyBorder="1" applyAlignment="1">
      <alignment vertical="center"/>
    </xf>
    <xf numFmtId="3" fontId="27" fillId="8" borderId="117" xfId="0" applyNumberFormat="1" applyFont="1" applyFill="1" applyBorder="1" applyAlignment="1">
      <alignment vertical="top"/>
    </xf>
    <xf numFmtId="3" fontId="27" fillId="23" borderId="117" xfId="0" applyNumberFormat="1" applyFont="1" applyFill="1" applyBorder="1" applyAlignment="1">
      <alignment vertical="top"/>
    </xf>
    <xf numFmtId="0" fontId="31" fillId="8" borderId="117" xfId="0" applyFont="1" applyFill="1" applyBorder="1" applyAlignment="1">
      <alignment vertical="top"/>
    </xf>
    <xf numFmtId="3" fontId="31" fillId="8" borderId="117" xfId="0" applyNumberFormat="1" applyFont="1" applyFill="1" applyBorder="1" applyAlignment="1">
      <alignment vertical="top"/>
    </xf>
    <xf numFmtId="3" fontId="28" fillId="23" borderId="117" xfId="0" applyNumberFormat="1" applyFont="1" applyFill="1" applyBorder="1" applyAlignment="1">
      <alignment horizontal="center" vertical="top"/>
    </xf>
    <xf numFmtId="3" fontId="27" fillId="23" borderId="117" xfId="0" applyNumberFormat="1" applyFont="1" applyFill="1" applyBorder="1" applyAlignment="1">
      <alignment horizontal="center" vertical="top"/>
    </xf>
    <xf numFmtId="0" fontId="31" fillId="8" borderId="117" xfId="4" applyFont="1" applyFill="1" applyBorder="1" applyAlignment="1">
      <alignment vertical="center"/>
    </xf>
    <xf numFmtId="3" fontId="31" fillId="23" borderId="117" xfId="0" applyNumberFormat="1" applyFont="1" applyFill="1" applyBorder="1" applyAlignment="1">
      <alignment horizontal="center" vertical="top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12" xfId="4" applyFont="1" applyFill="1" applyBorder="1" applyAlignment="1">
      <alignment vertical="center"/>
    </xf>
    <xf numFmtId="0" fontId="31" fillId="0" borderId="175" xfId="0" applyFont="1" applyFill="1" applyBorder="1" applyAlignment="1">
      <alignment horizontal="left" vertical="center" wrapText="1"/>
    </xf>
    <xf numFmtId="3" fontId="25" fillId="8" borderId="76" xfId="0" applyNumberFormat="1" applyFont="1" applyFill="1" applyBorder="1" applyAlignment="1">
      <alignment vertical="top"/>
    </xf>
    <xf numFmtId="3" fontId="25" fillId="8" borderId="18" xfId="0" applyNumberFormat="1" applyFont="1" applyFill="1" applyBorder="1" applyAlignment="1">
      <alignment vertical="center"/>
    </xf>
    <xf numFmtId="3" fontId="25" fillId="8" borderId="17" xfId="0" applyNumberFormat="1" applyFont="1" applyFill="1" applyBorder="1" applyAlignment="1">
      <alignment vertical="top"/>
    </xf>
    <xf numFmtId="0" fontId="7" fillId="6" borderId="174" xfId="0" applyFont="1" applyFill="1" applyBorder="1" applyAlignment="1">
      <alignment vertical="top"/>
    </xf>
    <xf numFmtId="3" fontId="25" fillId="6" borderId="175" xfId="0" applyNumberFormat="1" applyFont="1" applyFill="1" applyBorder="1" applyAlignment="1"/>
    <xf numFmtId="43" fontId="25" fillId="6" borderId="175" xfId="1" applyFont="1" applyFill="1" applyBorder="1" applyAlignment="1"/>
    <xf numFmtId="43" fontId="27" fillId="2" borderId="175" xfId="1" applyFont="1" applyFill="1" applyBorder="1" applyAlignment="1"/>
    <xf numFmtId="43" fontId="0" fillId="0" borderId="175" xfId="1" applyFont="1" applyBorder="1"/>
    <xf numFmtId="0" fontId="7" fillId="0" borderId="36" xfId="4" applyFont="1" applyFill="1" applyBorder="1" applyAlignment="1">
      <alignment vertical="center"/>
    </xf>
    <xf numFmtId="3" fontId="29" fillId="2" borderId="193" xfId="4" applyNumberFormat="1" applyFont="1" applyFill="1" applyBorder="1" applyAlignment="1">
      <alignment vertical="center" wrapText="1"/>
    </xf>
    <xf numFmtId="0" fontId="7" fillId="0" borderId="193" xfId="4" applyFont="1" applyFill="1" applyBorder="1" applyAlignment="1">
      <alignment vertical="center"/>
    </xf>
    <xf numFmtId="0" fontId="7" fillId="0" borderId="189" xfId="4" applyFont="1" applyFill="1" applyBorder="1" applyAlignment="1">
      <alignment vertical="center"/>
    </xf>
    <xf numFmtId="43" fontId="31" fillId="0" borderId="166" xfId="1" applyFont="1" applyFill="1" applyBorder="1" applyAlignment="1">
      <alignment vertical="center"/>
    </xf>
    <xf numFmtId="3" fontId="29" fillId="0" borderId="166" xfId="4" applyNumberFormat="1" applyFont="1" applyFill="1" applyBorder="1" applyAlignment="1">
      <alignment horizontal="right" vertical="center"/>
    </xf>
    <xf numFmtId="3" fontId="27" fillId="25" borderId="117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top"/>
    </xf>
    <xf numFmtId="3" fontId="31" fillId="2" borderId="117" xfId="0" applyNumberFormat="1" applyFont="1" applyFill="1" applyBorder="1" applyAlignment="1">
      <alignment vertical="top"/>
    </xf>
    <xf numFmtId="3" fontId="31" fillId="2" borderId="117" xfId="0" applyNumberFormat="1" applyFont="1" applyFill="1" applyBorder="1" applyAlignment="1">
      <alignment vertical="center"/>
    </xf>
    <xf numFmtId="3" fontId="27" fillId="0" borderId="117" xfId="0" applyNumberFormat="1" applyFont="1" applyFill="1" applyBorder="1" applyAlignment="1">
      <alignment vertical="center"/>
    </xf>
    <xf numFmtId="0" fontId="25" fillId="8" borderId="35" xfId="0" applyFont="1" applyFill="1" applyBorder="1" applyAlignment="1">
      <alignment vertical="center" wrapText="1"/>
    </xf>
    <xf numFmtId="3" fontId="25" fillId="6" borderId="117" xfId="0" applyNumberFormat="1" applyFont="1" applyFill="1" applyBorder="1" applyAlignment="1">
      <alignment vertical="center"/>
    </xf>
    <xf numFmtId="3" fontId="27" fillId="2" borderId="117" xfId="0" applyNumberFormat="1" applyFont="1" applyFill="1" applyBorder="1" applyAlignment="1">
      <alignment vertical="center"/>
    </xf>
    <xf numFmtId="3" fontId="28" fillId="2" borderId="191" xfId="0" applyNumberFormat="1" applyFont="1" applyFill="1" applyBorder="1" applyAlignment="1">
      <alignment vertical="top"/>
    </xf>
    <xf numFmtId="3" fontId="7" fillId="22" borderId="98" xfId="0" applyNumberFormat="1" applyFont="1" applyFill="1" applyBorder="1" applyAlignment="1">
      <alignment horizontal="right" vertical="center"/>
    </xf>
    <xf numFmtId="3" fontId="27" fillId="50" borderId="68" xfId="4" applyNumberFormat="1" applyFont="1" applyFill="1" applyBorder="1" applyAlignment="1">
      <alignment horizontal="right" vertical="center"/>
    </xf>
    <xf numFmtId="3" fontId="27" fillId="21" borderId="76" xfId="4" applyNumberFormat="1" applyFont="1" applyFill="1" applyBorder="1" applyAlignment="1">
      <alignment horizontal="right" vertical="center"/>
    </xf>
    <xf numFmtId="3" fontId="27" fillId="50" borderId="35" xfId="4" applyNumberFormat="1" applyFont="1" applyFill="1" applyBorder="1" applyAlignment="1">
      <alignment horizontal="right" vertical="center"/>
    </xf>
    <xf numFmtId="3" fontId="25" fillId="23" borderId="2" xfId="0" applyNumberFormat="1" applyFont="1" applyFill="1" applyBorder="1" applyAlignment="1">
      <alignment vertical="top"/>
    </xf>
    <xf numFmtId="0" fontId="7" fillId="6" borderId="176" xfId="0" applyFont="1" applyFill="1" applyBorder="1" applyAlignment="1">
      <alignment vertical="top"/>
    </xf>
    <xf numFmtId="43" fontId="25" fillId="6" borderId="178" xfId="1" applyFont="1" applyFill="1" applyBorder="1" applyAlignment="1"/>
    <xf numFmtId="3" fontId="25" fillId="22" borderId="183" xfId="0" applyNumberFormat="1" applyFont="1" applyFill="1" applyBorder="1" applyAlignment="1"/>
    <xf numFmtId="43" fontId="27" fillId="2" borderId="178" xfId="1" applyFont="1" applyFill="1" applyBorder="1" applyAlignment="1">
      <alignment vertical="center"/>
    </xf>
    <xf numFmtId="3" fontId="27" fillId="23" borderId="183" xfId="0" applyNumberFormat="1" applyFont="1" applyFill="1" applyBorder="1" applyAlignment="1"/>
    <xf numFmtId="0" fontId="7" fillId="0" borderId="25" xfId="0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3" fontId="31" fillId="25" borderId="127" xfId="0" applyNumberFormat="1" applyFont="1" applyFill="1" applyBorder="1" applyAlignment="1">
      <alignment vertical="top"/>
    </xf>
    <xf numFmtId="43" fontId="31" fillId="0" borderId="119" xfId="1" applyFont="1" applyFill="1" applyBorder="1" applyAlignment="1"/>
    <xf numFmtId="0" fontId="7" fillId="6" borderId="194" xfId="0" applyFont="1" applyFill="1" applyBorder="1" applyAlignment="1">
      <alignment vertical="top"/>
    </xf>
    <xf numFmtId="3" fontId="25" fillId="6" borderId="165" xfId="0" applyNumberFormat="1" applyFont="1" applyFill="1" applyBorder="1" applyAlignment="1"/>
    <xf numFmtId="43" fontId="25" fillId="6" borderId="165" xfId="1" applyFont="1" applyFill="1" applyBorder="1" applyAlignment="1"/>
    <xf numFmtId="3" fontId="25" fillId="22" borderId="7" xfId="0" applyNumberFormat="1" applyFont="1" applyFill="1" applyBorder="1" applyAlignment="1"/>
    <xf numFmtId="3" fontId="27" fillId="2" borderId="165" xfId="0" applyNumberFormat="1" applyFont="1" applyFill="1" applyBorder="1" applyAlignment="1">
      <alignment vertical="center"/>
    </xf>
    <xf numFmtId="43" fontId="27" fillId="2" borderId="165" xfId="1" applyFont="1" applyFill="1" applyBorder="1" applyAlignment="1">
      <alignment vertical="center"/>
    </xf>
    <xf numFmtId="3" fontId="27" fillId="23" borderId="7" xfId="0" applyNumberFormat="1" applyFont="1" applyFill="1" applyBorder="1" applyAlignment="1"/>
    <xf numFmtId="43" fontId="31" fillId="0" borderId="23" xfId="1" applyFont="1" applyFill="1" applyBorder="1" applyAlignment="1"/>
    <xf numFmtId="43" fontId="31" fillId="0" borderId="23" xfId="1" applyFont="1" applyFill="1" applyBorder="1" applyAlignment="1">
      <alignment vertical="center"/>
    </xf>
    <xf numFmtId="3" fontId="31" fillId="25" borderId="72" xfId="0" applyNumberFormat="1" applyFont="1" applyFill="1" applyBorder="1" applyAlignment="1">
      <alignment vertical="top"/>
    </xf>
    <xf numFmtId="3" fontId="75" fillId="8" borderId="11" xfId="0" applyNumberFormat="1" applyFont="1" applyFill="1" applyBorder="1"/>
    <xf numFmtId="3" fontId="7" fillId="8" borderId="194" xfId="4" applyNumberFormat="1" applyFont="1" applyFill="1" applyBorder="1" applyAlignment="1">
      <alignment vertical="center" wrapText="1"/>
    </xf>
    <xf numFmtId="3" fontId="7" fillId="8" borderId="175" xfId="112" applyNumberFormat="1" applyFont="1" applyFill="1" applyBorder="1" applyAlignment="1">
      <alignment vertical="center"/>
    </xf>
    <xf numFmtId="43" fontId="7" fillId="0" borderId="175" xfId="1" applyFont="1" applyFill="1" applyBorder="1" applyAlignment="1">
      <alignment horizontal="right" vertical="center"/>
    </xf>
    <xf numFmtId="3" fontId="20" fillId="0" borderId="0" xfId="112" applyNumberFormat="1" applyFont="1" applyBorder="1" applyAlignment="1">
      <alignment vertical="center"/>
    </xf>
    <xf numFmtId="3" fontId="31" fillId="0" borderId="39" xfId="4" applyNumberFormat="1" applyFont="1" applyFill="1" applyBorder="1" applyAlignment="1">
      <alignment vertical="center"/>
    </xf>
    <xf numFmtId="3" fontId="31" fillId="0" borderId="39" xfId="0" applyNumberFormat="1" applyFont="1" applyFill="1" applyBorder="1" applyAlignment="1">
      <alignment vertical="center"/>
    </xf>
    <xf numFmtId="0" fontId="25" fillId="8" borderId="18" xfId="0" applyFont="1" applyFill="1" applyBorder="1" applyAlignment="1">
      <alignment horizontal="center" vertical="center" wrapText="1"/>
    </xf>
    <xf numFmtId="3" fontId="31" fillId="23" borderId="17" xfId="0" applyNumberFormat="1" applyFont="1" applyFill="1" applyBorder="1" applyAlignment="1">
      <alignment vertical="top"/>
    </xf>
    <xf numFmtId="3" fontId="25" fillId="2" borderId="175" xfId="0" applyNumberFormat="1" applyFont="1" applyFill="1" applyBorder="1" applyAlignment="1">
      <alignment vertical="top"/>
    </xf>
    <xf numFmtId="0" fontId="20" fillId="2" borderId="66" xfId="0" applyFont="1" applyFill="1" applyBorder="1" applyAlignment="1">
      <alignment vertical="center" wrapText="1"/>
    </xf>
    <xf numFmtId="0" fontId="32" fillId="0" borderId="25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1" fillId="0" borderId="72" xfId="0" applyFont="1" applyFill="1" applyBorder="1" applyAlignment="1">
      <alignment vertical="center" wrapText="1"/>
    </xf>
    <xf numFmtId="3" fontId="25" fillId="25" borderId="23" xfId="0" applyNumberFormat="1" applyFont="1" applyFill="1" applyBorder="1" applyAlignment="1">
      <alignment vertical="center"/>
    </xf>
    <xf numFmtId="3" fontId="6" fillId="11" borderId="35" xfId="0" applyNumberFormat="1" applyFont="1" applyFill="1" applyBorder="1"/>
    <xf numFmtId="3" fontId="6" fillId="11" borderId="21" xfId="0" applyNumberFormat="1" applyFont="1" applyFill="1" applyBorder="1"/>
    <xf numFmtId="3" fontId="6" fillId="11" borderId="9" xfId="0" applyNumberFormat="1" applyFont="1" applyFill="1" applyBorder="1"/>
    <xf numFmtId="3" fontId="6" fillId="6" borderId="35" xfId="0" applyNumberFormat="1" applyFont="1" applyFill="1" applyBorder="1"/>
    <xf numFmtId="0" fontId="7" fillId="6" borderId="194" xfId="0" applyFont="1" applyFill="1" applyBorder="1" applyAlignment="1">
      <alignment vertical="center" wrapText="1"/>
    </xf>
    <xf numFmtId="3" fontId="8" fillId="6" borderId="193" xfId="0" applyNumberFormat="1" applyFont="1" applyFill="1" applyBorder="1"/>
    <xf numFmtId="0" fontId="7" fillId="8" borderId="22" xfId="0" applyFont="1" applyFill="1" applyBorder="1" applyAlignment="1">
      <alignment vertical="center" wrapText="1"/>
    </xf>
    <xf numFmtId="0" fontId="7" fillId="8" borderId="194" xfId="0" applyFont="1" applyFill="1" applyBorder="1" applyAlignment="1">
      <alignment vertical="center" wrapText="1"/>
    </xf>
    <xf numFmtId="3" fontId="27" fillId="25" borderId="175" xfId="0" applyNumberFormat="1" applyFont="1" applyFill="1" applyBorder="1" applyAlignment="1">
      <alignment horizontal="center" vertical="top"/>
    </xf>
    <xf numFmtId="3" fontId="31" fillId="25" borderId="175" xfId="0" applyNumberFormat="1" applyFont="1" applyFill="1" applyBorder="1" applyAlignment="1">
      <alignment horizontal="center" vertical="top"/>
    </xf>
    <xf numFmtId="3" fontId="8" fillId="51" borderId="35" xfId="0" applyNumberFormat="1" applyFont="1" applyFill="1" applyBorder="1"/>
    <xf numFmtId="0" fontId="7" fillId="23" borderId="68" xfId="0" applyFont="1" applyFill="1" applyBorder="1" applyAlignment="1">
      <alignment vertical="top"/>
    </xf>
    <xf numFmtId="3" fontId="31" fillId="32" borderId="185" xfId="0" applyNumberFormat="1" applyFont="1" applyFill="1" applyBorder="1" applyAlignment="1">
      <alignment vertical="top"/>
    </xf>
    <xf numFmtId="0" fontId="60" fillId="13" borderId="195" xfId="0" applyFont="1" applyFill="1" applyBorder="1" applyAlignment="1">
      <alignment vertical="center"/>
    </xf>
    <xf numFmtId="0" fontId="60" fillId="13" borderId="194" xfId="0" applyFont="1" applyFill="1" applyBorder="1" applyAlignment="1">
      <alignment vertical="center"/>
    </xf>
    <xf numFmtId="0" fontId="60" fillId="13" borderId="20" xfId="0" applyFont="1" applyFill="1" applyBorder="1" applyAlignment="1">
      <alignment vertical="center"/>
    </xf>
    <xf numFmtId="0" fontId="65" fillId="13" borderId="196" xfId="4" applyFont="1" applyFill="1" applyBorder="1" applyAlignment="1">
      <alignment horizontal="left" vertical="center"/>
    </xf>
    <xf numFmtId="0" fontId="24" fillId="8" borderId="68" xfId="4" applyFont="1" applyFill="1" applyBorder="1" applyAlignment="1">
      <alignment vertical="center" wrapText="1"/>
    </xf>
    <xf numFmtId="3" fontId="25" fillId="23" borderId="7" xfId="0" applyNumberFormat="1" applyFont="1" applyFill="1" applyBorder="1" applyAlignment="1"/>
    <xf numFmtId="3" fontId="18" fillId="8" borderId="42" xfId="4" applyNumberFormat="1" applyFont="1" applyFill="1" applyBorder="1" applyAlignment="1">
      <alignment vertical="top" wrapText="1"/>
    </xf>
    <xf numFmtId="3" fontId="25" fillId="23" borderId="76" xfId="0" applyNumberFormat="1" applyFont="1" applyFill="1" applyBorder="1" applyAlignment="1">
      <alignment vertical="top"/>
    </xf>
    <xf numFmtId="3" fontId="25" fillId="8" borderId="8" xfId="0" applyNumberFormat="1" applyFont="1" applyFill="1" applyBorder="1" applyAlignment="1">
      <alignment vertical="top"/>
    </xf>
    <xf numFmtId="3" fontId="31" fillId="8" borderId="9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center"/>
    </xf>
    <xf numFmtId="43" fontId="31" fillId="8" borderId="18" xfId="1" applyFont="1" applyFill="1" applyBorder="1" applyAlignment="1">
      <alignment vertical="center"/>
    </xf>
    <xf numFmtId="0" fontId="31" fillId="8" borderId="18" xfId="0" applyFont="1" applyFill="1" applyBorder="1" applyAlignment="1">
      <alignment vertical="center"/>
    </xf>
    <xf numFmtId="0" fontId="31" fillId="8" borderId="17" xfId="0" applyFont="1" applyFill="1" applyBorder="1" applyAlignment="1">
      <alignment vertical="center"/>
    </xf>
    <xf numFmtId="0" fontId="7" fillId="23" borderId="76" xfId="0" applyFont="1" applyFill="1" applyBorder="1" applyAlignment="1">
      <alignment vertical="center"/>
    </xf>
    <xf numFmtId="3" fontId="25" fillId="22" borderId="0" xfId="0" applyNumberFormat="1" applyFont="1" applyFill="1" applyBorder="1" applyAlignment="1">
      <alignment vertical="center"/>
    </xf>
    <xf numFmtId="43" fontId="27" fillId="0" borderId="175" xfId="1" applyFont="1" applyFill="1" applyBorder="1" applyAlignment="1">
      <alignment vertical="center"/>
    </xf>
    <xf numFmtId="3" fontId="27" fillId="25" borderId="8" xfId="0" applyNumberFormat="1" applyFont="1" applyFill="1" applyBorder="1" applyAlignment="1">
      <alignment vertical="center"/>
    </xf>
    <xf numFmtId="3" fontId="31" fillId="0" borderId="166" xfId="4" applyNumberFormat="1" applyFont="1" applyFill="1" applyBorder="1" applyAlignment="1">
      <alignment horizontal="right" vertical="center"/>
    </xf>
    <xf numFmtId="0" fontId="20" fillId="6" borderId="194" xfId="4" applyFont="1" applyFill="1" applyBorder="1" applyAlignment="1">
      <alignment horizontal="left" vertical="center"/>
    </xf>
    <xf numFmtId="43" fontId="29" fillId="0" borderId="166" xfId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3" fontId="24" fillId="6" borderId="149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49" xfId="0" applyNumberFormat="1" applyFont="1" applyFill="1" applyBorder="1" applyAlignment="1">
      <alignment vertical="center"/>
    </xf>
    <xf numFmtId="3" fontId="29" fillId="25" borderId="149" xfId="0" applyNumberFormat="1" applyFont="1" applyFill="1" applyBorder="1" applyAlignment="1">
      <alignment vertical="top"/>
    </xf>
    <xf numFmtId="3" fontId="7" fillId="25" borderId="117" xfId="0" applyNumberFormat="1" applyFont="1" applyFill="1" applyBorder="1" applyAlignment="1">
      <alignment vertical="top"/>
    </xf>
    <xf numFmtId="3" fontId="29" fillId="0" borderId="149" xfId="0" applyNumberFormat="1" applyFont="1" applyFill="1" applyBorder="1" applyAlignment="1">
      <alignment horizontal="right" vertical="center"/>
    </xf>
    <xf numFmtId="3" fontId="7" fillId="25" borderId="117" xfId="0" applyNumberFormat="1" applyFont="1" applyFill="1" applyBorder="1" applyAlignment="1">
      <alignment vertical="center"/>
    </xf>
    <xf numFmtId="3" fontId="38" fillId="0" borderId="159" xfId="0" applyNumberFormat="1" applyFont="1" applyFill="1" applyBorder="1" applyAlignment="1">
      <alignment vertical="center"/>
    </xf>
    <xf numFmtId="3" fontId="7" fillId="0" borderId="149" xfId="0" applyNumberFormat="1" applyFont="1" applyFill="1" applyBorder="1" applyAlignment="1">
      <alignment vertical="center"/>
    </xf>
    <xf numFmtId="0" fontId="7" fillId="23" borderId="35" xfId="0" applyFont="1" applyFill="1" applyBorder="1" applyAlignment="1">
      <alignment vertical="top"/>
    </xf>
    <xf numFmtId="3" fontId="31" fillId="0" borderId="89" xfId="0" applyNumberFormat="1" applyFont="1" applyFill="1" applyBorder="1" applyAlignment="1">
      <alignment vertical="top"/>
    </xf>
    <xf numFmtId="3" fontId="31" fillId="22" borderId="35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center"/>
    </xf>
    <xf numFmtId="3" fontId="27" fillId="0" borderId="98" xfId="0" applyNumberFormat="1" applyFont="1" applyFill="1" applyBorder="1" applyAlignment="1">
      <alignment vertical="top"/>
    </xf>
    <xf numFmtId="3" fontId="28" fillId="0" borderId="98" xfId="0" applyNumberFormat="1" applyFont="1" applyFill="1" applyBorder="1" applyAlignment="1">
      <alignment vertical="center"/>
    </xf>
    <xf numFmtId="3" fontId="25" fillId="0" borderId="98" xfId="0" applyNumberFormat="1" applyFont="1" applyFill="1" applyBorder="1" applyAlignment="1">
      <alignment vertical="top"/>
    </xf>
    <xf numFmtId="3" fontId="28" fillId="0" borderId="97" xfId="0" applyNumberFormat="1" applyFont="1" applyFill="1" applyBorder="1" applyAlignment="1">
      <alignment vertical="center"/>
    </xf>
    <xf numFmtId="0" fontId="7" fillId="8" borderId="103" xfId="0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center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right" vertical="center"/>
    </xf>
    <xf numFmtId="3" fontId="7" fillId="0" borderId="98" xfId="0" applyNumberFormat="1" applyFont="1" applyFill="1" applyBorder="1" applyAlignment="1">
      <alignment vertical="center"/>
    </xf>
    <xf numFmtId="3" fontId="7" fillId="0" borderId="98" xfId="0" applyNumberFormat="1" applyFont="1" applyFill="1" applyBorder="1" applyAlignment="1">
      <alignment vertical="top"/>
    </xf>
    <xf numFmtId="3" fontId="38" fillId="0" borderId="98" xfId="0" applyNumberFormat="1" applyFont="1" applyFill="1" applyBorder="1" applyAlignment="1">
      <alignment vertical="center"/>
    </xf>
    <xf numFmtId="0" fontId="17" fillId="0" borderId="84" xfId="0" applyFont="1" applyFill="1" applyBorder="1" applyAlignment="1">
      <alignment horizontal="center" vertical="center"/>
    </xf>
    <xf numFmtId="0" fontId="31" fillId="8" borderId="103" xfId="0" applyFont="1" applyFill="1" applyBorder="1" applyAlignment="1">
      <alignment vertical="top"/>
    </xf>
    <xf numFmtId="3" fontId="25" fillId="22" borderId="98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98" xfId="0" applyNumberFormat="1" applyFont="1" applyFill="1" applyBorder="1" applyAlignment="1">
      <alignment horizontal="right" vertical="center"/>
    </xf>
    <xf numFmtId="3" fontId="31" fillId="0" borderId="70" xfId="0" applyNumberFormat="1" applyFont="1" applyFill="1" applyBorder="1" applyAlignment="1">
      <alignment vertical="top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2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3" fontId="7" fillId="0" borderId="175" xfId="4" applyNumberFormat="1" applyFont="1" applyFill="1" applyBorder="1" applyAlignment="1">
      <alignment vertical="center"/>
    </xf>
    <xf numFmtId="0" fontId="29" fillId="2" borderId="193" xfId="4" applyFont="1" applyFill="1" applyBorder="1" applyAlignment="1">
      <alignment vertical="center"/>
    </xf>
    <xf numFmtId="0" fontId="34" fillId="2" borderId="24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3" fontId="25" fillId="2" borderId="175" xfId="4" applyNumberFormat="1" applyFont="1" applyFill="1" applyBorder="1" applyAlignment="1">
      <alignment vertical="center" wrapText="1"/>
    </xf>
    <xf numFmtId="0" fontId="21" fillId="2" borderId="175" xfId="0" quotePrefix="1" applyFont="1" applyFill="1" applyBorder="1" applyAlignment="1">
      <alignment horizontal="center" vertical="top"/>
    </xf>
    <xf numFmtId="3" fontId="29" fillId="8" borderId="178" xfId="4" applyNumberFormat="1" applyFont="1" applyFill="1" applyBorder="1" applyAlignment="1">
      <alignment vertical="center" wrapText="1"/>
    </xf>
    <xf numFmtId="3" fontId="27" fillId="8" borderId="194" xfId="0" applyNumberFormat="1" applyFont="1" applyFill="1" applyBorder="1" applyAlignment="1">
      <alignment vertical="center"/>
    </xf>
    <xf numFmtId="3" fontId="7" fillId="8" borderId="194" xfId="0" applyNumberFormat="1" applyFont="1" applyFill="1" applyBorder="1" applyAlignment="1">
      <alignment vertical="center"/>
    </xf>
    <xf numFmtId="3" fontId="32" fillId="8" borderId="194" xfId="6" applyNumberFormat="1" applyFont="1" applyFill="1" applyBorder="1" applyAlignment="1">
      <alignment vertical="center"/>
    </xf>
    <xf numFmtId="3" fontId="7" fillId="23" borderId="175" xfId="4" applyNumberFormat="1" applyFont="1" applyFill="1" applyBorder="1" applyAlignment="1">
      <alignment vertical="center"/>
    </xf>
    <xf numFmtId="3" fontId="33" fillId="8" borderId="174" xfId="6" applyNumberFormat="1" applyFont="1" applyFill="1" applyBorder="1" applyAlignment="1">
      <alignment vertical="center"/>
    </xf>
    <xf numFmtId="3" fontId="7" fillId="8" borderId="114" xfId="4" applyNumberFormat="1" applyFont="1" applyFill="1" applyBorder="1" applyAlignment="1">
      <alignment vertical="center" wrapText="1"/>
    </xf>
    <xf numFmtId="41" fontId="27" fillId="0" borderId="166" xfId="4" applyNumberFormat="1" applyFont="1" applyFill="1" applyBorder="1" applyAlignment="1">
      <alignment horizontal="right" vertical="center"/>
    </xf>
    <xf numFmtId="41" fontId="7" fillId="0" borderId="166" xfId="4" applyNumberFormat="1" applyFont="1" applyFill="1" applyBorder="1" applyAlignment="1">
      <alignment horizontal="right" vertical="center"/>
    </xf>
    <xf numFmtId="3" fontId="32" fillId="8" borderId="175" xfId="6" applyNumberFormat="1" applyFont="1" applyFill="1" applyBorder="1" applyAlignment="1">
      <alignment vertical="center"/>
    </xf>
    <xf numFmtId="3" fontId="7" fillId="0" borderId="191" xfId="4" applyNumberFormat="1" applyFont="1" applyFill="1" applyBorder="1" applyAlignment="1">
      <alignment horizontal="right" vertical="center"/>
    </xf>
    <xf numFmtId="3" fontId="20" fillId="2" borderId="171" xfId="4" applyNumberFormat="1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43" fontId="7" fillId="23" borderId="175" xfId="1" applyFont="1" applyFill="1" applyBorder="1" applyAlignment="1">
      <alignment horizontal="right" vertical="center"/>
    </xf>
    <xf numFmtId="0" fontId="23" fillId="0" borderId="35" xfId="6" applyFont="1" applyBorder="1" applyAlignment="1">
      <alignment horizontal="center" vertical="center"/>
    </xf>
    <xf numFmtId="1" fontId="21" fillId="2" borderId="35" xfId="0" quotePrefix="1" applyNumberFormat="1" applyFont="1" applyFill="1" applyBorder="1" applyAlignment="1">
      <alignment horizontal="center" vertical="top"/>
    </xf>
    <xf numFmtId="0" fontId="21" fillId="2" borderId="35" xfId="0" applyFont="1" applyFill="1" applyBorder="1" applyAlignment="1">
      <alignment horizontal="center" vertical="top"/>
    </xf>
    <xf numFmtId="3" fontId="27" fillId="50" borderId="28" xfId="4" applyNumberFormat="1" applyFont="1" applyFill="1" applyBorder="1" applyAlignment="1">
      <alignment horizontal="left" vertical="center"/>
    </xf>
    <xf numFmtId="3" fontId="27" fillId="50" borderId="117" xfId="4" applyNumberFormat="1" applyFont="1" applyFill="1" applyBorder="1" applyAlignment="1">
      <alignment horizontal="left" vertical="center"/>
    </xf>
    <xf numFmtId="3" fontId="27" fillId="50" borderId="13" xfId="4" applyNumberFormat="1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0" fillId="0" borderId="165" xfId="0" applyFont="1" applyBorder="1"/>
    <xf numFmtId="3" fontId="0" fillId="0" borderId="165" xfId="0" applyNumberFormat="1" applyFont="1" applyBorder="1"/>
    <xf numFmtId="43" fontId="27" fillId="2" borderId="27" xfId="1" applyFont="1" applyFill="1" applyBorder="1" applyAlignment="1">
      <alignment vertical="center"/>
    </xf>
    <xf numFmtId="2" fontId="16" fillId="2" borderId="0" xfId="0" applyNumberFormat="1" applyFont="1" applyFill="1" applyBorder="1" applyAlignment="1">
      <alignment horizontal="left" vertical="center" wrapText="1"/>
    </xf>
    <xf numFmtId="2" fontId="27" fillId="50" borderId="8" xfId="4" applyNumberFormat="1" applyFont="1" applyFill="1" applyBorder="1" applyAlignment="1">
      <alignment horizontal="right" vertical="center"/>
    </xf>
    <xf numFmtId="2" fontId="27" fillId="50" borderId="24" xfId="4" applyNumberFormat="1" applyFont="1" applyFill="1" applyBorder="1" applyAlignment="1">
      <alignment horizontal="right" vertical="center"/>
    </xf>
    <xf numFmtId="2" fontId="27" fillId="50" borderId="0" xfId="0" quotePrefix="1" applyNumberFormat="1" applyFont="1" applyFill="1" applyBorder="1" applyAlignment="1">
      <alignment horizontal="right" vertical="top"/>
    </xf>
    <xf numFmtId="2" fontId="31" fillId="8" borderId="178" xfId="0" applyNumberFormat="1" applyFont="1" applyFill="1" applyBorder="1" applyAlignment="1">
      <alignment vertical="center"/>
    </xf>
    <xf numFmtId="2" fontId="27" fillId="8" borderId="178" xfId="0" applyNumberFormat="1" applyFont="1" applyFill="1" applyBorder="1" applyAlignment="1">
      <alignment horizontal="right" vertical="center"/>
    </xf>
    <xf numFmtId="2" fontId="31" fillId="8" borderId="178" xfId="0" applyNumberFormat="1" applyFont="1" applyFill="1" applyBorder="1" applyAlignment="1">
      <alignment vertical="top"/>
    </xf>
    <xf numFmtId="2" fontId="25" fillId="6" borderId="7" xfId="4" applyNumberFormat="1" applyFont="1" applyFill="1" applyBorder="1" applyAlignment="1">
      <alignment horizontal="right" vertical="center"/>
    </xf>
    <xf numFmtId="2" fontId="31" fillId="8" borderId="192" xfId="0" applyNumberFormat="1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vertical="center"/>
    </xf>
    <xf numFmtId="2" fontId="27" fillId="8" borderId="0" xfId="0" applyNumberFormat="1" applyFont="1" applyFill="1" applyBorder="1" applyAlignment="1">
      <alignment vertical="center"/>
    </xf>
    <xf numFmtId="2" fontId="31" fillId="8" borderId="27" xfId="0" applyNumberFormat="1" applyFont="1" applyFill="1" applyBorder="1" applyAlignment="1">
      <alignment vertical="center"/>
    </xf>
    <xf numFmtId="2" fontId="25" fillId="6" borderId="35" xfId="0" applyNumberFormat="1" applyFont="1" applyFill="1" applyBorder="1" applyAlignment="1"/>
    <xf numFmtId="2" fontId="27" fillId="2" borderId="171" xfId="0" applyNumberFormat="1" applyFont="1" applyFill="1" applyBorder="1" applyAlignment="1"/>
    <xf numFmtId="2" fontId="27" fillId="2" borderId="174" xfId="0" applyNumberFormat="1" applyFont="1" applyFill="1" applyBorder="1" applyAlignment="1"/>
    <xf numFmtId="2" fontId="28" fillId="2" borderId="13" xfId="0" applyNumberFormat="1" applyFont="1" applyFill="1" applyBorder="1" applyAlignment="1"/>
    <xf numFmtId="2" fontId="31" fillId="0" borderId="13" xfId="0" applyNumberFormat="1" applyFont="1" applyFill="1" applyBorder="1" applyAlignment="1">
      <alignment vertical="top"/>
    </xf>
    <xf numFmtId="2" fontId="27" fillId="2" borderId="13" xfId="0" applyNumberFormat="1" applyFont="1" applyFill="1" applyBorder="1" applyAlignment="1"/>
    <xf numFmtId="2" fontId="7" fillId="8" borderId="2" xfId="0" applyNumberFormat="1" applyFont="1" applyFill="1" applyBorder="1" applyAlignment="1">
      <alignment vertical="top"/>
    </xf>
    <xf numFmtId="2" fontId="31" fillId="2" borderId="12" xfId="0" applyNumberFormat="1" applyFont="1" applyFill="1" applyBorder="1" applyAlignment="1">
      <alignment vertical="center"/>
    </xf>
    <xf numFmtId="43" fontId="25" fillId="6" borderId="166" xfId="1" applyFont="1" applyFill="1" applyBorder="1" applyAlignment="1">
      <alignment vertical="top"/>
    </xf>
    <xf numFmtId="0" fontId="25" fillId="6" borderId="178" xfId="4" applyFont="1" applyFill="1" applyBorder="1" applyAlignment="1">
      <alignment vertical="center"/>
    </xf>
    <xf numFmtId="3" fontId="27" fillId="32" borderId="166" xfId="4" applyNumberFormat="1" applyFont="1" applyFill="1" applyBorder="1" applyAlignment="1">
      <alignment horizontal="right" vertical="center"/>
    </xf>
    <xf numFmtId="3" fontId="7" fillId="32" borderId="175" xfId="4" applyNumberFormat="1" applyFont="1" applyFill="1" applyBorder="1" applyAlignment="1">
      <alignment horizontal="right" vertical="center"/>
    </xf>
    <xf numFmtId="0" fontId="21" fillId="2" borderId="35" xfId="0" quotePrefix="1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43" fontId="24" fillId="6" borderId="9" xfId="1" applyFont="1" applyFill="1" applyBorder="1" applyAlignment="1">
      <alignment vertical="center"/>
    </xf>
    <xf numFmtId="0" fontId="0" fillId="0" borderId="98" xfId="0" applyFont="1" applyBorder="1"/>
    <xf numFmtId="0" fontId="0" fillId="0" borderId="99" xfId="0" applyFont="1" applyBorder="1"/>
    <xf numFmtId="0" fontId="0" fillId="0" borderId="98" xfId="0" applyFont="1" applyBorder="1" applyAlignment="1">
      <alignment vertical="center"/>
    </xf>
    <xf numFmtId="3" fontId="0" fillId="0" borderId="98" xfId="0" applyNumberFormat="1" applyFont="1" applyBorder="1"/>
    <xf numFmtId="0" fontId="0" fillId="0" borderId="175" xfId="0" applyFont="1" applyBorder="1"/>
    <xf numFmtId="0" fontId="0" fillId="0" borderId="108" xfId="0" applyFont="1" applyBorder="1" applyAlignment="1">
      <alignment vertical="center"/>
    </xf>
    <xf numFmtId="0" fontId="0" fillId="0" borderId="111" xfId="0" applyFont="1" applyBorder="1" applyAlignment="1">
      <alignment vertical="center"/>
    </xf>
    <xf numFmtId="0" fontId="0" fillId="0" borderId="109" xfId="0" applyFont="1" applyBorder="1"/>
    <xf numFmtId="0" fontId="0" fillId="0" borderId="98" xfId="0" applyFont="1" applyFill="1" applyBorder="1"/>
    <xf numFmtId="3" fontId="31" fillId="0" borderId="175" xfId="0" applyNumberFormat="1" applyFont="1" applyFill="1" applyBorder="1" applyAlignment="1">
      <alignment horizontal="right"/>
    </xf>
    <xf numFmtId="0" fontId="0" fillId="0" borderId="169" xfId="0" applyFont="1" applyBorder="1"/>
    <xf numFmtId="0" fontId="0" fillId="32" borderId="175" xfId="0" applyFont="1" applyFill="1" applyBorder="1"/>
    <xf numFmtId="0" fontId="0" fillId="0" borderId="160" xfId="0" applyFont="1" applyBorder="1"/>
    <xf numFmtId="0" fontId="0" fillId="0" borderId="165" xfId="0" applyFont="1" applyBorder="1" applyAlignment="1">
      <alignment vertical="center"/>
    </xf>
    <xf numFmtId="3" fontId="0" fillId="0" borderId="165" xfId="0" applyNumberFormat="1" applyFont="1" applyBorder="1" applyAlignment="1">
      <alignment vertical="center"/>
    </xf>
    <xf numFmtId="0" fontId="0" fillId="0" borderId="191" xfId="0" applyFont="1" applyBorder="1"/>
    <xf numFmtId="0" fontId="0" fillId="0" borderId="50" xfId="0" applyFont="1" applyBorder="1"/>
    <xf numFmtId="0" fontId="0" fillId="0" borderId="171" xfId="0" applyFont="1" applyBorder="1"/>
    <xf numFmtId="0" fontId="0" fillId="0" borderId="185" xfId="0" applyFont="1" applyBorder="1"/>
    <xf numFmtId="0" fontId="0" fillId="0" borderId="13" xfId="0" applyFont="1" applyBorder="1"/>
    <xf numFmtId="0" fontId="0" fillId="0" borderId="39" xfId="0" applyFont="1" applyBorder="1"/>
    <xf numFmtId="0" fontId="0" fillId="0" borderId="12" xfId="0" applyFont="1" applyBorder="1"/>
    <xf numFmtId="0" fontId="0" fillId="0" borderId="68" xfId="0" applyFont="1" applyBorder="1"/>
    <xf numFmtId="0" fontId="0" fillId="0" borderId="17" xfId="0" applyFont="1" applyBorder="1"/>
    <xf numFmtId="1" fontId="21" fillId="2" borderId="35" xfId="0" applyNumberFormat="1" applyFont="1" applyFill="1" applyBorder="1" applyAlignment="1">
      <alignment horizontal="center" vertical="top"/>
    </xf>
    <xf numFmtId="0" fontId="21" fillId="2" borderId="20" xfId="0" applyFont="1" applyFill="1" applyBorder="1" applyAlignment="1">
      <alignment horizontal="center" vertical="top"/>
    </xf>
    <xf numFmtId="0" fontId="20" fillId="2" borderId="21" xfId="0" applyFont="1" applyFill="1" applyBorder="1" applyAlignment="1">
      <alignment horizontal="center" vertical="top"/>
    </xf>
    <xf numFmtId="3" fontId="60" fillId="0" borderId="175" xfId="0" applyNumberFormat="1" applyFont="1" applyBorder="1"/>
    <xf numFmtId="3" fontId="0" fillId="0" borderId="175" xfId="0" applyNumberFormat="1" applyFont="1" applyBorder="1"/>
    <xf numFmtId="3" fontId="39" fillId="0" borderId="175" xfId="0" applyNumberFormat="1" applyFont="1" applyBorder="1"/>
    <xf numFmtId="3" fontId="31" fillId="0" borderId="39" xfId="0" applyNumberFormat="1" applyFont="1" applyFill="1" applyBorder="1" applyAlignment="1">
      <alignment vertical="top"/>
    </xf>
    <xf numFmtId="43" fontId="27" fillId="0" borderId="35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wrapText="1"/>
    </xf>
    <xf numFmtId="3" fontId="0" fillId="0" borderId="26" xfId="0" applyNumberFormat="1" applyFont="1" applyBorder="1" applyAlignment="1">
      <alignment wrapText="1"/>
    </xf>
    <xf numFmtId="3" fontId="0" fillId="0" borderId="0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horizontal="center" vertical="top"/>
    </xf>
    <xf numFmtId="0" fontId="0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0" fontId="0" fillId="0" borderId="51" xfId="0" applyFont="1" applyBorder="1" applyAlignment="1">
      <alignment vertical="top"/>
    </xf>
    <xf numFmtId="0" fontId="0" fillId="0" borderId="51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horizontal="center" vertical="top" wrapText="1"/>
    </xf>
    <xf numFmtId="0" fontId="0" fillId="0" borderId="64" xfId="0" applyFont="1" applyBorder="1" applyAlignment="1">
      <alignment horizontal="center" vertical="top" wrapText="1"/>
    </xf>
    <xf numFmtId="0" fontId="0" fillId="0" borderId="65" xfId="0" applyFont="1" applyBorder="1" applyAlignment="1">
      <alignment horizontal="center" vertical="top" wrapText="1"/>
    </xf>
    <xf numFmtId="0" fontId="0" fillId="0" borderId="67" xfId="0" applyFont="1" applyBorder="1" applyAlignment="1">
      <alignment horizontal="center" vertical="top" wrapText="1"/>
    </xf>
    <xf numFmtId="2" fontId="0" fillId="0" borderId="11" xfId="0" applyNumberFormat="1" applyFont="1" applyBorder="1"/>
    <xf numFmtId="2" fontId="0" fillId="0" borderId="175" xfId="0" applyNumberFormat="1" applyFont="1" applyBorder="1"/>
    <xf numFmtId="2" fontId="0" fillId="0" borderId="175" xfId="0" applyNumberFormat="1" applyFont="1" applyBorder="1" applyAlignment="1">
      <alignment vertic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3" fontId="31" fillId="0" borderId="160" xfId="4" applyNumberFormat="1" applyFont="1" applyFill="1" applyBorder="1" applyAlignment="1">
      <alignment horizontal="right" vertical="center"/>
    </xf>
    <xf numFmtId="3" fontId="31" fillId="0" borderId="185" xfId="4" applyNumberFormat="1" applyFont="1" applyFill="1" applyBorder="1" applyAlignment="1">
      <alignment vertical="top"/>
    </xf>
    <xf numFmtId="0" fontId="0" fillId="0" borderId="8" xfId="0" applyFont="1" applyBorder="1" applyAlignment="1">
      <alignment vertical="center"/>
    </xf>
    <xf numFmtId="0" fontId="0" fillId="0" borderId="17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0" fillId="0" borderId="81" xfId="0" applyFont="1" applyBorder="1" applyAlignment="1">
      <alignment vertical="center"/>
    </xf>
    <xf numFmtId="3" fontId="36" fillId="18" borderId="39" xfId="0" applyNumberFormat="1" applyFont="1" applyFill="1" applyBorder="1" applyAlignment="1">
      <alignment vertical="center"/>
    </xf>
    <xf numFmtId="3" fontId="36" fillId="18" borderId="40" xfId="0" applyNumberFormat="1" applyFont="1" applyFill="1" applyBorder="1" applyAlignment="1">
      <alignment vertical="center"/>
    </xf>
    <xf numFmtId="0" fontId="36" fillId="18" borderId="38" xfId="0" applyFont="1" applyFill="1" applyBorder="1" applyAlignment="1">
      <alignment horizontal="center" vertical="center"/>
    </xf>
    <xf numFmtId="0" fontId="36" fillId="18" borderId="84" xfId="0" applyFont="1" applyFill="1" applyBorder="1" applyAlignment="1">
      <alignment horizontal="center"/>
    </xf>
    <xf numFmtId="3" fontId="36" fillId="18" borderId="40" xfId="0" applyNumberFormat="1" applyFont="1" applyFill="1" applyBorder="1"/>
    <xf numFmtId="0" fontId="17" fillId="0" borderId="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 wrapText="1"/>
    </xf>
    <xf numFmtId="0" fontId="8" fillId="15" borderId="2" xfId="0" applyFont="1" applyFill="1" applyBorder="1"/>
    <xf numFmtId="3" fontId="36" fillId="15" borderId="72" xfId="0" applyNumberFormat="1" applyFont="1" applyFill="1" applyBorder="1" applyAlignment="1">
      <alignment vertical="center"/>
    </xf>
    <xf numFmtId="3" fontId="8" fillId="6" borderId="76" xfId="0" applyNumberFormat="1" applyFont="1" applyFill="1" applyBorder="1"/>
    <xf numFmtId="3" fontId="8" fillId="6" borderId="183" xfId="0" applyNumberFormat="1" applyFont="1" applyFill="1" applyBorder="1"/>
    <xf numFmtId="3" fontId="8" fillId="6" borderId="7" xfId="0" applyNumberFormat="1" applyFont="1" applyFill="1" applyBorder="1"/>
    <xf numFmtId="3" fontId="6" fillId="6" borderId="127" xfId="0" applyNumberFormat="1" applyFont="1" applyFill="1" applyBorder="1"/>
    <xf numFmtId="3" fontId="75" fillId="12" borderId="10" xfId="0" applyNumberFormat="1" applyFont="1" applyFill="1" applyBorder="1" applyAlignment="1">
      <alignment vertical="center"/>
    </xf>
    <xf numFmtId="3" fontId="36" fillId="15" borderId="75" xfId="0" applyNumberFormat="1" applyFont="1" applyFill="1" applyBorder="1" applyAlignment="1">
      <alignment vertical="center"/>
    </xf>
    <xf numFmtId="3" fontId="8" fillId="6" borderId="178" xfId="0" applyNumberFormat="1" applyFont="1" applyFill="1" applyBorder="1"/>
    <xf numFmtId="3" fontId="8" fillId="6" borderId="114" xfId="0" applyNumberFormat="1" applyFont="1" applyFill="1" applyBorder="1"/>
    <xf numFmtId="3" fontId="36" fillId="16" borderId="72" xfId="5" applyNumberFormat="1" applyFont="1" applyFill="1" applyBorder="1" applyAlignment="1">
      <alignment vertical="center"/>
    </xf>
    <xf numFmtId="3" fontId="8" fillId="8" borderId="183" xfId="0" applyNumberFormat="1" applyFont="1" applyFill="1" applyBorder="1"/>
    <xf numFmtId="3" fontId="76" fillId="17" borderId="10" xfId="0" applyNumberFormat="1" applyFont="1" applyFill="1" applyBorder="1"/>
    <xf numFmtId="3" fontId="76" fillId="8" borderId="10" xfId="0" applyNumberFormat="1" applyFont="1" applyFill="1" applyBorder="1"/>
    <xf numFmtId="3" fontId="19" fillId="16" borderId="75" xfId="5" applyNumberFormat="1" applyFont="1" applyFill="1" applyBorder="1"/>
    <xf numFmtId="3" fontId="36" fillId="18" borderId="75" xfId="0" applyNumberFormat="1" applyFont="1" applyFill="1" applyBorder="1" applyAlignment="1">
      <alignment vertical="center"/>
    </xf>
    <xf numFmtId="3" fontId="6" fillId="11" borderId="7" xfId="0" applyNumberFormat="1" applyFont="1" applyFill="1" applyBorder="1"/>
    <xf numFmtId="3" fontId="6" fillId="11" borderId="183" xfId="0" applyNumberFormat="1" applyFont="1" applyFill="1" applyBorder="1"/>
    <xf numFmtId="3" fontId="75" fillId="2" borderId="10" xfId="0" applyNumberFormat="1" applyFont="1" applyFill="1" applyBorder="1" applyAlignment="1">
      <alignment vertical="top"/>
    </xf>
    <xf numFmtId="3" fontId="36" fillId="18" borderId="75" xfId="0" applyNumberFormat="1" applyFont="1" applyFill="1" applyBorder="1"/>
    <xf numFmtId="3" fontId="61" fillId="2" borderId="10" xfId="0" applyNumberFormat="1" applyFont="1" applyFill="1" applyBorder="1" applyAlignment="1">
      <alignment vertical="center" wrapText="1"/>
    </xf>
    <xf numFmtId="0" fontId="64" fillId="0" borderId="166" xfId="0" applyFont="1" applyBorder="1" applyAlignment="1">
      <alignment horizontal="center" vertical="center"/>
    </xf>
    <xf numFmtId="3" fontId="8" fillId="6" borderId="17" xfId="0" applyNumberFormat="1" applyFont="1" applyFill="1" applyBorder="1"/>
    <xf numFmtId="3" fontId="6" fillId="6" borderId="191" xfId="0" applyNumberFormat="1" applyFont="1" applyFill="1" applyBorder="1"/>
    <xf numFmtId="3" fontId="8" fillId="6" borderId="191" xfId="0" applyNumberFormat="1" applyFont="1" applyFill="1" applyBorder="1"/>
    <xf numFmtId="3" fontId="8" fillId="8" borderId="191" xfId="0" applyNumberFormat="1" applyFont="1" applyFill="1" applyBorder="1"/>
    <xf numFmtId="3" fontId="36" fillId="18" borderId="50" xfId="0" applyNumberFormat="1" applyFont="1" applyFill="1" applyBorder="1" applyAlignment="1">
      <alignment vertical="center"/>
    </xf>
    <xf numFmtId="3" fontId="61" fillId="2" borderId="7" xfId="0" applyNumberFormat="1" applyFont="1" applyFill="1" applyBorder="1" applyAlignment="1">
      <alignment vertical="center" wrapText="1"/>
    </xf>
    <xf numFmtId="0" fontId="64" fillId="0" borderId="10" xfId="0" applyFont="1" applyBorder="1" applyAlignment="1">
      <alignment horizontal="center" vertical="center"/>
    </xf>
    <xf numFmtId="3" fontId="7" fillId="0" borderId="10" xfId="0" applyNumberFormat="1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19" fillId="14" borderId="2" xfId="0" applyNumberFormat="1" applyFont="1" applyFill="1" applyBorder="1" applyAlignment="1">
      <alignment vertical="center" wrapText="1"/>
    </xf>
    <xf numFmtId="3" fontId="24" fillId="14" borderId="10" xfId="0" applyNumberFormat="1" applyFont="1" applyFill="1" applyBorder="1" applyAlignment="1">
      <alignment vertical="center" wrapText="1"/>
    </xf>
    <xf numFmtId="3" fontId="24" fillId="14" borderId="72" xfId="0" applyNumberFormat="1" applyFont="1" applyFill="1" applyBorder="1" applyAlignment="1">
      <alignment vertical="center" wrapText="1"/>
    </xf>
    <xf numFmtId="3" fontId="71" fillId="0" borderId="10" xfId="0" applyNumberFormat="1" applyFont="1" applyFill="1" applyBorder="1" applyAlignment="1">
      <alignment vertical="center" wrapText="1"/>
    </xf>
    <xf numFmtId="3" fontId="75" fillId="8" borderId="10" xfId="0" applyNumberFormat="1" applyFont="1" applyFill="1" applyBorder="1"/>
    <xf numFmtId="3" fontId="8" fillId="6" borderId="127" xfId="0" applyNumberFormat="1" applyFont="1" applyFill="1" applyBorder="1"/>
    <xf numFmtId="3" fontId="75" fillId="12" borderId="10" xfId="0" applyNumberFormat="1" applyFont="1" applyFill="1" applyBorder="1"/>
    <xf numFmtId="3" fontId="75" fillId="12" borderId="7" xfId="0" applyNumberFormat="1" applyFont="1" applyFill="1" applyBorder="1"/>
    <xf numFmtId="0" fontId="64" fillId="0" borderId="184" xfId="0" applyFont="1" applyBorder="1" applyAlignment="1">
      <alignment horizontal="center" vertical="center"/>
    </xf>
    <xf numFmtId="0" fontId="8" fillId="16" borderId="2" xfId="0" applyFont="1" applyFill="1" applyBorder="1"/>
    <xf numFmtId="3" fontId="19" fillId="8" borderId="10" xfId="0" applyNumberFormat="1" applyFont="1" applyFill="1" applyBorder="1"/>
    <xf numFmtId="0" fontId="8" fillId="18" borderId="2" xfId="0" applyFont="1" applyFill="1" applyBorder="1" applyAlignment="1">
      <alignment vertical="center"/>
    </xf>
    <xf numFmtId="3" fontId="61" fillId="2" borderId="5" xfId="0" applyNumberFormat="1" applyFont="1" applyFill="1" applyBorder="1" applyAlignment="1">
      <alignment vertical="center" wrapText="1"/>
    </xf>
    <xf numFmtId="0" fontId="64" fillId="0" borderId="180" xfId="0" applyFont="1" applyBorder="1" applyAlignment="1">
      <alignment horizontal="center" vertical="center"/>
    </xf>
    <xf numFmtId="3" fontId="8" fillId="6" borderId="19" xfId="0" applyNumberFormat="1" applyFont="1" applyFill="1" applyBorder="1"/>
    <xf numFmtId="3" fontId="8" fillId="8" borderId="193" xfId="0" applyNumberFormat="1" applyFont="1" applyFill="1" applyBorder="1"/>
    <xf numFmtId="3" fontId="36" fillId="18" borderId="52" xfId="0" applyNumberFormat="1" applyFont="1" applyFill="1" applyBorder="1" applyAlignment="1">
      <alignment vertical="center"/>
    </xf>
    <xf numFmtId="3" fontId="6" fillId="11" borderId="193" xfId="0" applyNumberFormat="1" applyFont="1" applyFill="1" applyBorder="1"/>
    <xf numFmtId="3" fontId="7" fillId="23" borderId="183" xfId="0" applyNumberFormat="1" applyFont="1" applyFill="1" applyBorder="1" applyAlignment="1">
      <alignment vertical="center"/>
    </xf>
    <xf numFmtId="3" fontId="18" fillId="8" borderId="65" xfId="4" applyNumberFormat="1" applyFont="1" applyFill="1" applyBorder="1" applyAlignment="1">
      <alignment horizontal="center" vertical="center"/>
    </xf>
    <xf numFmtId="0" fontId="18" fillId="8" borderId="65" xfId="4" applyFont="1" applyFill="1" applyBorder="1" applyAlignment="1">
      <alignment horizontal="center" vertical="center"/>
    </xf>
    <xf numFmtId="3" fontId="25" fillId="22" borderId="68" xfId="4" applyNumberFormat="1" applyFont="1" applyFill="1" applyBorder="1" applyAlignment="1">
      <alignment horizontal="right" vertical="center"/>
    </xf>
    <xf numFmtId="0" fontId="25" fillId="6" borderId="17" xfId="4" applyFont="1" applyFill="1" applyBorder="1" applyAlignment="1">
      <alignment horizontal="left" vertical="center"/>
    </xf>
    <xf numFmtId="3" fontId="25" fillId="22" borderId="68" xfId="0" applyNumberFormat="1" applyFont="1" applyFill="1" applyBorder="1" applyAlignment="1">
      <alignment vertical="center"/>
    </xf>
    <xf numFmtId="2" fontId="0" fillId="0" borderId="0" xfId="0" applyNumberFormat="1" applyFont="1" applyBorder="1"/>
    <xf numFmtId="0" fontId="69" fillId="2" borderId="0" xfId="0" applyFont="1" applyFill="1" applyBorder="1" applyAlignment="1">
      <alignment horizont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3" fontId="7" fillId="0" borderId="2" xfId="0" quotePrefix="1" applyNumberFormat="1" applyFont="1" applyBorder="1" applyAlignment="1">
      <alignment horizontal="center"/>
    </xf>
    <xf numFmtId="3" fontId="0" fillId="0" borderId="8" xfId="0" applyNumberFormat="1" applyFont="1" applyBorder="1" applyAlignment="1">
      <alignment vertical="center"/>
    </xf>
    <xf numFmtId="3" fontId="19" fillId="4" borderId="9" xfId="0" quotePrefix="1" applyNumberFormat="1" applyFont="1" applyFill="1" applyBorder="1" applyAlignment="1">
      <alignment horizontal="right" vertical="center"/>
    </xf>
    <xf numFmtId="3" fontId="19" fillId="4" borderId="23" xfId="0" quotePrefix="1" applyNumberFormat="1" applyFont="1" applyFill="1" applyBorder="1" applyAlignment="1">
      <alignment horizontal="right" vertical="center"/>
    </xf>
    <xf numFmtId="3" fontId="65" fillId="52" borderId="39" xfId="0" applyNumberFormat="1" applyFont="1" applyFill="1" applyBorder="1" applyAlignment="1">
      <alignment vertical="center" wrapText="1"/>
    </xf>
    <xf numFmtId="3" fontId="65" fillId="52" borderId="12" xfId="0" applyNumberFormat="1" applyFont="1" applyFill="1" applyBorder="1" applyAlignment="1">
      <alignment vertical="center" wrapText="1"/>
    </xf>
    <xf numFmtId="3" fontId="8" fillId="3" borderId="21" xfId="0" applyNumberFormat="1" applyFont="1" applyFill="1" applyBorder="1" applyAlignment="1">
      <alignment vertical="center" wrapText="1"/>
    </xf>
    <xf numFmtId="3" fontId="65" fillId="4" borderId="12" xfId="0" applyNumberFormat="1" applyFont="1" applyFill="1" applyBorder="1" applyAlignment="1">
      <alignment vertical="center" wrapText="1"/>
    </xf>
    <xf numFmtId="3" fontId="65" fillId="2" borderId="0" xfId="0" applyNumberFormat="1" applyFont="1" applyFill="1" applyBorder="1" applyAlignment="1">
      <alignment vertical="center" wrapText="1"/>
    </xf>
    <xf numFmtId="3" fontId="65" fillId="13" borderId="54" xfId="0" applyNumberFormat="1" applyFont="1" applyFill="1" applyBorder="1" applyAlignment="1">
      <alignment vertical="center" wrapText="1"/>
    </xf>
    <xf numFmtId="3" fontId="80" fillId="13" borderId="35" xfId="0" applyNumberFormat="1" applyFont="1" applyFill="1" applyBorder="1" applyAlignment="1">
      <alignment vertical="center" wrapText="1"/>
    </xf>
    <xf numFmtId="3" fontId="65" fillId="13" borderId="57" xfId="0" applyNumberFormat="1" applyFont="1" applyFill="1" applyBorder="1" applyAlignment="1">
      <alignment vertical="center" wrapText="1"/>
    </xf>
    <xf numFmtId="3" fontId="65" fillId="13" borderId="0" xfId="0" applyNumberFormat="1" applyFont="1" applyFill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 wrapText="1"/>
    </xf>
    <xf numFmtId="3" fontId="65" fillId="0" borderId="54" xfId="0" applyNumberFormat="1" applyFont="1" applyFill="1" applyBorder="1" applyAlignment="1">
      <alignment vertical="center" wrapText="1"/>
    </xf>
    <xf numFmtId="3" fontId="81" fillId="0" borderId="35" xfId="0" applyNumberFormat="1" applyFont="1" applyFill="1" applyBorder="1" applyAlignment="1">
      <alignment vertical="center" wrapText="1"/>
    </xf>
    <xf numFmtId="3" fontId="65" fillId="0" borderId="24" xfId="0" applyNumberFormat="1" applyFont="1" applyFill="1" applyBorder="1" applyAlignment="1">
      <alignment vertical="center" wrapText="1"/>
    </xf>
    <xf numFmtId="3" fontId="65" fillId="0" borderId="39" xfId="0" applyNumberFormat="1" applyFont="1" applyFill="1" applyBorder="1" applyAlignment="1">
      <alignment vertical="center" wrapText="1"/>
    </xf>
    <xf numFmtId="0" fontId="63" fillId="0" borderId="192" xfId="0" applyFont="1" applyBorder="1" applyAlignment="1">
      <alignment horizontal="center" vertical="center"/>
    </xf>
    <xf numFmtId="3" fontId="19" fillId="15" borderId="24" xfId="0" applyNumberFormat="1" applyFont="1" applyFill="1" applyBorder="1" applyAlignment="1">
      <alignment vertical="center"/>
    </xf>
    <xf numFmtId="3" fontId="8" fillId="6" borderId="8" xfId="0" applyNumberFormat="1" applyFont="1" applyFill="1" applyBorder="1"/>
    <xf numFmtId="3" fontId="76" fillId="12" borderId="0" xfId="0" applyNumberFormat="1" applyFont="1" applyFill="1" applyBorder="1" applyAlignment="1">
      <alignment vertical="center"/>
    </xf>
    <xf numFmtId="3" fontId="19" fillId="15" borderId="51" xfId="0" applyNumberFormat="1" applyFont="1" applyFill="1" applyBorder="1" applyAlignment="1">
      <alignment vertical="center"/>
    </xf>
    <xf numFmtId="3" fontId="76" fillId="12" borderId="0" xfId="0" applyNumberFormat="1" applyFont="1" applyFill="1" applyBorder="1"/>
    <xf numFmtId="3" fontId="76" fillId="12" borderId="8" xfId="0" applyNumberFormat="1" applyFont="1" applyFill="1" applyBorder="1"/>
    <xf numFmtId="3" fontId="19" fillId="16" borderId="24" xfId="5" applyNumberFormat="1" applyFont="1" applyFill="1" applyBorder="1" applyAlignment="1">
      <alignment vertical="center"/>
    </xf>
    <xf numFmtId="3" fontId="8" fillId="8" borderId="114" xfId="0" applyNumberFormat="1" applyFont="1" applyFill="1" applyBorder="1"/>
    <xf numFmtId="3" fontId="19" fillId="16" borderId="51" xfId="5" applyNumberFormat="1" applyFont="1" applyFill="1" applyBorder="1"/>
    <xf numFmtId="0" fontId="24" fillId="8" borderId="82" xfId="0" applyFont="1" applyFill="1" applyBorder="1" applyAlignment="1">
      <alignment horizontal="center" vertical="center" wrapText="1"/>
    </xf>
    <xf numFmtId="165" fontId="7" fillId="8" borderId="8" xfId="2" applyNumberFormat="1" applyFont="1" applyFill="1" applyBorder="1" applyAlignment="1">
      <alignment vertical="center"/>
    </xf>
    <xf numFmtId="3" fontId="7" fillId="8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3" fontId="7" fillId="23" borderId="7" xfId="0" applyNumberFormat="1" applyFont="1" applyFill="1" applyBorder="1" applyAlignment="1">
      <alignment vertical="center"/>
    </xf>
    <xf numFmtId="0" fontId="7" fillId="0" borderId="182" xfId="4" applyFont="1" applyFill="1" applyBorder="1" applyAlignment="1">
      <alignment vertical="center"/>
    </xf>
    <xf numFmtId="43" fontId="7" fillId="0" borderId="9" xfId="1" applyFont="1" applyFill="1" applyBorder="1" applyAlignment="1">
      <alignment horizontal="right" vertical="center"/>
    </xf>
    <xf numFmtId="3" fontId="25" fillId="6" borderId="7" xfId="4" applyNumberFormat="1" applyFont="1" applyFill="1" applyBorder="1" applyAlignment="1">
      <alignment vertical="center"/>
    </xf>
    <xf numFmtId="3" fontId="33" fillId="0" borderId="7" xfId="6" applyNumberFormat="1" applyFont="1" applyFill="1" applyBorder="1" applyAlignment="1">
      <alignment vertical="center"/>
    </xf>
    <xf numFmtId="3" fontId="31" fillId="0" borderId="127" xfId="4" applyNumberFormat="1" applyFont="1" applyFill="1" applyBorder="1" applyAlignment="1">
      <alignment vertical="center"/>
    </xf>
    <xf numFmtId="0" fontId="24" fillId="8" borderId="18" xfId="0" applyFont="1" applyFill="1" applyBorder="1" applyAlignment="1">
      <alignment horizontal="center" vertical="center" wrapText="1"/>
    </xf>
    <xf numFmtId="3" fontId="7" fillId="23" borderId="17" xfId="0" applyNumberFormat="1" applyFont="1" applyFill="1" applyBorder="1" applyAlignment="1">
      <alignment vertical="center"/>
    </xf>
    <xf numFmtId="3" fontId="25" fillId="22" borderId="7" xfId="4" applyNumberFormat="1" applyFont="1" applyFill="1" applyBorder="1" applyAlignment="1">
      <alignment horizontal="right" vertical="center"/>
    </xf>
    <xf numFmtId="0" fontId="25" fillId="6" borderId="174" xfId="4" applyFont="1" applyFill="1" applyBorder="1" applyAlignment="1">
      <alignment horizontal="left" vertical="center"/>
    </xf>
    <xf numFmtId="3" fontId="24" fillId="32" borderId="174" xfId="4" applyNumberFormat="1" applyFont="1" applyFill="1" applyBorder="1" applyAlignment="1">
      <alignment vertical="center"/>
    </xf>
    <xf numFmtId="3" fontId="31" fillId="2" borderId="193" xfId="4" applyNumberFormat="1" applyFont="1" applyFill="1" applyBorder="1" applyAlignment="1">
      <alignment vertical="center" wrapText="1"/>
    </xf>
    <xf numFmtId="3" fontId="31" fillId="32" borderId="174" xfId="4" applyNumberFormat="1" applyFont="1" applyFill="1" applyBorder="1" applyAlignment="1">
      <alignment vertical="center"/>
    </xf>
    <xf numFmtId="0" fontId="17" fillId="28" borderId="25" xfId="0" applyFont="1" applyFill="1" applyBorder="1" applyAlignment="1">
      <alignment vertical="top"/>
    </xf>
    <xf numFmtId="0" fontId="7" fillId="8" borderId="67" xfId="4" applyFont="1" applyFill="1" applyBorder="1" applyAlignment="1">
      <alignment vertical="center"/>
    </xf>
    <xf numFmtId="3" fontId="7" fillId="23" borderId="127" xfId="0" applyNumberFormat="1" applyFont="1" applyFill="1" applyBorder="1" applyAlignment="1">
      <alignment vertical="center"/>
    </xf>
    <xf numFmtId="0" fontId="31" fillId="6" borderId="194" xfId="0" applyFont="1" applyFill="1" applyBorder="1" applyAlignment="1">
      <alignment vertical="top"/>
    </xf>
    <xf numFmtId="3" fontId="24" fillId="22" borderId="178" xfId="0" applyNumberFormat="1" applyFont="1" applyFill="1" applyBorder="1" applyAlignment="1">
      <alignment vertical="top"/>
    </xf>
    <xf numFmtId="3" fontId="29" fillId="26" borderId="178" xfId="0" applyNumberFormat="1" applyFont="1" applyFill="1" applyBorder="1" applyAlignment="1">
      <alignment vertical="center"/>
    </xf>
    <xf numFmtId="2" fontId="17" fillId="0" borderId="1" xfId="0" applyNumberFormat="1" applyFont="1" applyBorder="1" applyAlignment="1">
      <alignment vertical="top"/>
    </xf>
    <xf numFmtId="1" fontId="21" fillId="2" borderId="194" xfId="0" applyNumberFormat="1" applyFont="1" applyFill="1" applyBorder="1" applyAlignment="1">
      <alignment horizontal="center" vertical="top"/>
    </xf>
    <xf numFmtId="2" fontId="7" fillId="8" borderId="194" xfId="0" applyNumberFormat="1" applyFont="1" applyFill="1" applyBorder="1" applyAlignment="1">
      <alignment vertical="center" wrapText="1"/>
    </xf>
    <xf numFmtId="2" fontId="7" fillId="28" borderId="194" xfId="0" applyNumberFormat="1" applyFont="1" applyFill="1" applyBorder="1" applyAlignment="1">
      <alignment vertical="center" wrapText="1"/>
    </xf>
    <xf numFmtId="2" fontId="29" fillId="8" borderId="193" xfId="4" applyNumberFormat="1" applyFont="1" applyFill="1" applyBorder="1" applyAlignment="1">
      <alignment vertical="center"/>
    </xf>
    <xf numFmtId="2" fontId="24" fillId="8" borderId="194" xfId="0" applyNumberFormat="1" applyFont="1" applyFill="1" applyBorder="1" applyAlignment="1">
      <alignment vertical="center"/>
    </xf>
    <xf numFmtId="0" fontId="7" fillId="8" borderId="180" xfId="0" applyFont="1" applyFill="1" applyBorder="1" applyAlignment="1">
      <alignment vertical="top" wrapText="1"/>
    </xf>
    <xf numFmtId="2" fontId="24" fillId="8" borderId="173" xfId="0" applyNumberFormat="1" applyFont="1" applyFill="1" applyBorder="1" applyAlignment="1">
      <alignment vertical="center"/>
    </xf>
    <xf numFmtId="2" fontId="24" fillId="6" borderId="193" xfId="4" applyNumberFormat="1" applyFont="1" applyFill="1" applyBorder="1" applyAlignment="1">
      <alignment horizontal="left" vertical="center"/>
    </xf>
    <xf numFmtId="2" fontId="7" fillId="6" borderId="194" xfId="0" applyNumberFormat="1" applyFont="1" applyFill="1" applyBorder="1" applyAlignment="1">
      <alignment vertical="center" wrapText="1"/>
    </xf>
    <xf numFmtId="3" fontId="29" fillId="8" borderId="174" xfId="0" applyNumberFormat="1" applyFont="1" applyFill="1" applyBorder="1" applyAlignment="1">
      <alignment vertical="center"/>
    </xf>
    <xf numFmtId="3" fontId="31" fillId="8" borderId="175" xfId="0" applyNumberFormat="1" applyFont="1" applyFill="1" applyBorder="1" applyAlignment="1">
      <alignment vertical="center"/>
    </xf>
    <xf numFmtId="3" fontId="31" fillId="8" borderId="174" xfId="0" applyNumberFormat="1" applyFont="1" applyFill="1" applyBorder="1" applyAlignment="1">
      <alignment vertical="center"/>
    </xf>
    <xf numFmtId="2" fontId="25" fillId="6" borderId="193" xfId="4" applyNumberFormat="1" applyFont="1" applyFill="1" applyBorder="1" applyAlignment="1">
      <alignment horizontal="left" vertical="center"/>
    </xf>
    <xf numFmtId="2" fontId="31" fillId="6" borderId="194" xfId="0" applyNumberFormat="1" applyFont="1" applyFill="1" applyBorder="1" applyAlignment="1">
      <alignment vertical="top"/>
    </xf>
    <xf numFmtId="2" fontId="27" fillId="2" borderId="193" xfId="4" applyNumberFormat="1" applyFont="1" applyFill="1" applyBorder="1" applyAlignment="1">
      <alignment vertical="center" wrapText="1"/>
    </xf>
    <xf numFmtId="2" fontId="27" fillId="2" borderId="193" xfId="4" applyNumberFormat="1" applyFont="1" applyFill="1" applyBorder="1" applyAlignment="1">
      <alignment vertical="top"/>
    </xf>
    <xf numFmtId="3" fontId="31" fillId="0" borderId="166" xfId="0" applyNumberFormat="1" applyFont="1" applyFill="1" applyBorder="1" applyAlignment="1">
      <alignment vertical="top"/>
    </xf>
    <xf numFmtId="2" fontId="7" fillId="6" borderId="194" xfId="0" applyNumberFormat="1" applyFont="1" applyFill="1" applyBorder="1" applyAlignment="1">
      <alignment horizontal="left" vertical="center" wrapText="1"/>
    </xf>
    <xf numFmtId="3" fontId="31" fillId="0" borderId="166" xfId="4" applyNumberFormat="1" applyFont="1" applyFill="1" applyBorder="1" applyAlignment="1"/>
    <xf numFmtId="3" fontId="31" fillId="32" borderId="174" xfId="0" applyNumberFormat="1" applyFont="1" applyFill="1" applyBorder="1" applyAlignment="1">
      <alignment vertical="top"/>
    </xf>
    <xf numFmtId="3" fontId="27" fillId="32" borderId="174" xfId="0" applyNumberFormat="1" applyFont="1" applyFill="1" applyBorder="1" applyAlignment="1">
      <alignment vertical="top"/>
    </xf>
    <xf numFmtId="0" fontId="34" fillId="0" borderId="40" xfId="0" applyFont="1" applyFill="1" applyBorder="1" applyAlignment="1">
      <alignment vertical="top"/>
    </xf>
    <xf numFmtId="2" fontId="18" fillId="2" borderId="41" xfId="0" applyNumberFormat="1" applyFont="1" applyFill="1" applyBorder="1" applyAlignment="1">
      <alignment vertical="top"/>
    </xf>
    <xf numFmtId="2" fontId="17" fillId="8" borderId="26" xfId="0" applyNumberFormat="1" applyFont="1" applyFill="1" applyBorder="1" applyAlignment="1">
      <alignment vertical="top"/>
    </xf>
    <xf numFmtId="2" fontId="31" fillId="8" borderId="193" xfId="0" applyNumberFormat="1" applyFont="1" applyFill="1" applyBorder="1" applyAlignment="1">
      <alignment vertical="center"/>
    </xf>
    <xf numFmtId="2" fontId="25" fillId="23" borderId="178" xfId="0" applyNumberFormat="1" applyFont="1" applyFill="1" applyBorder="1" applyAlignment="1">
      <alignment vertical="center"/>
    </xf>
    <xf numFmtId="2" fontId="25" fillId="23" borderId="178" xfId="0" applyNumberFormat="1" applyFont="1" applyFill="1" applyBorder="1" applyAlignment="1">
      <alignment horizontal="center" vertical="center"/>
    </xf>
    <xf numFmtId="2" fontId="31" fillId="8" borderId="193" xfId="0" applyNumberFormat="1" applyFont="1" applyFill="1" applyBorder="1" applyAlignment="1">
      <alignment vertical="top"/>
    </xf>
    <xf numFmtId="2" fontId="25" fillId="23" borderId="183" xfId="0" applyNumberFormat="1" applyFont="1" applyFill="1" applyBorder="1" applyAlignment="1">
      <alignment horizontal="center" vertical="center"/>
    </xf>
    <xf numFmtId="2" fontId="31" fillId="32" borderId="193" xfId="0" applyNumberFormat="1" applyFont="1" applyFill="1" applyBorder="1" applyAlignment="1">
      <alignment vertical="center"/>
    </xf>
    <xf numFmtId="2" fontId="29" fillId="2" borderId="193" xfId="4" applyNumberFormat="1" applyFont="1" applyFill="1" applyBorder="1" applyAlignment="1">
      <alignment vertical="center" wrapText="1"/>
    </xf>
    <xf numFmtId="2" fontId="7" fillId="0" borderId="193" xfId="0" applyNumberFormat="1" applyFont="1" applyFill="1" applyBorder="1" applyAlignment="1">
      <alignment vertical="center" wrapText="1"/>
    </xf>
    <xf numFmtId="2" fontId="31" fillId="2" borderId="193" xfId="4" applyNumberFormat="1" applyFont="1" applyFill="1" applyBorder="1" applyAlignment="1">
      <alignment vertical="center" wrapText="1"/>
    </xf>
    <xf numFmtId="2" fontId="0" fillId="0" borderId="26" xfId="0" applyNumberFormat="1" applyFont="1" applyBorder="1"/>
    <xf numFmtId="2" fontId="18" fillId="0" borderId="65" xfId="0" applyNumberFormat="1" applyFont="1" applyBorder="1" applyAlignment="1">
      <alignment horizontal="center" vertical="top" wrapText="1"/>
    </xf>
    <xf numFmtId="2" fontId="17" fillId="0" borderId="26" xfId="0" applyNumberFormat="1" applyFont="1" applyBorder="1" applyAlignment="1">
      <alignment vertical="top"/>
    </xf>
    <xf numFmtId="2" fontId="17" fillId="0" borderId="66" xfId="0" applyNumberFormat="1" applyFont="1" applyBorder="1" applyAlignment="1">
      <alignment vertical="top"/>
    </xf>
    <xf numFmtId="2" fontId="18" fillId="0" borderId="67" xfId="0" applyNumberFormat="1" applyFont="1" applyBorder="1" applyAlignment="1">
      <alignment horizontal="center" vertical="top" wrapText="1"/>
    </xf>
    <xf numFmtId="2" fontId="17" fillId="0" borderId="84" xfId="0" applyNumberFormat="1" applyFont="1" applyBorder="1" applyAlignment="1">
      <alignment vertical="top"/>
    </xf>
    <xf numFmtId="2" fontId="18" fillId="0" borderId="77" xfId="0" applyNumberFormat="1" applyFont="1" applyBorder="1" applyAlignment="1">
      <alignment horizontal="center" vertical="top" wrapText="1"/>
    </xf>
    <xf numFmtId="2" fontId="0" fillId="0" borderId="77" xfId="0" applyNumberFormat="1" applyFont="1" applyBorder="1"/>
    <xf numFmtId="2" fontId="0" fillId="0" borderId="64" xfId="0" applyNumberFormat="1" applyFont="1" applyBorder="1"/>
    <xf numFmtId="2" fontId="18" fillId="0" borderId="64" xfId="0" applyNumberFormat="1" applyFont="1" applyBorder="1" applyAlignment="1">
      <alignment horizontal="center" vertical="top" wrapText="1"/>
    </xf>
    <xf numFmtId="0" fontId="21" fillId="2" borderId="194" xfId="0" applyFont="1" applyFill="1" applyBorder="1" applyAlignment="1">
      <alignment horizontal="center" vertical="center"/>
    </xf>
    <xf numFmtId="0" fontId="21" fillId="2" borderId="175" xfId="0" applyFont="1" applyFill="1" applyBorder="1" applyAlignment="1">
      <alignment horizontal="center" vertical="center"/>
    </xf>
    <xf numFmtId="0" fontId="21" fillId="2" borderId="175" xfId="0" quotePrefix="1" applyFont="1" applyFill="1" applyBorder="1" applyAlignment="1">
      <alignment horizontal="center" vertical="center"/>
    </xf>
    <xf numFmtId="0" fontId="21" fillId="26" borderId="175" xfId="0" quotePrefix="1" applyFont="1" applyFill="1" applyBorder="1" applyAlignment="1">
      <alignment horizontal="center" vertical="center"/>
    </xf>
    <xf numFmtId="0" fontId="21" fillId="2" borderId="170" xfId="0" quotePrefix="1" applyFont="1" applyFill="1" applyBorder="1" applyAlignment="1">
      <alignment horizontal="center" vertical="center"/>
    </xf>
    <xf numFmtId="0" fontId="17" fillId="8" borderId="173" xfId="4" applyFont="1" applyFill="1" applyBorder="1" applyAlignment="1">
      <alignment vertical="top"/>
    </xf>
    <xf numFmtId="0" fontId="27" fillId="50" borderId="175" xfId="4" applyFont="1" applyFill="1" applyBorder="1" applyAlignment="1">
      <alignment horizontal="left" vertical="center"/>
    </xf>
    <xf numFmtId="3" fontId="27" fillId="50" borderId="175" xfId="4" applyNumberFormat="1" applyFont="1" applyFill="1" applyBorder="1" applyAlignment="1">
      <alignment horizontal="left" vertical="center"/>
    </xf>
    <xf numFmtId="3" fontId="27" fillId="50" borderId="175" xfId="4" applyNumberFormat="1" applyFont="1" applyFill="1" applyBorder="1" applyAlignment="1">
      <alignment horizontal="right" vertical="center"/>
    </xf>
    <xf numFmtId="3" fontId="27" fillId="21" borderId="175" xfId="4" applyNumberFormat="1" applyFont="1" applyFill="1" applyBorder="1" applyAlignment="1">
      <alignment horizontal="right" vertical="center"/>
    </xf>
    <xf numFmtId="0" fontId="27" fillId="50" borderId="175" xfId="0" applyFont="1" applyFill="1" applyBorder="1" applyAlignment="1">
      <alignment horizontal="left" vertical="top"/>
    </xf>
    <xf numFmtId="0" fontId="28" fillId="50" borderId="175" xfId="0" quotePrefix="1" applyFont="1" applyFill="1" applyBorder="1" applyAlignment="1">
      <alignment horizontal="center" vertical="top"/>
    </xf>
    <xf numFmtId="3" fontId="27" fillId="50" borderId="175" xfId="0" quotePrefix="1" applyNumberFormat="1" applyFont="1" applyFill="1" applyBorder="1" applyAlignment="1">
      <alignment horizontal="right" vertical="top"/>
    </xf>
    <xf numFmtId="3" fontId="18" fillId="8" borderId="170" xfId="4" applyNumberFormat="1" applyFont="1" applyFill="1" applyBorder="1" applyAlignment="1">
      <alignment horizontal="center" vertical="top"/>
    </xf>
    <xf numFmtId="3" fontId="29" fillId="8" borderId="175" xfId="4" applyNumberFormat="1" applyFont="1" applyFill="1" applyBorder="1" applyAlignment="1">
      <alignment vertical="top" wrapText="1"/>
    </xf>
    <xf numFmtId="3" fontId="29" fillId="8" borderId="175" xfId="4" applyNumberFormat="1" applyFont="1" applyFill="1" applyBorder="1" applyAlignment="1">
      <alignment horizontal="right" vertical="center"/>
    </xf>
    <xf numFmtId="3" fontId="29" fillId="23" borderId="175" xfId="4" applyNumberFormat="1" applyFont="1" applyFill="1" applyBorder="1" applyAlignment="1">
      <alignment horizontal="right" vertical="center"/>
    </xf>
    <xf numFmtId="3" fontId="32" fillId="8" borderId="175" xfId="0" applyNumberFormat="1" applyFont="1" applyFill="1" applyBorder="1"/>
    <xf numFmtId="0" fontId="29" fillId="8" borderId="175" xfId="4" applyFont="1" applyFill="1" applyBorder="1" applyAlignment="1">
      <alignment vertical="top"/>
    </xf>
    <xf numFmtId="0" fontId="7" fillId="8" borderId="178" xfId="4" applyFont="1" applyFill="1" applyBorder="1" applyAlignment="1">
      <alignment vertical="top" wrapText="1"/>
    </xf>
    <xf numFmtId="3" fontId="31" fillId="8" borderId="175" xfId="4" applyNumberFormat="1" applyFont="1" applyFill="1" applyBorder="1" applyAlignment="1">
      <alignment horizontal="right" vertical="center"/>
    </xf>
    <xf numFmtId="3" fontId="7" fillId="8" borderId="183" xfId="4" applyNumberFormat="1" applyFont="1" applyFill="1" applyBorder="1" applyAlignment="1">
      <alignment vertical="top" wrapText="1"/>
    </xf>
    <xf numFmtId="0" fontId="25" fillId="6" borderId="183" xfId="4" applyFont="1" applyFill="1" applyBorder="1" applyAlignment="1">
      <alignment horizontal="left" vertical="center"/>
    </xf>
    <xf numFmtId="3" fontId="29" fillId="8" borderId="183" xfId="4" applyNumberFormat="1" applyFont="1" applyFill="1" applyBorder="1" applyAlignment="1">
      <alignment vertical="top" wrapText="1"/>
    </xf>
    <xf numFmtId="3" fontId="27" fillId="8" borderId="175" xfId="4" applyNumberFormat="1" applyFont="1" applyFill="1" applyBorder="1" applyAlignment="1">
      <alignment vertical="top" wrapText="1"/>
    </xf>
    <xf numFmtId="3" fontId="33" fillId="8" borderId="175" xfId="6" applyNumberFormat="1" applyFont="1" applyFill="1" applyBorder="1" applyAlignment="1">
      <alignment vertical="center"/>
    </xf>
    <xf numFmtId="0" fontId="7" fillId="8" borderId="183" xfId="4" applyFont="1" applyFill="1" applyBorder="1" applyAlignment="1">
      <alignment vertical="top" wrapText="1"/>
    </xf>
    <xf numFmtId="0" fontId="7" fillId="8" borderId="175" xfId="4" applyFont="1" applyFill="1" applyBorder="1" applyAlignment="1">
      <alignment horizontal="left" vertical="center"/>
    </xf>
    <xf numFmtId="0" fontId="27" fillId="8" borderId="183" xfId="4" applyFont="1" applyFill="1" applyBorder="1" applyAlignment="1">
      <alignment vertical="center"/>
    </xf>
    <xf numFmtId="0" fontId="27" fillId="8" borderId="175" xfId="4" applyFont="1" applyFill="1" applyBorder="1" applyAlignment="1">
      <alignment vertical="center"/>
    </xf>
    <xf numFmtId="0" fontId="18" fillId="8" borderId="170" xfId="4" applyFont="1" applyFill="1" applyBorder="1" applyAlignment="1">
      <alignment horizontal="center" vertical="center"/>
    </xf>
    <xf numFmtId="3" fontId="32" fillId="8" borderId="171" xfId="6" applyNumberFormat="1" applyFont="1" applyFill="1" applyBorder="1" applyAlignment="1">
      <alignment vertical="center"/>
    </xf>
    <xf numFmtId="0" fontId="18" fillId="8" borderId="181" xfId="4" applyFont="1" applyFill="1" applyBorder="1" applyAlignment="1">
      <alignment horizontal="center" vertical="center"/>
    </xf>
    <xf numFmtId="0" fontId="7" fillId="8" borderId="185" xfId="4" applyFont="1" applyFill="1" applyBorder="1" applyAlignment="1">
      <alignment vertical="center"/>
    </xf>
    <xf numFmtId="3" fontId="32" fillId="8" borderId="185" xfId="6" applyNumberFormat="1" applyFont="1" applyFill="1" applyBorder="1" applyAlignment="1">
      <alignment vertical="center"/>
    </xf>
    <xf numFmtId="43" fontId="25" fillId="6" borderId="175" xfId="1" applyFont="1" applyFill="1" applyBorder="1" applyAlignment="1">
      <alignment horizontal="right" vertical="center"/>
    </xf>
    <xf numFmtId="43" fontId="27" fillId="0" borderId="175" xfId="1" applyFont="1" applyFill="1" applyBorder="1" applyAlignment="1">
      <alignment horizontal="right" vertical="center"/>
    </xf>
    <xf numFmtId="3" fontId="28" fillId="25" borderId="175" xfId="4" applyNumberFormat="1" applyFont="1" applyFill="1" applyBorder="1" applyAlignment="1">
      <alignment horizontal="right" vertical="center"/>
    </xf>
    <xf numFmtId="43" fontId="32" fillId="0" borderId="175" xfId="1" applyFont="1" applyFill="1" applyBorder="1" applyAlignment="1">
      <alignment vertical="center"/>
    </xf>
    <xf numFmtId="43" fontId="31" fillId="0" borderId="175" xfId="1" applyFont="1" applyFill="1" applyBorder="1" applyAlignment="1">
      <alignment horizontal="right" vertical="center"/>
    </xf>
    <xf numFmtId="3" fontId="62" fillId="57" borderId="175" xfId="6" applyNumberFormat="1" applyFont="1" applyFill="1" applyBorder="1" applyAlignment="1">
      <alignment vertical="center"/>
    </xf>
    <xf numFmtId="3" fontId="38" fillId="57" borderId="175" xfId="4" applyNumberFormat="1" applyFont="1" applyFill="1" applyBorder="1" applyAlignment="1">
      <alignment horizontal="right" vertical="center"/>
    </xf>
    <xf numFmtId="43" fontId="28" fillId="57" borderId="175" xfId="1" applyFont="1" applyFill="1" applyBorder="1" applyAlignment="1">
      <alignment horizontal="right" vertical="center"/>
    </xf>
    <xf numFmtId="43" fontId="24" fillId="6" borderId="175" xfId="1" applyFont="1" applyFill="1" applyBorder="1" applyAlignment="1"/>
    <xf numFmtId="0" fontId="23" fillId="0" borderId="170" xfId="0" applyFont="1" applyFill="1" applyBorder="1" applyAlignment="1">
      <alignment horizontal="center" vertical="center" wrapText="1"/>
    </xf>
    <xf numFmtId="43" fontId="31" fillId="0" borderId="174" xfId="1" applyFont="1" applyFill="1" applyBorder="1" applyAlignment="1">
      <alignment vertical="center"/>
    </xf>
    <xf numFmtId="0" fontId="38" fillId="57" borderId="175" xfId="4" applyFont="1" applyFill="1" applyBorder="1" applyAlignment="1">
      <alignment vertical="top"/>
    </xf>
    <xf numFmtId="0" fontId="38" fillId="52" borderId="175" xfId="4" applyFont="1" applyFill="1" applyBorder="1" applyAlignment="1">
      <alignment vertical="top"/>
    </xf>
    <xf numFmtId="3" fontId="62" fillId="52" borderId="175" xfId="6" applyNumberFormat="1" applyFont="1" applyFill="1" applyBorder="1" applyAlignment="1">
      <alignment vertical="center"/>
    </xf>
    <xf numFmtId="43" fontId="38" fillId="52" borderId="175" xfId="1" applyFont="1" applyFill="1" applyBorder="1" applyAlignment="1">
      <alignment horizontal="right" vertical="center"/>
    </xf>
    <xf numFmtId="3" fontId="38" fillId="52" borderId="175" xfId="4" applyNumberFormat="1" applyFont="1" applyFill="1" applyBorder="1" applyAlignment="1">
      <alignment horizontal="right" vertical="center"/>
    </xf>
    <xf numFmtId="43" fontId="28" fillId="52" borderId="175" xfId="1" applyFont="1" applyFill="1" applyBorder="1" applyAlignment="1">
      <alignment horizontal="right" vertical="center"/>
    </xf>
    <xf numFmtId="0" fontId="62" fillId="0" borderId="175" xfId="0" applyFont="1" applyFill="1" applyBorder="1" applyAlignment="1">
      <alignment horizontal="center" vertical="center" wrapText="1"/>
    </xf>
    <xf numFmtId="0" fontId="62" fillId="52" borderId="175" xfId="0" applyFont="1" applyFill="1" applyBorder="1" applyAlignment="1">
      <alignment horizontal="center" vertical="center" wrapText="1"/>
    </xf>
    <xf numFmtId="3" fontId="7" fillId="8" borderId="179" xfId="4" applyNumberFormat="1" applyFont="1" applyFill="1" applyBorder="1" applyAlignment="1">
      <alignment vertical="center" wrapText="1"/>
    </xf>
    <xf numFmtId="0" fontId="8" fillId="0" borderId="64" xfId="0" applyFont="1" applyBorder="1"/>
    <xf numFmtId="0" fontId="8" fillId="0" borderId="65" xfId="0" applyFont="1" applyBorder="1"/>
    <xf numFmtId="0" fontId="19" fillId="0" borderId="171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vertical="center"/>
    </xf>
    <xf numFmtId="3" fontId="8" fillId="0" borderId="65" xfId="0" applyNumberFormat="1" applyFont="1" applyBorder="1" applyAlignment="1">
      <alignment vertical="center"/>
    </xf>
    <xf numFmtId="0" fontId="65" fillId="6" borderId="194" xfId="4" applyFont="1" applyFill="1" applyBorder="1" applyAlignment="1">
      <alignment horizontal="left" vertical="center"/>
    </xf>
    <xf numFmtId="3" fontId="65" fillId="6" borderId="175" xfId="0" applyNumberFormat="1" applyFont="1" applyFill="1" applyBorder="1" applyAlignment="1">
      <alignment horizontal="right" vertical="center" wrapText="1"/>
    </xf>
    <xf numFmtId="3" fontId="65" fillId="7" borderId="193" xfId="0" applyNumberFormat="1" applyFont="1" applyFill="1" applyBorder="1" applyAlignment="1">
      <alignment horizontal="right" vertical="center" wrapText="1"/>
    </xf>
    <xf numFmtId="0" fontId="8" fillId="0" borderId="194" xfId="0" applyFont="1" applyFill="1" applyBorder="1" applyAlignment="1">
      <alignment vertical="center" wrapText="1"/>
    </xf>
    <xf numFmtId="3" fontId="8" fillId="0" borderId="174" xfId="0" applyNumberFormat="1" applyFont="1" applyFill="1" applyBorder="1" applyAlignment="1">
      <alignment vertical="center" wrapText="1"/>
    </xf>
    <xf numFmtId="43" fontId="8" fillId="0" borderId="175" xfId="1" applyFont="1" applyFill="1" applyBorder="1" applyAlignment="1">
      <alignment vertical="center" wrapText="1"/>
    </xf>
    <xf numFmtId="3" fontId="8" fillId="0" borderId="175" xfId="0" applyNumberFormat="1" applyFont="1" applyFill="1" applyBorder="1" applyAlignment="1">
      <alignment vertical="center" wrapText="1"/>
    </xf>
    <xf numFmtId="43" fontId="8" fillId="0" borderId="174" xfId="1" applyFont="1" applyFill="1" applyBorder="1" applyAlignment="1">
      <alignment vertical="center" wrapText="1"/>
    </xf>
    <xf numFmtId="3" fontId="63" fillId="8" borderId="174" xfId="0" applyNumberFormat="1" applyFont="1" applyFill="1" applyBorder="1" applyAlignment="1">
      <alignment vertical="center" wrapText="1"/>
    </xf>
    <xf numFmtId="3" fontId="63" fillId="9" borderId="193" xfId="0" applyNumberFormat="1" applyFont="1" applyFill="1" applyBorder="1" applyAlignment="1">
      <alignment vertical="center" wrapText="1"/>
    </xf>
    <xf numFmtId="0" fontId="65" fillId="6" borderId="194" xfId="4" applyFont="1" applyFill="1" applyBorder="1" applyAlignment="1">
      <alignment horizontal="left"/>
    </xf>
    <xf numFmtId="3" fontId="61" fillId="6" borderId="175" xfId="0" applyNumberFormat="1" applyFont="1" applyFill="1" applyBorder="1" applyAlignment="1">
      <alignment wrapText="1"/>
    </xf>
    <xf numFmtId="3" fontId="65" fillId="6" borderId="175" xfId="0" applyNumberFormat="1" applyFont="1" applyFill="1" applyBorder="1" applyAlignment="1">
      <alignment wrapText="1"/>
    </xf>
    <xf numFmtId="0" fontId="71" fillId="0" borderId="65" xfId="0" applyFont="1" applyFill="1" applyBorder="1" applyAlignment="1"/>
    <xf numFmtId="3" fontId="64" fillId="8" borderId="174" xfId="0" applyNumberFormat="1" applyFont="1" applyFill="1" applyBorder="1" applyAlignment="1">
      <alignment vertical="center" wrapText="1"/>
    </xf>
    <xf numFmtId="0" fontId="8" fillId="0" borderId="65" xfId="0" applyFont="1" applyFill="1" applyBorder="1" applyAlignment="1">
      <alignment vertical="center"/>
    </xf>
    <xf numFmtId="3" fontId="64" fillId="8" borderId="175" xfId="0" applyNumberFormat="1" applyFont="1" applyFill="1" applyBorder="1" applyAlignment="1">
      <alignment vertical="center" wrapText="1"/>
    </xf>
    <xf numFmtId="3" fontId="63" fillId="8" borderId="175" xfId="0" applyNumberFormat="1" applyFont="1" applyFill="1" applyBorder="1" applyAlignment="1">
      <alignment vertical="center" wrapText="1"/>
    </xf>
    <xf numFmtId="3" fontId="8" fillId="0" borderId="191" xfId="0" applyNumberFormat="1" applyFont="1" applyFill="1" applyBorder="1" applyAlignment="1">
      <alignment vertical="center" wrapText="1"/>
    </xf>
    <xf numFmtId="3" fontId="71" fillId="0" borderId="65" xfId="0" applyNumberFormat="1" applyFont="1" applyFill="1" applyBorder="1" applyAlignment="1">
      <alignment vertical="center"/>
    </xf>
    <xf numFmtId="0" fontId="71" fillId="0" borderId="65" xfId="0" applyFont="1" applyFill="1" applyBorder="1" applyAlignment="1">
      <alignment vertical="center"/>
    </xf>
    <xf numFmtId="3" fontId="7" fillId="0" borderId="26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horizontal="right" vertical="center" wrapText="1"/>
    </xf>
    <xf numFmtId="3" fontId="36" fillId="4" borderId="185" xfId="0" quotePrefix="1" applyNumberFormat="1" applyFont="1" applyFill="1" applyBorder="1" applyAlignment="1">
      <alignment horizontal="right"/>
    </xf>
    <xf numFmtId="43" fontId="63" fillId="8" borderId="174" xfId="1" applyFont="1" applyFill="1" applyBorder="1" applyAlignment="1">
      <alignment vertical="center" wrapText="1"/>
    </xf>
    <xf numFmtId="43" fontId="63" fillId="9" borderId="193" xfId="1" applyFont="1" applyFill="1" applyBorder="1" applyAlignment="1">
      <alignment horizontal="center" vertical="center" wrapText="1"/>
    </xf>
    <xf numFmtId="3" fontId="61" fillId="6" borderId="175" xfId="0" applyNumberFormat="1" applyFont="1" applyFill="1" applyBorder="1" applyAlignment="1">
      <alignment vertical="center" wrapText="1"/>
    </xf>
    <xf numFmtId="3" fontId="65" fillId="6" borderId="175" xfId="0" applyNumberFormat="1" applyFont="1" applyFill="1" applyBorder="1" applyAlignment="1">
      <alignment vertical="center" wrapText="1"/>
    </xf>
    <xf numFmtId="43" fontId="64" fillId="8" borderId="175" xfId="1" applyFont="1" applyFill="1" applyBorder="1" applyAlignment="1">
      <alignment vertical="center" wrapText="1"/>
    </xf>
    <xf numFmtId="43" fontId="8" fillId="0" borderId="185" xfId="1" applyFont="1" applyFill="1" applyBorder="1" applyAlignment="1">
      <alignment vertical="center" wrapText="1"/>
    </xf>
    <xf numFmtId="0" fontId="8" fillId="0" borderId="181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/>
    </xf>
    <xf numFmtId="0" fontId="71" fillId="0" borderId="43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71" fillId="2" borderId="43" xfId="0" applyFont="1" applyFill="1" applyBorder="1" applyAlignment="1">
      <alignment vertical="center"/>
    </xf>
    <xf numFmtId="0" fontId="71" fillId="2" borderId="41" xfId="0" applyFont="1" applyFill="1" applyBorder="1" applyAlignment="1">
      <alignment vertical="center"/>
    </xf>
    <xf numFmtId="0" fontId="71" fillId="2" borderId="40" xfId="0" applyFont="1" applyFill="1" applyBorder="1" applyAlignment="1">
      <alignment vertical="center"/>
    </xf>
    <xf numFmtId="0" fontId="71" fillId="2" borderId="44" xfId="0" applyFont="1" applyFill="1" applyBorder="1" applyAlignment="1">
      <alignment vertical="center"/>
    </xf>
    <xf numFmtId="3" fontId="72" fillId="13" borderId="185" xfId="0" applyNumberFormat="1" applyFont="1" applyFill="1" applyBorder="1" applyAlignment="1">
      <alignment vertical="center" wrapText="1"/>
    </xf>
    <xf numFmtId="3" fontId="80" fillId="13" borderId="185" xfId="0" applyNumberFormat="1" applyFont="1" applyFill="1" applyBorder="1" applyAlignment="1">
      <alignment vertical="center" wrapText="1"/>
    </xf>
    <xf numFmtId="0" fontId="71" fillId="2" borderId="113" xfId="0" applyFont="1" applyFill="1" applyBorder="1" applyAlignment="1">
      <alignment vertical="center"/>
    </xf>
    <xf numFmtId="0" fontId="73" fillId="13" borderId="84" xfId="4" applyFont="1" applyFill="1" applyBorder="1" applyAlignment="1">
      <alignment horizontal="center" vertical="center"/>
    </xf>
    <xf numFmtId="0" fontId="65" fillId="13" borderId="84" xfId="4" applyFont="1" applyFill="1" applyBorder="1" applyAlignment="1">
      <alignment horizontal="left" vertical="center"/>
    </xf>
    <xf numFmtId="0" fontId="65" fillId="0" borderId="84" xfId="4" applyFont="1" applyFill="1" applyBorder="1" applyAlignment="1">
      <alignment horizontal="left" vertical="center"/>
    </xf>
    <xf numFmtId="0" fontId="73" fillId="2" borderId="113" xfId="0" applyFont="1" applyFill="1" applyBorder="1" applyAlignment="1">
      <alignment vertical="center"/>
    </xf>
    <xf numFmtId="3" fontId="73" fillId="2" borderId="42" xfId="0" applyNumberFormat="1" applyFont="1" applyFill="1" applyBorder="1" applyAlignment="1">
      <alignment vertical="center"/>
    </xf>
    <xf numFmtId="0" fontId="73" fillId="2" borderId="41" xfId="0" applyFont="1" applyFill="1" applyBorder="1" applyAlignment="1">
      <alignment vertical="center"/>
    </xf>
    <xf numFmtId="0" fontId="73" fillId="2" borderId="44" xfId="0" applyFont="1" applyFill="1" applyBorder="1" applyAlignment="1">
      <alignment vertical="center"/>
    </xf>
    <xf numFmtId="0" fontId="73" fillId="2" borderId="25" xfId="0" applyFont="1" applyFill="1" applyBorder="1" applyAlignment="1">
      <alignment vertical="center"/>
    </xf>
    <xf numFmtId="0" fontId="73" fillId="2" borderId="11" xfId="0" applyFont="1" applyFill="1" applyBorder="1" applyAlignment="1">
      <alignment vertical="center"/>
    </xf>
    <xf numFmtId="0" fontId="39" fillId="0" borderId="26" xfId="0" applyFont="1" applyFill="1" applyBorder="1" applyAlignment="1">
      <alignment vertical="center"/>
    </xf>
    <xf numFmtId="0" fontId="73" fillId="2" borderId="65" xfId="0" applyFont="1" applyFill="1" applyBorder="1" applyAlignment="1">
      <alignment vertical="center"/>
    </xf>
    <xf numFmtId="0" fontId="65" fillId="13" borderId="26" xfId="4" applyFont="1" applyFill="1" applyBorder="1" applyAlignment="1">
      <alignment horizontal="left" vertical="center"/>
    </xf>
    <xf numFmtId="0" fontId="71" fillId="2" borderId="65" xfId="0" applyFont="1" applyFill="1" applyBorder="1" applyAlignment="1">
      <alignment vertical="center"/>
    </xf>
    <xf numFmtId="0" fontId="0" fillId="2" borderId="66" xfId="0" applyFont="1" applyFill="1" applyBorder="1" applyAlignment="1">
      <alignment vertical="center"/>
    </xf>
    <xf numFmtId="0" fontId="71" fillId="2" borderId="25" xfId="0" applyFont="1" applyFill="1" applyBorder="1" applyAlignment="1">
      <alignment vertical="center"/>
    </xf>
    <xf numFmtId="0" fontId="0" fillId="2" borderId="84" xfId="0" applyFont="1" applyFill="1" applyBorder="1" applyAlignment="1">
      <alignment vertical="center"/>
    </xf>
    <xf numFmtId="0" fontId="71" fillId="2" borderId="52" xfId="0" applyFont="1" applyFill="1" applyBorder="1" applyAlignment="1">
      <alignment vertical="center"/>
    </xf>
    <xf numFmtId="0" fontId="7" fillId="0" borderId="84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/>
    </xf>
    <xf numFmtId="0" fontId="8" fillId="0" borderId="8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3" fontId="25" fillId="0" borderId="26" xfId="0" applyNumberFormat="1" applyFont="1" applyFill="1" applyBorder="1" applyAlignment="1">
      <alignment vertical="center" wrapText="1"/>
    </xf>
    <xf numFmtId="0" fontId="8" fillId="0" borderId="65" xfId="0" applyFont="1" applyBorder="1" applyAlignment="1">
      <alignment vertical="center"/>
    </xf>
    <xf numFmtId="0" fontId="8" fillId="0" borderId="67" xfId="0" applyFont="1" applyBorder="1"/>
    <xf numFmtId="3" fontId="36" fillId="6" borderId="175" xfId="0" applyNumberFormat="1" applyFont="1" applyFill="1" applyBorder="1"/>
    <xf numFmtId="3" fontId="6" fillId="6" borderId="185" xfId="0" applyNumberFormat="1" applyFont="1" applyFill="1" applyBorder="1"/>
    <xf numFmtId="3" fontId="36" fillId="12" borderId="26" xfId="0" applyNumberFormat="1" applyFont="1" applyFill="1" applyBorder="1" applyAlignment="1">
      <alignment horizontal="right" vertical="center"/>
    </xf>
    <xf numFmtId="0" fontId="36" fillId="8" borderId="26" xfId="0" applyFont="1" applyFill="1" applyBorder="1" applyAlignment="1">
      <alignment horizontal="right"/>
    </xf>
    <xf numFmtId="0" fontId="36" fillId="15" borderId="84" xfId="0" applyFont="1" applyFill="1" applyBorder="1" applyAlignment="1">
      <alignment horizontal="center" wrapText="1"/>
    </xf>
    <xf numFmtId="3" fontId="8" fillId="6" borderId="185" xfId="0" applyNumberFormat="1" applyFont="1" applyFill="1" applyBorder="1"/>
    <xf numFmtId="3" fontId="8" fillId="12" borderId="26" xfId="0" applyNumberFormat="1" applyFont="1" applyFill="1" applyBorder="1" applyAlignment="1">
      <alignment horizontal="right"/>
    </xf>
    <xf numFmtId="0" fontId="8" fillId="12" borderId="82" xfId="0" applyFont="1" applyFill="1" applyBorder="1" applyAlignment="1">
      <alignment horizontal="right"/>
    </xf>
    <xf numFmtId="0" fontId="8" fillId="0" borderId="26" xfId="0" applyFont="1" applyBorder="1"/>
    <xf numFmtId="0" fontId="64" fillId="0" borderId="185" xfId="0" applyFont="1" applyBorder="1" applyAlignment="1">
      <alignment horizontal="center"/>
    </xf>
    <xf numFmtId="3" fontId="8" fillId="8" borderId="175" xfId="0" applyNumberFormat="1" applyFont="1" applyFill="1" applyBorder="1"/>
    <xf numFmtId="3" fontId="8" fillId="8" borderId="178" xfId="0" applyNumberFormat="1" applyFont="1" applyFill="1" applyBorder="1"/>
    <xf numFmtId="3" fontId="8" fillId="0" borderId="65" xfId="0" applyNumberFormat="1" applyFont="1" applyBorder="1"/>
    <xf numFmtId="3" fontId="8" fillId="8" borderId="185" xfId="0" applyNumberFormat="1" applyFont="1" applyFill="1" applyBorder="1"/>
    <xf numFmtId="0" fontId="7" fillId="17" borderId="26" xfId="0" applyFont="1" applyFill="1" applyBorder="1" applyAlignment="1">
      <alignment vertical="center" wrapText="1"/>
    </xf>
    <xf numFmtId="0" fontId="28" fillId="8" borderId="26" xfId="0" applyFont="1" applyFill="1" applyBorder="1" applyAlignment="1">
      <alignment horizontal="right" vertical="center" wrapText="1"/>
    </xf>
    <xf numFmtId="0" fontId="36" fillId="16" borderId="84" xfId="0" applyFont="1" applyFill="1" applyBorder="1" applyAlignment="1">
      <alignment horizontal="center" wrapText="1"/>
    </xf>
    <xf numFmtId="0" fontId="8" fillId="17" borderId="84" xfId="0" applyFont="1" applyFill="1" applyBorder="1" applyAlignment="1">
      <alignment horizontal="right"/>
    </xf>
    <xf numFmtId="0" fontId="36" fillId="18" borderId="1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vertical="center" wrapText="1"/>
    </xf>
    <xf numFmtId="0" fontId="7" fillId="11" borderId="194" xfId="0" applyFont="1" applyFill="1" applyBorder="1" applyAlignment="1">
      <alignment vertical="center" wrapText="1"/>
    </xf>
    <xf numFmtId="3" fontId="6" fillId="11" borderId="175" xfId="0" applyNumberFormat="1" applyFont="1" applyFill="1" applyBorder="1"/>
    <xf numFmtId="3" fontId="6" fillId="51" borderId="175" xfId="0" applyNumberFormat="1" applyFont="1" applyFill="1" applyBorder="1"/>
    <xf numFmtId="0" fontId="36" fillId="18" borderId="66" xfId="0" applyFont="1" applyFill="1" applyBorder="1" applyAlignment="1">
      <alignment horizontal="right"/>
    </xf>
    <xf numFmtId="0" fontId="75" fillId="0" borderId="84" xfId="0" applyFont="1" applyBorder="1" applyAlignment="1">
      <alignment horizontal="right"/>
    </xf>
    <xf numFmtId="3" fontId="8" fillId="51" borderId="175" xfId="0" applyNumberFormat="1" applyFont="1" applyFill="1" applyBorder="1"/>
    <xf numFmtId="3" fontId="8" fillId="11" borderId="175" xfId="0" applyNumberFormat="1" applyFont="1" applyFill="1" applyBorder="1"/>
    <xf numFmtId="0" fontId="8" fillId="0" borderId="77" xfId="0" applyFont="1" applyBorder="1"/>
    <xf numFmtId="0" fontId="75" fillId="0" borderId="26" xfId="0" applyFont="1" applyBorder="1" applyAlignment="1">
      <alignment horizontal="right"/>
    </xf>
    <xf numFmtId="0" fontId="8" fillId="0" borderId="66" xfId="0" applyFont="1" applyBorder="1"/>
    <xf numFmtId="3" fontId="13" fillId="0" borderId="0" xfId="0" applyNumberFormat="1" applyFont="1" applyFill="1" applyBorder="1" applyAlignment="1">
      <alignment horizontal="left"/>
    </xf>
    <xf numFmtId="0" fontId="39" fillId="0" borderId="174" xfId="0" applyFont="1" applyBorder="1"/>
    <xf numFmtId="0" fontId="31" fillId="0" borderId="0" xfId="0" applyFont="1" applyFill="1" applyBorder="1" applyAlignment="1">
      <alignment vertical="top"/>
    </xf>
    <xf numFmtId="3" fontId="31" fillId="0" borderId="13" xfId="4" applyNumberFormat="1" applyFont="1" applyFill="1" applyBorder="1" applyAlignment="1">
      <alignment vertical="center"/>
    </xf>
    <xf numFmtId="3" fontId="31" fillId="2" borderId="27" xfId="0" applyNumberFormat="1" applyFont="1" applyFill="1" applyBorder="1" applyAlignment="1">
      <alignment vertical="top"/>
    </xf>
    <xf numFmtId="3" fontId="31" fillId="32" borderId="13" xfId="0" applyNumberFormat="1" applyFont="1" applyFill="1" applyBorder="1" applyAlignment="1">
      <alignment vertical="top"/>
    </xf>
    <xf numFmtId="3" fontId="31" fillId="2" borderId="13" xfId="0" applyNumberFormat="1" applyFont="1" applyFill="1" applyBorder="1" applyAlignment="1">
      <alignment vertical="top"/>
    </xf>
    <xf numFmtId="3" fontId="31" fillId="25" borderId="7" xfId="0" applyNumberFormat="1" applyFont="1" applyFill="1" applyBorder="1" applyAlignment="1">
      <alignment vertical="top"/>
    </xf>
    <xf numFmtId="0" fontId="24" fillId="0" borderId="13" xfId="0" applyFont="1" applyFill="1" applyBorder="1" applyAlignment="1">
      <alignment horizontal="center" vertical="center" wrapText="1"/>
    </xf>
    <xf numFmtId="0" fontId="29" fillId="8" borderId="193" xfId="4" applyFont="1" applyFill="1" applyBorder="1" applyAlignment="1">
      <alignment vertical="center"/>
    </xf>
    <xf numFmtId="0" fontId="31" fillId="8" borderId="193" xfId="4" applyFont="1" applyFill="1" applyBorder="1" applyAlignment="1">
      <alignment vertical="center"/>
    </xf>
    <xf numFmtId="3" fontId="27" fillId="0" borderId="174" xfId="4" applyNumberFormat="1" applyFont="1" applyFill="1" applyBorder="1" applyAlignment="1">
      <alignment vertical="center"/>
    </xf>
    <xf numFmtId="3" fontId="29" fillId="0" borderId="174" xfId="4" applyNumberFormat="1" applyFont="1" applyFill="1" applyBorder="1" applyAlignment="1">
      <alignment vertical="center"/>
    </xf>
    <xf numFmtId="3" fontId="7" fillId="0" borderId="174" xfId="4" applyNumberFormat="1" applyFont="1" applyFill="1" applyBorder="1" applyAlignment="1">
      <alignment vertical="center"/>
    </xf>
    <xf numFmtId="3" fontId="28" fillId="0" borderId="174" xfId="4" applyNumberFormat="1" applyFont="1" applyFill="1" applyBorder="1" applyAlignment="1">
      <alignment horizontal="right" vertical="center"/>
    </xf>
    <xf numFmtId="3" fontId="28" fillId="0" borderId="175" xfId="4" applyNumberFormat="1" applyFont="1" applyFill="1" applyBorder="1" applyAlignment="1">
      <alignment horizontal="right" vertical="center"/>
    </xf>
    <xf numFmtId="3" fontId="31" fillId="0" borderId="171" xfId="4" applyNumberFormat="1" applyFont="1" applyFill="1" applyBorder="1" applyAlignment="1">
      <alignment horizontal="right" vertical="center"/>
    </xf>
    <xf numFmtId="3" fontId="38" fillId="0" borderId="166" xfId="4" applyNumberFormat="1" applyFont="1" applyFill="1" applyBorder="1" applyAlignment="1">
      <alignment horizontal="right" vertical="center"/>
    </xf>
    <xf numFmtId="3" fontId="33" fillId="0" borderId="174" xfId="114" applyNumberFormat="1" applyFont="1" applyFill="1" applyBorder="1" applyAlignment="1">
      <alignment vertical="center"/>
    </xf>
    <xf numFmtId="3" fontId="33" fillId="0" borderId="175" xfId="114" applyNumberFormat="1" applyFont="1" applyFill="1" applyBorder="1" applyAlignment="1">
      <alignment vertical="center"/>
    </xf>
    <xf numFmtId="3" fontId="27" fillId="32" borderId="9" xfId="4" applyNumberFormat="1" applyFont="1" applyFill="1" applyBorder="1" applyAlignment="1">
      <alignment vertical="center"/>
    </xf>
    <xf numFmtId="43" fontId="31" fillId="0" borderId="12" xfId="1" applyFont="1" applyFill="1" applyBorder="1" applyAlignment="1">
      <alignment vertical="center"/>
    </xf>
    <xf numFmtId="43" fontId="27" fillId="50" borderId="17" xfId="1" applyFont="1" applyFill="1" applyBorder="1" applyAlignment="1">
      <alignment horizontal="right" vertical="center"/>
    </xf>
    <xf numFmtId="43" fontId="27" fillId="50" borderId="27" xfId="1" applyFont="1" applyFill="1" applyBorder="1" applyAlignment="1">
      <alignment horizontal="right" vertical="center"/>
    </xf>
    <xf numFmtId="43" fontId="27" fillId="50" borderId="12" xfId="1" applyFont="1" applyFill="1" applyBorder="1" applyAlignment="1">
      <alignment horizontal="right" vertical="center"/>
    </xf>
    <xf numFmtId="43" fontId="24" fillId="29" borderId="68" xfId="1" applyFont="1" applyFill="1" applyBorder="1" applyAlignment="1">
      <alignment vertical="center"/>
    </xf>
    <xf numFmtId="43" fontId="27" fillId="8" borderId="175" xfId="1" applyFont="1" applyFill="1" applyBorder="1" applyAlignment="1">
      <alignment vertical="center"/>
    </xf>
    <xf numFmtId="43" fontId="31" fillId="28" borderId="35" xfId="1" applyFont="1" applyFill="1" applyBorder="1" applyAlignment="1">
      <alignment vertical="center"/>
    </xf>
    <xf numFmtId="43" fontId="31" fillId="28" borderId="185" xfId="1" applyFont="1" applyFill="1" applyBorder="1" applyAlignment="1">
      <alignment vertical="center"/>
    </xf>
    <xf numFmtId="43" fontId="25" fillId="2" borderId="174" xfId="1" applyFont="1" applyFill="1" applyBorder="1" applyAlignment="1">
      <alignment vertical="center"/>
    </xf>
    <xf numFmtId="43" fontId="31" fillId="2" borderId="191" xfId="1" applyFont="1" applyFill="1" applyBorder="1" applyAlignment="1">
      <alignment vertical="top"/>
    </xf>
    <xf numFmtId="43" fontId="31" fillId="8" borderId="18" xfId="1" applyFont="1" applyFill="1" applyBorder="1" applyAlignment="1">
      <alignment vertical="top"/>
    </xf>
    <xf numFmtId="43" fontId="27" fillId="32" borderId="174" xfId="1" applyFont="1" applyFill="1" applyBorder="1" applyAlignment="1">
      <alignment vertical="center"/>
    </xf>
    <xf numFmtId="43" fontId="31" fillId="32" borderId="185" xfId="1" applyFont="1" applyFill="1" applyBorder="1" applyAlignment="1">
      <alignment vertical="top"/>
    </xf>
    <xf numFmtId="43" fontId="27" fillId="0" borderId="175" xfId="1" applyFont="1" applyFill="1" applyBorder="1" applyAlignment="1">
      <alignment vertical="top"/>
    </xf>
    <xf numFmtId="43" fontId="31" fillId="0" borderId="9" xfId="1" applyFont="1" applyFill="1" applyBorder="1" applyAlignment="1">
      <alignment vertical="center"/>
    </xf>
    <xf numFmtId="43" fontId="29" fillId="0" borderId="174" xfId="1" applyFont="1" applyFill="1" applyBorder="1" applyAlignment="1">
      <alignment horizontal="right" vertical="center"/>
    </xf>
    <xf numFmtId="0" fontId="22" fillId="0" borderId="39" xfId="6" applyFont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0" fontId="0" fillId="0" borderId="46" xfId="0" applyFont="1" applyBorder="1"/>
    <xf numFmtId="0" fontId="25" fillId="8" borderId="22" xfId="0" applyFont="1" applyFill="1" applyBorder="1" applyAlignment="1">
      <alignment horizontal="center" vertical="center" wrapText="1"/>
    </xf>
    <xf numFmtId="3" fontId="7" fillId="0" borderId="151" xfId="4" applyNumberFormat="1" applyFont="1" applyFill="1" applyBorder="1" applyAlignment="1">
      <alignment horizontal="right" vertical="center"/>
    </xf>
    <xf numFmtId="3" fontId="33" fillId="0" borderId="160" xfId="6" applyNumberFormat="1" applyFont="1" applyFill="1" applyBorder="1" applyAlignment="1">
      <alignment vertical="center"/>
    </xf>
    <xf numFmtId="43" fontId="31" fillId="0" borderId="112" xfId="1" applyFont="1" applyFill="1" applyBorder="1" applyAlignment="1">
      <alignment horizontal="right" vertical="center"/>
    </xf>
    <xf numFmtId="0" fontId="24" fillId="8" borderId="175" xfId="4" applyFont="1" applyFill="1" applyBorder="1" applyAlignment="1">
      <alignment vertical="center" wrapText="1"/>
    </xf>
    <xf numFmtId="0" fontId="24" fillId="8" borderId="175" xfId="4" applyFont="1" applyFill="1" applyBorder="1" applyAlignment="1">
      <alignment horizontal="center" vertical="center" wrapText="1"/>
    </xf>
    <xf numFmtId="0" fontId="28" fillId="0" borderId="175" xfId="4" applyFont="1" applyFill="1" applyBorder="1" applyAlignment="1">
      <alignment vertical="center"/>
    </xf>
    <xf numFmtId="43" fontId="28" fillId="0" borderId="175" xfId="1" applyFont="1" applyFill="1" applyBorder="1" applyAlignment="1">
      <alignment horizontal="right" vertical="center"/>
    </xf>
    <xf numFmtId="0" fontId="29" fillId="2" borderId="175" xfId="4" applyFont="1" applyFill="1" applyBorder="1" applyAlignment="1">
      <alignment vertical="center"/>
    </xf>
    <xf numFmtId="43" fontId="24" fillId="6" borderId="175" xfId="1" applyFont="1" applyFill="1" applyBorder="1" applyAlignment="1">
      <alignment vertical="center"/>
    </xf>
    <xf numFmtId="0" fontId="23" fillId="0" borderId="41" xfId="0" applyFont="1" applyBorder="1" applyAlignment="1">
      <alignment vertical="center" wrapText="1"/>
    </xf>
    <xf numFmtId="0" fontId="38" fillId="0" borderId="175" xfId="4" applyFont="1" applyFill="1" applyBorder="1" applyAlignment="1">
      <alignment vertical="center"/>
    </xf>
    <xf numFmtId="0" fontId="28" fillId="57" borderId="175" xfId="4" applyFont="1" applyFill="1" applyBorder="1" applyAlignment="1">
      <alignment vertical="top"/>
    </xf>
    <xf numFmtId="0" fontId="28" fillId="56" borderId="175" xfId="4" applyFont="1" applyFill="1" applyBorder="1" applyAlignment="1">
      <alignment vertical="top"/>
    </xf>
    <xf numFmtId="3" fontId="62" fillId="56" borderId="175" xfId="6" applyNumberFormat="1" applyFont="1" applyFill="1" applyBorder="1" applyAlignment="1">
      <alignment vertical="center"/>
    </xf>
    <xf numFmtId="3" fontId="38" fillId="56" borderId="175" xfId="4" applyNumberFormat="1" applyFont="1" applyFill="1" applyBorder="1" applyAlignment="1">
      <alignment horizontal="right" vertical="center"/>
    </xf>
    <xf numFmtId="43" fontId="28" fillId="56" borderId="175" xfId="1" applyFont="1" applyFill="1" applyBorder="1" applyAlignment="1">
      <alignment horizontal="right" vertical="center"/>
    </xf>
    <xf numFmtId="0" fontId="7" fillId="57" borderId="175" xfId="4" applyFont="1" applyFill="1" applyBorder="1" applyAlignment="1">
      <alignment vertical="top"/>
    </xf>
    <xf numFmtId="0" fontId="32" fillId="57" borderId="175" xfId="0" applyFont="1" applyFill="1" applyBorder="1" applyAlignment="1">
      <alignment horizontal="center" vertical="center" wrapText="1"/>
    </xf>
    <xf numFmtId="3" fontId="32" fillId="57" borderId="175" xfId="6" applyNumberFormat="1" applyFont="1" applyFill="1" applyBorder="1" applyAlignment="1">
      <alignment vertical="center"/>
    </xf>
    <xf numFmtId="43" fontId="7" fillId="57" borderId="175" xfId="1" applyFont="1" applyFill="1" applyBorder="1" applyAlignment="1">
      <alignment horizontal="right" vertical="center"/>
    </xf>
    <xf numFmtId="3" fontId="7" fillId="57" borderId="175" xfId="4" applyNumberFormat="1" applyFont="1" applyFill="1" applyBorder="1" applyAlignment="1">
      <alignment horizontal="right" vertical="center"/>
    </xf>
    <xf numFmtId="0" fontId="7" fillId="56" borderId="175" xfId="4" applyFont="1" applyFill="1" applyBorder="1" applyAlignment="1">
      <alignment vertical="top"/>
    </xf>
    <xf numFmtId="0" fontId="32" fillId="56" borderId="175" xfId="0" applyFont="1" applyFill="1" applyBorder="1" applyAlignment="1">
      <alignment horizontal="center" vertical="center" wrapText="1"/>
    </xf>
    <xf numFmtId="3" fontId="32" fillId="56" borderId="175" xfId="6" applyNumberFormat="1" applyFont="1" applyFill="1" applyBorder="1" applyAlignment="1">
      <alignment vertical="center"/>
    </xf>
    <xf numFmtId="43" fontId="7" fillId="56" borderId="175" xfId="1" applyFont="1" applyFill="1" applyBorder="1" applyAlignment="1">
      <alignment horizontal="right" vertical="center"/>
    </xf>
    <xf numFmtId="3" fontId="7" fillId="56" borderId="175" xfId="4" applyNumberFormat="1" applyFont="1" applyFill="1" applyBorder="1" applyAlignment="1">
      <alignment horizontal="right" vertical="center"/>
    </xf>
    <xf numFmtId="43" fontId="28" fillId="23" borderId="183" xfId="1" applyFont="1" applyFill="1" applyBorder="1" applyAlignment="1">
      <alignment horizontal="right" vertical="center"/>
    </xf>
    <xf numFmtId="0" fontId="7" fillId="54" borderId="175" xfId="4" applyFont="1" applyFill="1" applyBorder="1" applyAlignment="1">
      <alignment vertical="top"/>
    </xf>
    <xf numFmtId="3" fontId="32" fillId="54" borderId="175" xfId="6" applyNumberFormat="1" applyFont="1" applyFill="1" applyBorder="1" applyAlignment="1">
      <alignment vertical="center"/>
    </xf>
    <xf numFmtId="3" fontId="31" fillId="54" borderId="175" xfId="4" applyNumberFormat="1" applyFont="1" applyFill="1" applyBorder="1" applyAlignment="1">
      <alignment horizontal="right" vertical="center"/>
    </xf>
    <xf numFmtId="3" fontId="7" fillId="54" borderId="175" xfId="4" applyNumberFormat="1" applyFont="1" applyFill="1" applyBorder="1" applyAlignment="1">
      <alignment horizontal="right" vertical="center"/>
    </xf>
    <xf numFmtId="3" fontId="31" fillId="57" borderId="175" xfId="4" applyNumberFormat="1" applyFont="1" applyFill="1" applyBorder="1" applyAlignment="1">
      <alignment horizontal="right" vertical="center"/>
    </xf>
    <xf numFmtId="43" fontId="31" fillId="32" borderId="175" xfId="1" applyFont="1" applyFill="1" applyBorder="1" applyAlignment="1"/>
    <xf numFmtId="3" fontId="28" fillId="52" borderId="175" xfId="4" applyNumberFormat="1" applyFont="1" applyFill="1" applyBorder="1" applyAlignment="1">
      <alignment horizontal="right" vertical="center"/>
    </xf>
    <xf numFmtId="43" fontId="7" fillId="8" borderId="18" xfId="1" applyFont="1" applyFill="1" applyBorder="1" applyAlignment="1">
      <alignment vertical="top"/>
    </xf>
    <xf numFmtId="3" fontId="24" fillId="6" borderId="174" xfId="0" applyNumberFormat="1" applyFont="1" applyFill="1" applyBorder="1" applyAlignment="1">
      <alignment vertical="top"/>
    </xf>
    <xf numFmtId="43" fontId="24" fillId="6" borderId="174" xfId="1" applyFont="1" applyFill="1" applyBorder="1" applyAlignment="1">
      <alignment vertical="top"/>
    </xf>
    <xf numFmtId="3" fontId="29" fillId="2" borderId="175" xfId="0" applyNumberFormat="1" applyFont="1" applyFill="1" applyBorder="1" applyAlignment="1">
      <alignment vertical="center"/>
    </xf>
    <xf numFmtId="43" fontId="24" fillId="2" borderId="174" xfId="1" applyFont="1" applyFill="1" applyBorder="1" applyAlignment="1">
      <alignment vertical="center"/>
    </xf>
    <xf numFmtId="3" fontId="29" fillId="32" borderId="174" xfId="0" applyNumberFormat="1" applyFont="1" applyFill="1" applyBorder="1" applyAlignment="1">
      <alignment vertical="center"/>
    </xf>
    <xf numFmtId="3" fontId="29" fillId="2" borderId="174" xfId="0" applyNumberFormat="1" applyFont="1" applyFill="1" applyBorder="1" applyAlignment="1">
      <alignment vertical="center"/>
    </xf>
    <xf numFmtId="3" fontId="7" fillId="32" borderId="175" xfId="0" applyNumberFormat="1" applyFont="1" applyFill="1" applyBorder="1" applyAlignment="1">
      <alignment vertical="top"/>
    </xf>
    <xf numFmtId="3" fontId="7" fillId="2" borderId="185" xfId="0" applyNumberFormat="1" applyFont="1" applyFill="1" applyBorder="1" applyAlignment="1">
      <alignment vertical="top"/>
    </xf>
    <xf numFmtId="3" fontId="38" fillId="57" borderId="35" xfId="4" applyNumberFormat="1" applyFont="1" applyFill="1" applyBorder="1" applyAlignment="1">
      <alignment horizontal="right" vertical="center"/>
    </xf>
    <xf numFmtId="43" fontId="38" fillId="57" borderId="35" xfId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vertical="top"/>
    </xf>
    <xf numFmtId="3" fontId="38" fillId="25" borderId="127" xfId="0" applyNumberFormat="1" applyFont="1" applyFill="1" applyBorder="1" applyAlignment="1">
      <alignment vertical="top"/>
    </xf>
    <xf numFmtId="0" fontId="22" fillId="0" borderId="50" xfId="6" applyFont="1" applyBorder="1" applyAlignment="1">
      <alignment horizontal="center" vertical="center"/>
    </xf>
    <xf numFmtId="3" fontId="31" fillId="23" borderId="160" xfId="4" applyNumberFormat="1" applyFont="1" applyFill="1" applyBorder="1" applyAlignment="1">
      <alignment horizontal="right" vertical="center"/>
    </xf>
    <xf numFmtId="43" fontId="31" fillId="23" borderId="160" xfId="1" applyFont="1" applyFill="1" applyBorder="1" applyAlignment="1">
      <alignment horizontal="right" vertical="center"/>
    </xf>
    <xf numFmtId="3" fontId="29" fillId="2" borderId="193" xfId="4" applyNumberFormat="1" applyFont="1" applyFill="1" applyBorder="1" applyAlignment="1">
      <alignment vertical="top" wrapText="1"/>
    </xf>
    <xf numFmtId="3" fontId="27" fillId="2" borderId="175" xfId="0" applyNumberFormat="1" applyFont="1" applyFill="1" applyBorder="1" applyAlignment="1"/>
    <xf numFmtId="3" fontId="27" fillId="2" borderId="35" xfId="0" applyNumberFormat="1" applyFont="1" applyFill="1" applyBorder="1" applyAlignment="1">
      <alignment vertical="center"/>
    </xf>
    <xf numFmtId="3" fontId="27" fillId="25" borderId="183" xfId="0" applyNumberFormat="1" applyFont="1" applyFill="1" applyBorder="1" applyAlignment="1"/>
    <xf numFmtId="0" fontId="7" fillId="0" borderId="193" xfId="0" applyFont="1" applyFill="1" applyBorder="1" applyAlignment="1">
      <alignment vertical="center"/>
    </xf>
    <xf numFmtId="3" fontId="31" fillId="25" borderId="183" xfId="0" applyNumberFormat="1" applyFont="1" applyFill="1" applyBorder="1" applyAlignment="1"/>
    <xf numFmtId="0" fontId="7" fillId="0" borderId="193" xfId="0" applyFont="1" applyFill="1" applyBorder="1" applyAlignment="1">
      <alignment vertical="top"/>
    </xf>
    <xf numFmtId="43" fontId="31" fillId="0" borderId="175" xfId="1" applyFont="1" applyFill="1" applyBorder="1" applyAlignment="1"/>
    <xf numFmtId="3" fontId="31" fillId="25" borderId="183" xfId="0" applyNumberFormat="1" applyFont="1" applyFill="1" applyBorder="1" applyAlignment="1">
      <alignment horizontal="center" vertical="top"/>
    </xf>
    <xf numFmtId="0" fontId="7" fillId="0" borderId="193" xfId="0" applyFont="1" applyFill="1" applyBorder="1" applyAlignment="1">
      <alignment horizontal="left" vertical="center"/>
    </xf>
    <xf numFmtId="0" fontId="25" fillId="6" borderId="21" xfId="4" applyFont="1" applyFill="1" applyBorder="1" applyAlignment="1">
      <alignment horizontal="left"/>
    </xf>
    <xf numFmtId="0" fontId="27" fillId="8" borderId="36" xfId="4" applyFont="1" applyFill="1" applyBorder="1" applyAlignment="1"/>
    <xf numFmtId="0" fontId="7" fillId="8" borderId="21" xfId="0" applyFont="1" applyFill="1" applyBorder="1" applyAlignment="1">
      <alignment vertical="center"/>
    </xf>
    <xf numFmtId="3" fontId="7" fillId="8" borderId="149" xfId="0" applyNumberFormat="1" applyFont="1" applyFill="1" applyBorder="1" applyAlignment="1">
      <alignment vertical="center"/>
    </xf>
    <xf numFmtId="3" fontId="7" fillId="25" borderId="183" xfId="0" applyNumberFormat="1" applyFont="1" applyFill="1" applyBorder="1" applyAlignment="1">
      <alignment horizontal="center" vertical="top"/>
    </xf>
    <xf numFmtId="3" fontId="25" fillId="8" borderId="3" xfId="0" applyNumberFormat="1" applyFont="1" applyFill="1" applyBorder="1" applyAlignment="1">
      <alignment vertical="top"/>
    </xf>
    <xf numFmtId="3" fontId="25" fillId="8" borderId="15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0" fontId="7" fillId="6" borderId="119" xfId="0" applyFont="1" applyFill="1" applyBorder="1" applyAlignment="1">
      <alignment vertical="top"/>
    </xf>
    <xf numFmtId="43" fontId="25" fillId="6" borderId="119" xfId="1" applyFont="1" applyFill="1" applyBorder="1" applyAlignment="1"/>
    <xf numFmtId="3" fontId="29" fillId="2" borderId="115" xfId="4" applyNumberFormat="1" applyFont="1" applyFill="1" applyBorder="1" applyAlignment="1">
      <alignment vertical="top" wrapText="1"/>
    </xf>
    <xf numFmtId="3" fontId="27" fillId="2" borderId="149" xfId="0" applyNumberFormat="1" applyFont="1" applyFill="1" applyBorder="1" applyAlignment="1"/>
    <xf numFmtId="43" fontId="27" fillId="2" borderId="149" xfId="1" applyFont="1" applyFill="1" applyBorder="1" applyAlignment="1"/>
    <xf numFmtId="43" fontId="27" fillId="2" borderId="119" xfId="1" applyFont="1" applyFill="1" applyBorder="1" applyAlignment="1"/>
    <xf numFmtId="0" fontId="7" fillId="0" borderId="21" xfId="0" applyFont="1" applyFill="1" applyBorder="1" applyAlignment="1">
      <alignment vertical="top"/>
    </xf>
    <xf numFmtId="43" fontId="31" fillId="0" borderId="119" xfId="1" applyFont="1" applyFill="1" applyBorder="1" applyAlignment="1">
      <alignment vertical="top"/>
    </xf>
    <xf numFmtId="0" fontId="7" fillId="0" borderId="115" xfId="0" applyFont="1" applyFill="1" applyBorder="1" applyAlignment="1">
      <alignment vertical="top" wrapText="1"/>
    </xf>
    <xf numFmtId="43" fontId="31" fillId="0" borderId="149" xfId="1" applyFont="1" applyFill="1" applyBorder="1" applyAlignment="1">
      <alignment vertical="top"/>
    </xf>
    <xf numFmtId="43" fontId="31" fillId="0" borderId="151" xfId="1" applyFont="1" applyFill="1" applyBorder="1" applyAlignment="1">
      <alignment vertical="top"/>
    </xf>
    <xf numFmtId="43" fontId="31" fillId="0" borderId="174" xfId="1" applyFont="1" applyFill="1" applyBorder="1" applyAlignment="1">
      <alignment vertical="top"/>
    </xf>
    <xf numFmtId="0" fontId="7" fillId="0" borderId="115" xfId="0" applyFont="1" applyFill="1" applyBorder="1" applyAlignment="1">
      <alignment vertical="center" wrapText="1"/>
    </xf>
    <xf numFmtId="43" fontId="0" fillId="0" borderId="9" xfId="1" applyFont="1" applyBorder="1"/>
    <xf numFmtId="0" fontId="7" fillId="32" borderId="20" xfId="0" applyFont="1" applyFill="1" applyBorder="1" applyAlignment="1">
      <alignment vertical="top"/>
    </xf>
    <xf numFmtId="43" fontId="0" fillId="0" borderId="8" xfId="1" applyFont="1" applyBorder="1"/>
    <xf numFmtId="43" fontId="27" fillId="2" borderId="119" xfId="1" applyFont="1" applyFill="1" applyBorder="1" applyAlignment="1">
      <alignment vertical="center"/>
    </xf>
    <xf numFmtId="43" fontId="31" fillId="0" borderId="126" xfId="1" applyFont="1" applyFill="1" applyBorder="1" applyAlignment="1">
      <alignment vertical="top"/>
    </xf>
    <xf numFmtId="3" fontId="25" fillId="6" borderId="174" xfId="1" applyNumberFormat="1" applyFont="1" applyFill="1" applyBorder="1" applyAlignment="1">
      <alignment vertical="top"/>
    </xf>
    <xf numFmtId="3" fontId="27" fillId="2" borderId="174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74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185" xfId="1" applyNumberFormat="1" applyFont="1" applyFill="1" applyBorder="1" applyAlignment="1">
      <alignment horizontal="right" vertical="center"/>
    </xf>
    <xf numFmtId="3" fontId="31" fillId="0" borderId="191" xfId="4" applyNumberFormat="1" applyFont="1" applyFill="1" applyBorder="1" applyAlignment="1"/>
    <xf numFmtId="0" fontId="31" fillId="6" borderId="28" xfId="0" applyFont="1" applyFill="1" applyBorder="1" applyAlignment="1">
      <alignment vertical="top"/>
    </xf>
    <xf numFmtId="3" fontId="25" fillId="22" borderId="89" xfId="0" applyNumberFormat="1" applyFont="1" applyFill="1" applyBorder="1" applyAlignment="1">
      <alignment vertical="top"/>
    </xf>
    <xf numFmtId="0" fontId="28" fillId="0" borderId="124" xfId="0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31" fillId="0" borderId="117" xfId="0" applyNumberFormat="1" applyFont="1" applyFill="1" applyBorder="1" applyAlignment="1">
      <alignment horizontal="right" vertical="center"/>
    </xf>
    <xf numFmtId="3" fontId="31" fillId="0" borderId="151" xfId="0" applyNumberFormat="1" applyFont="1" applyFill="1" applyBorder="1" applyAlignment="1">
      <alignment horizontal="right" vertical="center"/>
    </xf>
    <xf numFmtId="3" fontId="31" fillId="25" borderId="159" xfId="0" applyNumberFormat="1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50" xfId="0" applyNumberFormat="1" applyFont="1" applyFill="1" applyBorder="1" applyAlignment="1">
      <alignment horizontal="right" vertical="center"/>
    </xf>
    <xf numFmtId="3" fontId="28" fillId="25" borderId="117" xfId="0" applyNumberFormat="1" applyFont="1" applyFill="1" applyBorder="1" applyAlignment="1">
      <alignment vertical="top"/>
    </xf>
    <xf numFmtId="0" fontId="25" fillId="8" borderId="1" xfId="0" applyFont="1" applyFill="1" applyBorder="1" applyAlignment="1">
      <alignment horizontal="center" vertical="center" wrapText="1"/>
    </xf>
    <xf numFmtId="3" fontId="25" fillId="6" borderId="168" xfId="0" applyNumberFormat="1" applyFont="1" applyFill="1" applyBorder="1" applyAlignment="1">
      <alignment vertical="top"/>
    </xf>
    <xf numFmtId="43" fontId="25" fillId="6" borderId="168" xfId="1" applyFont="1" applyFill="1" applyBorder="1" applyAlignment="1">
      <alignment vertical="top"/>
    </xf>
    <xf numFmtId="3" fontId="25" fillId="22" borderId="168" xfId="0" applyNumberFormat="1" applyFont="1" applyFill="1" applyBorder="1" applyAlignment="1">
      <alignment vertical="top"/>
    </xf>
    <xf numFmtId="43" fontId="27" fillId="2" borderId="174" xfId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74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43" fontId="28" fillId="2" borderId="174" xfId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67" xfId="0" applyFont="1" applyFill="1" applyBorder="1" applyAlignment="1">
      <alignment horizontal="left" vertical="center" wrapText="1"/>
    </xf>
    <xf numFmtId="0" fontId="27" fillId="2" borderId="158" xfId="4" applyFont="1" applyFill="1" applyBorder="1" applyAlignment="1">
      <alignment vertical="top"/>
    </xf>
    <xf numFmtId="0" fontId="65" fillId="6" borderId="156" xfId="4" applyFont="1" applyFill="1" applyBorder="1" applyAlignment="1">
      <alignment horizontal="left" vertical="center"/>
    </xf>
    <xf numFmtId="3" fontId="24" fillId="6" borderId="165" xfId="0" applyNumberFormat="1" applyFont="1" applyFill="1" applyBorder="1" applyAlignment="1">
      <alignment vertical="center"/>
    </xf>
    <xf numFmtId="3" fontId="29" fillId="0" borderId="165" xfId="0" applyNumberFormat="1" applyFont="1" applyFill="1" applyBorder="1" applyAlignment="1">
      <alignment vertical="center"/>
    </xf>
    <xf numFmtId="3" fontId="7" fillId="0" borderId="159" xfId="4" applyNumberFormat="1" applyFont="1" applyFill="1" applyBorder="1" applyAlignment="1">
      <alignment vertical="center"/>
    </xf>
    <xf numFmtId="3" fontId="7" fillId="0" borderId="150" xfId="4" applyNumberFormat="1" applyFont="1" applyFill="1" applyBorder="1" applyAlignment="1">
      <alignment vertical="center"/>
    </xf>
    <xf numFmtId="0" fontId="29" fillId="2" borderId="115" xfId="4" applyFont="1" applyFill="1" applyBorder="1" applyAlignment="1">
      <alignment vertical="top"/>
    </xf>
    <xf numFmtId="3" fontId="29" fillId="0" borderId="165" xfId="0" applyNumberFormat="1" applyFont="1" applyFill="1" applyBorder="1" applyAlignment="1">
      <alignment horizontal="right" vertical="center"/>
    </xf>
    <xf numFmtId="3" fontId="38" fillId="0" borderId="165" xfId="0" applyNumberFormat="1" applyFont="1" applyFill="1" applyBorder="1" applyAlignment="1">
      <alignment vertical="center"/>
    </xf>
    <xf numFmtId="3" fontId="38" fillId="2" borderId="119" xfId="0" applyNumberFormat="1" applyFont="1" applyFill="1" applyBorder="1" applyAlignment="1">
      <alignment vertical="center"/>
    </xf>
    <xf numFmtId="3" fontId="7" fillId="0" borderId="112" xfId="4" applyNumberFormat="1" applyFont="1" applyFill="1" applyBorder="1" applyAlignment="1">
      <alignment vertical="center"/>
    </xf>
    <xf numFmtId="0" fontId="7" fillId="0" borderId="21" xfId="0" quotePrefix="1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0" fontId="7" fillId="0" borderId="115" xfId="0" quotePrefix="1" applyFont="1" applyFill="1" applyBorder="1" applyAlignment="1">
      <alignment vertical="center" wrapText="1"/>
    </xf>
    <xf numFmtId="0" fontId="7" fillId="0" borderId="74" xfId="0" quotePrefix="1" applyFont="1" applyFill="1" applyBorder="1" applyAlignment="1">
      <alignment vertical="center" wrapText="1"/>
    </xf>
    <xf numFmtId="0" fontId="19" fillId="0" borderId="66" xfId="4" applyFont="1" applyFill="1" applyBorder="1" applyAlignment="1">
      <alignment vertical="center" wrapText="1"/>
    </xf>
    <xf numFmtId="3" fontId="7" fillId="8" borderId="7" xfId="0" applyNumberFormat="1" applyFont="1" applyFill="1" applyBorder="1" applyAlignment="1">
      <alignment vertical="top"/>
    </xf>
    <xf numFmtId="3" fontId="7" fillId="8" borderId="8" xfId="0" applyNumberFormat="1" applyFont="1" applyFill="1" applyBorder="1" applyAlignment="1">
      <alignment vertical="top"/>
    </xf>
    <xf numFmtId="0" fontId="7" fillId="8" borderId="8" xfId="0" applyFont="1" applyFill="1" applyBorder="1" applyAlignment="1">
      <alignment vertical="top"/>
    </xf>
    <xf numFmtId="0" fontId="7" fillId="8" borderId="9" xfId="0" applyFont="1" applyFill="1" applyBorder="1" applyAlignment="1">
      <alignment vertical="top"/>
    </xf>
    <xf numFmtId="0" fontId="65" fillId="6" borderId="20" xfId="4" applyFont="1" applyFill="1" applyBorder="1" applyAlignment="1">
      <alignment horizontal="left" vertical="center"/>
    </xf>
    <xf numFmtId="3" fontId="29" fillId="0" borderId="87" xfId="0" applyNumberFormat="1" applyFont="1" applyFill="1" applyBorder="1" applyAlignment="1">
      <alignment vertical="center"/>
    </xf>
    <xf numFmtId="3" fontId="29" fillId="0" borderId="89" xfId="0" applyNumberFormat="1" applyFont="1" applyFill="1" applyBorder="1" applyAlignment="1">
      <alignment vertical="top"/>
    </xf>
    <xf numFmtId="0" fontId="8" fillId="0" borderId="21" xfId="4" applyFont="1" applyFill="1" applyBorder="1" applyAlignment="1">
      <alignment vertical="center" wrapText="1"/>
    </xf>
    <xf numFmtId="3" fontId="7" fillId="0" borderId="87" xfId="0" applyNumberFormat="1" applyFont="1" applyFill="1" applyBorder="1" applyAlignment="1">
      <alignment vertical="center"/>
    </xf>
    <xf numFmtId="3" fontId="7" fillId="0" borderId="89" xfId="0" applyNumberFormat="1" applyFont="1" applyFill="1" applyBorder="1" applyAlignment="1">
      <alignment vertical="top"/>
    </xf>
    <xf numFmtId="3" fontId="7" fillId="0" borderId="96" xfId="0" applyNumberFormat="1" applyFont="1" applyFill="1" applyBorder="1" applyAlignment="1">
      <alignment vertical="center"/>
    </xf>
    <xf numFmtId="3" fontId="38" fillId="0" borderId="87" xfId="0" applyNumberFormat="1" applyFont="1" applyFill="1" applyBorder="1" applyAlignment="1">
      <alignment vertical="center"/>
    </xf>
    <xf numFmtId="3" fontId="38" fillId="0" borderId="89" xfId="0" applyNumberFormat="1" applyFont="1" applyFill="1" applyBorder="1" applyAlignment="1">
      <alignment vertical="top"/>
    </xf>
    <xf numFmtId="3" fontId="38" fillId="0" borderId="96" xfId="0" applyNumberFormat="1" applyFont="1" applyFill="1" applyBorder="1" applyAlignment="1">
      <alignment vertical="center"/>
    </xf>
    <xf numFmtId="0" fontId="29" fillId="2" borderId="32" xfId="4" applyFont="1" applyFill="1" applyBorder="1" applyAlignment="1">
      <alignment vertical="top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4" fillId="6" borderId="99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top"/>
    </xf>
    <xf numFmtId="0" fontId="17" fillId="0" borderId="2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vertical="center" wrapText="1"/>
    </xf>
    <xf numFmtId="3" fontId="38" fillId="0" borderId="97" xfId="0" applyNumberFormat="1" applyFont="1" applyFill="1" applyBorder="1" applyAlignment="1">
      <alignment vertical="center"/>
    </xf>
    <xf numFmtId="3" fontId="38" fillId="0" borderId="97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07" xfId="0" applyFont="1" applyFill="1" applyBorder="1" applyAlignment="1">
      <alignment horizontal="center" vertical="center" wrapText="1"/>
    </xf>
    <xf numFmtId="3" fontId="7" fillId="8" borderId="105" xfId="0" applyNumberFormat="1" applyFont="1" applyFill="1" applyBorder="1" applyAlignment="1">
      <alignment vertical="top"/>
    </xf>
    <xf numFmtId="3" fontId="7" fillId="8" borderId="103" xfId="0" applyNumberFormat="1" applyFont="1" applyFill="1" applyBorder="1" applyAlignment="1">
      <alignment vertical="top"/>
    </xf>
    <xf numFmtId="0" fontId="7" fillId="8" borderId="99" xfId="0" applyFont="1" applyFill="1" applyBorder="1" applyAlignment="1">
      <alignment vertical="top"/>
    </xf>
    <xf numFmtId="0" fontId="65" fillId="6" borderId="100" xfId="4" applyFont="1" applyFill="1" applyBorder="1" applyAlignment="1">
      <alignment horizontal="left" vertical="center"/>
    </xf>
    <xf numFmtId="3" fontId="38" fillId="0" borderId="98" xfId="0" applyNumberFormat="1" applyFont="1" applyFill="1" applyBorder="1" applyAlignment="1">
      <alignment vertical="top"/>
    </xf>
    <xf numFmtId="0" fontId="29" fillId="2" borderId="32" xfId="4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101" xfId="0" applyFont="1" applyFill="1" applyBorder="1" applyAlignment="1">
      <alignment horizontal="center" vertical="center" wrapText="1"/>
    </xf>
    <xf numFmtId="0" fontId="24" fillId="6" borderId="25" xfId="4" applyFont="1" applyFill="1" applyBorder="1" applyAlignment="1">
      <alignment horizontal="left" vertical="center"/>
    </xf>
    <xf numFmtId="3" fontId="29" fillId="2" borderId="19" xfId="4" applyNumberFormat="1" applyFont="1" applyFill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3" fontId="29" fillId="0" borderId="99" xfId="0" applyNumberFormat="1" applyFont="1" applyFill="1" applyBorder="1" applyAlignment="1">
      <alignment vertical="top"/>
    </xf>
    <xf numFmtId="3" fontId="7" fillId="0" borderId="47" xfId="0" applyNumberFormat="1" applyFont="1" applyFill="1" applyBorder="1" applyAlignment="1">
      <alignment vertical="center"/>
    </xf>
    <xf numFmtId="3" fontId="7" fillId="0" borderId="70" xfId="0" applyNumberFormat="1" applyFont="1" applyFill="1" applyBorder="1" applyAlignment="1">
      <alignment vertical="top"/>
    </xf>
    <xf numFmtId="0" fontId="25" fillId="8" borderId="21" xfId="0" applyFont="1" applyFill="1" applyBorder="1" applyAlignment="1">
      <alignment vertical="center" wrapText="1"/>
    </xf>
    <xf numFmtId="0" fontId="25" fillId="8" borderId="20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61" fillId="6" borderId="28" xfId="4" applyFont="1" applyFill="1" applyBorder="1" applyAlignment="1">
      <alignment horizontal="left" vertical="center"/>
    </xf>
    <xf numFmtId="3" fontId="27" fillId="0" borderId="87" xfId="0" applyNumberFormat="1" applyFont="1" applyFill="1" applyBorder="1" applyAlignment="1">
      <alignment vertical="center"/>
    </xf>
    <xf numFmtId="3" fontId="60" fillId="22" borderId="197" xfId="0" applyNumberFormat="1" applyFont="1" applyFill="1" applyBorder="1" applyAlignment="1">
      <alignment horizontal="right" vertical="center"/>
    </xf>
    <xf numFmtId="3" fontId="7" fillId="22" borderId="198" xfId="0" applyNumberFormat="1" applyFont="1" applyFill="1" applyBorder="1" applyAlignment="1">
      <alignment horizontal="right" vertical="center"/>
    </xf>
    <xf numFmtId="3" fontId="27" fillId="22" borderId="198" xfId="0" applyNumberFormat="1" applyFont="1" applyFill="1" applyBorder="1" applyAlignment="1">
      <alignment horizontal="right" vertical="center"/>
    </xf>
    <xf numFmtId="3" fontId="28" fillId="0" borderId="87" xfId="0" applyNumberFormat="1" applyFont="1" applyFill="1" applyBorder="1" applyAlignment="1">
      <alignment vertical="top"/>
    </xf>
    <xf numFmtId="0" fontId="7" fillId="0" borderId="93" xfId="0" applyFont="1" applyFill="1" applyBorder="1" applyAlignment="1">
      <alignment vertical="center" wrapText="1"/>
    </xf>
    <xf numFmtId="3" fontId="28" fillId="0" borderId="185" xfId="0" applyNumberFormat="1" applyFont="1" applyFill="1" applyBorder="1" applyAlignment="1">
      <alignment vertical="center"/>
    </xf>
    <xf numFmtId="3" fontId="28" fillId="0" borderId="185" xfId="0" applyNumberFormat="1" applyFont="1" applyFill="1" applyBorder="1" applyAlignment="1">
      <alignment vertical="top"/>
    </xf>
    <xf numFmtId="3" fontId="7" fillId="22" borderId="199" xfId="0" applyNumberFormat="1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left" vertical="center" wrapText="1"/>
    </xf>
    <xf numFmtId="3" fontId="25" fillId="6" borderId="17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center" wrapText="1"/>
    </xf>
    <xf numFmtId="3" fontId="28" fillId="0" borderId="47" xfId="0" applyNumberFormat="1" applyFont="1" applyFill="1" applyBorder="1" applyAlignment="1">
      <alignment vertical="center"/>
    </xf>
    <xf numFmtId="3" fontId="28" fillId="0" borderId="47" xfId="0" applyNumberFormat="1" applyFont="1" applyFill="1" applyBorder="1" applyAlignment="1">
      <alignment vertical="top"/>
    </xf>
    <xf numFmtId="0" fontId="17" fillId="2" borderId="4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top"/>
    </xf>
    <xf numFmtId="3" fontId="24" fillId="22" borderId="174" xfId="0" applyNumberFormat="1" applyFont="1" applyFill="1" applyBorder="1" applyAlignment="1">
      <alignment vertical="top"/>
    </xf>
    <xf numFmtId="3" fontId="24" fillId="2" borderId="174" xfId="0" applyNumberFormat="1" applyFont="1" applyFill="1" applyBorder="1" applyAlignment="1">
      <alignment vertical="center"/>
    </xf>
    <xf numFmtId="3" fontId="29" fillId="26" borderId="174" xfId="0" applyNumberFormat="1" applyFont="1" applyFill="1" applyBorder="1" applyAlignment="1">
      <alignment vertical="center"/>
    </xf>
    <xf numFmtId="3" fontId="7" fillId="2" borderId="174" xfId="0" applyNumberFormat="1" applyFont="1" applyFill="1" applyBorder="1" applyAlignment="1">
      <alignment vertical="top"/>
    </xf>
    <xf numFmtId="3" fontId="7" fillId="2" borderId="175" xfId="0" applyNumberFormat="1" applyFont="1" applyFill="1" applyBorder="1" applyAlignment="1">
      <alignment vertical="top"/>
    </xf>
    <xf numFmtId="3" fontId="7" fillId="25" borderId="175" xfId="0" applyNumberFormat="1" applyFont="1" applyFill="1" applyBorder="1" applyAlignment="1">
      <alignment vertical="top"/>
    </xf>
    <xf numFmtId="0" fontId="38" fillId="56" borderId="21" xfId="0" applyFont="1" applyFill="1" applyBorder="1" applyAlignment="1">
      <alignment horizontal="right" vertical="top"/>
    </xf>
    <xf numFmtId="3" fontId="7" fillId="56" borderId="166" xfId="4" applyNumberFormat="1" applyFont="1" applyFill="1" applyBorder="1" applyAlignment="1">
      <alignment vertical="center"/>
    </xf>
    <xf numFmtId="3" fontId="38" fillId="56" borderId="174" xfId="0" applyNumberFormat="1" applyFont="1" applyFill="1" applyBorder="1" applyAlignment="1">
      <alignment vertical="top"/>
    </xf>
    <xf numFmtId="3" fontId="7" fillId="56" borderId="9" xfId="0" applyNumberFormat="1" applyFont="1" applyFill="1" applyBorder="1" applyAlignment="1">
      <alignment vertical="top"/>
    </xf>
    <xf numFmtId="3" fontId="38" fillId="56" borderId="9" xfId="0" applyNumberFormat="1" applyFont="1" applyFill="1" applyBorder="1" applyAlignment="1">
      <alignment vertical="top"/>
    </xf>
    <xf numFmtId="0" fontId="38" fillId="59" borderId="25" xfId="0" applyFont="1" applyFill="1" applyBorder="1" applyAlignment="1">
      <alignment horizontal="right" vertical="top"/>
    </xf>
    <xf numFmtId="3" fontId="7" fillId="59" borderId="185" xfId="4" applyNumberFormat="1" applyFont="1" applyFill="1" applyBorder="1" applyAlignment="1">
      <alignment vertical="center"/>
    </xf>
    <xf numFmtId="3" fontId="38" fillId="59" borderId="191" xfId="0" applyNumberFormat="1" applyFont="1" applyFill="1" applyBorder="1" applyAlignment="1">
      <alignment vertical="top"/>
    </xf>
    <xf numFmtId="3" fontId="7" fillId="59" borderId="23" xfId="0" applyNumberFormat="1" applyFont="1" applyFill="1" applyBorder="1" applyAlignment="1">
      <alignment vertical="top"/>
    </xf>
    <xf numFmtId="3" fontId="38" fillId="59" borderId="23" xfId="0" applyNumberFormat="1" applyFont="1" applyFill="1" applyBorder="1" applyAlignment="1">
      <alignment vertical="top"/>
    </xf>
    <xf numFmtId="3" fontId="7" fillId="25" borderId="185" xfId="0" applyNumberFormat="1" applyFont="1" applyFill="1" applyBorder="1" applyAlignment="1">
      <alignment vertical="top"/>
    </xf>
    <xf numFmtId="0" fontId="31" fillId="6" borderId="174" xfId="0" applyFont="1" applyFill="1" applyBorder="1" applyAlignment="1">
      <alignment vertical="top"/>
    </xf>
    <xf numFmtId="3" fontId="27" fillId="2" borderId="174" xfId="0" applyNumberFormat="1" applyFont="1" applyFill="1" applyBorder="1" applyAlignment="1">
      <alignment vertical="center"/>
    </xf>
    <xf numFmtId="3" fontId="27" fillId="26" borderId="174" xfId="0" applyNumberFormat="1" applyFont="1" applyFill="1" applyBorder="1" applyAlignment="1">
      <alignment vertical="center"/>
    </xf>
    <xf numFmtId="0" fontId="0" fillId="0" borderId="74" xfId="0" applyFont="1" applyBorder="1"/>
    <xf numFmtId="43" fontId="0" fillId="0" borderId="185" xfId="1" applyFont="1" applyBorder="1"/>
    <xf numFmtId="3" fontId="31" fillId="0" borderId="191" xfId="0" applyNumberFormat="1" applyFont="1" applyFill="1" applyBorder="1" applyAlignment="1">
      <alignment vertical="center"/>
    </xf>
    <xf numFmtId="3" fontId="27" fillId="2" borderId="117" xfId="4" applyNumberFormat="1" applyFont="1" applyFill="1" applyBorder="1" applyAlignment="1">
      <alignment vertical="top" wrapText="1"/>
    </xf>
    <xf numFmtId="0" fontId="31" fillId="0" borderId="117" xfId="0" applyFont="1" applyFill="1" applyBorder="1" applyAlignment="1">
      <alignment horizontal="left" vertical="center" wrapText="1"/>
    </xf>
    <xf numFmtId="0" fontId="31" fillId="0" borderId="35" xfId="0" applyFont="1" applyFill="1" applyBorder="1" applyAlignment="1">
      <alignment horizontal="left" vertical="center" wrapText="1"/>
    </xf>
    <xf numFmtId="3" fontId="27" fillId="0" borderId="117" xfId="4" applyNumberFormat="1" applyFont="1" applyFill="1" applyBorder="1" applyAlignment="1">
      <alignment vertical="center" wrapText="1"/>
    </xf>
    <xf numFmtId="0" fontId="32" fillId="0" borderId="117" xfId="0" applyFont="1" applyBorder="1" applyAlignment="1">
      <alignment vertical="center"/>
    </xf>
    <xf numFmtId="0" fontId="62" fillId="0" borderId="35" xfId="0" quotePrefix="1" applyFont="1" applyBorder="1" applyAlignment="1">
      <alignment vertical="center"/>
    </xf>
    <xf numFmtId="3" fontId="28" fillId="0" borderId="175" xfId="0" applyNumberFormat="1" applyFont="1" applyFill="1" applyBorder="1" applyAlignment="1">
      <alignment vertical="top"/>
    </xf>
    <xf numFmtId="0" fontId="32" fillId="0" borderId="112" xfId="0" applyFont="1" applyBorder="1" applyAlignment="1">
      <alignment vertical="center"/>
    </xf>
    <xf numFmtId="0" fontId="31" fillId="6" borderId="117" xfId="0" applyFont="1" applyFill="1" applyBorder="1" applyAlignment="1">
      <alignment vertical="top"/>
    </xf>
    <xf numFmtId="43" fontId="25" fillId="6" borderId="117" xfId="1" applyFont="1" applyFill="1" applyBorder="1" applyAlignment="1">
      <alignment vertical="top"/>
    </xf>
    <xf numFmtId="43" fontId="27" fillId="0" borderId="117" xfId="1" applyFont="1" applyFill="1" applyBorder="1" applyAlignment="1">
      <alignment vertical="top"/>
    </xf>
    <xf numFmtId="43" fontId="31" fillId="0" borderId="117" xfId="1" applyFont="1" applyFill="1" applyBorder="1" applyAlignment="1">
      <alignment vertical="top"/>
    </xf>
    <xf numFmtId="43" fontId="25" fillId="0" borderId="117" xfId="1" applyFont="1" applyFill="1" applyBorder="1" applyAlignment="1">
      <alignment vertical="top"/>
    </xf>
    <xf numFmtId="0" fontId="31" fillId="0" borderId="117" xfId="0" applyFont="1" applyFill="1" applyBorder="1" applyAlignment="1">
      <alignment vertical="top" wrapText="1"/>
    </xf>
    <xf numFmtId="0" fontId="32" fillId="0" borderId="117" xfId="0" applyFont="1" applyBorder="1"/>
    <xf numFmtId="0" fontId="31" fillId="2" borderId="117" xfId="4" applyFont="1" applyFill="1" applyBorder="1" applyAlignment="1">
      <alignment vertical="center"/>
    </xf>
    <xf numFmtId="0" fontId="23" fillId="6" borderId="117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12" xfId="4" applyFont="1" applyFill="1" applyBorder="1" applyAlignment="1">
      <alignment vertical="center"/>
    </xf>
    <xf numFmtId="0" fontId="27" fillId="0" borderId="117" xfId="0" applyFont="1" applyFill="1" applyBorder="1" applyAlignment="1">
      <alignment vertical="center" wrapText="1"/>
    </xf>
    <xf numFmtId="0" fontId="31" fillId="0" borderId="117" xfId="0" applyFont="1" applyFill="1" applyBorder="1" applyAlignment="1">
      <alignment vertical="center" wrapText="1"/>
    </xf>
    <xf numFmtId="3" fontId="25" fillId="2" borderId="117" xfId="0" applyNumberFormat="1" applyFont="1" applyFill="1" applyBorder="1" applyAlignment="1">
      <alignment vertical="top"/>
    </xf>
    <xf numFmtId="0" fontId="27" fillId="0" borderId="117" xfId="0" applyFont="1" applyFill="1" applyBorder="1" applyAlignment="1">
      <alignment vertical="top" wrapText="1"/>
    </xf>
    <xf numFmtId="0" fontId="31" fillId="0" borderId="112" xfId="4" applyFont="1" applyFill="1" applyBorder="1" applyAlignment="1">
      <alignment vertical="center"/>
    </xf>
    <xf numFmtId="0" fontId="32" fillId="0" borderId="171" xfId="0" applyFont="1" applyBorder="1" applyAlignment="1">
      <alignment vertical="center"/>
    </xf>
    <xf numFmtId="0" fontId="33" fillId="0" borderId="68" xfId="0" applyFont="1" applyBorder="1" applyAlignment="1">
      <alignment vertical="center"/>
    </xf>
    <xf numFmtId="0" fontId="25" fillId="6" borderId="171" xfId="4" applyFont="1" applyFill="1" applyBorder="1" applyAlignment="1">
      <alignment horizontal="left" vertical="center"/>
    </xf>
    <xf numFmtId="0" fontId="31" fillId="6" borderId="171" xfId="0" applyFont="1" applyFill="1" applyBorder="1" applyAlignment="1">
      <alignment vertical="center"/>
    </xf>
    <xf numFmtId="0" fontId="32" fillId="0" borderId="174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3" fontId="20" fillId="2" borderId="35" xfId="4" applyNumberFormat="1" applyFont="1" applyFill="1" applyBorder="1" applyAlignment="1">
      <alignment vertical="center" wrapText="1"/>
    </xf>
    <xf numFmtId="3" fontId="27" fillId="0" borderId="117" xfId="4" applyNumberFormat="1" applyFont="1" applyFill="1" applyBorder="1" applyAlignment="1">
      <alignment vertical="top" wrapText="1"/>
    </xf>
    <xf numFmtId="0" fontId="33" fillId="0" borderId="117" xfId="0" applyFont="1" applyBorder="1" applyAlignment="1">
      <alignment vertical="center"/>
    </xf>
    <xf numFmtId="0" fontId="31" fillId="6" borderId="117" xfId="0" applyFont="1" applyFill="1" applyBorder="1" applyAlignment="1">
      <alignment vertical="center"/>
    </xf>
    <xf numFmtId="0" fontId="25" fillId="8" borderId="68" xfId="0" applyFont="1" applyFill="1" applyBorder="1" applyAlignment="1">
      <alignment horizontal="left" vertical="center" wrapText="1"/>
    </xf>
    <xf numFmtId="3" fontId="7" fillId="23" borderId="76" xfId="4" applyNumberFormat="1" applyFont="1" applyFill="1" applyBorder="1" applyAlignment="1">
      <alignment horizontal="right" vertical="center"/>
    </xf>
    <xf numFmtId="3" fontId="7" fillId="0" borderId="185" xfId="4" applyNumberFormat="1" applyFont="1" applyFill="1" applyBorder="1" applyAlignment="1">
      <alignment vertical="top"/>
    </xf>
    <xf numFmtId="0" fontId="24" fillId="8" borderId="193" xfId="4" applyFont="1" applyFill="1" applyBorder="1" applyAlignment="1">
      <alignment horizontal="left" vertical="center" wrapText="1"/>
    </xf>
    <xf numFmtId="3" fontId="27" fillId="2" borderId="158" xfId="4" applyNumberFormat="1" applyFont="1" applyFill="1" applyBorder="1" applyAlignment="1">
      <alignment vertical="center" wrapText="1"/>
    </xf>
    <xf numFmtId="3" fontId="27" fillId="0" borderId="151" xfId="4" applyNumberFormat="1" applyFont="1" applyFill="1" applyBorder="1" applyAlignment="1">
      <alignment horizontal="right" vertical="center"/>
    </xf>
    <xf numFmtId="3" fontId="7" fillId="0" borderId="160" xfId="4" applyNumberFormat="1" applyFont="1" applyFill="1" applyBorder="1" applyAlignment="1">
      <alignment horizontal="right" vertical="center"/>
    </xf>
    <xf numFmtId="0" fontId="28" fillId="52" borderId="178" xfId="4" applyFont="1" applyFill="1" applyBorder="1" applyAlignment="1">
      <alignment horizontal="right" vertical="center"/>
    </xf>
    <xf numFmtId="3" fontId="31" fillId="52" borderId="166" xfId="4" applyNumberFormat="1" applyFont="1" applyFill="1" applyBorder="1" applyAlignment="1">
      <alignment vertical="center"/>
    </xf>
    <xf numFmtId="3" fontId="28" fillId="52" borderId="166" xfId="4" applyNumberFormat="1" applyFont="1" applyFill="1" applyBorder="1" applyAlignment="1">
      <alignment horizontal="right" vertical="center"/>
    </xf>
    <xf numFmtId="0" fontId="24" fillId="8" borderId="2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vertical="center"/>
    </xf>
    <xf numFmtId="43" fontId="18" fillId="8" borderId="8" xfId="1" applyFont="1" applyFill="1" applyBorder="1" applyAlignment="1">
      <alignment vertical="center"/>
    </xf>
    <xf numFmtId="3" fontId="18" fillId="8" borderId="8" xfId="0" applyNumberFormat="1" applyFont="1" applyFill="1" applyBorder="1" applyAlignment="1">
      <alignment vertical="center"/>
    </xf>
    <xf numFmtId="0" fontId="18" fillId="8" borderId="8" xfId="0" applyFont="1" applyFill="1" applyBorder="1" applyAlignment="1">
      <alignment vertical="center"/>
    </xf>
    <xf numFmtId="0" fontId="18" fillId="8" borderId="9" xfId="0" applyFont="1" applyFill="1" applyBorder="1" applyAlignment="1">
      <alignment vertical="center"/>
    </xf>
    <xf numFmtId="3" fontId="18" fillId="23" borderId="35" xfId="0" applyNumberFormat="1" applyFont="1" applyFill="1" applyBorder="1" applyAlignment="1">
      <alignment vertical="center"/>
    </xf>
    <xf numFmtId="0" fontId="28" fillId="52" borderId="178" xfId="4" quotePrefix="1" applyFont="1" applyFill="1" applyBorder="1" applyAlignment="1">
      <alignment horizontal="right" vertical="center"/>
    </xf>
    <xf numFmtId="3" fontId="31" fillId="52" borderId="166" xfId="4" applyNumberFormat="1" applyFont="1" applyFill="1" applyBorder="1" applyAlignment="1">
      <alignment horizontal="right" vertical="center"/>
    </xf>
    <xf numFmtId="0" fontId="28" fillId="57" borderId="178" xfId="4" quotePrefix="1" applyFont="1" applyFill="1" applyBorder="1" applyAlignment="1">
      <alignment horizontal="right" vertical="center"/>
    </xf>
    <xf numFmtId="3" fontId="31" fillId="57" borderId="166" xfId="4" applyNumberFormat="1" applyFont="1" applyFill="1" applyBorder="1" applyAlignment="1">
      <alignment vertical="center"/>
    </xf>
    <xf numFmtId="3" fontId="28" fillId="57" borderId="166" xfId="4" applyNumberFormat="1" applyFont="1" applyFill="1" applyBorder="1" applyAlignment="1">
      <alignment horizontal="right" vertical="center"/>
    </xf>
    <xf numFmtId="3" fontId="7" fillId="57" borderId="166" xfId="4" applyNumberFormat="1" applyFont="1" applyFill="1" applyBorder="1" applyAlignment="1">
      <alignment horizontal="right" vertical="center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31" fillId="23" borderId="174" xfId="4" applyNumberFormat="1" applyFont="1" applyFill="1" applyBorder="1" applyAlignment="1">
      <alignment vertical="center"/>
    </xf>
    <xf numFmtId="0" fontId="28" fillId="52" borderId="193" xfId="4" quotePrefix="1" applyFont="1" applyFill="1" applyBorder="1" applyAlignment="1">
      <alignment horizontal="right" vertical="center"/>
    </xf>
    <xf numFmtId="43" fontId="28" fillId="52" borderId="166" xfId="1" applyFont="1" applyFill="1" applyBorder="1" applyAlignment="1">
      <alignment horizontal="right" vertical="center"/>
    </xf>
    <xf numFmtId="0" fontId="28" fillId="57" borderId="193" xfId="4" quotePrefix="1" applyFont="1" applyFill="1" applyBorder="1" applyAlignment="1">
      <alignment horizontal="right" vertical="center"/>
    </xf>
    <xf numFmtId="43" fontId="28" fillId="57" borderId="166" xfId="1" applyFont="1" applyFill="1" applyBorder="1" applyAlignment="1">
      <alignment horizontal="right" vertical="center"/>
    </xf>
    <xf numFmtId="0" fontId="24" fillId="8" borderId="4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vertical="center"/>
    </xf>
    <xf numFmtId="3" fontId="31" fillId="23" borderId="171" xfId="4" applyNumberFormat="1" applyFont="1" applyFill="1" applyBorder="1" applyAlignment="1">
      <alignment vertical="center"/>
    </xf>
    <xf numFmtId="3" fontId="31" fillId="52" borderId="175" xfId="4" applyNumberFormat="1" applyFont="1" applyFill="1" applyBorder="1" applyAlignment="1">
      <alignment horizontal="right" vertical="center"/>
    </xf>
    <xf numFmtId="43" fontId="31" fillId="0" borderId="166" xfId="4" applyNumberFormat="1" applyFont="1" applyFill="1" applyBorder="1" applyAlignment="1">
      <alignment vertical="center"/>
    </xf>
    <xf numFmtId="3" fontId="7" fillId="52" borderId="166" xfId="4" applyNumberFormat="1" applyFont="1" applyFill="1" applyBorder="1" applyAlignment="1">
      <alignment horizontal="right" vertical="center"/>
    </xf>
    <xf numFmtId="43" fontId="33" fillId="52" borderId="175" xfId="6" applyNumberFormat="1" applyFont="1" applyFill="1" applyBorder="1" applyAlignment="1">
      <alignment vertical="center"/>
    </xf>
    <xf numFmtId="0" fontId="28" fillId="57" borderId="178" xfId="4" applyFont="1" applyFill="1" applyBorder="1" applyAlignment="1">
      <alignment horizontal="right" vertical="center"/>
    </xf>
    <xf numFmtId="43" fontId="7" fillId="57" borderId="166" xfId="4" applyNumberFormat="1" applyFont="1" applyFill="1" applyBorder="1" applyAlignment="1">
      <alignment horizontal="right" vertical="center"/>
    </xf>
    <xf numFmtId="43" fontId="33" fillId="57" borderId="175" xfId="6" applyNumberFormat="1" applyFont="1" applyFill="1" applyBorder="1" applyAlignment="1">
      <alignment vertical="center"/>
    </xf>
    <xf numFmtId="0" fontId="0" fillId="0" borderId="193" xfId="0" applyFont="1" applyBorder="1" applyAlignment="1">
      <alignment vertical="center"/>
    </xf>
    <xf numFmtId="3" fontId="32" fillId="0" borderId="166" xfId="6" applyNumberFormat="1" applyFont="1" applyFill="1" applyBorder="1" applyAlignment="1">
      <alignment vertical="center"/>
    </xf>
    <xf numFmtId="43" fontId="32" fillId="0" borderId="166" xfId="6" applyNumberFormat="1" applyFont="1" applyFill="1" applyBorder="1" applyAlignment="1">
      <alignment vertical="center"/>
    </xf>
    <xf numFmtId="3" fontId="28" fillId="52" borderId="193" xfId="4" applyNumberFormat="1" applyFont="1" applyFill="1" applyBorder="1" applyAlignment="1">
      <alignment horizontal="right" vertical="center" wrapText="1"/>
    </xf>
    <xf numFmtId="43" fontId="32" fillId="52" borderId="175" xfId="6" applyNumberFormat="1" applyFont="1" applyFill="1" applyBorder="1" applyAlignment="1">
      <alignment vertical="center"/>
    </xf>
    <xf numFmtId="0" fontId="39" fillId="57" borderId="193" xfId="0" applyFont="1" applyFill="1" applyBorder="1" applyAlignment="1">
      <alignment horizontal="right" vertical="center"/>
    </xf>
    <xf numFmtId="43" fontId="32" fillId="57" borderId="175" xfId="6" applyNumberFormat="1" applyFont="1" applyFill="1" applyBorder="1" applyAlignment="1">
      <alignment vertical="center"/>
    </xf>
    <xf numFmtId="43" fontId="7" fillId="57" borderId="175" xfId="4" applyNumberFormat="1" applyFont="1" applyFill="1" applyBorder="1" applyAlignment="1">
      <alignment horizontal="right" vertical="center"/>
    </xf>
    <xf numFmtId="3" fontId="28" fillId="0" borderId="166" xfId="4" applyNumberFormat="1" applyFont="1" applyFill="1" applyBorder="1" applyAlignment="1">
      <alignment horizontal="right" vertical="center"/>
    </xf>
    <xf numFmtId="3" fontId="31" fillId="23" borderId="39" xfId="4" applyNumberFormat="1" applyFont="1" applyFill="1" applyBorder="1" applyAlignment="1">
      <alignment vertical="center"/>
    </xf>
    <xf numFmtId="43" fontId="33" fillId="0" borderId="175" xfId="6" applyNumberFormat="1" applyFont="1" applyFill="1" applyBorder="1" applyAlignment="1">
      <alignment vertical="center"/>
    </xf>
    <xf numFmtId="164" fontId="24" fillId="6" borderId="174" xfId="1" applyNumberFormat="1" applyFont="1" applyFill="1" applyBorder="1" applyAlignment="1">
      <alignment vertical="center"/>
    </xf>
    <xf numFmtId="3" fontId="7" fillId="0" borderId="166" xfId="1" applyNumberFormat="1" applyFont="1" applyFill="1" applyBorder="1" applyAlignment="1">
      <alignment horizontal="right" vertical="center"/>
    </xf>
    <xf numFmtId="43" fontId="7" fillId="8" borderId="8" xfId="1" applyFont="1" applyFill="1" applyBorder="1" applyAlignment="1">
      <alignment vertical="center"/>
    </xf>
    <xf numFmtId="3" fontId="27" fillId="2" borderId="175" xfId="4" applyNumberFormat="1" applyFont="1" applyFill="1" applyBorder="1" applyAlignment="1">
      <alignment horizontal="right" vertical="center"/>
    </xf>
    <xf numFmtId="3" fontId="29" fillId="2" borderId="175" xfId="4" applyNumberFormat="1" applyFont="1" applyFill="1" applyBorder="1" applyAlignment="1">
      <alignment horizontal="right" vertical="center"/>
    </xf>
    <xf numFmtId="3" fontId="29" fillId="0" borderId="171" xfId="4" applyNumberFormat="1" applyFont="1" applyFill="1" applyBorder="1" applyAlignment="1">
      <alignment horizontal="right" vertical="center"/>
    </xf>
    <xf numFmtId="0" fontId="7" fillId="8" borderId="7" xfId="112" applyFont="1" applyFill="1" applyBorder="1" applyAlignment="1">
      <alignment vertical="center"/>
    </xf>
    <xf numFmtId="0" fontId="7" fillId="0" borderId="12" xfId="4" applyFont="1" applyFill="1" applyBorder="1" applyAlignment="1">
      <alignment vertical="center"/>
    </xf>
    <xf numFmtId="0" fontId="7" fillId="0" borderId="74" xfId="0" applyFont="1" applyFill="1" applyBorder="1" applyAlignment="1">
      <alignment vertical="center"/>
    </xf>
    <xf numFmtId="3" fontId="38" fillId="25" borderId="72" xfId="0" applyNumberFormat="1" applyFont="1" applyFill="1" applyBorder="1" applyAlignment="1">
      <alignment vertical="top"/>
    </xf>
    <xf numFmtId="43" fontId="7" fillId="2" borderId="191" xfId="1" applyFont="1" applyFill="1" applyBorder="1" applyAlignment="1">
      <alignment vertical="top"/>
    </xf>
    <xf numFmtId="3" fontId="7" fillId="32" borderId="185" xfId="0" applyNumberFormat="1" applyFont="1" applyFill="1" applyBorder="1" applyAlignment="1">
      <alignment vertical="top"/>
    </xf>
    <xf numFmtId="0" fontId="31" fillId="8" borderId="76" xfId="0" applyFont="1" applyFill="1" applyBorder="1" applyAlignment="1">
      <alignment vertical="top"/>
    </xf>
    <xf numFmtId="3" fontId="28" fillId="0" borderId="171" xfId="4" applyNumberFormat="1" applyFont="1" applyFill="1" applyBorder="1" applyAlignment="1">
      <alignment vertical="center"/>
    </xf>
    <xf numFmtId="3" fontId="28" fillId="0" borderId="175" xfId="4" applyNumberFormat="1" applyFont="1" applyFill="1" applyBorder="1" applyAlignment="1">
      <alignment vertical="center"/>
    </xf>
    <xf numFmtId="0" fontId="7" fillId="0" borderId="43" xfId="4" applyFont="1" applyFill="1" applyBorder="1" applyAlignment="1">
      <alignment vertical="center" wrapText="1"/>
    </xf>
    <xf numFmtId="0" fontId="23" fillId="0" borderId="44" xfId="0" applyFont="1" applyBorder="1" applyAlignment="1">
      <alignment horizontal="center" vertical="center" wrapText="1"/>
    </xf>
    <xf numFmtId="43" fontId="7" fillId="0" borderId="24" xfId="1" applyFont="1" applyFill="1" applyBorder="1" applyAlignment="1">
      <alignment horizontal="right" vertical="center"/>
    </xf>
    <xf numFmtId="3" fontId="27" fillId="26" borderId="174" xfId="4" applyNumberFormat="1" applyFont="1" applyFill="1" applyBorder="1" applyAlignment="1">
      <alignment horizontal="right" vertical="center"/>
    </xf>
    <xf numFmtId="3" fontId="28" fillId="26" borderId="174" xfId="4" applyNumberFormat="1" applyFont="1" applyFill="1" applyBorder="1" applyAlignment="1">
      <alignment horizontal="right" vertical="center"/>
    </xf>
    <xf numFmtId="3" fontId="28" fillId="26" borderId="191" xfId="4" applyNumberFormat="1" applyFont="1" applyFill="1" applyBorder="1" applyAlignment="1">
      <alignment horizontal="right" vertical="center"/>
    </xf>
    <xf numFmtId="3" fontId="31" fillId="0" borderId="24" xfId="4" applyNumberFormat="1" applyFont="1" applyFill="1" applyBorder="1" applyAlignment="1">
      <alignment vertical="center"/>
    </xf>
    <xf numFmtId="3" fontId="7" fillId="8" borderId="68" xfId="0" applyNumberFormat="1" applyFont="1" applyFill="1" applyBorder="1" applyAlignment="1">
      <alignment vertical="center"/>
    </xf>
    <xf numFmtId="0" fontId="28" fillId="60" borderId="178" xfId="4" applyFont="1" applyFill="1" applyBorder="1" applyAlignment="1">
      <alignment horizontal="right" vertical="center"/>
    </xf>
    <xf numFmtId="3" fontId="31" fillId="60" borderId="166" xfId="4" applyNumberFormat="1" applyFont="1" applyFill="1" applyBorder="1" applyAlignment="1">
      <alignment vertical="center"/>
    </xf>
    <xf numFmtId="3" fontId="28" fillId="60" borderId="166" xfId="4" applyNumberFormat="1" applyFont="1" applyFill="1" applyBorder="1" applyAlignment="1">
      <alignment horizontal="right" vertical="center"/>
    </xf>
    <xf numFmtId="0" fontId="22" fillId="0" borderId="65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0" fillId="0" borderId="182" xfId="0" applyFont="1" applyBorder="1" applyAlignment="1">
      <alignment vertical="center"/>
    </xf>
    <xf numFmtId="3" fontId="24" fillId="22" borderId="175" xfId="4" applyNumberFormat="1" applyFont="1" applyFill="1" applyBorder="1" applyAlignment="1">
      <alignment vertical="center"/>
    </xf>
    <xf numFmtId="3" fontId="27" fillId="25" borderId="174" xfId="4" applyNumberFormat="1" applyFont="1" applyFill="1" applyBorder="1" applyAlignment="1">
      <alignment vertical="center"/>
    </xf>
    <xf numFmtId="0" fontId="28" fillId="0" borderId="179" xfId="4" applyFont="1" applyFill="1" applyBorder="1" applyAlignment="1">
      <alignment vertical="center"/>
    </xf>
    <xf numFmtId="3" fontId="28" fillId="25" borderId="174" xfId="4" applyNumberFormat="1" applyFont="1" applyFill="1" applyBorder="1" applyAlignment="1">
      <alignment horizontal="right" vertical="center"/>
    </xf>
    <xf numFmtId="0" fontId="31" fillId="0" borderId="172" xfId="4" applyFont="1" applyFill="1" applyBorder="1" applyAlignment="1">
      <alignment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62" fillId="0" borderId="166" xfId="6" applyNumberFormat="1" applyFont="1" applyFill="1" applyBorder="1" applyAlignment="1">
      <alignment vertical="center"/>
    </xf>
    <xf numFmtId="3" fontId="28" fillId="25" borderId="166" xfId="4" applyNumberFormat="1" applyFont="1" applyFill="1" applyBorder="1" applyAlignment="1">
      <alignment horizontal="right" vertical="center"/>
    </xf>
    <xf numFmtId="0" fontId="38" fillId="52" borderId="185" xfId="4" applyFont="1" applyFill="1" applyBorder="1" applyAlignment="1">
      <alignment horizontal="right" vertical="top"/>
    </xf>
    <xf numFmtId="3" fontId="38" fillId="52" borderId="185" xfId="4" applyNumberFormat="1" applyFont="1" applyFill="1" applyBorder="1" applyAlignment="1">
      <alignment horizontal="right" vertical="center"/>
    </xf>
    <xf numFmtId="43" fontId="38" fillId="52" borderId="185" xfId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vertical="top"/>
    </xf>
    <xf numFmtId="0" fontId="24" fillId="2" borderId="2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vertical="center" wrapText="1"/>
    </xf>
    <xf numFmtId="0" fontId="31" fillId="0" borderId="43" xfId="0" applyFont="1" applyFill="1" applyBorder="1" applyAlignment="1">
      <alignment vertical="center" wrapText="1"/>
    </xf>
    <xf numFmtId="0" fontId="31" fillId="0" borderId="41" xfId="0" applyFont="1" applyFill="1" applyBorder="1" applyAlignment="1">
      <alignment vertical="center" wrapText="1"/>
    </xf>
    <xf numFmtId="0" fontId="17" fillId="0" borderId="25" xfId="0" applyFont="1" applyFill="1" applyBorder="1" applyAlignment="1">
      <alignment vertical="center"/>
    </xf>
    <xf numFmtId="0" fontId="38" fillId="57" borderId="35" xfId="4" applyFont="1" applyFill="1" applyBorder="1" applyAlignment="1">
      <alignment horizontal="right" vertical="top"/>
    </xf>
    <xf numFmtId="0" fontId="24" fillId="8" borderId="193" xfId="0" applyFont="1" applyFill="1" applyBorder="1" applyAlignment="1">
      <alignment vertical="center" wrapText="1"/>
    </xf>
    <xf numFmtId="0" fontId="24" fillId="8" borderId="173" xfId="0" applyFont="1" applyFill="1" applyBorder="1" applyAlignment="1">
      <alignment horizontal="center" vertical="center" wrapText="1"/>
    </xf>
    <xf numFmtId="0" fontId="7" fillId="8" borderId="183" xfId="0" applyFont="1" applyFill="1" applyBorder="1" applyAlignment="1">
      <alignment vertical="center"/>
    </xf>
    <xf numFmtId="43" fontId="7" fillId="8" borderId="178" xfId="1" applyFont="1" applyFill="1" applyBorder="1" applyAlignment="1">
      <alignment vertical="center"/>
    </xf>
    <xf numFmtId="3" fontId="7" fillId="8" borderId="178" xfId="0" applyNumberFormat="1" applyFont="1" applyFill="1" applyBorder="1" applyAlignment="1">
      <alignment vertical="center"/>
    </xf>
    <xf numFmtId="0" fontId="7" fillId="8" borderId="178" xfId="0" applyFont="1" applyFill="1" applyBorder="1" applyAlignment="1">
      <alignment vertical="center"/>
    </xf>
    <xf numFmtId="0" fontId="7" fillId="8" borderId="174" xfId="0" applyFont="1" applyFill="1" applyBorder="1" applyAlignment="1">
      <alignment vertical="center"/>
    </xf>
    <xf numFmtId="0" fontId="24" fillId="8" borderId="194" xfId="0" applyFont="1" applyFill="1" applyBorder="1" applyAlignment="1">
      <alignment horizontal="center" vertical="center" wrapText="1"/>
    </xf>
    <xf numFmtId="0" fontId="7" fillId="8" borderId="8" xfId="112" applyFont="1" applyFill="1" applyBorder="1" applyAlignment="1">
      <alignment vertical="center"/>
    </xf>
    <xf numFmtId="3" fontId="7" fillId="8" borderId="8" xfId="112" applyNumberFormat="1" applyFont="1" applyFill="1" applyBorder="1" applyAlignment="1">
      <alignment vertical="center"/>
    </xf>
    <xf numFmtId="3" fontId="7" fillId="8" borderId="9" xfId="112" applyNumberFormat="1" applyFont="1" applyFill="1" applyBorder="1" applyAlignment="1">
      <alignment vertical="center"/>
    </xf>
    <xf numFmtId="3" fontId="7" fillId="23" borderId="10" xfId="112" applyNumberFormat="1" applyFont="1" applyFill="1" applyBorder="1" applyAlignment="1">
      <alignment vertical="center"/>
    </xf>
    <xf numFmtId="43" fontId="28" fillId="60" borderId="166" xfId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0" fontId="18" fillId="0" borderId="43" xfId="0" applyFont="1" applyFill="1" applyBorder="1" applyAlignment="1">
      <alignment vertical="center" wrapText="1"/>
    </xf>
    <xf numFmtId="0" fontId="18" fillId="0" borderId="181" xfId="0" applyFont="1" applyFill="1" applyBorder="1" applyAlignment="1">
      <alignment vertical="center" wrapText="1"/>
    </xf>
    <xf numFmtId="0" fontId="31" fillId="8" borderId="178" xfId="4" applyFont="1" applyFill="1" applyBorder="1" applyAlignment="1">
      <alignment vertical="center"/>
    </xf>
    <xf numFmtId="3" fontId="31" fillId="8" borderId="175" xfId="112" applyNumberFormat="1" applyFont="1" applyFill="1" applyBorder="1" applyAlignment="1">
      <alignment vertical="center"/>
    </xf>
    <xf numFmtId="2" fontId="0" fillId="0" borderId="0" xfId="0" applyNumberFormat="1" applyFont="1" applyBorder="1"/>
    <xf numFmtId="3" fontId="84" fillId="50" borderId="17" xfId="4" applyNumberFormat="1" applyFont="1" applyFill="1" applyBorder="1" applyAlignment="1">
      <alignment horizontal="right" vertical="center"/>
    </xf>
    <xf numFmtId="3" fontId="84" fillId="50" borderId="27" xfId="4" applyNumberFormat="1" applyFont="1" applyFill="1" applyBorder="1" applyAlignment="1">
      <alignment horizontal="right" vertical="center"/>
    </xf>
    <xf numFmtId="3" fontId="87" fillId="0" borderId="13" xfId="0" applyNumberFormat="1" applyFont="1" applyFill="1" applyBorder="1" applyAlignment="1">
      <alignment horizontal="right" vertical="center"/>
    </xf>
    <xf numFmtId="3" fontId="87" fillId="0" borderId="175" xfId="0" applyNumberFormat="1" applyFont="1" applyFill="1" applyBorder="1" applyAlignment="1">
      <alignment vertical="top"/>
    </xf>
    <xf numFmtId="3" fontId="87" fillId="0" borderId="185" xfId="0" applyNumberFormat="1" applyFont="1" applyFill="1" applyBorder="1" applyAlignment="1">
      <alignment horizontal="right" vertical="center"/>
    </xf>
    <xf numFmtId="0" fontId="88" fillId="2" borderId="51" xfId="0" applyFont="1" applyFill="1" applyBorder="1" applyAlignment="1">
      <alignment vertical="top"/>
    </xf>
    <xf numFmtId="3" fontId="85" fillId="29" borderId="68" xfId="0" applyNumberFormat="1" applyFont="1" applyFill="1" applyBorder="1" applyAlignment="1">
      <alignment vertical="center"/>
    </xf>
    <xf numFmtId="3" fontId="79" fillId="28" borderId="9" xfId="0" applyNumberFormat="1" applyFont="1" applyFill="1" applyBorder="1" applyAlignment="1">
      <alignment vertical="center"/>
    </xf>
    <xf numFmtId="3" fontId="86" fillId="8" borderId="9" xfId="0" applyNumberFormat="1" applyFont="1" applyFill="1" applyBorder="1" applyAlignment="1">
      <alignment vertical="center"/>
    </xf>
    <xf numFmtId="3" fontId="85" fillId="6" borderId="35" xfId="0" applyNumberFormat="1" applyFont="1" applyFill="1" applyBorder="1" applyAlignment="1">
      <alignment vertical="center"/>
    </xf>
    <xf numFmtId="3" fontId="79" fillId="8" borderId="18" xfId="0" applyNumberFormat="1" applyFont="1" applyFill="1" applyBorder="1" applyAlignment="1">
      <alignment vertical="top"/>
    </xf>
    <xf numFmtId="3" fontId="84" fillId="2" borderId="174" xfId="0" applyNumberFormat="1" applyFont="1" applyFill="1" applyBorder="1" applyAlignment="1">
      <alignment vertical="top"/>
    </xf>
    <xf numFmtId="3" fontId="87" fillId="0" borderId="9" xfId="0" applyNumberFormat="1" applyFont="1" applyFill="1" applyBorder="1" applyAlignment="1">
      <alignment vertical="top"/>
    </xf>
    <xf numFmtId="3" fontId="84" fillId="0" borderId="174" xfId="0" applyNumberFormat="1" applyFont="1" applyFill="1" applyBorder="1" applyAlignment="1">
      <alignment vertical="top"/>
    </xf>
    <xf numFmtId="3" fontId="83" fillId="6" borderId="174" xfId="0" applyNumberFormat="1" applyFont="1" applyFill="1" applyBorder="1" applyAlignment="1">
      <alignment vertical="top"/>
    </xf>
    <xf numFmtId="43" fontId="83" fillId="6" borderId="174" xfId="1" applyFont="1" applyFill="1" applyBorder="1" applyAlignment="1">
      <alignment vertical="top"/>
    </xf>
    <xf numFmtId="3" fontId="84" fillId="32" borderId="174" xfId="0" applyNumberFormat="1" applyFont="1" applyFill="1" applyBorder="1" applyAlignment="1">
      <alignment vertical="center"/>
    </xf>
    <xf numFmtId="3" fontId="83" fillId="32" borderId="174" xfId="0" applyNumberFormat="1" applyFont="1" applyFill="1" applyBorder="1" applyAlignment="1">
      <alignment vertical="top"/>
    </xf>
    <xf numFmtId="3" fontId="84" fillId="0" borderId="175" xfId="0" applyNumberFormat="1" applyFont="1" applyFill="1" applyBorder="1" applyAlignment="1">
      <alignment vertical="top"/>
    </xf>
    <xf numFmtId="3" fontId="87" fillId="8" borderId="18" xfId="0" applyNumberFormat="1" applyFont="1" applyFill="1" applyBorder="1" applyAlignment="1">
      <alignment vertical="top"/>
    </xf>
    <xf numFmtId="3" fontId="84" fillId="50" borderId="12" xfId="4" applyNumberFormat="1" applyFont="1" applyFill="1" applyBorder="1" applyAlignment="1">
      <alignment horizontal="right" vertical="center"/>
    </xf>
    <xf numFmtId="3" fontId="84" fillId="8" borderId="175" xfId="0" applyNumberFormat="1" applyFont="1" applyFill="1" applyBorder="1" applyAlignment="1">
      <alignment vertical="center"/>
    </xf>
    <xf numFmtId="3" fontId="87" fillId="28" borderId="175" xfId="0" applyNumberFormat="1" applyFont="1" applyFill="1" applyBorder="1" applyAlignment="1">
      <alignment vertical="center"/>
    </xf>
    <xf numFmtId="3" fontId="87" fillId="32" borderId="185" xfId="0" applyNumberFormat="1" applyFont="1" applyFill="1" applyBorder="1" applyAlignment="1">
      <alignment vertical="top"/>
    </xf>
    <xf numFmtId="3" fontId="83" fillId="6" borderId="175" xfId="0" applyNumberFormat="1" applyFont="1" applyFill="1" applyBorder="1" applyAlignment="1">
      <alignment vertical="top"/>
    </xf>
    <xf numFmtId="3" fontId="84" fillId="50" borderId="9" xfId="4" applyNumberFormat="1" applyFont="1" applyFill="1" applyBorder="1" applyAlignment="1">
      <alignment horizontal="right" vertical="center"/>
    </xf>
    <xf numFmtId="1" fontId="89" fillId="2" borderId="35" xfId="0" quotePrefix="1" applyNumberFormat="1" applyFont="1" applyFill="1" applyBorder="1" applyAlignment="1">
      <alignment horizontal="center" vertical="top"/>
    </xf>
    <xf numFmtId="3" fontId="86" fillId="8" borderId="175" xfId="0" applyNumberFormat="1" applyFont="1" applyFill="1" applyBorder="1" applyAlignment="1">
      <alignment vertical="center"/>
    </xf>
    <xf numFmtId="3" fontId="79" fillId="28" borderId="175" xfId="0" applyNumberFormat="1" applyFont="1" applyFill="1" applyBorder="1" applyAlignment="1">
      <alignment vertical="center"/>
    </xf>
    <xf numFmtId="3" fontId="87" fillId="8" borderId="9" xfId="0" applyNumberFormat="1" applyFont="1" applyFill="1" applyBorder="1" applyAlignment="1">
      <alignment vertical="center"/>
    </xf>
    <xf numFmtId="3" fontId="86" fillId="8" borderId="174" xfId="0" applyNumberFormat="1" applyFont="1" applyFill="1" applyBorder="1" applyAlignment="1">
      <alignment vertical="center"/>
    </xf>
    <xf numFmtId="3" fontId="87" fillId="8" borderId="174" xfId="0" applyNumberFormat="1" applyFont="1" applyFill="1" applyBorder="1" applyAlignment="1">
      <alignment vertical="center"/>
    </xf>
    <xf numFmtId="3" fontId="87" fillId="8" borderId="185" xfId="0" applyNumberFormat="1" applyFont="1" applyFill="1" applyBorder="1" applyAlignment="1">
      <alignment vertical="center"/>
    </xf>
    <xf numFmtId="3" fontId="79" fillId="8" borderId="2" xfId="0" applyNumberFormat="1" applyFont="1" applyFill="1" applyBorder="1" applyAlignment="1">
      <alignment vertical="top"/>
    </xf>
    <xf numFmtId="3" fontId="84" fillId="2" borderId="175" xfId="0" applyNumberFormat="1" applyFont="1" applyFill="1" applyBorder="1" applyAlignment="1">
      <alignment vertical="top"/>
    </xf>
    <xf numFmtId="3" fontId="87" fillId="0" borderId="175" xfId="4" applyNumberFormat="1" applyFont="1" applyFill="1" applyBorder="1" applyAlignment="1">
      <alignment vertical="center"/>
    </xf>
    <xf numFmtId="3" fontId="83" fillId="6" borderId="9" xfId="0" applyNumberFormat="1" applyFont="1" applyFill="1" applyBorder="1" applyAlignment="1">
      <alignment vertical="top"/>
    </xf>
    <xf numFmtId="3" fontId="83" fillId="32" borderId="9" xfId="0" applyNumberFormat="1" applyFont="1" applyFill="1" applyBorder="1" applyAlignment="1">
      <alignment vertical="top"/>
    </xf>
    <xf numFmtId="3" fontId="87" fillId="32" borderId="174" xfId="0" applyNumberFormat="1" applyFont="1" applyFill="1" applyBorder="1" applyAlignment="1">
      <alignment vertical="top"/>
    </xf>
    <xf numFmtId="3" fontId="84" fillId="32" borderId="174" xfId="0" applyNumberFormat="1" applyFont="1" applyFill="1" applyBorder="1" applyAlignment="1">
      <alignment vertical="top"/>
    </xf>
    <xf numFmtId="3" fontId="87" fillId="32" borderId="185" xfId="0" applyNumberFormat="1" applyFont="1" applyFill="1" applyBorder="1" applyAlignment="1">
      <alignment horizontal="right" vertical="center"/>
    </xf>
    <xf numFmtId="3" fontId="87" fillId="28" borderId="185" xfId="0" applyNumberFormat="1" applyFont="1" applyFill="1" applyBorder="1" applyAlignment="1">
      <alignment vertical="center"/>
    </xf>
    <xf numFmtId="43" fontId="84" fillId="32" borderId="174" xfId="1" applyFont="1" applyFill="1" applyBorder="1" applyAlignment="1">
      <alignment vertical="center"/>
    </xf>
    <xf numFmtId="43" fontId="87" fillId="32" borderId="185" xfId="1" applyFont="1" applyFill="1" applyBorder="1" applyAlignment="1">
      <alignment vertical="top"/>
    </xf>
    <xf numFmtId="3" fontId="37" fillId="0" borderId="175" xfId="0" applyNumberFormat="1" applyFont="1" applyBorder="1" applyAlignment="1">
      <alignment vertical="top"/>
    </xf>
    <xf numFmtId="43" fontId="29" fillId="32" borderId="174" xfId="1" applyFont="1" applyFill="1" applyBorder="1" applyAlignment="1">
      <alignment vertical="center"/>
    </xf>
    <xf numFmtId="43" fontId="7" fillId="32" borderId="185" xfId="1" applyFont="1" applyFill="1" applyBorder="1" applyAlignment="1">
      <alignment vertical="top"/>
    </xf>
    <xf numFmtId="0" fontId="7" fillId="0" borderId="51" xfId="0" applyFont="1" applyFill="1" applyBorder="1" applyAlignment="1">
      <alignment vertical="center" wrapText="1"/>
    </xf>
    <xf numFmtId="0" fontId="24" fillId="32" borderId="35" xfId="4" applyFont="1" applyFill="1" applyBorder="1" applyAlignment="1">
      <alignment horizontal="center" vertical="center" wrapText="1"/>
    </xf>
    <xf numFmtId="3" fontId="28" fillId="57" borderId="175" xfId="4" applyNumberFormat="1" applyFont="1" applyFill="1" applyBorder="1" applyAlignment="1">
      <alignment horizontal="right" vertical="center"/>
    </xf>
    <xf numFmtId="0" fontId="24" fillId="32" borderId="12" xfId="4" applyFont="1" applyFill="1" applyBorder="1" applyAlignment="1">
      <alignment horizontal="center" vertical="center" wrapText="1"/>
    </xf>
    <xf numFmtId="43" fontId="25" fillId="6" borderId="35" xfId="1" applyFont="1" applyFill="1" applyBorder="1" applyAlignment="1">
      <alignment vertical="top"/>
    </xf>
    <xf numFmtId="3" fontId="25" fillId="6" borderId="68" xfId="4" applyNumberFormat="1" applyFont="1" applyFill="1" applyBorder="1" applyAlignment="1">
      <alignment vertical="center"/>
    </xf>
    <xf numFmtId="43" fontId="31" fillId="0" borderId="185" xfId="1" applyFont="1" applyFill="1" applyBorder="1" applyAlignment="1"/>
    <xf numFmtId="3" fontId="61" fillId="13" borderId="0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43" fontId="25" fillId="6" borderId="175" xfId="4" applyNumberFormat="1" applyFont="1" applyFill="1" applyBorder="1" applyAlignment="1">
      <alignment horizontal="right" vertical="center"/>
    </xf>
    <xf numFmtId="43" fontId="25" fillId="6" borderId="175" xfId="1" applyNumberFormat="1" applyFont="1" applyFill="1" applyBorder="1" applyAlignment="1">
      <alignment horizontal="right" vertical="center"/>
    </xf>
    <xf numFmtId="43" fontId="27" fillId="0" borderId="175" xfId="4" applyNumberFormat="1" applyFont="1" applyFill="1" applyBorder="1" applyAlignment="1">
      <alignment horizontal="right" vertical="center"/>
    </xf>
    <xf numFmtId="43" fontId="31" fillId="0" borderId="175" xfId="4" applyNumberFormat="1" applyFont="1" applyFill="1" applyBorder="1" applyAlignment="1">
      <alignment horizontal="right" vertical="center"/>
    </xf>
    <xf numFmtId="43" fontId="31" fillId="0" borderId="175" xfId="1" applyNumberFormat="1" applyFont="1" applyFill="1" applyBorder="1" applyAlignment="1">
      <alignment horizontal="right" vertical="center"/>
    </xf>
    <xf numFmtId="43" fontId="7" fillId="0" borderId="175" xfId="4" applyNumberFormat="1" applyFont="1" applyFill="1" applyBorder="1" applyAlignment="1">
      <alignment horizontal="right" vertical="center"/>
    </xf>
    <xf numFmtId="43" fontId="24" fillId="6" borderId="175" xfId="4" applyNumberFormat="1" applyFont="1" applyFill="1" applyBorder="1" applyAlignment="1"/>
    <xf numFmtId="43" fontId="24" fillId="6" borderId="175" xfId="1" applyNumberFormat="1" applyFont="1" applyFill="1" applyBorder="1" applyAlignment="1"/>
    <xf numFmtId="43" fontId="31" fillId="32" borderId="175" xfId="4" applyNumberFormat="1" applyFont="1" applyFill="1" applyBorder="1" applyAlignment="1"/>
    <xf numFmtId="43" fontId="24" fillId="32" borderId="175" xfId="1" applyNumberFormat="1" applyFont="1" applyFill="1" applyBorder="1" applyAlignment="1"/>
    <xf numFmtId="0" fontId="24" fillId="8" borderId="76" xfId="4" applyFont="1" applyFill="1" applyBorder="1" applyAlignment="1">
      <alignment horizontal="center" vertical="center" wrapText="1"/>
    </xf>
    <xf numFmtId="0" fontId="24" fillId="6" borderId="7" xfId="4" applyFont="1" applyFill="1" applyBorder="1" applyAlignment="1">
      <alignment horizontal="left" vertical="center"/>
    </xf>
    <xf numFmtId="41" fontId="7" fillId="28" borderId="87" xfId="0" applyNumberFormat="1" applyFont="1" applyFill="1" applyBorder="1" applyAlignment="1">
      <alignment vertical="center"/>
    </xf>
    <xf numFmtId="41" fontId="29" fillId="8" borderId="87" xfId="0" applyNumberFormat="1" applyFont="1" applyFill="1" applyBorder="1" applyAlignment="1">
      <alignment vertical="center"/>
    </xf>
    <xf numFmtId="43" fontId="25" fillId="6" borderId="89" xfId="0" applyNumberFormat="1" applyFont="1" applyFill="1" applyBorder="1" applyAlignment="1">
      <alignment vertical="top"/>
    </xf>
    <xf numFmtId="43" fontId="27" fillId="2" borderId="89" xfId="0" applyNumberFormat="1" applyFont="1" applyFill="1" applyBorder="1" applyAlignment="1">
      <alignment vertical="top"/>
    </xf>
    <xf numFmtId="43" fontId="28" fillId="2" borderId="119" xfId="0" applyNumberFormat="1" applyFont="1" applyFill="1" applyBorder="1" applyAlignment="1">
      <alignment vertical="top"/>
    </xf>
    <xf numFmtId="43" fontId="28" fillId="2" borderId="9" xfId="0" applyNumberFormat="1" applyFont="1" applyFill="1" applyBorder="1" applyAlignment="1">
      <alignment vertical="top"/>
    </xf>
    <xf numFmtId="43" fontId="27" fillId="0" borderId="89" xfId="0" applyNumberFormat="1" applyFont="1" applyFill="1" applyBorder="1" applyAlignment="1">
      <alignment vertical="top"/>
    </xf>
    <xf numFmtId="43" fontId="31" fillId="0" borderId="63" xfId="4" applyNumberFormat="1" applyFont="1" applyFill="1" applyBorder="1" applyAlignment="1">
      <alignment vertical="center"/>
    </xf>
    <xf numFmtId="41" fontId="25" fillId="6" borderId="174" xfId="0" applyNumberFormat="1" applyFont="1" applyFill="1" applyBorder="1" applyAlignment="1">
      <alignment vertical="top"/>
    </xf>
    <xf numFmtId="41" fontId="27" fillId="2" borderId="174" xfId="0" applyNumberFormat="1" applyFont="1" applyFill="1" applyBorder="1" applyAlignment="1">
      <alignment vertical="top"/>
    </xf>
    <xf numFmtId="41" fontId="31" fillId="0" borderId="175" xfId="0" applyNumberFormat="1" applyFont="1" applyFill="1" applyBorder="1" applyAlignment="1">
      <alignment vertical="top"/>
    </xf>
    <xf numFmtId="41" fontId="27" fillId="0" borderId="174" xfId="0" applyNumberFormat="1" applyFont="1" applyFill="1" applyBorder="1" applyAlignment="1">
      <alignment vertical="top"/>
    </xf>
    <xf numFmtId="41" fontId="31" fillId="0" borderId="112" xfId="0" applyNumberFormat="1" applyFont="1" applyFill="1" applyBorder="1" applyAlignment="1">
      <alignment horizontal="right" vertical="center"/>
    </xf>
    <xf numFmtId="41" fontId="25" fillId="22" borderId="174" xfId="0" applyNumberFormat="1" applyFont="1" applyFill="1" applyBorder="1" applyAlignment="1">
      <alignment vertical="top"/>
    </xf>
    <xf numFmtId="41" fontId="25" fillId="25" borderId="175" xfId="0" applyNumberFormat="1" applyFont="1" applyFill="1" applyBorder="1" applyAlignment="1">
      <alignment vertical="top"/>
    </xf>
    <xf numFmtId="41" fontId="31" fillId="25" borderId="117" xfId="0" applyNumberFormat="1" applyFont="1" applyFill="1" applyBorder="1" applyAlignment="1">
      <alignment vertical="top"/>
    </xf>
    <xf numFmtId="41" fontId="25" fillId="25" borderId="10" xfId="0" applyNumberFormat="1" applyFont="1" applyFill="1" applyBorder="1" applyAlignment="1">
      <alignment vertical="top"/>
    </xf>
    <xf numFmtId="41" fontId="31" fillId="0" borderId="9" xfId="0" applyNumberFormat="1" applyFont="1" applyFill="1" applyBorder="1" applyAlignment="1">
      <alignment vertical="top"/>
    </xf>
    <xf numFmtId="41" fontId="31" fillId="0" borderId="13" xfId="0" applyNumberFormat="1" applyFont="1" applyFill="1" applyBorder="1" applyAlignment="1">
      <alignment horizontal="right" vertical="center"/>
    </xf>
    <xf numFmtId="41" fontId="25" fillId="6" borderId="99" xfId="0" applyNumberFormat="1" applyFont="1" applyFill="1" applyBorder="1" applyAlignment="1">
      <alignment vertical="top"/>
    </xf>
    <xf numFmtId="41" fontId="27" fillId="2" borderId="99" xfId="0" applyNumberFormat="1" applyFont="1" applyFill="1" applyBorder="1" applyAlignment="1">
      <alignment vertical="top"/>
    </xf>
    <xf numFmtId="41" fontId="27" fillId="0" borderId="99" xfId="0" applyNumberFormat="1" applyFont="1" applyFill="1" applyBorder="1" applyAlignment="1">
      <alignment vertical="top"/>
    </xf>
    <xf numFmtId="41" fontId="31" fillId="0" borderId="13" xfId="0" applyNumberFormat="1" applyFont="1" applyFill="1" applyBorder="1" applyAlignment="1">
      <alignment vertical="top"/>
    </xf>
    <xf numFmtId="41" fontId="31" fillId="0" borderId="12" xfId="0" applyNumberFormat="1" applyFont="1" applyFill="1" applyBorder="1" applyAlignment="1">
      <alignment horizontal="right" vertical="center"/>
    </xf>
    <xf numFmtId="41" fontId="25" fillId="22" borderId="178" xfId="0" applyNumberFormat="1" applyFont="1" applyFill="1" applyBorder="1" applyAlignment="1">
      <alignment vertical="top"/>
    </xf>
    <xf numFmtId="41" fontId="25" fillId="25" borderId="183" xfId="0" applyNumberFormat="1" applyFont="1" applyFill="1" applyBorder="1" applyAlignment="1">
      <alignment vertical="top"/>
    </xf>
    <xf numFmtId="41" fontId="24" fillId="6" borderId="149" xfId="0" applyNumberFormat="1" applyFont="1" applyFill="1" applyBorder="1" applyAlignment="1">
      <alignment vertical="center"/>
    </xf>
    <xf numFmtId="41" fontId="29" fillId="0" borderId="149" xfId="0" applyNumberFormat="1" applyFont="1" applyFill="1" applyBorder="1" applyAlignment="1">
      <alignment vertical="center"/>
    </xf>
    <xf numFmtId="41" fontId="38" fillId="0" borderId="149" xfId="0" applyNumberFormat="1" applyFont="1" applyFill="1" applyBorder="1" applyAlignment="1">
      <alignment vertical="center"/>
    </xf>
    <xf numFmtId="41" fontId="29" fillId="0" borderId="149" xfId="0" applyNumberFormat="1" applyFont="1" applyFill="1" applyBorder="1" applyAlignment="1">
      <alignment horizontal="right" vertical="center"/>
    </xf>
    <xf numFmtId="41" fontId="38" fillId="0" borderId="159" xfId="0" applyNumberFormat="1" applyFont="1" applyFill="1" applyBorder="1" applyAlignment="1">
      <alignment vertical="center"/>
    </xf>
    <xf numFmtId="41" fontId="7" fillId="0" borderId="149" xfId="0" applyNumberFormat="1" applyFont="1" applyFill="1" applyBorder="1" applyAlignment="1">
      <alignment vertical="center"/>
    </xf>
    <xf numFmtId="41" fontId="38" fillId="0" borderId="112" xfId="0" applyNumberFormat="1" applyFont="1" applyFill="1" applyBorder="1" applyAlignment="1">
      <alignment vertical="center"/>
    </xf>
    <xf numFmtId="41" fontId="27" fillId="50" borderId="27" xfId="4" applyNumberFormat="1" applyFont="1" applyFill="1" applyBorder="1" applyAlignment="1">
      <alignment horizontal="right" vertical="center"/>
    </xf>
    <xf numFmtId="41" fontId="27" fillId="50" borderId="12" xfId="4" applyNumberFormat="1" applyFont="1" applyFill="1" applyBorder="1" applyAlignment="1">
      <alignment horizontal="right" vertical="center"/>
    </xf>
    <xf numFmtId="41" fontId="27" fillId="21" borderId="12" xfId="4" applyNumberFormat="1" applyFont="1" applyFill="1" applyBorder="1" applyAlignment="1">
      <alignment horizontal="right" vertical="center"/>
    </xf>
    <xf numFmtId="41" fontId="27" fillId="50" borderId="119" xfId="4" applyNumberFormat="1" applyFont="1" applyFill="1" applyBorder="1" applyAlignment="1">
      <alignment horizontal="right" vertical="center"/>
    </xf>
    <xf numFmtId="41" fontId="27" fillId="50" borderId="23" xfId="0" quotePrefix="1" applyNumberFormat="1" applyFont="1" applyFill="1" applyBorder="1" applyAlignment="1">
      <alignment horizontal="right" vertical="top"/>
    </xf>
    <xf numFmtId="41" fontId="25" fillId="6" borderId="35" xfId="0" applyNumberFormat="1" applyFont="1" applyFill="1" applyBorder="1" applyAlignment="1">
      <alignment vertical="center"/>
    </xf>
    <xf numFmtId="41" fontId="27" fillId="8" borderId="117" xfId="0" applyNumberFormat="1" applyFont="1" applyFill="1" applyBorder="1" applyAlignment="1">
      <alignment vertical="top"/>
    </xf>
    <xf numFmtId="41" fontId="31" fillId="8" borderId="117" xfId="0" applyNumberFormat="1" applyFont="1" applyFill="1" applyBorder="1" applyAlignment="1">
      <alignment vertical="top"/>
    </xf>
    <xf numFmtId="41" fontId="31" fillId="8" borderId="175" xfId="0" applyNumberFormat="1" applyFont="1" applyFill="1" applyBorder="1" applyAlignment="1">
      <alignment vertical="top"/>
    </xf>
    <xf numFmtId="41" fontId="25" fillId="6" borderId="117" xfId="0" applyNumberFormat="1" applyFont="1" applyFill="1" applyBorder="1" applyAlignment="1">
      <alignment vertical="top"/>
    </xf>
    <xf numFmtId="41" fontId="31" fillId="8" borderId="35" xfId="0" applyNumberFormat="1" applyFont="1" applyFill="1" applyBorder="1" applyAlignment="1">
      <alignment vertical="top"/>
    </xf>
    <xf numFmtId="41" fontId="27" fillId="8" borderId="35" xfId="0" applyNumberFormat="1" applyFont="1" applyFill="1" applyBorder="1" applyAlignment="1">
      <alignment vertical="top"/>
    </xf>
    <xf numFmtId="41" fontId="31" fillId="8" borderId="112" xfId="0" applyNumberFormat="1" applyFont="1" applyFill="1" applyBorder="1" applyAlignment="1">
      <alignment vertical="top"/>
    </xf>
    <xf numFmtId="41" fontId="25" fillId="6" borderId="175" xfId="0" applyNumberFormat="1" applyFont="1" applyFill="1" applyBorder="1" applyAlignment="1">
      <alignment vertical="top"/>
    </xf>
    <xf numFmtId="41" fontId="27" fillId="0" borderId="175" xfId="0" applyNumberFormat="1" applyFont="1" applyFill="1" applyBorder="1" applyAlignment="1">
      <alignment vertical="top"/>
    </xf>
    <xf numFmtId="41" fontId="31" fillId="0" borderId="35" xfId="0" applyNumberFormat="1" applyFont="1" applyFill="1" applyBorder="1" applyAlignment="1">
      <alignment vertical="top"/>
    </xf>
    <xf numFmtId="43" fontId="25" fillId="6" borderId="13" xfId="0" applyNumberFormat="1" applyFont="1" applyFill="1" applyBorder="1" applyAlignment="1">
      <alignment vertical="top"/>
    </xf>
    <xf numFmtId="43" fontId="27" fillId="0" borderId="175" xfId="0" applyNumberFormat="1" applyFont="1" applyFill="1" applyBorder="1" applyAlignment="1">
      <alignment vertical="top"/>
    </xf>
    <xf numFmtId="43" fontId="0" fillId="0" borderId="175" xfId="0" applyNumberFormat="1" applyFont="1" applyBorder="1"/>
    <xf numFmtId="41" fontId="28" fillId="0" borderId="175" xfId="0" applyNumberFormat="1" applyFont="1" applyFill="1" applyBorder="1" applyAlignment="1">
      <alignment vertical="top"/>
    </xf>
    <xf numFmtId="41" fontId="27" fillId="0" borderId="35" xfId="0" applyNumberFormat="1" applyFont="1" applyFill="1" applyBorder="1" applyAlignment="1">
      <alignment vertical="top"/>
    </xf>
    <xf numFmtId="41" fontId="31" fillId="0" borderId="117" xfId="0" applyNumberFormat="1" applyFont="1" applyFill="1" applyBorder="1" applyAlignment="1">
      <alignment vertical="top"/>
    </xf>
    <xf numFmtId="41" fontId="27" fillId="0" borderId="117" xfId="0" applyNumberFormat="1" applyFont="1" applyFill="1" applyBorder="1" applyAlignment="1">
      <alignment vertical="top"/>
    </xf>
    <xf numFmtId="41" fontId="31" fillId="0" borderId="112" xfId="0" applyNumberFormat="1" applyFont="1" applyFill="1" applyBorder="1" applyAlignment="1">
      <alignment vertical="top"/>
    </xf>
    <xf numFmtId="41" fontId="25" fillId="0" borderId="117" xfId="0" applyNumberFormat="1" applyFont="1" applyFill="1" applyBorder="1" applyAlignment="1">
      <alignment vertical="top"/>
    </xf>
    <xf numFmtId="41" fontId="31" fillId="0" borderId="12" xfId="0" applyNumberFormat="1" applyFont="1" applyFill="1" applyBorder="1" applyAlignment="1">
      <alignment vertical="top"/>
    </xf>
    <xf numFmtId="41" fontId="31" fillId="2" borderId="117" xfId="0" applyNumberFormat="1" applyFont="1" applyFill="1" applyBorder="1" applyAlignment="1">
      <alignment vertical="top"/>
    </xf>
    <xf numFmtId="41" fontId="31" fillId="2" borderId="117" xfId="0" applyNumberFormat="1" applyFont="1" applyFill="1" applyBorder="1" applyAlignment="1">
      <alignment vertical="center"/>
    </xf>
    <xf numFmtId="41" fontId="27" fillId="0" borderId="117" xfId="0" applyNumberFormat="1" applyFont="1" applyFill="1" applyBorder="1" applyAlignment="1">
      <alignment vertical="center"/>
    </xf>
    <xf numFmtId="41" fontId="25" fillId="2" borderId="117" xfId="0" applyNumberFormat="1" applyFont="1" applyFill="1" applyBorder="1" applyAlignment="1">
      <alignment vertical="top"/>
    </xf>
    <xf numFmtId="41" fontId="31" fillId="2" borderId="175" xfId="0" applyNumberFormat="1" applyFont="1" applyFill="1" applyBorder="1" applyAlignment="1">
      <alignment vertical="top"/>
    </xf>
    <xf numFmtId="41" fontId="31" fillId="2" borderId="35" xfId="0" applyNumberFormat="1" applyFont="1" applyFill="1" applyBorder="1" applyAlignment="1">
      <alignment vertical="top"/>
    </xf>
    <xf numFmtId="41" fontId="31" fillId="2" borderId="175" xfId="0" applyNumberFormat="1" applyFont="1" applyFill="1" applyBorder="1" applyAlignment="1">
      <alignment vertical="center"/>
    </xf>
    <xf numFmtId="41" fontId="31" fillId="2" borderId="171" xfId="0" applyNumberFormat="1" applyFont="1" applyFill="1" applyBorder="1" applyAlignment="1">
      <alignment vertical="center"/>
    </xf>
    <xf numFmtId="41" fontId="31" fillId="2" borderId="13" xfId="0" applyNumberFormat="1" applyFont="1" applyFill="1" applyBorder="1" applyAlignment="1">
      <alignment vertical="center"/>
    </xf>
    <xf numFmtId="41" fontId="27" fillId="0" borderId="68" xfId="0" applyNumberFormat="1" applyFont="1" applyFill="1" applyBorder="1" applyAlignment="1">
      <alignment vertical="center"/>
    </xf>
    <xf numFmtId="41" fontId="31" fillId="0" borderId="175" xfId="0" applyNumberFormat="1" applyFont="1" applyFill="1" applyBorder="1" applyAlignment="1">
      <alignment vertical="center"/>
    </xf>
    <xf numFmtId="41" fontId="31" fillId="0" borderId="35" xfId="0" applyNumberFormat="1" applyFont="1" applyFill="1" applyBorder="1" applyAlignment="1">
      <alignment vertical="center"/>
    </xf>
    <xf numFmtId="41" fontId="25" fillId="6" borderId="171" xfId="0" applyNumberFormat="1" applyFont="1" applyFill="1" applyBorder="1" applyAlignment="1">
      <alignment vertical="center"/>
    </xf>
    <xf numFmtId="41" fontId="27" fillId="2" borderId="175" xfId="0" applyNumberFormat="1" applyFont="1" applyFill="1" applyBorder="1" applyAlignment="1">
      <alignment vertical="center"/>
    </xf>
    <xf numFmtId="41" fontId="31" fillId="2" borderId="185" xfId="0" applyNumberFormat="1" applyFont="1" applyFill="1" applyBorder="1" applyAlignment="1">
      <alignment vertical="center"/>
    </xf>
    <xf numFmtId="41" fontId="25" fillId="25" borderId="35" xfId="0" applyNumberFormat="1" applyFont="1" applyFill="1" applyBorder="1" applyAlignment="1">
      <alignment vertical="top"/>
    </xf>
    <xf numFmtId="41" fontId="25" fillId="6" borderId="175" xfId="0" applyNumberFormat="1" applyFont="1" applyFill="1" applyBorder="1" applyAlignment="1">
      <alignment vertical="center"/>
    </xf>
    <xf numFmtId="41" fontId="31" fillId="0" borderId="185" xfId="0" applyNumberFormat="1" applyFont="1" applyFill="1" applyBorder="1" applyAlignment="1">
      <alignment vertical="top"/>
    </xf>
    <xf numFmtId="41" fontId="31" fillId="2" borderId="35" xfId="0" applyNumberFormat="1" applyFont="1" applyFill="1" applyBorder="1" applyAlignment="1">
      <alignment vertical="center"/>
    </xf>
    <xf numFmtId="41" fontId="27" fillId="0" borderId="175" xfId="0" applyNumberFormat="1" applyFont="1" applyFill="1" applyBorder="1" applyAlignment="1">
      <alignment vertical="center"/>
    </xf>
    <xf numFmtId="41" fontId="31" fillId="0" borderId="185" xfId="0" applyNumberFormat="1" applyFont="1" applyFill="1" applyBorder="1" applyAlignment="1">
      <alignment vertical="center"/>
    </xf>
    <xf numFmtId="41" fontId="31" fillId="0" borderId="117" xfId="0" applyNumberFormat="1" applyFont="1" applyFill="1" applyBorder="1" applyAlignment="1">
      <alignment vertical="center"/>
    </xf>
    <xf numFmtId="41" fontId="25" fillId="6" borderId="117" xfId="0" applyNumberFormat="1" applyFont="1" applyFill="1" applyBorder="1" applyAlignment="1">
      <alignment vertical="center"/>
    </xf>
    <xf numFmtId="41" fontId="27" fillId="2" borderId="117" xfId="0" applyNumberFormat="1" applyFont="1" applyFill="1" applyBorder="1" applyAlignment="1">
      <alignment vertical="center"/>
    </xf>
    <xf numFmtId="41" fontId="31" fillId="0" borderId="112" xfId="0" applyNumberFormat="1" applyFont="1" applyFill="1" applyBorder="1" applyAlignment="1">
      <alignment vertical="center"/>
    </xf>
    <xf numFmtId="41" fontId="27" fillId="50" borderId="17" xfId="4" applyNumberFormat="1" applyFont="1" applyFill="1" applyBorder="1" applyAlignment="1">
      <alignment horizontal="right" vertical="center"/>
    </xf>
    <xf numFmtId="41" fontId="29" fillId="50" borderId="27" xfId="4" applyNumberFormat="1" applyFont="1" applyFill="1" applyBorder="1" applyAlignment="1">
      <alignment horizontal="right" vertical="center"/>
    </xf>
    <xf numFmtId="41" fontId="27" fillId="50" borderId="23" xfId="112" quotePrefix="1" applyNumberFormat="1" applyFont="1" applyFill="1" applyBorder="1" applyAlignment="1">
      <alignment horizontal="right" vertical="center"/>
    </xf>
    <xf numFmtId="41" fontId="24" fillId="6" borderId="9" xfId="4" applyNumberFormat="1" applyFont="1" applyFill="1" applyBorder="1" applyAlignment="1">
      <alignment horizontal="right" vertical="center"/>
    </xf>
    <xf numFmtId="41" fontId="27" fillId="8" borderId="117" xfId="112" applyNumberFormat="1" applyFont="1" applyFill="1" applyBorder="1" applyAlignment="1">
      <alignment vertical="center"/>
    </xf>
    <xf numFmtId="41" fontId="31" fillId="8" borderId="117" xfId="112" applyNumberFormat="1" applyFont="1" applyFill="1" applyBorder="1" applyAlignment="1">
      <alignment vertical="center"/>
    </xf>
    <xf numFmtId="41" fontId="7" fillId="8" borderId="117" xfId="112" applyNumberFormat="1" applyFont="1" applyFill="1" applyBorder="1" applyAlignment="1">
      <alignment vertical="center"/>
    </xf>
    <xf numFmtId="41" fontId="7" fillId="8" borderId="175" xfId="112" applyNumberFormat="1" applyFont="1" applyFill="1" applyBorder="1" applyAlignment="1">
      <alignment vertical="center"/>
    </xf>
    <xf numFmtId="41" fontId="32" fillId="8" borderId="119" xfId="114" applyNumberFormat="1" applyFont="1" applyFill="1" applyBorder="1" applyAlignment="1">
      <alignment vertical="center"/>
    </xf>
    <xf numFmtId="41" fontId="24" fillId="6" borderId="119" xfId="4" applyNumberFormat="1" applyFont="1" applyFill="1" applyBorder="1" applyAlignment="1">
      <alignment horizontal="right" vertical="center"/>
    </xf>
    <xf numFmtId="41" fontId="33" fillId="8" borderId="119" xfId="114" applyNumberFormat="1" applyFont="1" applyFill="1" applyBorder="1" applyAlignment="1">
      <alignment vertical="center"/>
    </xf>
    <xf numFmtId="41" fontId="31" fillId="8" borderId="175" xfId="112" applyNumberFormat="1" applyFont="1" applyFill="1" applyBorder="1" applyAlignment="1">
      <alignment vertical="center"/>
    </xf>
    <xf numFmtId="41" fontId="33" fillId="8" borderId="9" xfId="114" applyNumberFormat="1" applyFont="1" applyFill="1" applyBorder="1" applyAlignment="1">
      <alignment vertical="center"/>
    </xf>
    <xf numFmtId="41" fontId="24" fillId="6" borderId="117" xfId="4" applyNumberFormat="1" applyFont="1" applyFill="1" applyBorder="1" applyAlignment="1">
      <alignment vertical="center"/>
    </xf>
    <xf numFmtId="41" fontId="29" fillId="0" borderId="117" xfId="4" applyNumberFormat="1" applyFont="1" applyFill="1" applyBorder="1" applyAlignment="1">
      <alignment horizontal="right" vertical="center"/>
    </xf>
    <xf numFmtId="41" fontId="7" fillId="0" borderId="119" xfId="4" applyNumberFormat="1" applyFont="1" applyFill="1" applyBorder="1" applyAlignment="1">
      <alignment horizontal="right" vertical="center"/>
    </xf>
    <xf numFmtId="41" fontId="27" fillId="0" borderId="116" xfId="4" applyNumberFormat="1" applyFont="1" applyFill="1" applyBorder="1" applyAlignment="1">
      <alignment horizontal="right" vertical="center"/>
    </xf>
    <xf numFmtId="41" fontId="7" fillId="0" borderId="116" xfId="4" applyNumberFormat="1" applyFont="1" applyFill="1" applyBorder="1" applyAlignment="1">
      <alignment horizontal="right" vertical="center"/>
    </xf>
    <xf numFmtId="41" fontId="24" fillId="6" borderId="119" xfId="4" applyNumberFormat="1" applyFont="1" applyFill="1" applyBorder="1" applyAlignment="1">
      <alignment vertical="center"/>
    </xf>
    <xf numFmtId="41" fontId="33" fillId="0" borderId="117" xfId="114" applyNumberFormat="1" applyFont="1" applyFill="1" applyBorder="1" applyAlignment="1">
      <alignment vertical="center"/>
    </xf>
    <xf numFmtId="41" fontId="7" fillId="0" borderId="35" xfId="112" applyNumberFormat="1" applyFont="1" applyFill="1" applyBorder="1" applyAlignment="1">
      <alignment vertical="center"/>
    </xf>
    <xf numFmtId="43" fontId="24" fillId="6" borderId="175" xfId="4" applyNumberFormat="1" applyFont="1" applyFill="1" applyBorder="1" applyAlignment="1">
      <alignment vertical="center"/>
    </xf>
    <xf numFmtId="43" fontId="29" fillId="2" borderId="175" xfId="4" applyNumberFormat="1" applyFont="1" applyFill="1" applyBorder="1" applyAlignment="1">
      <alignment horizontal="right" vertical="center"/>
    </xf>
    <xf numFmtId="43" fontId="7" fillId="0" borderId="174" xfId="4" applyNumberFormat="1" applyFont="1" applyFill="1" applyBorder="1" applyAlignment="1">
      <alignment horizontal="right" vertical="center"/>
    </xf>
    <xf numFmtId="43" fontId="29" fillId="0" borderId="171" xfId="4" applyNumberFormat="1" applyFont="1" applyFill="1" applyBorder="1" applyAlignment="1">
      <alignment horizontal="right" vertical="center"/>
    </xf>
    <xf numFmtId="43" fontId="33" fillId="0" borderId="175" xfId="114" applyNumberFormat="1" applyFont="1" applyFill="1" applyBorder="1" applyAlignment="1">
      <alignment vertical="center"/>
    </xf>
    <xf numFmtId="43" fontId="4" fillId="0" borderId="185" xfId="112" applyNumberFormat="1" applyFont="1" applyBorder="1" applyAlignment="1">
      <alignment vertical="center"/>
    </xf>
    <xf numFmtId="41" fontId="24" fillId="6" borderId="175" xfId="4" applyNumberFormat="1" applyFont="1" applyFill="1" applyBorder="1" applyAlignment="1">
      <alignment vertical="center"/>
    </xf>
    <xf numFmtId="41" fontId="29" fillId="0" borderId="174" xfId="4" applyNumberFormat="1" applyFont="1" applyFill="1" applyBorder="1" applyAlignment="1">
      <alignment vertical="center"/>
    </xf>
    <xf numFmtId="41" fontId="31" fillId="0" borderId="174" xfId="4" applyNumberFormat="1" applyFont="1" applyFill="1" applyBorder="1" applyAlignment="1">
      <alignment vertical="center"/>
    </xf>
    <xf numFmtId="41" fontId="7" fillId="0" borderId="174" xfId="4" applyNumberFormat="1" applyFont="1" applyFill="1" applyBorder="1" applyAlignment="1">
      <alignment horizontal="right" vertical="center"/>
    </xf>
    <xf numFmtId="43" fontId="4" fillId="0" borderId="175" xfId="112" applyNumberFormat="1" applyFont="1" applyBorder="1" applyAlignment="1">
      <alignment vertical="center"/>
    </xf>
    <xf numFmtId="43" fontId="27" fillId="32" borderId="9" xfId="4" applyNumberFormat="1" applyFont="1" applyFill="1" applyBorder="1" applyAlignment="1">
      <alignment vertical="center"/>
    </xf>
    <xf numFmtId="43" fontId="4" fillId="0" borderId="112" xfId="112" applyNumberFormat="1" applyFont="1" applyBorder="1" applyAlignment="1">
      <alignment vertical="center"/>
    </xf>
    <xf numFmtId="41" fontId="24" fillId="22" borderId="149" xfId="4" applyNumberFormat="1" applyFont="1" applyFill="1" applyBorder="1" applyAlignment="1">
      <alignment vertical="center"/>
    </xf>
    <xf numFmtId="41" fontId="27" fillId="25" borderId="150" xfId="4" applyNumberFormat="1" applyFont="1" applyFill="1" applyBorder="1" applyAlignment="1">
      <alignment vertical="center"/>
    </xf>
    <xf numFmtId="41" fontId="31" fillId="25" borderId="119" xfId="4" applyNumberFormat="1" applyFont="1" applyFill="1" applyBorder="1" applyAlignment="1">
      <alignment horizontal="right" vertical="center"/>
    </xf>
    <xf numFmtId="41" fontId="27" fillId="25" borderId="150" xfId="4" applyNumberFormat="1" applyFont="1" applyFill="1" applyBorder="1" applyAlignment="1">
      <alignment horizontal="right" vertical="center"/>
    </xf>
    <xf numFmtId="41" fontId="6" fillId="3" borderId="21" xfId="0" applyNumberFormat="1" applyFont="1" applyFill="1" applyBorder="1" applyAlignment="1">
      <alignment vertical="center" wrapText="1"/>
    </xf>
    <xf numFmtId="41" fontId="8" fillId="0" borderId="9" xfId="0" applyNumberFormat="1" applyFont="1" applyFill="1" applyBorder="1" applyAlignment="1">
      <alignment vertical="center" wrapText="1"/>
    </xf>
    <xf numFmtId="41" fontId="36" fillId="4" borderId="185" xfId="0" quotePrefix="1" applyNumberFormat="1" applyFont="1" applyFill="1" applyBorder="1" applyAlignment="1">
      <alignment horizontal="right"/>
    </xf>
    <xf numFmtId="41" fontId="8" fillId="0" borderId="35" xfId="0" applyNumberFormat="1" applyFont="1" applyFill="1" applyBorder="1" applyAlignment="1">
      <alignment vertical="center" wrapText="1"/>
    </xf>
    <xf numFmtId="41" fontId="7" fillId="0" borderId="175" xfId="4" applyNumberFormat="1" applyFont="1" applyFill="1" applyBorder="1" applyAlignment="1">
      <alignment horizontal="right" vertical="center"/>
    </xf>
    <xf numFmtId="41" fontId="32" fillId="0" borderId="175" xfId="6" applyNumberFormat="1" applyFont="1" applyFill="1" applyBorder="1" applyAlignment="1">
      <alignment vertical="center"/>
    </xf>
    <xf numFmtId="41" fontId="25" fillId="6" borderId="175" xfId="4" applyNumberFormat="1" applyFont="1" applyFill="1" applyBorder="1" applyAlignment="1">
      <alignment horizontal="right" vertical="center"/>
    </xf>
    <xf numFmtId="41" fontId="27" fillId="50" borderId="175" xfId="0" quotePrefix="1" applyNumberFormat="1" applyFont="1" applyFill="1" applyBorder="1" applyAlignment="1">
      <alignment horizontal="right" vertical="top"/>
    </xf>
    <xf numFmtId="41" fontId="31" fillId="8" borderId="175" xfId="4" applyNumberFormat="1" applyFont="1" applyFill="1" applyBorder="1" applyAlignment="1">
      <alignment horizontal="right" vertical="center"/>
    </xf>
    <xf numFmtId="41" fontId="32" fillId="8" borderId="171" xfId="6" applyNumberFormat="1" applyFont="1" applyFill="1" applyBorder="1" applyAlignment="1">
      <alignment vertical="center"/>
    </xf>
    <xf numFmtId="41" fontId="27" fillId="0" borderId="175" xfId="4" applyNumberFormat="1" applyFont="1" applyFill="1" applyBorder="1" applyAlignment="1">
      <alignment horizontal="right" vertical="center"/>
    </xf>
    <xf numFmtId="41" fontId="24" fillId="6" borderId="175" xfId="4" applyNumberFormat="1" applyFont="1" applyFill="1" applyBorder="1" applyAlignment="1"/>
    <xf numFmtId="41" fontId="25" fillId="22" borderId="175" xfId="4" applyNumberFormat="1" applyFont="1" applyFill="1" applyBorder="1" applyAlignment="1">
      <alignment horizontal="right" vertical="center"/>
    </xf>
    <xf numFmtId="41" fontId="27" fillId="25" borderId="175" xfId="4" applyNumberFormat="1" applyFont="1" applyFill="1" applyBorder="1" applyAlignment="1">
      <alignment horizontal="right" vertical="center"/>
    </xf>
    <xf numFmtId="41" fontId="28" fillId="23" borderId="175" xfId="4" applyNumberFormat="1" applyFont="1" applyFill="1" applyBorder="1" applyAlignment="1">
      <alignment horizontal="right" vertical="center"/>
    </xf>
    <xf numFmtId="41" fontId="33" fillId="25" borderId="175" xfId="6" applyNumberFormat="1" applyFont="1" applyFill="1" applyBorder="1" applyAlignment="1">
      <alignment vertical="center"/>
    </xf>
    <xf numFmtId="41" fontId="31" fillId="0" borderId="175" xfId="0" applyNumberFormat="1" applyFont="1" applyFill="1" applyBorder="1" applyAlignment="1">
      <alignment horizontal="right" vertical="center"/>
    </xf>
    <xf numFmtId="41" fontId="33" fillId="0" borderId="0" xfId="6" applyNumberFormat="1" applyFont="1" applyFill="1" applyBorder="1" applyAlignment="1">
      <alignment vertical="center"/>
    </xf>
    <xf numFmtId="41" fontId="32" fillId="0" borderId="35" xfId="6" applyNumberFormat="1" applyFont="1" applyFill="1" applyBorder="1" applyAlignment="1">
      <alignment vertical="center"/>
    </xf>
    <xf numFmtId="41" fontId="31" fillId="0" borderId="185" xfId="0" applyNumberFormat="1" applyFont="1" applyFill="1" applyBorder="1" applyAlignment="1">
      <alignment horizontal="right" vertical="center"/>
    </xf>
    <xf numFmtId="41" fontId="25" fillId="22" borderId="166" xfId="4" applyNumberFormat="1" applyFont="1" applyFill="1" applyBorder="1" applyAlignment="1">
      <alignment horizontal="right" vertical="center"/>
    </xf>
    <xf numFmtId="41" fontId="27" fillId="25" borderId="35" xfId="4" applyNumberFormat="1" applyFont="1" applyFill="1" applyBorder="1" applyAlignment="1">
      <alignment horizontal="right" vertical="center"/>
    </xf>
    <xf numFmtId="41" fontId="7" fillId="54" borderId="175" xfId="4" applyNumberFormat="1" applyFont="1" applyFill="1" applyBorder="1" applyAlignment="1">
      <alignment horizontal="right" vertical="center"/>
    </xf>
    <xf numFmtId="41" fontId="7" fillId="57" borderId="175" xfId="4" applyNumberFormat="1" applyFont="1" applyFill="1" applyBorder="1" applyAlignment="1">
      <alignment horizontal="right" vertical="center"/>
    </xf>
    <xf numFmtId="41" fontId="38" fillId="0" borderId="35" xfId="4" applyNumberFormat="1" applyFont="1" applyFill="1" applyBorder="1" applyAlignment="1">
      <alignment horizontal="right" vertical="center"/>
    </xf>
    <xf numFmtId="41" fontId="38" fillId="0" borderId="175" xfId="4" applyNumberFormat="1" applyFont="1" applyFill="1" applyBorder="1" applyAlignment="1">
      <alignment horizontal="right" vertical="center"/>
    </xf>
    <xf numFmtId="41" fontId="33" fillId="23" borderId="175" xfId="6" applyNumberFormat="1" applyFont="1" applyFill="1" applyBorder="1" applyAlignment="1">
      <alignment vertical="center"/>
    </xf>
    <xf numFmtId="41" fontId="27" fillId="23" borderId="175" xfId="4" applyNumberFormat="1" applyFont="1" applyFill="1" applyBorder="1" applyAlignment="1">
      <alignment horizontal="right" vertical="center"/>
    </xf>
    <xf numFmtId="41" fontId="27" fillId="50" borderId="9" xfId="4" applyNumberFormat="1" applyFont="1" applyFill="1" applyBorder="1" applyAlignment="1">
      <alignment horizontal="right" vertical="center"/>
    </xf>
    <xf numFmtId="41" fontId="24" fillId="29" borderId="68" xfId="0" applyNumberFormat="1" applyFont="1" applyFill="1" applyBorder="1" applyAlignment="1">
      <alignment vertical="center"/>
    </xf>
    <xf numFmtId="41" fontId="27" fillId="8" borderId="117" xfId="0" applyNumberFormat="1" applyFont="1" applyFill="1" applyBorder="1" applyAlignment="1">
      <alignment vertical="center"/>
    </xf>
    <xf numFmtId="41" fontId="31" fillId="28" borderId="117" xfId="0" applyNumberFormat="1" applyFont="1" applyFill="1" applyBorder="1" applyAlignment="1">
      <alignment vertical="center"/>
    </xf>
    <xf numFmtId="41" fontId="27" fillId="21" borderId="72" xfId="4" applyNumberFormat="1" applyFont="1" applyFill="1" applyBorder="1" applyAlignment="1">
      <alignment horizontal="right" vertical="center"/>
    </xf>
    <xf numFmtId="43" fontId="38" fillId="57" borderId="175" xfId="4" applyNumberFormat="1" applyFont="1" applyFill="1" applyBorder="1" applyAlignment="1">
      <alignment horizontal="right" vertical="center"/>
    </xf>
    <xf numFmtId="43" fontId="38" fillId="57" borderId="175" xfId="1" applyNumberFormat="1" applyFont="1" applyFill="1" applyBorder="1" applyAlignment="1">
      <alignment horizontal="right" vertical="center"/>
    </xf>
    <xf numFmtId="43" fontId="38" fillId="52" borderId="175" xfId="4" applyNumberFormat="1" applyFont="1" applyFill="1" applyBorder="1" applyAlignment="1">
      <alignment horizontal="right" vertical="center"/>
    </xf>
    <xf numFmtId="43" fontId="38" fillId="52" borderId="175" xfId="1" applyNumberFormat="1" applyFont="1" applyFill="1" applyBorder="1" applyAlignment="1">
      <alignment horizontal="right" vertical="center"/>
    </xf>
    <xf numFmtId="0" fontId="25" fillId="8" borderId="35" xfId="0" applyFont="1" applyFill="1" applyBorder="1" applyAlignment="1">
      <alignment horizontal="left" vertical="center" wrapText="1"/>
    </xf>
    <xf numFmtId="0" fontId="25" fillId="8" borderId="68" xfId="0" applyFont="1" applyFill="1" applyBorder="1" applyAlignment="1">
      <alignment horizontal="center" vertical="center" wrapText="1"/>
    </xf>
    <xf numFmtId="3" fontId="27" fillId="0" borderId="9" xfId="0" applyNumberFormat="1" applyFont="1" applyFill="1" applyBorder="1" applyAlignment="1">
      <alignment vertical="top"/>
    </xf>
    <xf numFmtId="3" fontId="27" fillId="25" borderId="117" xfId="0" applyNumberFormat="1" applyFont="1" applyFill="1" applyBorder="1" applyAlignment="1">
      <alignment horizontal="center" vertical="top"/>
    </xf>
    <xf numFmtId="43" fontId="27" fillId="0" borderId="117" xfId="0" applyNumberFormat="1" applyFont="1" applyFill="1" applyBorder="1" applyAlignment="1">
      <alignment vertical="top"/>
    </xf>
    <xf numFmtId="0" fontId="0" fillId="0" borderId="117" xfId="0" applyFont="1" applyBorder="1"/>
    <xf numFmtId="0" fontId="0" fillId="0" borderId="112" xfId="0" applyFont="1" applyBorder="1"/>
    <xf numFmtId="43" fontId="0" fillId="0" borderId="112" xfId="0" applyNumberFormat="1" applyFont="1" applyBorder="1"/>
    <xf numFmtId="0" fontId="25" fillId="6" borderId="160" xfId="4" applyFont="1" applyFill="1" applyBorder="1" applyAlignment="1">
      <alignment horizontal="left" vertical="center"/>
    </xf>
    <xf numFmtId="0" fontId="31" fillId="6" borderId="160" xfId="0" applyFont="1" applyFill="1" applyBorder="1" applyAlignment="1">
      <alignment vertical="top"/>
    </xf>
    <xf numFmtId="3" fontId="25" fillId="6" borderId="160" xfId="0" applyNumberFormat="1" applyFont="1" applyFill="1" applyBorder="1" applyAlignment="1">
      <alignment vertical="top"/>
    </xf>
    <xf numFmtId="41" fontId="25" fillId="6" borderId="160" xfId="0" applyNumberFormat="1" applyFont="1" applyFill="1" applyBorder="1" applyAlignment="1">
      <alignment vertical="top"/>
    </xf>
    <xf numFmtId="3" fontId="25" fillId="22" borderId="160" xfId="0" applyNumberFormat="1" applyFont="1" applyFill="1" applyBorder="1" applyAlignment="1">
      <alignment vertical="top"/>
    </xf>
    <xf numFmtId="3" fontId="27" fillId="0" borderId="160" xfId="4" applyNumberFormat="1" applyFont="1" applyFill="1" applyBorder="1" applyAlignment="1">
      <alignment vertical="top" wrapText="1"/>
    </xf>
    <xf numFmtId="41" fontId="27" fillId="0" borderId="160" xfId="0" applyNumberFormat="1" applyFont="1" applyFill="1" applyBorder="1" applyAlignment="1">
      <alignment vertical="top"/>
    </xf>
    <xf numFmtId="3" fontId="25" fillId="25" borderId="160" xfId="0" applyNumberFormat="1" applyFont="1" applyFill="1" applyBorder="1" applyAlignment="1">
      <alignment vertical="top"/>
    </xf>
    <xf numFmtId="0" fontId="32" fillId="0" borderId="160" xfId="0" applyFont="1" applyBorder="1"/>
    <xf numFmtId="3" fontId="31" fillId="0" borderId="160" xfId="0" applyNumberFormat="1" applyFont="1" applyFill="1" applyBorder="1" applyAlignment="1">
      <alignment vertical="top"/>
    </xf>
    <xf numFmtId="3" fontId="31" fillId="2" borderId="160" xfId="0" applyNumberFormat="1" applyFont="1" applyFill="1" applyBorder="1" applyAlignment="1">
      <alignment vertical="top"/>
    </xf>
    <xf numFmtId="0" fontId="32" fillId="0" borderId="160" xfId="0" applyFont="1" applyBorder="1" applyAlignment="1">
      <alignment vertical="center"/>
    </xf>
    <xf numFmtId="3" fontId="31" fillId="2" borderId="160" xfId="0" applyNumberFormat="1" applyFont="1" applyFill="1" applyBorder="1" applyAlignment="1">
      <alignment vertical="center"/>
    </xf>
    <xf numFmtId="41" fontId="31" fillId="2" borderId="160" xfId="0" applyNumberFormat="1" applyFont="1" applyFill="1" applyBorder="1" applyAlignment="1">
      <alignment vertical="center"/>
    </xf>
    <xf numFmtId="0" fontId="33" fillId="0" borderId="160" xfId="0" applyFont="1" applyBorder="1" applyAlignment="1">
      <alignment vertical="center"/>
    </xf>
    <xf numFmtId="3" fontId="27" fillId="0" borderId="160" xfId="0" applyNumberFormat="1" applyFont="1" applyFill="1" applyBorder="1" applyAlignment="1">
      <alignment vertical="center"/>
    </xf>
    <xf numFmtId="41" fontId="27" fillId="0" borderId="160" xfId="0" applyNumberFormat="1" applyFont="1" applyFill="1" applyBorder="1" applyAlignment="1">
      <alignment vertical="center"/>
    </xf>
    <xf numFmtId="41" fontId="31" fillId="0" borderId="160" xfId="0" applyNumberFormat="1" applyFont="1" applyFill="1" applyBorder="1" applyAlignment="1">
      <alignment vertical="top"/>
    </xf>
    <xf numFmtId="0" fontId="31" fillId="6" borderId="160" xfId="0" applyFont="1" applyFill="1" applyBorder="1" applyAlignment="1">
      <alignment vertical="center"/>
    </xf>
    <xf numFmtId="3" fontId="25" fillId="6" borderId="160" xfId="0" applyNumberFormat="1" applyFont="1" applyFill="1" applyBorder="1" applyAlignment="1">
      <alignment vertical="center"/>
    </xf>
    <xf numFmtId="41" fontId="25" fillId="6" borderId="160" xfId="0" applyNumberFormat="1" applyFont="1" applyFill="1" applyBorder="1" applyAlignment="1">
      <alignment vertical="center"/>
    </xf>
    <xf numFmtId="3" fontId="27" fillId="0" borderId="160" xfId="4" applyNumberFormat="1" applyFont="1" applyFill="1" applyBorder="1" applyAlignment="1">
      <alignment vertical="center" wrapText="1"/>
    </xf>
    <xf numFmtId="41" fontId="27" fillId="2" borderId="160" xfId="0" applyNumberFormat="1" applyFont="1" applyFill="1" applyBorder="1" applyAlignment="1">
      <alignment vertical="center"/>
    </xf>
    <xf numFmtId="3" fontId="38" fillId="0" borderId="174" xfId="4" applyNumberFormat="1" applyFont="1" applyFill="1" applyBorder="1" applyAlignment="1">
      <alignment horizontal="right" vertical="center"/>
    </xf>
    <xf numFmtId="43" fontId="29" fillId="0" borderId="150" xfId="1" applyFont="1" applyFill="1" applyBorder="1" applyAlignment="1">
      <alignment vertical="center"/>
    </xf>
    <xf numFmtId="43" fontId="29" fillId="0" borderId="150" xfId="1" applyFont="1" applyFill="1" applyBorder="1" applyAlignment="1">
      <alignment horizontal="right" vertical="center"/>
    </xf>
    <xf numFmtId="43" fontId="28" fillId="0" borderId="150" xfId="1" applyFont="1" applyFill="1" applyBorder="1" applyAlignment="1">
      <alignment horizontal="right" vertical="center"/>
    </xf>
    <xf numFmtId="43" fontId="29" fillId="0" borderId="174" xfId="1" applyFont="1" applyFill="1" applyBorder="1" applyAlignment="1">
      <alignment vertical="center"/>
    </xf>
    <xf numFmtId="3" fontId="31" fillId="32" borderId="175" xfId="4" applyNumberFormat="1" applyFont="1" applyFill="1" applyBorder="1" applyAlignment="1">
      <alignment vertical="center"/>
    </xf>
    <xf numFmtId="43" fontId="24" fillId="6" borderId="9" xfId="4" applyNumberFormat="1" applyFont="1" applyFill="1" applyBorder="1" applyAlignment="1">
      <alignment vertical="center"/>
    </xf>
    <xf numFmtId="0" fontId="39" fillId="57" borderId="74" xfId="0" applyFont="1" applyFill="1" applyBorder="1" applyAlignment="1">
      <alignment horizontal="right" vertical="center"/>
    </xf>
    <xf numFmtId="3" fontId="7" fillId="57" borderId="185" xfId="4" applyNumberFormat="1" applyFont="1" applyFill="1" applyBorder="1" applyAlignment="1">
      <alignment horizontal="right" vertical="center"/>
    </xf>
    <xf numFmtId="43" fontId="32" fillId="57" borderId="185" xfId="6" applyNumberFormat="1" applyFont="1" applyFill="1" applyBorder="1" applyAlignment="1">
      <alignment vertical="center"/>
    </xf>
    <xf numFmtId="3" fontId="38" fillId="0" borderId="185" xfId="4" applyNumberFormat="1" applyFont="1" applyFill="1" applyBorder="1" applyAlignment="1">
      <alignment horizontal="right" vertical="center"/>
    </xf>
    <xf numFmtId="3" fontId="32" fillId="0" borderId="174" xfId="6" applyNumberFormat="1" applyFont="1" applyFill="1" applyBorder="1" applyAlignment="1">
      <alignment vertical="center"/>
    </xf>
    <xf numFmtId="43" fontId="32" fillId="0" borderId="174" xfId="6" applyNumberFormat="1" applyFont="1" applyFill="1" applyBorder="1" applyAlignment="1">
      <alignment vertical="center"/>
    </xf>
    <xf numFmtId="41" fontId="32" fillId="8" borderId="9" xfId="6" applyNumberFormat="1" applyFont="1" applyFill="1" applyBorder="1" applyAlignment="1">
      <alignment vertical="center"/>
    </xf>
    <xf numFmtId="41" fontId="31" fillId="28" borderId="185" xfId="0" applyNumberFormat="1" applyFont="1" applyFill="1" applyBorder="1" applyAlignment="1">
      <alignment vertical="center"/>
    </xf>
    <xf numFmtId="41" fontId="27" fillId="50" borderId="23" xfId="0" quotePrefix="1" applyNumberFormat="1" applyFont="1" applyFill="1" applyBorder="1" applyAlignment="1">
      <alignment horizontal="right" vertical="center"/>
    </xf>
    <xf numFmtId="41" fontId="24" fillId="6" borderId="9" xfId="4" applyNumberFormat="1" applyFont="1" applyFill="1" applyBorder="1" applyAlignment="1">
      <alignment vertical="center"/>
    </xf>
    <xf numFmtId="41" fontId="31" fillId="0" borderId="166" xfId="4" applyNumberFormat="1" applyFont="1" applyFill="1" applyBorder="1" applyAlignment="1">
      <alignment vertical="center"/>
    </xf>
    <xf numFmtId="41" fontId="7" fillId="57" borderId="166" xfId="4" applyNumberFormat="1" applyFont="1" applyFill="1" applyBorder="1" applyAlignment="1">
      <alignment horizontal="right" vertical="center"/>
    </xf>
    <xf numFmtId="41" fontId="31" fillId="52" borderId="166" xfId="4" applyNumberFormat="1" applyFont="1" applyFill="1" applyBorder="1" applyAlignment="1">
      <alignment horizontal="right" vertical="center"/>
    </xf>
    <xf numFmtId="41" fontId="27" fillId="0" borderId="174" xfId="4" applyNumberFormat="1" applyFont="1" applyFill="1" applyBorder="1" applyAlignment="1">
      <alignment horizontal="right" vertical="center"/>
    </xf>
    <xf numFmtId="41" fontId="7" fillId="0" borderId="27" xfId="4" applyNumberFormat="1" applyFont="1" applyFill="1" applyBorder="1" applyAlignment="1">
      <alignment horizontal="right" vertical="center"/>
    </xf>
    <xf numFmtId="41" fontId="24" fillId="32" borderId="174" xfId="4" applyNumberFormat="1" applyFont="1" applyFill="1" applyBorder="1" applyAlignment="1">
      <alignment vertical="center"/>
    </xf>
    <xf numFmtId="41" fontId="33" fillId="0" borderId="174" xfId="6" applyNumberFormat="1" applyFont="1" applyFill="1" applyBorder="1" applyAlignment="1">
      <alignment vertical="center"/>
    </xf>
    <xf numFmtId="41" fontId="31" fillId="23" borderId="175" xfId="4" applyNumberFormat="1" applyFont="1" applyFill="1" applyBorder="1" applyAlignment="1">
      <alignment vertical="center"/>
    </xf>
    <xf numFmtId="41" fontId="7" fillId="0" borderId="9" xfId="4" applyNumberFormat="1" applyFont="1" applyFill="1" applyBorder="1" applyAlignment="1">
      <alignment horizontal="right" vertical="center"/>
    </xf>
    <xf numFmtId="41" fontId="25" fillId="6" borderId="35" xfId="4" applyNumberFormat="1" applyFont="1" applyFill="1" applyBorder="1" applyAlignment="1">
      <alignment vertical="center"/>
    </xf>
    <xf numFmtId="41" fontId="33" fillId="0" borderId="35" xfId="6" applyNumberFormat="1" applyFont="1" applyFill="1" applyBorder="1" applyAlignment="1">
      <alignment vertical="center"/>
    </xf>
    <xf numFmtId="0" fontId="82" fillId="6" borderId="174" xfId="4" applyFont="1" applyFill="1" applyBorder="1" applyAlignment="1">
      <alignment horizontal="left" vertical="center"/>
    </xf>
    <xf numFmtId="41" fontId="29" fillId="0" borderId="166" xfId="4" applyNumberFormat="1" applyFont="1" applyFill="1" applyBorder="1" applyAlignment="1">
      <alignment horizontal="right" vertical="center"/>
    </xf>
    <xf numFmtId="41" fontId="31" fillId="0" borderId="166" xfId="4" applyNumberFormat="1" applyFont="1" applyFill="1" applyBorder="1" applyAlignment="1">
      <alignment horizontal="right" vertical="center"/>
    </xf>
    <xf numFmtId="43" fontId="29" fillId="0" borderId="166" xfId="4" applyNumberFormat="1" applyFont="1" applyFill="1" applyBorder="1" applyAlignment="1">
      <alignment horizontal="right" vertical="center"/>
    </xf>
    <xf numFmtId="43" fontId="7" fillId="0" borderId="174" xfId="1" applyNumberFormat="1" applyFont="1" applyFill="1" applyBorder="1" applyAlignment="1">
      <alignment horizontal="right" vertical="center"/>
    </xf>
    <xf numFmtId="41" fontId="33" fillId="8" borderId="174" xfId="6" applyNumberFormat="1" applyFont="1" applyFill="1" applyBorder="1" applyAlignment="1">
      <alignment vertical="center"/>
    </xf>
    <xf numFmtId="41" fontId="32" fillId="8" borderId="174" xfId="6" applyNumberFormat="1" applyFont="1" applyFill="1" applyBorder="1" applyAlignment="1">
      <alignment vertical="center"/>
    </xf>
    <xf numFmtId="41" fontId="7" fillId="8" borderId="175" xfId="0" applyNumberFormat="1" applyFont="1" applyFill="1" applyBorder="1" applyAlignment="1">
      <alignment vertical="center"/>
    </xf>
    <xf numFmtId="41" fontId="29" fillId="8" borderId="175" xfId="0" applyNumberFormat="1" applyFont="1" applyFill="1" applyBorder="1" applyAlignment="1">
      <alignment vertical="center"/>
    </xf>
    <xf numFmtId="0" fontId="21" fillId="2" borderId="182" xfId="0" applyFont="1" applyFill="1" applyBorder="1" applyAlignment="1">
      <alignment horizontal="center" vertical="top"/>
    </xf>
    <xf numFmtId="0" fontId="21" fillId="2" borderId="194" xfId="0" quotePrefix="1" applyFont="1" applyFill="1" applyBorder="1" applyAlignment="1">
      <alignment horizontal="center" vertical="top"/>
    </xf>
    <xf numFmtId="0" fontId="21" fillId="2" borderId="193" xfId="0" applyFont="1" applyFill="1" applyBorder="1" applyAlignment="1">
      <alignment horizontal="center" vertical="top"/>
    </xf>
    <xf numFmtId="41" fontId="24" fillId="6" borderId="150" xfId="4" applyNumberFormat="1" applyFont="1" applyFill="1" applyBorder="1" applyAlignment="1">
      <alignment vertical="center"/>
    </xf>
    <xf numFmtId="41" fontId="33" fillId="0" borderId="160" xfId="6" applyNumberFormat="1" applyFont="1" applyFill="1" applyBorder="1" applyAlignment="1">
      <alignment vertical="center"/>
    </xf>
    <xf numFmtId="41" fontId="7" fillId="0" borderId="171" xfId="4" applyNumberFormat="1" applyFont="1" applyFill="1" applyBorder="1" applyAlignment="1">
      <alignment horizontal="right" vertical="center"/>
    </xf>
    <xf numFmtId="0" fontId="7" fillId="6" borderId="194" xfId="0" applyFont="1" applyFill="1" applyBorder="1" applyAlignment="1">
      <alignment horizontal="left" vertical="center" wrapText="1"/>
    </xf>
    <xf numFmtId="43" fontId="24" fillId="32" borderId="175" xfId="1" applyFont="1" applyFill="1" applyBorder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43" fontId="32" fillId="8" borderId="174" xfId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 wrapText="1"/>
    </xf>
    <xf numFmtId="3" fontId="7" fillId="0" borderId="127" xfId="4" applyNumberFormat="1" applyFont="1" applyFill="1" applyBorder="1" applyAlignment="1">
      <alignment vertical="center"/>
    </xf>
    <xf numFmtId="0" fontId="0" fillId="0" borderId="35" xfId="0" applyFont="1" applyBorder="1"/>
    <xf numFmtId="0" fontId="31" fillId="32" borderId="0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43" fontId="31" fillId="0" borderId="185" xfId="1" applyFont="1" applyFill="1" applyBorder="1" applyAlignment="1">
      <alignment vertical="top"/>
    </xf>
    <xf numFmtId="3" fontId="31" fillId="25" borderId="185" xfId="0" applyNumberFormat="1" applyFont="1" applyFill="1" applyBorder="1" applyAlignment="1">
      <alignment vertical="top"/>
    </xf>
    <xf numFmtId="0" fontId="40" fillId="2" borderId="1" xfId="0" applyFont="1" applyFill="1" applyBorder="1" applyAlignment="1">
      <alignment vertical="center"/>
    </xf>
    <xf numFmtId="0" fontId="59" fillId="2" borderId="3" xfId="0" applyFont="1" applyFill="1" applyBorder="1" applyAlignment="1">
      <alignment vertical="center"/>
    </xf>
    <xf numFmtId="0" fontId="59" fillId="36" borderId="3" xfId="0" applyFont="1" applyFill="1" applyBorder="1" applyAlignment="1">
      <alignment vertical="center"/>
    </xf>
    <xf numFmtId="0" fontId="59" fillId="2" borderId="64" xfId="0" applyFont="1" applyFill="1" applyBorder="1" applyAlignment="1">
      <alignment horizontal="center" vertical="center" wrapText="1"/>
    </xf>
    <xf numFmtId="0" fontId="21" fillId="2" borderId="178" xfId="0" quotePrefix="1" applyFont="1" applyFill="1" applyBorder="1" applyAlignment="1">
      <alignment horizontal="center" vertical="top"/>
    </xf>
    <xf numFmtId="3" fontId="27" fillId="50" borderId="82" xfId="4" applyNumberFormat="1" applyFont="1" applyFill="1" applyBorder="1" applyAlignment="1">
      <alignment horizontal="left" vertical="center"/>
    </xf>
    <xf numFmtId="0" fontId="28" fillId="50" borderId="66" xfId="0" quotePrefix="1" applyFont="1" applyFill="1" applyBorder="1" applyAlignment="1">
      <alignment horizontal="center" vertical="top"/>
    </xf>
    <xf numFmtId="0" fontId="27" fillId="8" borderId="178" xfId="4" applyFont="1" applyFill="1" applyBorder="1" applyAlignment="1">
      <alignment horizontal="left" vertical="center"/>
    </xf>
    <xf numFmtId="0" fontId="7" fillId="8" borderId="178" xfId="4" applyFont="1" applyFill="1" applyBorder="1" applyAlignment="1">
      <alignment vertical="top"/>
    </xf>
    <xf numFmtId="0" fontId="7" fillId="8" borderId="182" xfId="4" applyFont="1" applyFill="1" applyBorder="1" applyAlignment="1">
      <alignment vertical="top"/>
    </xf>
    <xf numFmtId="0" fontId="27" fillId="8" borderId="82" xfId="4" applyFont="1" applyFill="1" applyBorder="1" applyAlignment="1">
      <alignment horizontal="left" vertical="center"/>
    </xf>
    <xf numFmtId="0" fontId="29" fillId="8" borderId="178" xfId="4" applyFont="1" applyFill="1" applyBorder="1" applyAlignment="1">
      <alignment horizontal="left" vertical="center"/>
    </xf>
    <xf numFmtId="0" fontId="7" fillId="8" borderId="0" xfId="4" applyFont="1" applyFill="1" applyBorder="1" applyAlignment="1">
      <alignment vertical="top"/>
    </xf>
    <xf numFmtId="0" fontId="27" fillId="8" borderId="8" xfId="4" applyFont="1" applyFill="1" applyBorder="1" applyAlignment="1">
      <alignment horizontal="left" vertical="center"/>
    </xf>
    <xf numFmtId="0" fontId="7" fillId="8" borderId="178" xfId="4" applyFont="1" applyFill="1" applyBorder="1" applyAlignment="1">
      <alignment horizontal="left" vertical="center"/>
    </xf>
    <xf numFmtId="0" fontId="31" fillId="8" borderId="114" xfId="4" applyFont="1" applyFill="1" applyBorder="1" applyAlignment="1">
      <alignment horizontal="left" vertical="center"/>
    </xf>
    <xf numFmtId="3" fontId="25" fillId="8" borderId="18" xfId="4" applyNumberFormat="1" applyFont="1" applyFill="1" applyBorder="1" applyAlignment="1">
      <alignment horizontal="center" vertical="center"/>
    </xf>
    <xf numFmtId="3" fontId="24" fillId="6" borderId="182" xfId="4" applyNumberFormat="1" applyFont="1" applyFill="1" applyBorder="1" applyAlignment="1">
      <alignment vertical="center"/>
    </xf>
    <xf numFmtId="3" fontId="17" fillId="6" borderId="182" xfId="4" applyNumberFormat="1" applyFont="1" applyFill="1" applyBorder="1" applyAlignment="1">
      <alignment vertical="center"/>
    </xf>
    <xf numFmtId="0" fontId="0" fillId="0" borderId="26" xfId="0" applyFont="1" applyBorder="1" applyAlignment="1">
      <alignment wrapText="1" shrinkToFit="1"/>
    </xf>
    <xf numFmtId="0" fontId="25" fillId="6" borderId="182" xfId="4" applyFont="1" applyFill="1" applyBorder="1" applyAlignment="1">
      <alignment horizontal="left" vertical="center"/>
    </xf>
    <xf numFmtId="3" fontId="27" fillId="50" borderId="12" xfId="0" quotePrefix="1" applyNumberFormat="1" applyFont="1" applyFill="1" applyBorder="1" applyAlignment="1">
      <alignment horizontal="right" vertical="top"/>
    </xf>
    <xf numFmtId="3" fontId="27" fillId="8" borderId="175" xfId="4" applyNumberFormat="1" applyFont="1" applyFill="1" applyBorder="1" applyAlignment="1">
      <alignment vertical="top"/>
    </xf>
    <xf numFmtId="3" fontId="7" fillId="8" borderId="175" xfId="4" applyNumberFormat="1" applyFont="1" applyFill="1" applyBorder="1" applyAlignment="1">
      <alignment vertical="top"/>
    </xf>
    <xf numFmtId="3" fontId="25" fillId="8" borderId="68" xfId="4" applyNumberFormat="1" applyFont="1" applyFill="1" applyBorder="1" applyAlignment="1">
      <alignment horizontal="center" vertical="center"/>
    </xf>
    <xf numFmtId="3" fontId="25" fillId="6" borderId="175" xfId="4" applyNumberFormat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horizontal="center" vertical="center"/>
    </xf>
    <xf numFmtId="3" fontId="7" fillId="0" borderId="171" xfId="4" applyNumberFormat="1" applyFont="1" applyFill="1" applyBorder="1" applyAlignment="1">
      <alignment vertical="center"/>
    </xf>
    <xf numFmtId="0" fontId="59" fillId="2" borderId="2" xfId="0" applyFont="1" applyFill="1" applyBorder="1" applyAlignment="1">
      <alignment vertical="center"/>
    </xf>
    <xf numFmtId="0" fontId="29" fillId="0" borderId="193" xfId="4" applyFont="1" applyFill="1" applyBorder="1" applyAlignment="1">
      <alignment vertical="center"/>
    </xf>
    <xf numFmtId="3" fontId="31" fillId="32" borderId="185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51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0" fontId="25" fillId="0" borderId="4" xfId="4" applyFont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3" fontId="27" fillId="50" borderId="16" xfId="4" applyNumberFormat="1" applyFont="1" applyFill="1" applyBorder="1" applyAlignment="1">
      <alignment horizontal="center" vertical="center"/>
    </xf>
    <xf numFmtId="0" fontId="27" fillId="50" borderId="65" xfId="0" applyFont="1" applyFill="1" applyBorder="1" applyAlignment="1">
      <alignment horizontal="left" vertical="center"/>
    </xf>
    <xf numFmtId="41" fontId="27" fillId="50" borderId="27" xfId="0" quotePrefix="1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41" fontId="24" fillId="6" borderId="68" xfId="4" applyNumberFormat="1" applyFont="1" applyFill="1" applyBorder="1" applyAlignment="1">
      <alignment vertical="center"/>
    </xf>
    <xf numFmtId="0" fontId="29" fillId="8" borderId="194" xfId="4" applyFont="1" applyFill="1" applyBorder="1" applyAlignment="1">
      <alignment vertical="center"/>
    </xf>
    <xf numFmtId="3" fontId="29" fillId="8" borderId="174" xfId="4" applyNumberFormat="1" applyFont="1" applyFill="1" applyBorder="1" applyAlignment="1">
      <alignment vertical="center"/>
    </xf>
    <xf numFmtId="41" fontId="29" fillId="8" borderId="174" xfId="4" applyNumberFormat="1" applyFont="1" applyFill="1" applyBorder="1" applyAlignment="1">
      <alignment vertical="center"/>
    </xf>
    <xf numFmtId="3" fontId="29" fillId="23" borderId="175" xfId="4" applyNumberFormat="1" applyFont="1" applyFill="1" applyBorder="1" applyAlignment="1">
      <alignment vertical="center"/>
    </xf>
    <xf numFmtId="3" fontId="7" fillId="8" borderId="174" xfId="4" applyNumberFormat="1" applyFont="1" applyFill="1" applyBorder="1" applyAlignment="1">
      <alignment vertical="center"/>
    </xf>
    <xf numFmtId="41" fontId="7" fillId="8" borderId="174" xfId="4" applyNumberFormat="1" applyFont="1" applyFill="1" applyBorder="1" applyAlignment="1">
      <alignment vertical="center"/>
    </xf>
    <xf numFmtId="3" fontId="31" fillId="23" borderId="175" xfId="4" applyNumberFormat="1" applyFont="1" applyFill="1" applyBorder="1" applyAlignment="1">
      <alignment horizontal="right" vertical="center"/>
    </xf>
    <xf numFmtId="0" fontId="7" fillId="8" borderId="179" xfId="4" applyFont="1" applyFill="1" applyBorder="1" applyAlignment="1">
      <alignment vertical="center" wrapText="1"/>
    </xf>
    <xf numFmtId="0" fontId="7" fillId="8" borderId="194" xfId="4" applyFont="1" applyFill="1" applyBorder="1" applyAlignment="1">
      <alignment vertical="center" wrapText="1"/>
    </xf>
    <xf numFmtId="41" fontId="25" fillId="6" borderId="174" xfId="4" applyNumberFormat="1" applyFont="1" applyFill="1" applyBorder="1" applyAlignment="1">
      <alignment vertical="center"/>
    </xf>
    <xf numFmtId="3" fontId="27" fillId="8" borderId="194" xfId="4" applyNumberFormat="1" applyFont="1" applyFill="1" applyBorder="1" applyAlignment="1">
      <alignment vertical="center" wrapText="1"/>
    </xf>
    <xf numFmtId="3" fontId="27" fillId="8" borderId="174" xfId="4" applyNumberFormat="1" applyFont="1" applyFill="1" applyBorder="1" applyAlignment="1">
      <alignment vertical="center"/>
    </xf>
    <xf numFmtId="41" fontId="27" fillId="8" borderId="174" xfId="4" applyNumberFormat="1" applyFont="1" applyFill="1" applyBorder="1" applyAlignment="1">
      <alignment vertical="center"/>
    </xf>
    <xf numFmtId="3" fontId="27" fillId="8" borderId="20" xfId="4" applyNumberFormat="1" applyFont="1" applyFill="1" applyBorder="1" applyAlignment="1">
      <alignment vertical="center" wrapText="1"/>
    </xf>
    <xf numFmtId="3" fontId="31" fillId="8" borderId="174" xfId="4" applyNumberFormat="1" applyFont="1" applyFill="1" applyBorder="1" applyAlignment="1">
      <alignment vertical="center"/>
    </xf>
    <xf numFmtId="41" fontId="31" fillId="8" borderId="174" xfId="4" applyNumberFormat="1" applyFont="1" applyFill="1" applyBorder="1" applyAlignment="1">
      <alignment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0" fontId="27" fillId="8" borderId="194" xfId="4" applyFont="1" applyFill="1" applyBorder="1" applyAlignment="1">
      <alignment vertical="center"/>
    </xf>
    <xf numFmtId="0" fontId="7" fillId="8" borderId="179" xfId="4" applyFont="1" applyFill="1" applyBorder="1" applyAlignment="1">
      <alignment vertical="center"/>
    </xf>
    <xf numFmtId="0" fontId="7" fillId="8" borderId="194" xfId="4" applyFont="1" applyFill="1" applyBorder="1" applyAlignment="1">
      <alignment vertical="center"/>
    </xf>
    <xf numFmtId="3" fontId="7" fillId="8" borderId="175" xfId="4" applyNumberFormat="1" applyFont="1" applyFill="1" applyBorder="1" applyAlignment="1">
      <alignment vertical="center"/>
    </xf>
    <xf numFmtId="41" fontId="7" fillId="8" borderId="175" xfId="4" applyNumberFormat="1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7" fillId="24" borderId="68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0" fontId="17" fillId="13" borderId="11" xfId="4" applyFont="1" applyFill="1" applyBorder="1" applyAlignment="1">
      <alignment horizontal="center" vertical="center"/>
    </xf>
    <xf numFmtId="3" fontId="24" fillId="6" borderId="174" xfId="4" applyNumberFormat="1" applyFont="1" applyFill="1" applyBorder="1" applyAlignment="1">
      <alignment horizontal="right" vertical="center"/>
    </xf>
    <xf numFmtId="41" fontId="24" fillId="6" borderId="174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29" fillId="13" borderId="179" xfId="4" applyNumberFormat="1" applyFont="1" applyFill="1" applyBorder="1" applyAlignment="1">
      <alignment vertical="center" wrapText="1"/>
    </xf>
    <xf numFmtId="3" fontId="29" fillId="13" borderId="194" xfId="4" applyNumberFormat="1" applyFont="1" applyFill="1" applyBorder="1" applyAlignment="1">
      <alignment vertical="center" wrapText="1"/>
    </xf>
    <xf numFmtId="3" fontId="29" fillId="13" borderId="174" xfId="4" applyNumberFormat="1" applyFont="1" applyFill="1" applyBorder="1" applyAlignment="1">
      <alignment horizontal="right" vertical="center"/>
    </xf>
    <xf numFmtId="41" fontId="29" fillId="13" borderId="174" xfId="4" applyNumberFormat="1" applyFont="1" applyFill="1" applyBorder="1" applyAlignment="1">
      <alignment horizontal="right" vertical="center"/>
    </xf>
    <xf numFmtId="3" fontId="29" fillId="24" borderId="174" xfId="4" applyNumberFormat="1" applyFont="1" applyFill="1" applyBorder="1" applyAlignment="1">
      <alignment horizontal="right" vertical="center"/>
    </xf>
    <xf numFmtId="3" fontId="7" fillId="13" borderId="179" xfId="4" applyNumberFormat="1" applyFont="1" applyFill="1" applyBorder="1" applyAlignment="1">
      <alignment vertical="center" wrapText="1"/>
    </xf>
    <xf numFmtId="3" fontId="7" fillId="13" borderId="194" xfId="4" applyNumberFormat="1" applyFont="1" applyFill="1" applyBorder="1" applyAlignment="1">
      <alignment vertical="center" wrapText="1"/>
    </xf>
    <xf numFmtId="3" fontId="7" fillId="13" borderId="174" xfId="4" applyNumberFormat="1" applyFont="1" applyFill="1" applyBorder="1" applyAlignment="1">
      <alignment horizontal="right" vertical="center"/>
    </xf>
    <xf numFmtId="41" fontId="7" fillId="13" borderId="174" xfId="4" applyNumberFormat="1" applyFont="1" applyFill="1" applyBorder="1" applyAlignment="1">
      <alignment horizontal="right" vertical="center"/>
    </xf>
    <xf numFmtId="0" fontId="18" fillId="13" borderId="43" xfId="4" applyFont="1" applyFill="1" applyBorder="1" applyAlignment="1">
      <alignment horizontal="center" vertical="center"/>
    </xf>
    <xf numFmtId="0" fontId="7" fillId="13" borderId="179" xfId="4" applyFont="1" applyFill="1" applyBorder="1" applyAlignment="1">
      <alignment vertical="center"/>
    </xf>
    <xf numFmtId="0" fontId="7" fillId="13" borderId="194" xfId="4" applyFont="1" applyFill="1" applyBorder="1" applyAlignment="1">
      <alignment vertical="center"/>
    </xf>
    <xf numFmtId="0" fontId="29" fillId="13" borderId="179" xfId="4" applyFont="1" applyFill="1" applyBorder="1" applyAlignment="1">
      <alignment vertical="center"/>
    </xf>
    <xf numFmtId="0" fontId="29" fillId="13" borderId="194" xfId="4" applyFont="1" applyFill="1" applyBorder="1" applyAlignment="1">
      <alignment vertical="center"/>
    </xf>
    <xf numFmtId="3" fontId="29" fillId="24" borderId="175" xfId="4" applyNumberFormat="1" applyFont="1" applyFill="1" applyBorder="1" applyAlignment="1">
      <alignment horizontal="right" vertical="center"/>
    </xf>
    <xf numFmtId="3" fontId="7" fillId="13" borderId="189" xfId="4" applyNumberFormat="1" applyFont="1" applyFill="1" applyBorder="1" applyAlignment="1">
      <alignment vertical="center" wrapText="1"/>
    </xf>
    <xf numFmtId="3" fontId="7" fillId="13" borderId="173" xfId="4" applyNumberFormat="1" applyFont="1" applyFill="1" applyBorder="1" applyAlignment="1">
      <alignment vertical="center" wrapText="1"/>
    </xf>
    <xf numFmtId="3" fontId="32" fillId="13" borderId="166" xfId="6" applyNumberFormat="1" applyFont="1" applyFill="1" applyBorder="1" applyAlignment="1">
      <alignment vertical="center"/>
    </xf>
    <xf numFmtId="41" fontId="32" fillId="13" borderId="166" xfId="6" applyNumberFormat="1" applyFont="1" applyFill="1" applyBorder="1" applyAlignment="1">
      <alignment vertical="center"/>
    </xf>
    <xf numFmtId="3" fontId="27" fillId="13" borderId="179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3" fontId="33" fillId="13" borderId="9" xfId="6" applyNumberFormat="1" applyFont="1" applyFill="1" applyBorder="1" applyAlignment="1">
      <alignment vertical="center"/>
    </xf>
    <xf numFmtId="41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3" fontId="32" fillId="13" borderId="174" xfId="6" applyNumberFormat="1" applyFont="1" applyFill="1" applyBorder="1" applyAlignment="1">
      <alignment vertical="center"/>
    </xf>
    <xf numFmtId="41" fontId="32" fillId="13" borderId="174" xfId="6" applyNumberFormat="1" applyFont="1" applyFill="1" applyBorder="1" applyAlignment="1">
      <alignment vertical="center"/>
    </xf>
    <xf numFmtId="0" fontId="27" fillId="13" borderId="179" xfId="4" applyFont="1" applyFill="1" applyBorder="1" applyAlignment="1">
      <alignment vertical="center"/>
    </xf>
    <xf numFmtId="0" fontId="27" fillId="13" borderId="194" xfId="4" applyFont="1" applyFill="1" applyBorder="1" applyAlignment="1">
      <alignment vertical="center"/>
    </xf>
    <xf numFmtId="3" fontId="33" fillId="13" borderId="174" xfId="6" applyNumberFormat="1" applyFont="1" applyFill="1" applyBorder="1" applyAlignment="1">
      <alignment vertical="center"/>
    </xf>
    <xf numFmtId="41" fontId="33" fillId="13" borderId="174" xfId="6" applyNumberFormat="1" applyFont="1" applyFill="1" applyBorder="1" applyAlignment="1">
      <alignment vertical="center"/>
    </xf>
    <xf numFmtId="0" fontId="17" fillId="13" borderId="25" xfId="4" applyFont="1" applyFill="1" applyBorder="1" applyAlignment="1">
      <alignment horizontal="center" vertical="center"/>
    </xf>
    <xf numFmtId="0" fontId="7" fillId="13" borderId="74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32" fillId="13" borderId="191" xfId="6" applyNumberFormat="1" applyFont="1" applyFill="1" applyBorder="1" applyAlignment="1">
      <alignment vertical="center"/>
    </xf>
    <xf numFmtId="41" fontId="32" fillId="13" borderId="191" xfId="6" applyNumberFormat="1" applyFont="1" applyFill="1" applyBorder="1" applyAlignment="1">
      <alignment vertical="center"/>
    </xf>
    <xf numFmtId="3" fontId="18" fillId="13" borderId="41" xfId="4" applyNumberFormat="1" applyFont="1" applyFill="1" applyBorder="1" applyAlignment="1">
      <alignment horizontal="center" vertical="center"/>
    </xf>
    <xf numFmtId="0" fontId="90" fillId="0" borderId="77" xfId="4" applyFont="1" applyFill="1" applyBorder="1" applyAlignment="1">
      <alignment horizontal="center"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8" fillId="0" borderId="50" xfId="4" applyNumberFormat="1" applyFont="1" applyFill="1" applyBorder="1" applyAlignment="1">
      <alignment vertical="center"/>
    </xf>
    <xf numFmtId="3" fontId="38" fillId="0" borderId="75" xfId="4" applyNumberFormat="1" applyFont="1" applyFill="1" applyBorder="1" applyAlignment="1">
      <alignment horizontal="right" vertical="center"/>
    </xf>
    <xf numFmtId="3" fontId="28" fillId="2" borderId="75" xfId="4" applyNumberFormat="1" applyFont="1" applyFill="1" applyBorder="1" applyAlignment="1">
      <alignment vertical="center"/>
    </xf>
    <xf numFmtId="3" fontId="27" fillId="26" borderId="75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4" fillId="8" borderId="19" xfId="4" applyFont="1" applyFill="1" applyBorder="1" applyAlignment="1">
      <alignment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24" fillId="8" borderId="68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25" fillId="6" borderId="174" xfId="4" applyNumberFormat="1" applyFont="1" applyFill="1" applyBorder="1" applyAlignment="1">
      <alignment horizontal="right" vertical="center"/>
    </xf>
    <xf numFmtId="0" fontId="31" fillId="0" borderId="193" xfId="4" applyFont="1" applyFill="1" applyBorder="1" applyAlignment="1">
      <alignment vertical="center"/>
    </xf>
    <xf numFmtId="3" fontId="31" fillId="0" borderId="174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24" fillId="6" borderId="166" xfId="4" applyNumberFormat="1" applyFont="1" applyFill="1" applyBorder="1" applyAlignment="1">
      <alignment vertical="center"/>
    </xf>
    <xf numFmtId="3" fontId="27" fillId="2" borderId="175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32" fillId="0" borderId="185" xfId="6" applyNumberFormat="1" applyFont="1" applyFill="1" applyBorder="1" applyAlignment="1">
      <alignment vertical="center"/>
    </xf>
    <xf numFmtId="3" fontId="24" fillId="8" borderId="3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32" fillId="0" borderId="20" xfId="0" applyFont="1" applyBorder="1" applyAlignment="1">
      <alignment vertical="center" wrapText="1"/>
    </xf>
    <xf numFmtId="0" fontId="25" fillId="8" borderId="19" xfId="4" applyFont="1" applyFill="1" applyBorder="1" applyAlignment="1">
      <alignment vertical="center" wrapText="1"/>
    </xf>
    <xf numFmtId="3" fontId="25" fillId="8" borderId="18" xfId="4" applyNumberFormat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3" fontId="33" fillId="0" borderId="9" xfId="6" applyNumberFormat="1" applyFont="1" applyFill="1" applyBorder="1" applyAlignment="1">
      <alignment vertical="center"/>
    </xf>
    <xf numFmtId="3" fontId="7" fillId="0" borderId="72" xfId="4" applyNumberFormat="1" applyFont="1" applyFill="1" applyBorder="1" applyAlignment="1">
      <alignment horizontal="right" vertical="center"/>
    </xf>
    <xf numFmtId="3" fontId="25" fillId="8" borderId="4" xfId="4" applyNumberFormat="1" applyFont="1" applyFill="1" applyBorder="1" applyAlignment="1">
      <alignment vertical="center"/>
    </xf>
    <xf numFmtId="3" fontId="25" fillId="8" borderId="68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0" fontId="18" fillId="0" borderId="40" xfId="4" applyFont="1" applyFill="1" applyBorder="1" applyAlignment="1">
      <alignment vertical="center" wrapText="1"/>
    </xf>
    <xf numFmtId="0" fontId="29" fillId="2" borderId="25" xfId="4" applyFont="1" applyFill="1" applyBorder="1" applyAlignment="1">
      <alignment vertical="center"/>
    </xf>
    <xf numFmtId="3" fontId="27" fillId="2" borderId="23" xfId="4" applyNumberFormat="1" applyFont="1" applyFill="1" applyBorder="1" applyAlignment="1">
      <alignment vertical="center"/>
    </xf>
    <xf numFmtId="0" fontId="7" fillId="0" borderId="11" xfId="4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0" fontId="24" fillId="8" borderId="0" xfId="4" applyFont="1" applyFill="1" applyBorder="1" applyAlignment="1">
      <alignment vertical="center" wrapText="1"/>
    </xf>
    <xf numFmtId="0" fontId="24" fillId="8" borderId="0" xfId="4" applyFont="1" applyFill="1" applyBorder="1" applyAlignment="1">
      <alignment horizontal="center" vertical="center" wrapText="1"/>
    </xf>
    <xf numFmtId="3" fontId="25" fillId="8" borderId="0" xfId="4" applyNumberFormat="1" applyFont="1" applyFill="1" applyBorder="1" applyAlignment="1">
      <alignment vertical="center"/>
    </xf>
    <xf numFmtId="3" fontId="25" fillId="8" borderId="0" xfId="4" applyNumberFormat="1" applyFont="1" applyFill="1" applyBorder="1" applyAlignment="1">
      <alignment horizontal="right" vertical="center"/>
    </xf>
    <xf numFmtId="3" fontId="25" fillId="23" borderId="0" xfId="4" applyNumberFormat="1" applyFont="1" applyFill="1" applyBorder="1" applyAlignment="1">
      <alignment horizontal="right" vertical="center"/>
    </xf>
    <xf numFmtId="0" fontId="18" fillId="0" borderId="65" xfId="4" applyFont="1" applyFill="1" applyBorder="1" applyAlignment="1">
      <alignment vertical="center" wrapText="1"/>
    </xf>
    <xf numFmtId="0" fontId="25" fillId="6" borderId="0" xfId="4" applyFont="1" applyFill="1" applyBorder="1" applyAlignment="1">
      <alignment horizontal="left" vertical="center"/>
    </xf>
    <xf numFmtId="3" fontId="25" fillId="6" borderId="0" xfId="4" applyNumberFormat="1" applyFont="1" applyFill="1" applyBorder="1" applyAlignment="1">
      <alignment horizontal="right" vertical="center"/>
    </xf>
    <xf numFmtId="3" fontId="25" fillId="22" borderId="0" xfId="4" applyNumberFormat="1" applyFont="1" applyFill="1" applyBorder="1" applyAlignment="1">
      <alignment horizontal="right" vertical="center"/>
    </xf>
    <xf numFmtId="3" fontId="29" fillId="2" borderId="0" xfId="4" applyNumberFormat="1" applyFont="1" applyFill="1" applyBorder="1" applyAlignment="1">
      <alignment vertical="center" wrapText="1"/>
    </xf>
    <xf numFmtId="3" fontId="27" fillId="0" borderId="0" xfId="4" applyNumberFormat="1" applyFont="1" applyFill="1" applyBorder="1" applyAlignment="1">
      <alignment horizontal="right" vertical="center"/>
    </xf>
    <xf numFmtId="0" fontId="7" fillId="0" borderId="21" xfId="4" applyFont="1" applyFill="1" applyBorder="1" applyAlignment="1">
      <alignment vertical="center"/>
    </xf>
    <xf numFmtId="3" fontId="31" fillId="25" borderId="8" xfId="4" applyNumberFormat="1" applyFont="1" applyFill="1" applyBorder="1" applyAlignment="1">
      <alignment horizontal="right" vertical="center"/>
    </xf>
    <xf numFmtId="3" fontId="29" fillId="2" borderId="174" xfId="4" applyNumberFormat="1" applyFont="1" applyFill="1" applyBorder="1" applyAlignment="1">
      <alignment vertical="center"/>
    </xf>
    <xf numFmtId="3" fontId="31" fillId="2" borderId="72" xfId="4" applyNumberFormat="1" applyFont="1" applyFill="1" applyBorder="1" applyAlignment="1">
      <alignment vertical="center"/>
    </xf>
    <xf numFmtId="3" fontId="7" fillId="2" borderId="72" xfId="4" applyNumberFormat="1" applyFont="1" applyFill="1" applyBorder="1" applyAlignment="1">
      <alignment vertical="center"/>
    </xf>
    <xf numFmtId="0" fontId="39" fillId="0" borderId="52" xfId="0" applyFont="1" applyBorder="1" applyAlignment="1">
      <alignment horizontal="center" vertical="center" wrapText="1"/>
    </xf>
    <xf numFmtId="0" fontId="20" fillId="0" borderId="52" xfId="4" applyFont="1" applyFill="1" applyBorder="1" applyAlignment="1">
      <alignment horizontal="center" vertical="center" wrapText="1"/>
    </xf>
    <xf numFmtId="0" fontId="25" fillId="6" borderId="194" xfId="4" applyFont="1" applyFill="1" applyBorder="1" applyAlignment="1">
      <alignment horizontal="center" vertical="center"/>
    </xf>
    <xf numFmtId="3" fontId="24" fillId="22" borderId="183" xfId="4" applyNumberFormat="1" applyFont="1" applyFill="1" applyBorder="1" applyAlignment="1">
      <alignment horizontal="right" vertical="center"/>
    </xf>
    <xf numFmtId="3" fontId="29" fillId="25" borderId="174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0" fontId="20" fillId="6" borderId="20" xfId="4" applyFont="1" applyFill="1" applyBorder="1" applyAlignment="1">
      <alignment horizontal="center" vertical="center" wrapText="1"/>
    </xf>
    <xf numFmtId="3" fontId="32" fillId="0" borderId="191" xfId="6" applyNumberFormat="1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32" fillId="0" borderId="9" xfId="6" applyNumberFormat="1" applyFont="1" applyFill="1" applyBorder="1" applyAlignment="1">
      <alignment vertical="center"/>
    </xf>
    <xf numFmtId="0" fontId="7" fillId="0" borderId="128" xfId="4" applyFont="1" applyFill="1" applyBorder="1" applyAlignment="1">
      <alignment horizontal="left" vertical="center"/>
    </xf>
    <xf numFmtId="3" fontId="7" fillId="0" borderId="185" xfId="4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1" fontId="25" fillId="6" borderId="174" xfId="4" applyNumberFormat="1" applyFont="1" applyFill="1" applyBorder="1" applyAlignment="1">
      <alignment horizontal="right" vertical="center"/>
    </xf>
    <xf numFmtId="41" fontId="7" fillId="0" borderId="0" xfId="4" applyNumberFormat="1" applyFont="1" applyFill="1" applyBorder="1" applyAlignment="1">
      <alignment horizontal="right" vertical="center"/>
    </xf>
    <xf numFmtId="41" fontId="31" fillId="25" borderId="174" xfId="4" applyNumberFormat="1" applyFont="1" applyFill="1" applyBorder="1" applyAlignment="1">
      <alignment horizontal="right" vertical="center"/>
    </xf>
    <xf numFmtId="41" fontId="27" fillId="25" borderId="174" xfId="4" applyNumberFormat="1" applyFont="1" applyFill="1" applyBorder="1" applyAlignment="1">
      <alignment horizontal="right" vertical="center"/>
    </xf>
    <xf numFmtId="41" fontId="31" fillId="25" borderId="0" xfId="4" applyNumberFormat="1" applyFont="1" applyFill="1" applyBorder="1" applyAlignment="1">
      <alignment horizontal="right" vertical="center"/>
    </xf>
    <xf numFmtId="43" fontId="32" fillId="0" borderId="174" xfId="1" applyFont="1" applyFill="1" applyBorder="1" applyAlignment="1">
      <alignment vertical="center"/>
    </xf>
    <xf numFmtId="41" fontId="27" fillId="2" borderId="174" xfId="4" applyNumberFormat="1" applyFont="1" applyFill="1" applyBorder="1" applyAlignment="1">
      <alignment vertical="center"/>
    </xf>
    <xf numFmtId="41" fontId="32" fillId="0" borderId="12" xfId="6" applyNumberFormat="1" applyFont="1" applyFill="1" applyBorder="1" applyAlignment="1">
      <alignment vertical="center"/>
    </xf>
    <xf numFmtId="41" fontId="32" fillId="0" borderId="185" xfId="6" applyNumberFormat="1" applyFont="1" applyFill="1" applyBorder="1" applyAlignment="1">
      <alignment vertical="center"/>
    </xf>
    <xf numFmtId="3" fontId="7" fillId="8" borderId="27" xfId="4" applyNumberFormat="1" applyFont="1" applyFill="1" applyBorder="1" applyAlignment="1">
      <alignment horizontal="right" vertical="center"/>
    </xf>
    <xf numFmtId="3" fontId="24" fillId="8" borderId="10" xfId="4" applyNumberFormat="1" applyFont="1" applyFill="1" applyBorder="1" applyAlignment="1">
      <alignment horizontal="right" vertical="center"/>
    </xf>
    <xf numFmtId="3" fontId="24" fillId="23" borderId="10" xfId="4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horizontal="left" vertical="center"/>
    </xf>
    <xf numFmtId="43" fontId="33" fillId="0" borderId="9" xfId="1" applyFont="1" applyFill="1" applyBorder="1" applyAlignment="1">
      <alignment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36" xfId="4" applyFont="1" applyFill="1" applyBorder="1" applyAlignment="1">
      <alignment horizontal="left" vertical="center"/>
    </xf>
    <xf numFmtId="0" fontId="31" fillId="0" borderId="189" xfId="4" applyFont="1" applyFill="1" applyBorder="1" applyAlignment="1">
      <alignment vertical="center"/>
    </xf>
    <xf numFmtId="0" fontId="24" fillId="8" borderId="193" xfId="4" applyFont="1" applyFill="1" applyBorder="1" applyAlignment="1">
      <alignment vertical="center" wrapText="1"/>
    </xf>
    <xf numFmtId="0" fontId="24" fillId="8" borderId="194" xfId="4" applyFont="1" applyFill="1" applyBorder="1" applyAlignment="1">
      <alignment horizontal="center" vertical="center" wrapText="1"/>
    </xf>
    <xf numFmtId="3" fontId="7" fillId="8" borderId="183" xfId="4" applyNumberFormat="1" applyFont="1" applyFill="1" applyBorder="1" applyAlignment="1">
      <alignment horizontal="right" vertical="center"/>
    </xf>
    <xf numFmtId="3" fontId="24" fillId="8" borderId="178" xfId="4" applyNumberFormat="1" applyFont="1" applyFill="1" applyBorder="1" applyAlignment="1">
      <alignment horizontal="right" vertical="center"/>
    </xf>
    <xf numFmtId="3" fontId="24" fillId="23" borderId="175" xfId="4" applyNumberFormat="1" applyFont="1" applyFill="1" applyBorder="1" applyAlignment="1">
      <alignment horizontal="right" vertical="center"/>
    </xf>
    <xf numFmtId="0" fontId="18" fillId="0" borderId="181" xfId="4" applyFont="1" applyFill="1" applyBorder="1" applyAlignment="1">
      <alignment vertical="center" wrapText="1"/>
    </xf>
    <xf numFmtId="41" fontId="24" fillId="6" borderId="35" xfId="4" applyNumberFormat="1" applyFont="1" applyFill="1" applyBorder="1" applyAlignment="1">
      <alignment vertical="center"/>
    </xf>
    <xf numFmtId="41" fontId="33" fillId="0" borderId="9" xfId="6" applyNumberFormat="1" applyFont="1" applyFill="1" applyBorder="1" applyAlignment="1">
      <alignment vertical="center"/>
    </xf>
    <xf numFmtId="43" fontId="24" fillId="6" borderId="35" xfId="1" applyFont="1" applyFill="1" applyBorder="1" applyAlignment="1">
      <alignment vertical="center"/>
    </xf>
    <xf numFmtId="0" fontId="24" fillId="8" borderId="16" xfId="4" applyFont="1" applyFill="1" applyBorder="1" applyAlignment="1">
      <alignment horizontal="center" vertical="center" wrapText="1"/>
    </xf>
    <xf numFmtId="3" fontId="24" fillId="23" borderId="68" xfId="4" applyNumberFormat="1" applyFont="1" applyFill="1" applyBorder="1" applyAlignment="1">
      <alignment horizontal="right" vertical="center"/>
    </xf>
    <xf numFmtId="0" fontId="24" fillId="6" borderId="20" xfId="4" applyFont="1" applyFill="1" applyBorder="1" applyAlignment="1">
      <alignment horizontal="left" vertical="center"/>
    </xf>
    <xf numFmtId="3" fontId="24" fillId="22" borderId="35" xfId="4" applyNumberFormat="1" applyFont="1" applyFill="1" applyBorder="1" applyAlignment="1">
      <alignment horizontal="right" vertical="center"/>
    </xf>
    <xf numFmtId="41" fontId="29" fillId="0" borderId="174" xfId="4" applyNumberFormat="1" applyFont="1" applyFill="1" applyBorder="1" applyAlignment="1">
      <alignment horizontal="right" vertical="center"/>
    </xf>
    <xf numFmtId="41" fontId="31" fillId="2" borderId="72" xfId="4" applyNumberFormat="1" applyFont="1" applyFill="1" applyBorder="1" applyAlignment="1">
      <alignment vertical="center"/>
    </xf>
    <xf numFmtId="0" fontId="24" fillId="6" borderId="194" xfId="4" applyFont="1" applyFill="1" applyBorder="1" applyAlignment="1">
      <alignment horizontal="left" vertical="center"/>
    </xf>
    <xf numFmtId="41" fontId="7" fillId="25" borderId="174" xfId="4" applyNumberFormat="1" applyFont="1" applyFill="1" applyBorder="1" applyAlignment="1">
      <alignment horizontal="right" vertical="center"/>
    </xf>
    <xf numFmtId="43" fontId="7" fillId="0" borderId="175" xfId="1" applyFont="1" applyFill="1" applyBorder="1" applyAlignment="1">
      <alignment vertical="center"/>
    </xf>
    <xf numFmtId="3" fontId="7" fillId="25" borderId="174" xfId="4" applyNumberFormat="1" applyFont="1" applyFill="1" applyBorder="1" applyAlignment="1">
      <alignment horizontal="right" vertical="center"/>
    </xf>
    <xf numFmtId="43" fontId="24" fillId="8" borderId="18" xfId="1" applyFont="1" applyFill="1" applyBorder="1" applyAlignment="1">
      <alignment horizontal="right" vertical="center"/>
    </xf>
    <xf numFmtId="43" fontId="24" fillId="6" borderId="174" xfId="1" applyFont="1" applyFill="1" applyBorder="1" applyAlignment="1">
      <alignment horizontal="right" vertical="center"/>
    </xf>
    <xf numFmtId="0" fontId="17" fillId="6" borderId="20" xfId="4" applyFont="1" applyFill="1" applyBorder="1" applyAlignment="1">
      <alignment horizontal="center" vertical="center" wrapText="1"/>
    </xf>
    <xf numFmtId="43" fontId="31" fillId="2" borderId="72" xfId="1" applyFont="1" applyFill="1" applyBorder="1" applyAlignment="1">
      <alignment vertical="center"/>
    </xf>
    <xf numFmtId="0" fontId="24" fillId="6" borderId="176" xfId="4" applyFont="1" applyFill="1" applyBorder="1" applyAlignment="1">
      <alignment horizontal="left" vertical="center"/>
    </xf>
    <xf numFmtId="0" fontId="7" fillId="0" borderId="115" xfId="4" applyFont="1" applyFill="1" applyBorder="1" applyAlignment="1">
      <alignment vertical="center"/>
    </xf>
    <xf numFmtId="3" fontId="31" fillId="25" borderId="150" xfId="4" applyNumberFormat="1" applyFont="1" applyFill="1" applyBorder="1" applyAlignment="1">
      <alignment horizontal="right" vertical="center"/>
    </xf>
    <xf numFmtId="0" fontId="27" fillId="2" borderId="115" xfId="4" applyFont="1" applyFill="1" applyBorder="1" applyAlignment="1">
      <alignment vertical="center"/>
    </xf>
    <xf numFmtId="43" fontId="31" fillId="0" borderId="186" xfId="1" applyFont="1" applyFill="1" applyBorder="1" applyAlignment="1">
      <alignment vertical="center"/>
    </xf>
    <xf numFmtId="0" fontId="25" fillId="8" borderId="19" xfId="4" applyFont="1" applyFill="1" applyBorder="1" applyAlignment="1">
      <alignment horizontal="left" vertical="center" wrapText="1"/>
    </xf>
    <xf numFmtId="0" fontId="25" fillId="6" borderId="167" xfId="4" applyFont="1" applyFill="1" applyBorder="1" applyAlignment="1">
      <alignment horizontal="left" vertical="center"/>
    </xf>
    <xf numFmtId="3" fontId="24" fillId="6" borderId="178" xfId="4" applyNumberFormat="1" applyFont="1" applyFill="1" applyBorder="1" applyAlignment="1">
      <alignment horizontal="right" vertical="center"/>
    </xf>
    <xf numFmtId="3" fontId="24" fillId="6" borderId="169" xfId="4" applyNumberFormat="1" applyFont="1" applyFill="1" applyBorder="1" applyAlignment="1">
      <alignment horizontal="right" vertical="center"/>
    </xf>
    <xf numFmtId="43" fontId="24" fillId="6" borderId="169" xfId="4" applyNumberFormat="1" applyFont="1" applyFill="1" applyBorder="1" applyAlignment="1">
      <alignment horizontal="right" vertical="center"/>
    </xf>
    <xf numFmtId="43" fontId="24" fillId="6" borderId="169" xfId="1" applyFont="1" applyFill="1" applyBorder="1" applyAlignment="1">
      <alignment horizontal="right" vertical="center"/>
    </xf>
    <xf numFmtId="3" fontId="25" fillId="22" borderId="169" xfId="4" applyNumberFormat="1" applyFont="1" applyFill="1" applyBorder="1" applyAlignment="1">
      <alignment horizontal="right" vertical="center"/>
    </xf>
    <xf numFmtId="3" fontId="29" fillId="0" borderId="169" xfId="4" applyNumberFormat="1" applyFont="1" applyFill="1" applyBorder="1" applyAlignment="1">
      <alignment horizontal="right" vertical="center"/>
    </xf>
    <xf numFmtId="43" fontId="29" fillId="0" borderId="169" xfId="4" applyNumberFormat="1" applyFont="1" applyFill="1" applyBorder="1" applyAlignment="1">
      <alignment horizontal="right" vertical="center"/>
    </xf>
    <xf numFmtId="43" fontId="29" fillId="0" borderId="169" xfId="1" applyFont="1" applyFill="1" applyBorder="1" applyAlignment="1">
      <alignment horizontal="right" vertical="center"/>
    </xf>
    <xf numFmtId="3" fontId="7" fillId="0" borderId="166" xfId="4" applyNumberFormat="1" applyFont="1" applyFill="1" applyBorder="1" applyAlignment="1">
      <alignment vertical="center"/>
    </xf>
    <xf numFmtId="43" fontId="7" fillId="0" borderId="0" xfId="4" applyNumberFormat="1" applyFont="1" applyFill="1" applyBorder="1" applyAlignment="1">
      <alignment horizontal="right" vertical="center"/>
    </xf>
    <xf numFmtId="43" fontId="33" fillId="0" borderId="169" xfId="1" applyNumberFormat="1" applyFont="1" applyFill="1" applyBorder="1" applyAlignment="1">
      <alignment vertical="center"/>
    </xf>
    <xf numFmtId="43" fontId="31" fillId="0" borderId="169" xfId="4" applyNumberFormat="1" applyFont="1" applyFill="1" applyBorder="1" applyAlignment="1">
      <alignment vertical="center"/>
    </xf>
    <xf numFmtId="43" fontId="7" fillId="0" borderId="160" xfId="1" applyNumberFormat="1" applyFont="1" applyFill="1" applyBorder="1" applyAlignment="1">
      <alignment horizontal="right" vertical="center"/>
    </xf>
    <xf numFmtId="41" fontId="31" fillId="25" borderId="150" xfId="4" applyNumberFormat="1" applyFont="1" applyFill="1" applyBorder="1" applyAlignment="1">
      <alignment horizontal="right" vertical="center"/>
    </xf>
    <xf numFmtId="43" fontId="24" fillId="6" borderId="9" xfId="1" applyNumberFormat="1" applyFont="1" applyFill="1" applyBorder="1" applyAlignment="1">
      <alignment vertical="center"/>
    </xf>
    <xf numFmtId="43" fontId="33" fillId="0" borderId="9" xfId="6" applyNumberFormat="1" applyFont="1" applyFill="1" applyBorder="1" applyAlignment="1">
      <alignment vertical="center"/>
    </xf>
    <xf numFmtId="43" fontId="33" fillId="0" borderId="9" xfId="1" applyNumberFormat="1" applyFont="1" applyFill="1" applyBorder="1" applyAlignment="1">
      <alignment vertical="center"/>
    </xf>
    <xf numFmtId="43" fontId="32" fillId="0" borderId="169" xfId="1" applyNumberFormat="1" applyFont="1" applyFill="1" applyBorder="1" applyAlignment="1">
      <alignment vertical="center"/>
    </xf>
    <xf numFmtId="43" fontId="32" fillId="0" borderId="169" xfId="6" applyNumberFormat="1" applyFont="1" applyFill="1" applyBorder="1" applyAlignment="1">
      <alignment vertical="center"/>
    </xf>
    <xf numFmtId="43" fontId="32" fillId="0" borderId="169" xfId="1" applyFont="1" applyFill="1" applyBorder="1" applyAlignment="1">
      <alignment vertical="center"/>
    </xf>
    <xf numFmtId="43" fontId="33" fillId="0" borderId="169" xfId="6" applyNumberFormat="1" applyFont="1" applyFill="1" applyBorder="1" applyAlignment="1">
      <alignment vertical="center"/>
    </xf>
    <xf numFmtId="43" fontId="33" fillId="0" borderId="169" xfId="1" applyFont="1" applyFill="1" applyBorder="1" applyAlignment="1">
      <alignment vertical="center"/>
    </xf>
    <xf numFmtId="43" fontId="31" fillId="0" borderId="126" xfId="4" applyNumberFormat="1" applyFont="1" applyFill="1" applyBorder="1" applyAlignment="1">
      <alignment vertical="center"/>
    </xf>
    <xf numFmtId="43" fontId="31" fillId="0" borderId="126" xfId="1" applyNumberFormat="1" applyFont="1" applyFill="1" applyBorder="1" applyAlignment="1">
      <alignment vertical="center"/>
    </xf>
    <xf numFmtId="43" fontId="7" fillId="0" borderId="72" xfId="4" applyNumberFormat="1" applyFont="1" applyFill="1" applyBorder="1" applyAlignment="1">
      <alignment horizontal="right" vertical="center"/>
    </xf>
    <xf numFmtId="43" fontId="7" fillId="0" borderId="112" xfId="4" applyNumberFormat="1" applyFont="1" applyFill="1" applyBorder="1" applyAlignment="1">
      <alignment horizontal="right" vertical="center"/>
    </xf>
    <xf numFmtId="43" fontId="7" fillId="0" borderId="72" xfId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horizontal="right" vertical="center"/>
    </xf>
    <xf numFmtId="3" fontId="25" fillId="22" borderId="149" xfId="4" applyNumberFormat="1" applyFont="1" applyFill="1" applyBorder="1" applyAlignment="1">
      <alignment horizontal="right" vertical="center"/>
    </xf>
    <xf numFmtId="3" fontId="29" fillId="2" borderId="158" xfId="4" applyNumberFormat="1" applyFont="1" applyFill="1" applyBorder="1" applyAlignment="1">
      <alignment vertical="center" wrapText="1"/>
    </xf>
    <xf numFmtId="3" fontId="27" fillId="2" borderId="150" xfId="4" applyNumberFormat="1" applyFont="1" applyFill="1" applyBorder="1" applyAlignment="1">
      <alignment vertical="center"/>
    </xf>
    <xf numFmtId="3" fontId="7" fillId="0" borderId="149" xfId="4" applyNumberFormat="1" applyFont="1" applyFill="1" applyBorder="1" applyAlignment="1">
      <alignment horizontal="right" vertical="center"/>
    </xf>
    <xf numFmtId="43" fontId="31" fillId="25" borderId="150" xfId="1" applyFont="1" applyFill="1" applyBorder="1" applyAlignment="1">
      <alignment horizontal="right" vertical="center"/>
    </xf>
    <xf numFmtId="3" fontId="31" fillId="0" borderId="149" xfId="4" applyNumberFormat="1" applyFont="1" applyFill="1" applyBorder="1" applyAlignment="1">
      <alignment horizontal="right" vertical="center"/>
    </xf>
    <xf numFmtId="0" fontId="29" fillId="2" borderId="158" xfId="4" applyFont="1" applyFill="1" applyBorder="1" applyAlignment="1">
      <alignment vertical="center"/>
    </xf>
    <xf numFmtId="0" fontId="7" fillId="0" borderId="156" xfId="4" applyFont="1" applyFill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43" fontId="31" fillId="0" borderId="126" xfId="1" applyFont="1" applyFill="1" applyBorder="1" applyAlignment="1">
      <alignment vertical="center"/>
    </xf>
    <xf numFmtId="3" fontId="25" fillId="8" borderId="76" xfId="4" applyNumberFormat="1" applyFont="1" applyFill="1" applyBorder="1" applyAlignment="1">
      <alignment vertical="center"/>
    </xf>
    <xf numFmtId="43" fontId="25" fillId="6" borderId="160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0" fontId="7" fillId="0" borderId="155" xfId="4" applyFont="1" applyFill="1" applyBorder="1" applyAlignment="1">
      <alignment vertical="center"/>
    </xf>
    <xf numFmtId="43" fontId="31" fillId="0" borderId="150" xfId="1" applyFont="1" applyFill="1" applyBorder="1" applyAlignment="1">
      <alignment horizontal="right" vertical="center"/>
    </xf>
    <xf numFmtId="3" fontId="31" fillId="0" borderId="150" xfId="4" applyNumberFormat="1" applyFont="1" applyFill="1" applyBorder="1" applyAlignment="1">
      <alignment horizontal="right" vertical="center"/>
    </xf>
    <xf numFmtId="43" fontId="7" fillId="0" borderId="151" xfId="1" applyFont="1" applyFill="1" applyBorder="1" applyAlignment="1">
      <alignment horizontal="right" vertical="center"/>
    </xf>
    <xf numFmtId="43" fontId="31" fillId="0" borderId="151" xfId="1" applyFont="1" applyFill="1" applyBorder="1" applyAlignment="1">
      <alignment horizontal="right" vertical="center"/>
    </xf>
    <xf numFmtId="3" fontId="31" fillId="0" borderId="151" xfId="4" applyNumberFormat="1" applyFont="1" applyFill="1" applyBorder="1" applyAlignment="1">
      <alignment horizontal="right" vertical="center"/>
    </xf>
    <xf numFmtId="0" fontId="27" fillId="2" borderId="155" xfId="4" applyFont="1" applyFill="1" applyBorder="1" applyAlignment="1">
      <alignment vertical="center"/>
    </xf>
    <xf numFmtId="43" fontId="33" fillId="0" borderId="160" xfId="1" applyFont="1" applyFill="1" applyBorder="1" applyAlignment="1">
      <alignment vertical="center"/>
    </xf>
    <xf numFmtId="43" fontId="24" fillId="6" borderId="160" xfId="1" applyFont="1" applyFill="1" applyBorder="1" applyAlignment="1">
      <alignment vertical="center"/>
    </xf>
    <xf numFmtId="3" fontId="24" fillId="26" borderId="104" xfId="4" applyNumberFormat="1" applyFont="1" applyFill="1" applyBorder="1" applyAlignment="1">
      <alignment horizontal="center" vertical="center"/>
    </xf>
    <xf numFmtId="43" fontId="32" fillId="0" borderId="9" xfId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5" fillId="6" borderId="150" xfId="4" applyNumberFormat="1" applyFont="1" applyFill="1" applyBorder="1" applyAlignment="1">
      <alignment horizontal="right" vertical="center"/>
    </xf>
    <xf numFmtId="43" fontId="25" fillId="6" borderId="150" xfId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0" fontId="31" fillId="0" borderId="155" xfId="4" applyFont="1" applyFill="1" applyBorder="1" applyAlignment="1">
      <alignment vertical="center"/>
    </xf>
    <xf numFmtId="43" fontId="31" fillId="0" borderId="151" xfId="1" applyFont="1" applyFill="1" applyBorder="1" applyAlignment="1">
      <alignment vertical="center"/>
    </xf>
    <xf numFmtId="0" fontId="31" fillId="2" borderId="21" xfId="4" applyFont="1" applyFill="1" applyBorder="1" applyAlignment="1">
      <alignment vertical="center"/>
    </xf>
    <xf numFmtId="0" fontId="31" fillId="0" borderId="124" xfId="4" applyFont="1" applyFill="1" applyBorder="1" applyAlignment="1">
      <alignment vertical="center"/>
    </xf>
    <xf numFmtId="43" fontId="31" fillId="0" borderId="160" xfId="1" applyFont="1" applyFill="1" applyBorder="1" applyAlignment="1">
      <alignment vertical="center"/>
    </xf>
    <xf numFmtId="3" fontId="24" fillId="32" borderId="150" xfId="4" applyNumberFormat="1" applyFont="1" applyFill="1" applyBorder="1" applyAlignment="1">
      <alignment vertical="center"/>
    </xf>
    <xf numFmtId="43" fontId="24" fillId="32" borderId="150" xfId="1" applyFont="1" applyFill="1" applyBorder="1" applyAlignment="1">
      <alignment vertical="center"/>
    </xf>
    <xf numFmtId="3" fontId="29" fillId="2" borderId="150" xfId="4" applyNumberFormat="1" applyFont="1" applyFill="1" applyBorder="1" applyAlignment="1">
      <alignment vertical="center"/>
    </xf>
    <xf numFmtId="43" fontId="29" fillId="2" borderId="150" xfId="1" applyFont="1" applyFill="1" applyBorder="1" applyAlignment="1">
      <alignment vertical="center"/>
    </xf>
    <xf numFmtId="0" fontId="24" fillId="13" borderId="19" xfId="4" applyFont="1" applyFill="1" applyBorder="1" applyAlignment="1">
      <alignment vertical="center" wrapText="1"/>
    </xf>
    <xf numFmtId="0" fontId="24" fillId="13" borderId="16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68" xfId="4" applyNumberFormat="1" applyFont="1" applyFill="1" applyBorder="1" applyAlignment="1">
      <alignment horizontal="right" vertical="center"/>
    </xf>
    <xf numFmtId="3" fontId="7" fillId="13" borderId="76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22" borderId="149" xfId="4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9" fillId="13" borderId="150" xfId="4" applyNumberFormat="1" applyFont="1" applyFill="1" applyBorder="1" applyAlignment="1">
      <alignment horizontal="right" vertical="center"/>
    </xf>
    <xf numFmtId="41" fontId="29" fillId="13" borderId="150" xfId="4" applyNumberFormat="1" applyFont="1" applyFill="1" applyBorder="1" applyAlignment="1">
      <alignment horizontal="right" vertical="center"/>
    </xf>
    <xf numFmtId="0" fontId="39" fillId="0" borderId="0" xfId="0" applyFont="1" applyFill="1" applyAlignment="1">
      <alignment vertical="center"/>
    </xf>
    <xf numFmtId="3" fontId="7" fillId="13" borderId="150" xfId="4" applyNumberFormat="1" applyFont="1" applyFill="1" applyBorder="1" applyAlignment="1">
      <alignment horizontal="right" vertical="center"/>
    </xf>
    <xf numFmtId="41" fontId="7" fillId="13" borderId="150" xfId="4" applyNumberFormat="1" applyFont="1" applyFill="1" applyBorder="1" applyAlignment="1">
      <alignment horizontal="right" vertical="center"/>
    </xf>
    <xf numFmtId="0" fontId="29" fillId="13" borderId="155" xfId="4" applyFont="1" applyFill="1" applyBorder="1" applyAlignment="1">
      <alignment vertical="center"/>
    </xf>
    <xf numFmtId="0" fontId="29" fillId="13" borderId="154" xfId="4" applyFont="1" applyFill="1" applyBorder="1" applyAlignment="1">
      <alignment vertical="center"/>
    </xf>
    <xf numFmtId="3" fontId="27" fillId="13" borderId="150" xfId="4" applyNumberFormat="1" applyFont="1" applyFill="1" applyBorder="1" applyAlignment="1">
      <alignment horizontal="right" vertical="center"/>
    </xf>
    <xf numFmtId="41" fontId="27" fillId="13" borderId="150" xfId="4" applyNumberFormat="1" applyFont="1" applyFill="1" applyBorder="1" applyAlignment="1">
      <alignment horizontal="right" vertical="center"/>
    </xf>
    <xf numFmtId="41" fontId="25" fillId="6" borderId="150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0" fontId="27" fillId="13" borderId="193" xfId="4" applyFont="1" applyFill="1" applyBorder="1" applyAlignment="1">
      <alignment vertical="center"/>
    </xf>
    <xf numFmtId="0" fontId="27" fillId="13" borderId="176" xfId="4" applyFont="1" applyFill="1" applyBorder="1" applyAlignment="1">
      <alignment vertical="center"/>
    </xf>
    <xf numFmtId="3" fontId="27" fillId="13" borderId="174" xfId="4" applyNumberFormat="1" applyFont="1" applyFill="1" applyBorder="1" applyAlignment="1">
      <alignment horizontal="right" vertical="center"/>
    </xf>
    <xf numFmtId="41" fontId="27" fillId="13" borderId="174" xfId="4" applyNumberFormat="1" applyFont="1" applyFill="1" applyBorder="1" applyAlignment="1">
      <alignment horizontal="right" vertical="center"/>
    </xf>
    <xf numFmtId="0" fontId="7" fillId="13" borderId="21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3" fontId="7" fillId="13" borderId="9" xfId="4" applyNumberFormat="1" applyFont="1" applyFill="1" applyBorder="1" applyAlignment="1">
      <alignment horizontal="right" vertical="center"/>
    </xf>
    <xf numFmtId="41" fontId="7" fillId="13" borderId="9" xfId="4" applyNumberFormat="1" applyFont="1" applyFill="1" applyBorder="1" applyAlignment="1">
      <alignment horizontal="right"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7" fillId="13" borderId="23" xfId="4" applyNumberFormat="1" applyFont="1" applyFill="1" applyBorder="1" applyAlignment="1">
      <alignment horizontal="right" vertical="center"/>
    </xf>
    <xf numFmtId="41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31" fillId="0" borderId="75" xfId="4" applyNumberFormat="1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31" fillId="0" borderId="50" xfId="4" applyNumberFormat="1" applyFont="1" applyFill="1" applyBorder="1" applyAlignment="1">
      <alignment vertical="center"/>
    </xf>
    <xf numFmtId="3" fontId="7" fillId="0" borderId="75" xfId="4" applyNumberFormat="1" applyFont="1" applyFill="1" applyBorder="1" applyAlignment="1">
      <alignment horizontal="right" vertical="center"/>
    </xf>
    <xf numFmtId="3" fontId="25" fillId="26" borderId="51" xfId="4" applyNumberFormat="1" applyFont="1" applyFill="1" applyBorder="1" applyAlignment="1">
      <alignment horizontal="center" vertical="center"/>
    </xf>
    <xf numFmtId="3" fontId="33" fillId="8" borderId="76" xfId="6" applyNumberFormat="1" applyFont="1" applyFill="1" applyBorder="1" applyAlignment="1">
      <alignment horizontal="right" vertical="center"/>
    </xf>
    <xf numFmtId="3" fontId="23" fillId="6" borderId="174" xfId="6" applyNumberFormat="1" applyFont="1" applyFill="1" applyBorder="1" applyAlignment="1">
      <alignment horizontal="right" vertical="center"/>
    </xf>
    <xf numFmtId="3" fontId="33" fillId="0" borderId="174" xfId="6" applyNumberFormat="1" applyFont="1" applyFill="1" applyBorder="1" applyAlignment="1">
      <alignment horizontal="right" vertical="center"/>
    </xf>
    <xf numFmtId="43" fontId="29" fillId="2" borderId="174" xfId="1" applyFont="1" applyFill="1" applyBorder="1" applyAlignment="1">
      <alignment vertical="center"/>
    </xf>
    <xf numFmtId="3" fontId="23" fillId="6" borderId="150" xfId="6" applyNumberFormat="1" applyFont="1" applyFill="1" applyBorder="1" applyAlignment="1">
      <alignment horizontal="right" vertical="center"/>
    </xf>
    <xf numFmtId="43" fontId="23" fillId="6" borderId="150" xfId="6" applyNumberFormat="1" applyFont="1" applyFill="1" applyBorder="1" applyAlignment="1">
      <alignment horizontal="right" vertical="center"/>
    </xf>
    <xf numFmtId="43" fontId="23" fillId="6" borderId="150" xfId="1" applyFont="1" applyFill="1" applyBorder="1" applyAlignment="1">
      <alignment horizontal="right" vertical="center"/>
    </xf>
    <xf numFmtId="3" fontId="33" fillId="0" borderId="150" xfId="6" applyNumberFormat="1" applyFont="1" applyFill="1" applyBorder="1" applyAlignment="1">
      <alignment horizontal="right" vertical="center"/>
    </xf>
    <xf numFmtId="43" fontId="33" fillId="0" borderId="150" xfId="6" applyNumberFormat="1" applyFont="1" applyFill="1" applyBorder="1" applyAlignment="1">
      <alignment horizontal="right" vertical="center"/>
    </xf>
    <xf numFmtId="43" fontId="33" fillId="0" borderId="150" xfId="1" applyFont="1" applyFill="1" applyBorder="1" applyAlignment="1">
      <alignment horizontal="right" vertical="center"/>
    </xf>
    <xf numFmtId="3" fontId="31" fillId="0" borderId="150" xfId="4" applyNumberFormat="1" applyFont="1" applyFill="1" applyBorder="1" applyAlignment="1">
      <alignment vertical="center"/>
    </xf>
    <xf numFmtId="43" fontId="31" fillId="0" borderId="150" xfId="4" applyNumberFormat="1" applyFont="1" applyFill="1" applyBorder="1" applyAlignment="1">
      <alignment horizontal="right" vertical="center"/>
    </xf>
    <xf numFmtId="43" fontId="31" fillId="0" borderId="151" xfId="1" applyNumberFormat="1" applyFont="1" applyFill="1" applyBorder="1" applyAlignment="1">
      <alignment horizontal="right" vertical="center"/>
    </xf>
    <xf numFmtId="43" fontId="31" fillId="25" borderId="150" xfId="4" applyNumberFormat="1" applyFont="1" applyFill="1" applyBorder="1" applyAlignment="1">
      <alignment horizontal="right" vertical="center"/>
    </xf>
    <xf numFmtId="43" fontId="33" fillId="0" borderId="150" xfId="6" applyNumberFormat="1" applyFont="1" applyFill="1" applyBorder="1" applyAlignment="1">
      <alignment vertical="center"/>
    </xf>
    <xf numFmtId="43" fontId="24" fillId="6" borderId="150" xfId="4" applyNumberFormat="1" applyFont="1" applyFill="1" applyBorder="1" applyAlignment="1">
      <alignment vertical="center"/>
    </xf>
    <xf numFmtId="43" fontId="33" fillId="0" borderId="150" xfId="1" applyNumberFormat="1" applyFont="1" applyFill="1" applyBorder="1" applyAlignment="1">
      <alignment horizontal="right" vertical="center"/>
    </xf>
    <xf numFmtId="43" fontId="29" fillId="2" borderId="9" xfId="1" applyFont="1" applyFill="1" applyBorder="1" applyAlignment="1">
      <alignment vertical="center"/>
    </xf>
    <xf numFmtId="43" fontId="29" fillId="2" borderId="150" xfId="4" applyNumberFormat="1" applyFont="1" applyFill="1" applyBorder="1" applyAlignment="1">
      <alignment vertical="center"/>
    </xf>
    <xf numFmtId="43" fontId="31" fillId="0" borderId="190" xfId="1" applyFont="1" applyFill="1" applyBorder="1" applyAlignment="1">
      <alignment vertical="center"/>
    </xf>
    <xf numFmtId="43" fontId="31" fillId="0" borderId="190" xfId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43" fontId="24" fillId="8" borderId="68" xfId="1" applyFont="1" applyFill="1" applyBorder="1" applyAlignment="1">
      <alignment horizontal="right" vertical="center"/>
    </xf>
    <xf numFmtId="3" fontId="23" fillId="6" borderId="99" xfId="6" applyNumberFormat="1" applyFont="1" applyFill="1" applyBorder="1" applyAlignment="1">
      <alignment horizontal="right" vertical="center"/>
    </xf>
    <xf numFmtId="43" fontId="23" fillId="6" borderId="99" xfId="1" applyFont="1" applyFill="1" applyBorder="1" applyAlignment="1">
      <alignment horizontal="right" vertical="center"/>
    </xf>
    <xf numFmtId="41" fontId="23" fillId="6" borderId="99" xfId="6" applyNumberFormat="1" applyFont="1" applyFill="1" applyBorder="1" applyAlignment="1">
      <alignment horizontal="right" vertical="center"/>
    </xf>
    <xf numFmtId="3" fontId="25" fillId="22" borderId="150" xfId="4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horizontal="right" vertical="center"/>
    </xf>
    <xf numFmtId="41" fontId="33" fillId="0" borderId="99" xfId="6" applyNumberFormat="1" applyFont="1" applyFill="1" applyBorder="1" applyAlignment="1">
      <alignment horizontal="right" vertical="center"/>
    </xf>
    <xf numFmtId="0" fontId="31" fillId="0" borderId="32" xfId="4" applyFont="1" applyFill="1" applyBorder="1" applyAlignment="1">
      <alignment vertical="center"/>
    </xf>
    <xf numFmtId="43" fontId="31" fillId="0" borderId="99" xfId="1" applyFont="1" applyFill="1" applyBorder="1" applyAlignment="1">
      <alignment horizontal="right" vertical="center"/>
    </xf>
    <xf numFmtId="3" fontId="31" fillId="0" borderId="99" xfId="4" applyNumberFormat="1" applyFont="1" applyFill="1" applyBorder="1" applyAlignment="1">
      <alignment horizontal="right" vertical="center"/>
    </xf>
    <xf numFmtId="41" fontId="31" fillId="0" borderId="99" xfId="4" applyNumberFormat="1" applyFont="1" applyFill="1" applyBorder="1" applyAlignment="1">
      <alignment horizontal="right" vertical="center"/>
    </xf>
    <xf numFmtId="41" fontId="31" fillId="0" borderId="150" xfId="4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vertical="center"/>
    </xf>
    <xf numFmtId="43" fontId="33" fillId="0" borderId="99" xfId="1" applyFont="1" applyFill="1" applyBorder="1" applyAlignment="1">
      <alignment vertical="center"/>
    </xf>
    <xf numFmtId="41" fontId="33" fillId="0" borderId="99" xfId="6" applyNumberFormat="1" applyFont="1" applyFill="1" applyBorder="1" applyAlignment="1">
      <alignment vertical="center"/>
    </xf>
    <xf numFmtId="0" fontId="31" fillId="0" borderId="106" xfId="4" applyFont="1" applyFill="1" applyBorder="1" applyAlignment="1">
      <alignment vertical="center"/>
    </xf>
    <xf numFmtId="3" fontId="24" fillId="6" borderId="99" xfId="4" applyNumberFormat="1" applyFont="1" applyFill="1" applyBorder="1" applyAlignment="1">
      <alignment vertical="center"/>
    </xf>
    <xf numFmtId="43" fontId="24" fillId="6" borderId="99" xfId="1" applyFont="1" applyFill="1" applyBorder="1" applyAlignment="1">
      <alignment vertical="center"/>
    </xf>
    <xf numFmtId="41" fontId="24" fillId="6" borderId="99" xfId="4" applyNumberFormat="1" applyFont="1" applyFill="1" applyBorder="1" applyAlignment="1">
      <alignment vertical="center"/>
    </xf>
    <xf numFmtId="3" fontId="27" fillId="2" borderId="99" xfId="4" applyNumberFormat="1" applyFont="1" applyFill="1" applyBorder="1" applyAlignment="1">
      <alignment vertical="center"/>
    </xf>
    <xf numFmtId="43" fontId="29" fillId="2" borderId="99" xfId="1" applyFont="1" applyFill="1" applyBorder="1" applyAlignment="1">
      <alignment vertical="center"/>
    </xf>
    <xf numFmtId="3" fontId="29" fillId="2" borderId="99" xfId="4" applyNumberFormat="1" applyFont="1" applyFill="1" applyBorder="1" applyAlignment="1">
      <alignment vertical="center"/>
    </xf>
    <xf numFmtId="41" fontId="29" fillId="2" borderId="99" xfId="4" applyNumberFormat="1" applyFont="1" applyFill="1" applyBorder="1" applyAlignment="1">
      <alignment vertical="center"/>
    </xf>
    <xf numFmtId="0" fontId="31" fillId="0" borderId="80" xfId="4" applyFont="1" applyFill="1" applyBorder="1" applyAlignment="1">
      <alignment vertical="center"/>
    </xf>
    <xf numFmtId="43" fontId="23" fillId="6" borderId="174" xfId="1" applyFont="1" applyFill="1" applyBorder="1" applyAlignment="1">
      <alignment horizontal="right" vertical="center"/>
    </xf>
    <xf numFmtId="43" fontId="33" fillId="0" borderId="174" xfId="1" applyFont="1" applyFill="1" applyBorder="1" applyAlignment="1">
      <alignment horizontal="right" vertical="center"/>
    </xf>
    <xf numFmtId="3" fontId="31" fillId="25" borderId="151" xfId="4" applyNumberFormat="1" applyFont="1" applyFill="1" applyBorder="1" applyAlignment="1">
      <alignment horizontal="right" vertical="center"/>
    </xf>
    <xf numFmtId="3" fontId="18" fillId="0" borderId="43" xfId="4" applyNumberFormat="1" applyFont="1" applyFill="1" applyBorder="1" applyAlignment="1">
      <alignment vertical="center" wrapText="1"/>
    </xf>
    <xf numFmtId="3" fontId="32" fillId="0" borderId="20" xfId="0" applyNumberFormat="1" applyFont="1" applyBorder="1" applyAlignment="1">
      <alignment horizontal="center" vertical="center"/>
    </xf>
    <xf numFmtId="41" fontId="29" fillId="2" borderId="174" xfId="4" applyNumberFormat="1" applyFont="1" applyFill="1" applyBorder="1" applyAlignment="1">
      <alignment vertical="center"/>
    </xf>
    <xf numFmtId="41" fontId="31" fillId="0" borderId="185" xfId="4" applyNumberFormat="1" applyFont="1" applyFill="1" applyBorder="1" applyAlignment="1">
      <alignment vertical="center"/>
    </xf>
    <xf numFmtId="3" fontId="8" fillId="0" borderId="185" xfId="4" applyNumberFormat="1" applyFont="1" applyFill="1" applyBorder="1" applyAlignment="1">
      <alignment horizontal="right" vertical="center"/>
    </xf>
    <xf numFmtId="3" fontId="8" fillId="0" borderId="127" xfId="4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3" fontId="24" fillId="6" borderId="29" xfId="0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3" fontId="27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29" fillId="13" borderId="34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60" fillId="0" borderId="0" xfId="0" applyFont="1" applyAlignment="1">
      <alignment vertical="center"/>
    </xf>
    <xf numFmtId="3" fontId="7" fillId="13" borderId="78" xfId="4" applyNumberFormat="1" applyFont="1" applyFill="1" applyBorder="1" applyAlignment="1">
      <alignment vertical="center" wrapText="1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7" fillId="13" borderId="28" xfId="4" applyFont="1" applyFill="1" applyBorder="1" applyAlignment="1">
      <alignment horizontal="left" vertical="center"/>
    </xf>
    <xf numFmtId="0" fontId="29" fillId="13" borderId="36" xfId="4" applyFont="1" applyFill="1" applyBorder="1" applyAlignment="1">
      <alignment vertical="center"/>
    </xf>
    <xf numFmtId="3" fontId="29" fillId="13" borderId="9" xfId="4" applyNumberFormat="1" applyFont="1" applyFill="1" applyBorder="1" applyAlignment="1">
      <alignment horizontal="right"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7" xfId="4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18" fillId="27" borderId="41" xfId="4" applyNumberFormat="1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left" vertical="center" wrapText="1"/>
    </xf>
    <xf numFmtId="3" fontId="24" fillId="8" borderId="4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8" borderId="3" xfId="0" applyNumberFormat="1" applyFont="1" applyFill="1" applyBorder="1" applyAlignment="1">
      <alignment vertical="center"/>
    </xf>
    <xf numFmtId="3" fontId="24" fillId="8" borderId="68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33" fillId="0" borderId="29" xfId="6" applyNumberFormat="1" applyFont="1" applyFill="1" applyBorder="1" applyAlignment="1">
      <alignment vertical="center"/>
    </xf>
    <xf numFmtId="3" fontId="29" fillId="0" borderId="29" xfId="4" applyNumberFormat="1" applyFont="1" applyFill="1" applyBorder="1" applyAlignment="1">
      <alignment horizontal="right" vertical="center"/>
    </xf>
    <xf numFmtId="0" fontId="7" fillId="0" borderId="33" xfId="4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0" fontId="60" fillId="2" borderId="0" xfId="0" applyFont="1" applyFill="1" applyAlignment="1">
      <alignment vertical="center"/>
    </xf>
    <xf numFmtId="3" fontId="31" fillId="2" borderId="63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3" fontId="31" fillId="2" borderId="69" xfId="4" applyNumberFormat="1" applyFont="1" applyFill="1" applyBorder="1" applyAlignment="1">
      <alignment vertical="center"/>
    </xf>
    <xf numFmtId="3" fontId="27" fillId="2" borderId="69" xfId="4" applyNumberFormat="1" applyFont="1" applyFill="1" applyBorder="1" applyAlignment="1">
      <alignment vertical="center"/>
    </xf>
    <xf numFmtId="3" fontId="31" fillId="0" borderId="69" xfId="0" applyNumberFormat="1" applyFont="1" applyFill="1" applyBorder="1" applyAlignment="1">
      <alignment horizontal="right" vertical="center"/>
    </xf>
    <xf numFmtId="3" fontId="31" fillId="0" borderId="73" xfId="0" applyNumberFormat="1" applyFont="1" applyFill="1" applyBorder="1" applyAlignment="1">
      <alignment horizontal="right" vertical="center"/>
    </xf>
    <xf numFmtId="3" fontId="31" fillId="0" borderId="72" xfId="0" applyNumberFormat="1" applyFont="1" applyFill="1" applyBorder="1" applyAlignment="1">
      <alignment horizontal="right" vertical="center"/>
    </xf>
    <xf numFmtId="3" fontId="18" fillId="0" borderId="41" xfId="4" applyNumberFormat="1" applyFont="1" applyFill="1" applyBorder="1" applyAlignment="1">
      <alignment horizontal="center" vertical="center" wrapText="1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0" fontId="31" fillId="0" borderId="78" xfId="4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31" fillId="0" borderId="70" xfId="4" applyNumberFormat="1" applyFont="1" applyFill="1" applyBorder="1" applyAlignment="1">
      <alignment vertical="center"/>
    </xf>
    <xf numFmtId="0" fontId="24" fillId="27" borderId="5" xfId="4" applyFont="1" applyFill="1" applyBorder="1" applyAlignment="1">
      <alignment vertical="center" wrapText="1"/>
    </xf>
    <xf numFmtId="0" fontId="7" fillId="27" borderId="14" xfId="4" applyFont="1" applyFill="1" applyBorder="1" applyAlignment="1">
      <alignment vertical="center"/>
    </xf>
    <xf numFmtId="3" fontId="7" fillId="27" borderId="68" xfId="4" applyNumberFormat="1" applyFont="1" applyFill="1" applyBorder="1" applyAlignment="1">
      <alignment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9" fillId="27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0" fontId="7" fillId="27" borderId="32" xfId="4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32" xfId="4" applyNumberFormat="1" applyFont="1" applyFill="1" applyBorder="1" applyAlignment="1">
      <alignment vertical="center" wrapText="1"/>
    </xf>
    <xf numFmtId="3" fontId="29" fillId="13" borderId="28" xfId="4" applyNumberFormat="1" applyFont="1" applyFill="1" applyBorder="1" applyAlignment="1">
      <alignment horizontal="right" vertical="center"/>
    </xf>
    <xf numFmtId="0" fontId="27" fillId="13" borderId="21" xfId="4" applyFont="1" applyFill="1" applyBorder="1" applyAlignment="1">
      <alignment vertical="center"/>
    </xf>
    <xf numFmtId="43" fontId="25" fillId="6" borderId="174" xfId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6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7" xfId="4" applyFont="1" applyFill="1" applyBorder="1" applyAlignment="1">
      <alignment horizontal="right" vertical="center" wrapText="1"/>
    </xf>
    <xf numFmtId="3" fontId="27" fillId="50" borderId="16" xfId="4" applyNumberFormat="1" applyFont="1" applyFill="1" applyBorder="1" applyAlignment="1">
      <alignment horizontal="left" vertical="center"/>
    </xf>
    <xf numFmtId="3" fontId="7" fillId="8" borderId="42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27" fillId="50" borderId="6" xfId="4" applyNumberFormat="1" applyFont="1" applyFill="1" applyBorder="1" applyAlignment="1">
      <alignment horizontal="center" vertical="center"/>
    </xf>
    <xf numFmtId="3" fontId="7" fillId="8" borderId="43" xfId="4" applyNumberFormat="1" applyFont="1" applyFill="1" applyBorder="1" applyAlignment="1">
      <alignment vertical="center" wrapText="1"/>
    </xf>
    <xf numFmtId="0" fontId="28" fillId="50" borderId="20" xfId="0" quotePrefix="1" applyFont="1" applyFill="1" applyBorder="1" applyAlignment="1">
      <alignment horizontal="center" vertical="center"/>
    </xf>
    <xf numFmtId="3" fontId="27" fillId="50" borderId="9" xfId="0" quotePrefix="1" applyNumberFormat="1" applyFont="1" applyFill="1" applyBorder="1" applyAlignment="1">
      <alignment horizontal="right" vertical="center"/>
    </xf>
    <xf numFmtId="41" fontId="27" fillId="50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179" xfId="4" applyNumberFormat="1" applyFont="1" applyFill="1" applyBorder="1" applyAlignment="1">
      <alignment vertical="center" wrapText="1"/>
    </xf>
    <xf numFmtId="3" fontId="29" fillId="8" borderId="194" xfId="4" applyNumberFormat="1" applyFont="1" applyFill="1" applyBorder="1" applyAlignment="1">
      <alignment vertical="center" wrapText="1"/>
    </xf>
    <xf numFmtId="41" fontId="29" fillId="8" borderId="175" xfId="4" applyNumberFormat="1" applyFont="1" applyFill="1" applyBorder="1" applyAlignment="1">
      <alignment horizontal="right" vertical="center"/>
    </xf>
    <xf numFmtId="0" fontId="7" fillId="8" borderId="43" xfId="4" applyFont="1" applyFill="1" applyBorder="1" applyAlignment="1">
      <alignment horizontal="center" vertical="center"/>
    </xf>
    <xf numFmtId="3" fontId="62" fillId="0" borderId="0" xfId="0" applyNumberFormat="1" applyFont="1" applyAlignment="1">
      <alignment vertical="center"/>
    </xf>
    <xf numFmtId="0" fontId="62" fillId="0" borderId="0" xfId="0" applyFont="1" applyAlignment="1">
      <alignment vertical="center"/>
    </xf>
    <xf numFmtId="3" fontId="7" fillId="8" borderId="174" xfId="4" applyNumberFormat="1" applyFont="1" applyFill="1" applyBorder="1" applyAlignment="1">
      <alignment horizontal="right" vertical="center"/>
    </xf>
    <xf numFmtId="41" fontId="7" fillId="8" borderId="174" xfId="4" applyNumberFormat="1" applyFont="1" applyFill="1" applyBorder="1" applyAlignment="1">
      <alignment horizontal="right" vertical="center"/>
    </xf>
    <xf numFmtId="0" fontId="7" fillId="8" borderId="173" xfId="4" applyFont="1" applyFill="1" applyBorder="1" applyAlignment="1">
      <alignment vertical="center"/>
    </xf>
    <xf numFmtId="3" fontId="7" fillId="8" borderId="128" xfId="4" applyNumberFormat="1" applyFont="1" applyFill="1" applyBorder="1" applyAlignment="1">
      <alignment vertical="center" wrapText="1"/>
    </xf>
    <xf numFmtId="41" fontId="32" fillId="8" borderId="191" xfId="6" applyNumberFormat="1" applyFont="1" applyFill="1" applyBorder="1" applyAlignment="1">
      <alignment vertical="center"/>
    </xf>
    <xf numFmtId="3" fontId="24" fillId="8" borderId="76" xfId="0" applyNumberFormat="1" applyFont="1" applyFill="1" applyBorder="1" applyAlignment="1">
      <alignment vertical="center"/>
    </xf>
    <xf numFmtId="3" fontId="24" fillId="8" borderId="18" xfId="0" applyNumberFormat="1" applyFont="1" applyFill="1" applyBorder="1" applyAlignment="1">
      <alignment vertical="center"/>
    </xf>
    <xf numFmtId="3" fontId="24" fillId="8" borderId="17" xfId="0" applyNumberFormat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3" fontId="24" fillId="6" borderId="175" xfId="0" applyNumberFormat="1" applyFont="1" applyFill="1" applyBorder="1" applyAlignment="1">
      <alignment horizontal="right" vertical="center"/>
    </xf>
    <xf numFmtId="3" fontId="29" fillId="0" borderId="175" xfId="0" applyNumberFormat="1" applyFont="1" applyFill="1" applyBorder="1" applyAlignment="1">
      <alignment horizontal="right" vertical="center"/>
    </xf>
    <xf numFmtId="3" fontId="7" fillId="0" borderId="175" xfId="0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3" fontId="29" fillId="2" borderId="182" xfId="4" applyNumberFormat="1" applyFont="1" applyFill="1" applyBorder="1" applyAlignment="1">
      <alignment vertical="center" wrapText="1"/>
    </xf>
    <xf numFmtId="3" fontId="29" fillId="0" borderId="175" xfId="4" applyNumberFormat="1" applyFont="1" applyFill="1" applyBorder="1" applyAlignment="1">
      <alignment vertical="center"/>
    </xf>
    <xf numFmtId="3" fontId="27" fillId="0" borderId="175" xfId="4" applyNumberFormat="1" applyFont="1" applyFill="1" applyBorder="1" applyAlignment="1">
      <alignment vertical="center"/>
    </xf>
    <xf numFmtId="3" fontId="7" fillId="0" borderId="10" xfId="4" applyNumberFormat="1" applyFont="1" applyFill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43" fontId="31" fillId="0" borderId="10" xfId="1" applyFont="1" applyFill="1" applyBorder="1" applyAlignment="1">
      <alignment vertical="center"/>
    </xf>
    <xf numFmtId="3" fontId="7" fillId="8" borderId="9" xfId="4" applyNumberFormat="1" applyFont="1" applyFill="1" applyBorder="1" applyAlignment="1">
      <alignment horizontal="right"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0" fontId="25" fillId="6" borderId="34" xfId="4" applyFont="1" applyFill="1" applyBorder="1" applyAlignment="1">
      <alignment horizontal="left" vertical="center"/>
    </xf>
    <xf numFmtId="3" fontId="25" fillId="6" borderId="9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25" fillId="22" borderId="69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0" fontId="7" fillId="0" borderId="80" xfId="4" applyFont="1" applyFill="1" applyBorder="1" applyAlignment="1">
      <alignment vertical="center"/>
    </xf>
    <xf numFmtId="3" fontId="32" fillId="0" borderId="70" xfId="6" applyNumberFormat="1" applyFont="1" applyFill="1" applyBorder="1" applyAlignment="1">
      <alignment vertical="center"/>
    </xf>
    <xf numFmtId="3" fontId="7" fillId="0" borderId="62" xfId="4" applyNumberFormat="1" applyFont="1" applyFill="1" applyBorder="1" applyAlignment="1">
      <alignment horizontal="right" vertical="center"/>
    </xf>
    <xf numFmtId="3" fontId="7" fillId="0" borderId="63" xfId="4" applyNumberFormat="1" applyFont="1" applyFill="1" applyBorder="1" applyAlignment="1">
      <alignment horizontal="right" vertical="center"/>
    </xf>
    <xf numFmtId="3" fontId="31" fillId="25" borderId="62" xfId="4" applyNumberFormat="1" applyFont="1" applyFill="1" applyBorder="1" applyAlignment="1">
      <alignment horizontal="right" vertical="center"/>
    </xf>
    <xf numFmtId="3" fontId="25" fillId="6" borderId="169" xfId="4" applyNumberFormat="1" applyFont="1" applyFill="1" applyBorder="1" applyAlignment="1">
      <alignment horizontal="right" vertical="center"/>
    </xf>
    <xf numFmtId="3" fontId="27" fillId="0" borderId="169" xfId="4" applyNumberFormat="1" applyFont="1" applyFill="1" applyBorder="1" applyAlignment="1">
      <alignment horizontal="right" vertical="center"/>
    </xf>
    <xf numFmtId="3" fontId="31" fillId="0" borderId="169" xfId="4" applyNumberFormat="1" applyFont="1" applyFill="1" applyBorder="1" applyAlignment="1">
      <alignment horizontal="right" vertical="center"/>
    </xf>
    <xf numFmtId="43" fontId="31" fillId="0" borderId="126" xfId="1" applyFont="1" applyFill="1" applyBorder="1" applyAlignment="1">
      <alignment horizontal="right" vertical="center"/>
    </xf>
    <xf numFmtId="3" fontId="62" fillId="8" borderId="76" xfId="6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24" fillId="6" borderId="174" xfId="0" applyNumberFormat="1" applyFont="1" applyFill="1" applyBorder="1" applyAlignment="1">
      <alignment horizontal="right" vertical="center"/>
    </xf>
    <xf numFmtId="3" fontId="29" fillId="0" borderId="27" xfId="0" applyNumberFormat="1" applyFont="1" applyFill="1" applyBorder="1" applyAlignment="1">
      <alignment horizontal="right" vertical="center"/>
    </xf>
    <xf numFmtId="3" fontId="7" fillId="0" borderId="126" xfId="4" applyNumberFormat="1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0" fontId="24" fillId="8" borderId="45" xfId="0" applyFont="1" applyFill="1" applyBorder="1" applyAlignment="1">
      <alignment horizontal="left" vertical="center" wrapText="1"/>
    </xf>
    <xf numFmtId="41" fontId="24" fillId="6" borderId="30" xfId="0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41" fontId="29" fillId="0" borderId="30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41" fontId="7" fillId="0" borderId="185" xfId="0" applyNumberFormat="1" applyFont="1" applyFill="1" applyBorder="1" applyAlignment="1">
      <alignment horizontal="right" vertical="center"/>
    </xf>
    <xf numFmtId="41" fontId="7" fillId="0" borderId="191" xfId="0" applyNumberFormat="1" applyFont="1" applyFill="1" applyBorder="1" applyAlignment="1">
      <alignment horizontal="right" vertical="center"/>
    </xf>
    <xf numFmtId="3" fontId="7" fillId="0" borderId="191" xfId="0" applyNumberFormat="1" applyFont="1" applyFill="1" applyBorder="1" applyAlignment="1">
      <alignment horizontal="right" vertical="center"/>
    </xf>
    <xf numFmtId="3" fontId="31" fillId="25" borderId="175" xfId="4" applyNumberFormat="1" applyFont="1" applyFill="1" applyBorder="1" applyAlignment="1">
      <alignment horizontal="right" vertical="center"/>
    </xf>
    <xf numFmtId="3" fontId="23" fillId="6" borderId="29" xfId="6" applyNumberFormat="1" applyFont="1" applyFill="1" applyBorder="1" applyAlignment="1">
      <alignment horizontal="right" vertical="center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0" fontId="7" fillId="0" borderId="32" xfId="4" applyFont="1" applyFill="1" applyBorder="1" applyAlignment="1">
      <alignment horizontal="left" vertical="center"/>
    </xf>
    <xf numFmtId="3" fontId="31" fillId="0" borderId="29" xfId="4" applyNumberFormat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horizontal="right" vertical="center"/>
    </xf>
    <xf numFmtId="3" fontId="18" fillId="0" borderId="46" xfId="4" applyNumberFormat="1" applyFont="1" applyFill="1" applyBorder="1" applyAlignment="1">
      <alignment horizontal="center" vertical="center" wrapText="1"/>
    </xf>
    <xf numFmtId="0" fontId="7" fillId="0" borderId="180" xfId="4" applyFont="1" applyFill="1" applyBorder="1" applyAlignment="1">
      <alignment horizontal="left" vertical="center"/>
    </xf>
    <xf numFmtId="0" fontId="25" fillId="8" borderId="193" xfId="4" applyFont="1" applyFill="1" applyBorder="1" applyAlignment="1">
      <alignment horizontal="left" vertical="center" wrapText="1"/>
    </xf>
    <xf numFmtId="3" fontId="24" fillId="8" borderId="183" xfId="4" applyNumberFormat="1" applyFont="1" applyFill="1" applyBorder="1" applyAlignment="1">
      <alignment horizontal="right" vertical="center"/>
    </xf>
    <xf numFmtId="3" fontId="24" fillId="8" borderId="174" xfId="4" applyNumberFormat="1" applyFont="1" applyFill="1" applyBorder="1" applyAlignment="1">
      <alignment horizontal="right" vertical="center"/>
    </xf>
    <xf numFmtId="0" fontId="31" fillId="0" borderId="193" xfId="4" applyFont="1" applyFill="1" applyBorder="1" applyAlignment="1">
      <alignment horizontal="left" vertical="center"/>
    </xf>
    <xf numFmtId="3" fontId="7" fillId="0" borderId="160" xfId="0" applyNumberFormat="1" applyFont="1" applyFill="1" applyBorder="1" applyAlignment="1">
      <alignment horizontal="right" vertical="center"/>
    </xf>
    <xf numFmtId="0" fontId="31" fillId="0" borderId="74" xfId="4" applyFont="1" applyFill="1" applyBorder="1" applyAlignment="1">
      <alignment horizontal="left" vertical="center"/>
    </xf>
    <xf numFmtId="43" fontId="31" fillId="0" borderId="191" xfId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0" fontId="7" fillId="0" borderId="193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horizontal="lef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4" fillId="22" borderId="150" xfId="4" applyNumberFormat="1" applyFont="1" applyFill="1" applyBorder="1" applyAlignment="1">
      <alignment horizontal="right" vertical="center"/>
    </xf>
    <xf numFmtId="0" fontId="7" fillId="0" borderId="124" xfId="4" applyFont="1" applyFill="1" applyBorder="1" applyAlignment="1">
      <alignment horizontal="left" vertical="center"/>
    </xf>
    <xf numFmtId="3" fontId="31" fillId="0" borderId="191" xfId="4" applyNumberFormat="1" applyFont="1" applyFill="1" applyBorder="1" applyAlignment="1">
      <alignment horizontal="right" vertical="center"/>
    </xf>
    <xf numFmtId="3" fontId="7" fillId="25" borderId="150" xfId="4" applyNumberFormat="1" applyFont="1" applyFill="1" applyBorder="1" applyAlignment="1">
      <alignment horizontal="right" vertical="center"/>
    </xf>
    <xf numFmtId="43" fontId="24" fillId="8" borderId="17" xfId="1" applyFont="1" applyFill="1" applyBorder="1" applyAlignment="1">
      <alignment horizontal="right" vertical="center"/>
    </xf>
    <xf numFmtId="3" fontId="24" fillId="22" borderId="174" xfId="4" applyNumberFormat="1" applyFont="1" applyFill="1" applyBorder="1" applyAlignment="1">
      <alignment horizontal="right" vertical="center"/>
    </xf>
    <xf numFmtId="0" fontId="31" fillId="0" borderId="115" xfId="4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23" fillId="6" borderId="175" xfId="6" applyNumberFormat="1" applyFont="1" applyFill="1" applyBorder="1" applyAlignment="1">
      <alignment horizontal="right" vertical="center"/>
    </xf>
    <xf numFmtId="43" fontId="23" fillId="6" borderId="175" xfId="1" applyFont="1" applyFill="1" applyBorder="1" applyAlignment="1">
      <alignment horizontal="right" vertical="center"/>
    </xf>
    <xf numFmtId="3" fontId="31" fillId="2" borderId="124" xfId="4" applyNumberFormat="1" applyFont="1" applyFill="1" applyBorder="1" applyAlignment="1">
      <alignment vertical="center" wrapText="1"/>
    </xf>
    <xf numFmtId="43" fontId="33" fillId="0" borderId="151" xfId="1" applyFont="1" applyFill="1" applyBorder="1" applyAlignment="1">
      <alignment horizontal="right" vertical="center"/>
    </xf>
    <xf numFmtId="3" fontId="31" fillId="0" borderId="112" xfId="4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23" fillId="0" borderId="71" xfId="0" applyFont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0" fontId="23" fillId="0" borderId="6" xfId="0" applyFont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horizontal="right" vertical="center"/>
    </xf>
    <xf numFmtId="0" fontId="31" fillId="0" borderId="32" xfId="4" applyFont="1" applyFill="1" applyBorder="1" applyAlignment="1">
      <alignment horizontal="left" vertical="center"/>
    </xf>
    <xf numFmtId="3" fontId="31" fillId="0" borderId="149" xfId="4" applyNumberFormat="1" applyFont="1" applyFill="1" applyBorder="1" applyAlignment="1">
      <alignment vertical="center"/>
    </xf>
    <xf numFmtId="3" fontId="31" fillId="0" borderId="61" xfId="4" applyNumberFormat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31" fillId="0" borderId="29" xfId="1" applyFont="1" applyFill="1" applyBorder="1" applyAlignment="1">
      <alignment horizontal="right" vertical="center"/>
    </xf>
    <xf numFmtId="43" fontId="27" fillId="0" borderId="69" xfId="1" applyFont="1" applyFill="1" applyBorder="1" applyAlignment="1">
      <alignment horizontal="right" vertical="center"/>
    </xf>
    <xf numFmtId="43" fontId="27" fillId="0" borderId="30" xfId="1" applyFont="1" applyFill="1" applyBorder="1" applyAlignment="1">
      <alignment horizontal="right" vertical="center"/>
    </xf>
    <xf numFmtId="43" fontId="31" fillId="0" borderId="73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3" fontId="31" fillId="0" borderId="30" xfId="4" applyNumberFormat="1" applyFont="1" applyFill="1" applyBorder="1" applyAlignment="1">
      <alignment horizontal="right" vertical="center"/>
    </xf>
    <xf numFmtId="3" fontId="33" fillId="0" borderId="69" xfId="6" applyNumberFormat="1" applyFont="1" applyFill="1" applyBorder="1" applyAlignment="1">
      <alignment vertical="center"/>
    </xf>
    <xf numFmtId="43" fontId="31" fillId="0" borderId="70" xfId="1" applyFont="1" applyFill="1" applyBorder="1" applyAlignment="1">
      <alignment horizontal="right" vertical="center"/>
    </xf>
    <xf numFmtId="3" fontId="31" fillId="0" borderId="70" xfId="4" applyNumberFormat="1" applyFont="1" applyFill="1" applyBorder="1" applyAlignment="1">
      <alignment horizontal="right" vertical="center"/>
    </xf>
    <xf numFmtId="3" fontId="31" fillId="25" borderId="191" xfId="4" applyNumberFormat="1" applyFont="1" applyFill="1" applyBorder="1" applyAlignment="1">
      <alignment horizontal="right" vertical="center"/>
    </xf>
    <xf numFmtId="43" fontId="31" fillId="0" borderId="186" xfId="1" applyFont="1" applyFill="1" applyBorder="1" applyAlignment="1">
      <alignment horizontal="right" vertical="center"/>
    </xf>
    <xf numFmtId="3" fontId="31" fillId="0" borderId="186" xfId="4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43" fontId="23" fillId="6" borderId="9" xfId="1" applyFont="1" applyFill="1" applyBorder="1" applyAlignment="1">
      <alignment horizontal="right" vertical="center"/>
    </xf>
    <xf numFmtId="3" fontId="31" fillId="0" borderId="126" xfId="4" applyNumberFormat="1" applyFont="1" applyFill="1" applyBorder="1" applyAlignment="1">
      <alignment horizontal="right" vertical="center"/>
    </xf>
    <xf numFmtId="3" fontId="24" fillId="23" borderId="76" xfId="4" applyNumberFormat="1" applyFont="1" applyFill="1" applyBorder="1" applyAlignment="1">
      <alignment horizontal="right" vertical="center"/>
    </xf>
    <xf numFmtId="3" fontId="25" fillId="22" borderId="165" xfId="4" applyNumberFormat="1" applyFont="1" applyFill="1" applyBorder="1" applyAlignment="1">
      <alignment horizontal="right" vertical="center"/>
    </xf>
    <xf numFmtId="3" fontId="25" fillId="6" borderId="165" xfId="4" applyNumberFormat="1" applyFont="1" applyFill="1" applyBorder="1" applyAlignment="1">
      <alignment horizontal="right" vertical="center"/>
    </xf>
    <xf numFmtId="3" fontId="24" fillId="6" borderId="165" xfId="4" applyNumberFormat="1" applyFont="1" applyFill="1" applyBorder="1" applyAlignment="1">
      <alignment vertical="center"/>
    </xf>
    <xf numFmtId="41" fontId="23" fillId="6" borderId="174" xfId="6" applyNumberFormat="1" applyFont="1" applyFill="1" applyBorder="1" applyAlignment="1">
      <alignment horizontal="right" vertical="center"/>
    </xf>
    <xf numFmtId="41" fontId="33" fillId="0" borderId="174" xfId="6" applyNumberFormat="1" applyFont="1" applyFill="1" applyBorder="1" applyAlignment="1">
      <alignment horizontal="right" vertical="center"/>
    </xf>
    <xf numFmtId="41" fontId="31" fillId="0" borderId="186" xfId="4" applyNumberFormat="1" applyFont="1" applyFill="1" applyBorder="1" applyAlignment="1">
      <alignment horizontal="right" vertical="center"/>
    </xf>
    <xf numFmtId="41" fontId="31" fillId="0" borderId="127" xfId="4" applyNumberFormat="1" applyFont="1" applyFill="1" applyBorder="1" applyAlignment="1">
      <alignment horizontal="right" vertical="center"/>
    </xf>
    <xf numFmtId="41" fontId="31" fillId="0" borderId="185" xfId="4" applyNumberFormat="1" applyFont="1" applyFill="1" applyBorder="1" applyAlignment="1">
      <alignment horizontal="right" vertical="center"/>
    </xf>
    <xf numFmtId="43" fontId="23" fillId="6" borderId="174" xfId="6" applyNumberFormat="1" applyFont="1" applyFill="1" applyBorder="1" applyAlignment="1">
      <alignment horizontal="right" vertical="center"/>
    </xf>
    <xf numFmtId="43" fontId="33" fillId="0" borderId="174" xfId="6" applyNumberFormat="1" applyFont="1" applyFill="1" applyBorder="1" applyAlignment="1">
      <alignment horizontal="right" vertical="center"/>
    </xf>
    <xf numFmtId="43" fontId="31" fillId="0" borderId="174" xfId="4" applyNumberFormat="1" applyFont="1" applyFill="1" applyBorder="1" applyAlignment="1">
      <alignment horizontal="right" vertical="center"/>
    </xf>
    <xf numFmtId="43" fontId="31" fillId="0" borderId="183" xfId="4" applyNumberFormat="1" applyFont="1" applyFill="1" applyBorder="1" applyAlignment="1">
      <alignment horizontal="right" vertical="center"/>
    </xf>
    <xf numFmtId="43" fontId="23" fillId="6" borderId="9" xfId="6" applyNumberFormat="1" applyFont="1" applyFill="1" applyBorder="1" applyAlignment="1">
      <alignment horizontal="right" vertical="center"/>
    </xf>
    <xf numFmtId="43" fontId="7" fillId="0" borderId="191" xfId="0" applyNumberFormat="1" applyFont="1" applyFill="1" applyBorder="1" applyAlignment="1">
      <alignment horizontal="right" vertical="center"/>
    </xf>
    <xf numFmtId="43" fontId="31" fillId="0" borderId="191" xfId="1" applyNumberFormat="1" applyFont="1" applyFill="1" applyBorder="1" applyAlignment="1">
      <alignment horizontal="right" vertical="center"/>
    </xf>
    <xf numFmtId="0" fontId="32" fillId="0" borderId="185" xfId="0" applyFont="1" applyBorder="1"/>
    <xf numFmtId="0" fontId="0" fillId="0" borderId="160" xfId="0" applyFont="1" applyBorder="1" applyAlignment="1">
      <alignment vertical="center"/>
    </xf>
    <xf numFmtId="0" fontId="38" fillId="57" borderId="175" xfId="4" applyFont="1" applyFill="1" applyBorder="1" applyAlignment="1">
      <alignment vertical="center"/>
    </xf>
    <xf numFmtId="0" fontId="38" fillId="52" borderId="175" xfId="4" applyFont="1" applyFill="1" applyBorder="1" applyAlignment="1">
      <alignment vertical="center"/>
    </xf>
    <xf numFmtId="3" fontId="31" fillId="0" borderId="127" xfId="4" applyNumberFormat="1" applyFont="1" applyFill="1" applyBorder="1" applyAlignment="1">
      <alignment vertical="top"/>
    </xf>
    <xf numFmtId="0" fontId="29" fillId="8" borderId="26" xfId="0" applyFont="1" applyFill="1" applyBorder="1" applyAlignment="1">
      <alignment vertical="top"/>
    </xf>
    <xf numFmtId="0" fontId="29" fillId="50" borderId="19" xfId="4" applyFont="1" applyFill="1" applyBorder="1" applyAlignment="1">
      <alignment horizontal="left" vertical="center"/>
    </xf>
    <xf numFmtId="0" fontId="29" fillId="50" borderId="83" xfId="4" applyFont="1" applyFill="1" applyBorder="1" applyAlignment="1">
      <alignment horizontal="left" vertical="center"/>
    </xf>
    <xf numFmtId="3" fontId="29" fillId="50" borderId="175" xfId="4" applyNumberFormat="1" applyFont="1" applyFill="1" applyBorder="1" applyAlignment="1">
      <alignment horizontal="right" vertical="center"/>
    </xf>
    <xf numFmtId="43" fontId="29" fillId="50" borderId="175" xfId="1" applyFont="1" applyFill="1" applyBorder="1" applyAlignment="1">
      <alignment horizontal="right" vertical="center"/>
    </xf>
    <xf numFmtId="3" fontId="29" fillId="21" borderId="175" xfId="4" applyNumberFormat="1" applyFont="1" applyFill="1" applyBorder="1" applyAlignment="1">
      <alignment horizontal="right" vertical="center"/>
    </xf>
    <xf numFmtId="3" fontId="18" fillId="8" borderId="64" xfId="4" applyNumberFormat="1" applyFont="1" applyFill="1" applyBorder="1" applyAlignment="1">
      <alignment vertical="top" wrapText="1"/>
    </xf>
    <xf numFmtId="0" fontId="29" fillId="50" borderId="21" xfId="4" applyFont="1" applyFill="1" applyBorder="1" applyAlignment="1">
      <alignment horizontal="left" vertical="center"/>
    </xf>
    <xf numFmtId="0" fontId="29" fillId="50" borderId="8" xfId="4" applyFont="1" applyFill="1" applyBorder="1" applyAlignment="1">
      <alignment horizontal="left" vertical="center"/>
    </xf>
    <xf numFmtId="3" fontId="18" fillId="8" borderId="65" xfId="4" applyNumberFormat="1" applyFont="1" applyFill="1" applyBorder="1" applyAlignment="1">
      <alignment vertical="top" wrapText="1"/>
    </xf>
    <xf numFmtId="0" fontId="29" fillId="8" borderId="26" xfId="0" applyFont="1" applyFill="1" applyBorder="1" applyAlignment="1">
      <alignment vertical="center"/>
    </xf>
    <xf numFmtId="0" fontId="29" fillId="50" borderId="193" xfId="0" applyFont="1" applyFill="1" applyBorder="1" applyAlignment="1">
      <alignment horizontal="left" vertical="center"/>
    </xf>
    <xf numFmtId="0" fontId="38" fillId="50" borderId="178" xfId="0" quotePrefix="1" applyFont="1" applyFill="1" applyBorder="1" applyAlignment="1">
      <alignment horizontal="center" vertical="center"/>
    </xf>
    <xf numFmtId="3" fontId="29" fillId="50" borderId="175" xfId="0" quotePrefix="1" applyNumberFormat="1" applyFont="1" applyFill="1" applyBorder="1" applyAlignment="1">
      <alignment horizontal="right" vertical="center"/>
    </xf>
    <xf numFmtId="43" fontId="29" fillId="50" borderId="174" xfId="1" quotePrefix="1" applyFont="1" applyFill="1" applyBorder="1" applyAlignment="1">
      <alignment horizontal="right" vertical="center"/>
    </xf>
    <xf numFmtId="3" fontId="29" fillId="50" borderId="174" xfId="0" quotePrefix="1" applyNumberFormat="1" applyFont="1" applyFill="1" applyBorder="1" applyAlignment="1">
      <alignment horizontal="right" vertical="center"/>
    </xf>
    <xf numFmtId="0" fontId="24" fillId="6" borderId="178" xfId="0" applyFont="1" applyFill="1" applyBorder="1" applyAlignment="1">
      <alignment vertical="center"/>
    </xf>
    <xf numFmtId="3" fontId="24" fillId="6" borderId="183" xfId="0" applyNumberFormat="1" applyFont="1" applyFill="1" applyBorder="1" applyAlignment="1">
      <alignment vertical="center"/>
    </xf>
    <xf numFmtId="43" fontId="24" fillId="6" borderId="183" xfId="1" applyFont="1" applyFill="1" applyBorder="1" applyAlignment="1">
      <alignment vertical="center"/>
    </xf>
    <xf numFmtId="3" fontId="24" fillId="22" borderId="175" xfId="0" applyNumberFormat="1" applyFont="1" applyFill="1" applyBorder="1" applyAlignment="1">
      <alignment vertical="center"/>
    </xf>
    <xf numFmtId="3" fontId="29" fillId="8" borderId="175" xfId="4" applyNumberFormat="1" applyFont="1" applyFill="1" applyBorder="1" applyAlignment="1">
      <alignment vertical="top"/>
    </xf>
    <xf numFmtId="43" fontId="29" fillId="8" borderId="175" xfId="1" applyFont="1" applyFill="1" applyBorder="1" applyAlignment="1">
      <alignment vertical="top"/>
    </xf>
    <xf numFmtId="3" fontId="29" fillId="23" borderId="175" xfId="4" applyNumberFormat="1" applyFont="1" applyFill="1" applyBorder="1" applyAlignment="1">
      <alignment vertical="top"/>
    </xf>
    <xf numFmtId="43" fontId="7" fillId="8" borderId="175" xfId="1" applyFont="1" applyFill="1" applyBorder="1" applyAlignment="1">
      <alignment vertical="top"/>
    </xf>
    <xf numFmtId="3" fontId="7" fillId="25" borderId="175" xfId="4" applyNumberFormat="1" applyFont="1" applyFill="1" applyBorder="1" applyAlignment="1">
      <alignment vertical="top"/>
    </xf>
    <xf numFmtId="0" fontId="7" fillId="8" borderId="178" xfId="4" applyFont="1" applyFill="1" applyBorder="1" applyAlignment="1">
      <alignment vertical="center"/>
    </xf>
    <xf numFmtId="43" fontId="7" fillId="8" borderId="175" xfId="1" applyFont="1" applyFill="1" applyBorder="1" applyAlignment="1">
      <alignment vertical="center"/>
    </xf>
    <xf numFmtId="0" fontId="24" fillId="6" borderId="178" xfId="4" applyFont="1" applyFill="1" applyBorder="1" applyAlignment="1">
      <alignment horizontal="left" vertical="center"/>
    </xf>
    <xf numFmtId="0" fontId="29" fillId="8" borderId="66" xfId="0" applyFont="1" applyFill="1" applyBorder="1" applyAlignment="1">
      <alignment vertical="top"/>
    </xf>
    <xf numFmtId="0" fontId="7" fillId="8" borderId="74" xfId="4" applyFont="1" applyFill="1" applyBorder="1" applyAlignment="1">
      <alignment vertical="top"/>
    </xf>
    <xf numFmtId="0" fontId="7" fillId="8" borderId="114" xfId="4" applyFont="1" applyFill="1" applyBorder="1" applyAlignment="1">
      <alignment vertical="top"/>
    </xf>
    <xf numFmtId="43" fontId="7" fillId="8" borderId="185" xfId="1" applyFont="1" applyFill="1" applyBorder="1" applyAlignment="1">
      <alignment vertical="top"/>
    </xf>
    <xf numFmtId="3" fontId="18" fillId="8" borderId="67" xfId="4" applyNumberFormat="1" applyFont="1" applyFill="1" applyBorder="1" applyAlignment="1">
      <alignment vertical="top" wrapText="1"/>
    </xf>
    <xf numFmtId="3" fontId="25" fillId="6" borderId="182" xfId="4" applyNumberFormat="1" applyFont="1" applyFill="1" applyBorder="1" applyAlignment="1">
      <alignment vertical="center"/>
    </xf>
    <xf numFmtId="3" fontId="7" fillId="25" borderId="175" xfId="4" applyNumberFormat="1" applyFont="1" applyFill="1" applyBorder="1" applyAlignment="1">
      <alignment vertical="center"/>
    </xf>
    <xf numFmtId="43" fontId="7" fillId="0" borderId="175" xfId="1" applyFont="1" applyFill="1" applyBorder="1" applyAlignment="1">
      <alignment vertical="top"/>
    </xf>
    <xf numFmtId="3" fontId="31" fillId="0" borderId="175" xfId="4" applyNumberFormat="1" applyFont="1" applyFill="1" applyBorder="1" applyAlignment="1">
      <alignment vertical="top"/>
    </xf>
    <xf numFmtId="3" fontId="7" fillId="0" borderId="175" xfId="4" applyNumberFormat="1" applyFont="1" applyFill="1" applyBorder="1" applyAlignment="1">
      <alignment vertical="top"/>
    </xf>
    <xf numFmtId="43" fontId="7" fillId="0" borderId="12" xfId="1" applyFont="1" applyFill="1" applyBorder="1" applyAlignment="1">
      <alignment vertical="center"/>
    </xf>
    <xf numFmtId="3" fontId="7" fillId="0" borderId="72" xfId="4" applyNumberFormat="1" applyFont="1" applyFill="1" applyBorder="1" applyAlignment="1">
      <alignment vertical="center"/>
    </xf>
    <xf numFmtId="3" fontId="29" fillId="0" borderId="12" xfId="4" applyNumberFormat="1" applyFont="1" applyFill="1" applyBorder="1" applyAlignment="1">
      <alignment horizontal="right" vertical="center"/>
    </xf>
    <xf numFmtId="3" fontId="24" fillId="8" borderId="8" xfId="4" applyNumberFormat="1" applyFont="1" applyFill="1" applyBorder="1" applyAlignment="1">
      <alignment horizontal="center" vertical="center"/>
    </xf>
    <xf numFmtId="3" fontId="24" fillId="8" borderId="35" xfId="4" applyNumberFormat="1" applyFont="1" applyFill="1" applyBorder="1" applyAlignment="1">
      <alignment horizontal="center" vertical="center"/>
    </xf>
    <xf numFmtId="43" fontId="7" fillId="8" borderId="35" xfId="1" applyFont="1" applyFill="1" applyBorder="1" applyAlignment="1">
      <alignment horizontal="right" vertical="center"/>
    </xf>
    <xf numFmtId="3" fontId="7" fillId="8" borderId="7" xfId="4" applyNumberFormat="1" applyFont="1" applyFill="1" applyBorder="1" applyAlignment="1">
      <alignment horizontal="right" vertical="center"/>
    </xf>
    <xf numFmtId="0" fontId="24" fillId="2" borderId="182" xfId="4" applyFont="1" applyFill="1" applyBorder="1" applyAlignment="1">
      <alignment horizontal="center" vertical="center" wrapText="1"/>
    </xf>
    <xf numFmtId="3" fontId="27" fillId="25" borderId="175" xfId="4" applyNumberFormat="1" applyFont="1" applyFill="1" applyBorder="1" applyAlignment="1">
      <alignment vertical="center"/>
    </xf>
    <xf numFmtId="0" fontId="24" fillId="2" borderId="178" xfId="4" applyFont="1" applyFill="1" applyBorder="1" applyAlignment="1">
      <alignment horizontal="center" vertical="center" wrapText="1"/>
    </xf>
    <xf numFmtId="3" fontId="7" fillId="0" borderId="7" xfId="4" applyNumberFormat="1" applyFont="1" applyFill="1" applyBorder="1" applyAlignment="1">
      <alignment horizontal="right" vertical="center"/>
    </xf>
    <xf numFmtId="43" fontId="29" fillId="0" borderId="7" xfId="1" applyFont="1" applyFill="1" applyBorder="1" applyAlignment="1">
      <alignment horizontal="right" vertical="center"/>
    </xf>
    <xf numFmtId="43" fontId="29" fillId="0" borderId="35" xfId="1" applyFont="1" applyFill="1" applyBorder="1" applyAlignment="1">
      <alignment horizontal="right" vertical="center"/>
    </xf>
    <xf numFmtId="3" fontId="25" fillId="6" borderId="82" xfId="4" applyNumberFormat="1" applyFont="1" applyFill="1" applyBorder="1" applyAlignment="1">
      <alignment vertical="center"/>
    </xf>
    <xf numFmtId="3" fontId="31" fillId="0" borderId="7" xfId="4" applyNumberFormat="1" applyFont="1" applyFill="1" applyBorder="1" applyAlignment="1">
      <alignment horizontal="right" vertical="center"/>
    </xf>
    <xf numFmtId="43" fontId="7" fillId="8" borderId="68" xfId="1" applyFont="1" applyFill="1" applyBorder="1" applyAlignment="1">
      <alignment horizontal="right" vertical="center"/>
    </xf>
    <xf numFmtId="3" fontId="25" fillId="6" borderId="183" xfId="0" applyNumberFormat="1" applyFont="1" applyFill="1" applyBorder="1" applyAlignment="1">
      <alignment vertical="center"/>
    </xf>
    <xf numFmtId="43" fontId="7" fillId="0" borderId="185" xfId="1" applyFont="1" applyFill="1" applyBorder="1" applyAlignment="1">
      <alignment vertical="top"/>
    </xf>
    <xf numFmtId="0" fontId="28" fillId="52" borderId="193" xfId="4" quotePrefix="1" applyFont="1" applyFill="1" applyBorder="1" applyAlignment="1">
      <alignment horizontal="left" vertical="center"/>
    </xf>
    <xf numFmtId="0" fontId="28" fillId="57" borderId="193" xfId="4" quotePrefix="1" applyFont="1" applyFill="1" applyBorder="1" applyAlignment="1">
      <alignment horizontal="left" vertical="center"/>
    </xf>
    <xf numFmtId="3" fontId="31" fillId="57" borderId="166" xfId="4" applyNumberFormat="1" applyFont="1" applyFill="1" applyBorder="1" applyAlignment="1">
      <alignment horizontal="right" vertical="center"/>
    </xf>
    <xf numFmtId="41" fontId="31" fillId="57" borderId="166" xfId="4" applyNumberFormat="1" applyFont="1" applyFill="1" applyBorder="1" applyAlignment="1">
      <alignment horizontal="right" vertical="center"/>
    </xf>
    <xf numFmtId="3" fontId="31" fillId="0" borderId="174" xfId="1" applyNumberFormat="1" applyFont="1" applyFill="1" applyBorder="1" applyAlignment="1">
      <alignment horizontal="right"/>
    </xf>
    <xf numFmtId="3" fontId="31" fillId="0" borderId="191" xfId="1" applyNumberFormat="1" applyFont="1" applyFill="1" applyBorder="1" applyAlignment="1">
      <alignment horizontal="right"/>
    </xf>
    <xf numFmtId="0" fontId="40" fillId="8" borderId="76" xfId="0" applyFont="1" applyFill="1" applyBorder="1" applyAlignment="1">
      <alignment horizontal="center" vertical="center"/>
    </xf>
    <xf numFmtId="43" fontId="40" fillId="8" borderId="18" xfId="1" applyFont="1" applyFill="1" applyBorder="1" applyAlignment="1">
      <alignment horizontal="center" vertical="center"/>
    </xf>
    <xf numFmtId="3" fontId="40" fillId="8" borderId="18" xfId="0" applyNumberFormat="1" applyFont="1" applyFill="1" applyBorder="1" applyAlignment="1">
      <alignment horizontal="center" vertical="center"/>
    </xf>
    <xf numFmtId="0" fontId="40" fillId="8" borderId="18" xfId="0" applyFont="1" applyFill="1" applyBorder="1" applyAlignment="1">
      <alignment horizontal="center" vertical="center"/>
    </xf>
    <xf numFmtId="43" fontId="24" fillId="6" borderId="174" xfId="1" applyNumberFormat="1" applyFont="1" applyFill="1" applyBorder="1" applyAlignment="1">
      <alignment vertical="center"/>
    </xf>
    <xf numFmtId="164" fontId="31" fillId="0" borderId="166" xfId="4" applyNumberFormat="1" applyFont="1" applyFill="1" applyBorder="1" applyAlignment="1">
      <alignment vertical="center"/>
    </xf>
    <xf numFmtId="164" fontId="7" fillId="0" borderId="166" xfId="1" applyNumberFormat="1" applyFont="1" applyFill="1" applyBorder="1" applyAlignment="1">
      <alignment horizontal="right" vertical="center"/>
    </xf>
    <xf numFmtId="3" fontId="24" fillId="6" borderId="174" xfId="1" applyNumberFormat="1" applyFont="1" applyFill="1" applyBorder="1" applyAlignment="1">
      <alignment vertical="center"/>
    </xf>
    <xf numFmtId="164" fontId="27" fillId="0" borderId="166" xfId="1" applyNumberFormat="1" applyFont="1" applyFill="1" applyBorder="1" applyAlignment="1">
      <alignment horizontal="right" vertical="center"/>
    </xf>
    <xf numFmtId="164" fontId="7" fillId="0" borderId="174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6" applyNumberFormat="1" applyFont="1" applyFill="1" applyBorder="1" applyAlignment="1">
      <alignment vertical="center"/>
    </xf>
    <xf numFmtId="43" fontId="33" fillId="0" borderId="35" xfId="1" applyNumberFormat="1" applyFont="1" applyFill="1" applyBorder="1" applyAlignment="1">
      <alignment vertical="center"/>
    </xf>
    <xf numFmtId="0" fontId="34" fillId="0" borderId="77" xfId="0" applyFont="1" applyFill="1" applyBorder="1" applyAlignment="1">
      <alignment vertical="center"/>
    </xf>
    <xf numFmtId="41" fontId="33" fillId="25" borderId="35" xfId="6" applyNumberFormat="1" applyFont="1" applyFill="1" applyBorder="1" applyAlignment="1">
      <alignment vertical="center"/>
    </xf>
    <xf numFmtId="41" fontId="7" fillId="0" borderId="35" xfId="4" applyNumberFormat="1" applyFont="1" applyFill="1" applyBorder="1" applyAlignment="1">
      <alignment horizontal="right" vertical="center"/>
    </xf>
    <xf numFmtId="41" fontId="28" fillId="23" borderId="35" xfId="4" applyNumberFormat="1" applyFont="1" applyFill="1" applyBorder="1" applyAlignment="1">
      <alignment horizontal="right" vertical="center"/>
    </xf>
    <xf numFmtId="0" fontId="29" fillId="2" borderId="35" xfId="4" applyFont="1" applyFill="1" applyBorder="1" applyAlignment="1">
      <alignment vertical="top"/>
    </xf>
    <xf numFmtId="43" fontId="7" fillId="0" borderId="72" xfId="1" applyFont="1" applyFill="1" applyBorder="1" applyAlignment="1">
      <alignment vertical="center"/>
    </xf>
    <xf numFmtId="43" fontId="31" fillId="0" borderId="7" xfId="1" applyFont="1" applyFill="1" applyBorder="1" applyAlignment="1">
      <alignment horizontal="right" vertical="center"/>
    </xf>
    <xf numFmtId="43" fontId="7" fillId="0" borderId="127" xfId="1" applyFont="1" applyFill="1" applyBorder="1" applyAlignment="1">
      <alignment vertical="center"/>
    </xf>
    <xf numFmtId="43" fontId="25" fillId="6" borderId="183" xfId="1" applyFont="1" applyFill="1" applyBorder="1" applyAlignment="1">
      <alignment vertical="center"/>
    </xf>
    <xf numFmtId="43" fontId="61" fillId="4" borderId="12" xfId="1" applyFont="1" applyFill="1" applyBorder="1" applyAlignment="1">
      <alignment vertical="center" wrapText="1"/>
    </xf>
    <xf numFmtId="3" fontId="75" fillId="18" borderId="72" xfId="0" applyNumberFormat="1" applyFont="1" applyFill="1" applyBorder="1" applyAlignment="1">
      <alignment vertical="top"/>
    </xf>
    <xf numFmtId="3" fontId="75" fillId="18" borderId="25" xfId="0" applyNumberFormat="1" applyFont="1" applyFill="1" applyBorder="1" applyAlignment="1">
      <alignment vertical="top"/>
    </xf>
    <xf numFmtId="3" fontId="75" fillId="18" borderId="23" xfId="0" applyNumberFormat="1" applyFont="1" applyFill="1" applyBorder="1" applyAlignment="1">
      <alignment vertical="top"/>
    </xf>
    <xf numFmtId="3" fontId="75" fillId="18" borderId="12" xfId="0" applyNumberFormat="1" applyFont="1" applyFill="1" applyBorder="1" applyAlignment="1">
      <alignment vertical="top"/>
    </xf>
    <xf numFmtId="0" fontId="36" fillId="0" borderId="22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27" xfId="0" applyFont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4" fillId="0" borderId="13" xfId="0" applyFont="1" applyBorder="1" applyAlignment="1">
      <alignment horizontal="center"/>
    </xf>
    <xf numFmtId="3" fontId="64" fillId="17" borderId="75" xfId="0" applyNumberFormat="1" applyFont="1" applyFill="1" applyBorder="1"/>
    <xf numFmtId="3" fontId="64" fillId="17" borderId="52" xfId="0" applyNumberFormat="1" applyFont="1" applyFill="1" applyBorder="1"/>
    <xf numFmtId="3" fontId="64" fillId="17" borderId="50" xfId="0" applyNumberFormat="1" applyFont="1" applyFill="1" applyBorder="1"/>
    <xf numFmtId="3" fontId="64" fillId="17" borderId="39" xfId="0" applyNumberFormat="1" applyFont="1" applyFill="1" applyBorder="1"/>
    <xf numFmtId="3" fontId="63" fillId="17" borderId="75" xfId="0" applyNumberFormat="1" applyFont="1" applyFill="1" applyBorder="1"/>
    <xf numFmtId="3" fontId="64" fillId="17" borderId="77" xfId="0" applyNumberFormat="1" applyFont="1" applyFill="1" applyBorder="1"/>
    <xf numFmtId="43" fontId="61" fillId="6" borderId="175" xfId="1" applyFont="1" applyFill="1" applyBorder="1" applyAlignment="1">
      <alignment vertical="center" wrapText="1"/>
    </xf>
    <xf numFmtId="43" fontId="64" fillId="8" borderId="174" xfId="1" applyFont="1" applyFill="1" applyBorder="1" applyAlignment="1">
      <alignment vertical="center" wrapText="1"/>
    </xf>
    <xf numFmtId="0" fontId="7" fillId="11" borderId="173" xfId="0" applyFont="1" applyFill="1" applyBorder="1" applyAlignment="1">
      <alignment vertical="center" wrapText="1"/>
    </xf>
    <xf numFmtId="3" fontId="6" fillId="11" borderId="184" xfId="0" applyNumberFormat="1" applyFont="1" applyFill="1" applyBorder="1"/>
    <xf numFmtId="3" fontId="6" fillId="11" borderId="180" xfId="0" applyNumberFormat="1" applyFont="1" applyFill="1" applyBorder="1"/>
    <xf numFmtId="3" fontId="6" fillId="11" borderId="166" xfId="0" applyNumberFormat="1" applyFont="1" applyFill="1" applyBorder="1"/>
    <xf numFmtId="3" fontId="6" fillId="11" borderId="171" xfId="0" applyNumberFormat="1" applyFont="1" applyFill="1" applyBorder="1"/>
    <xf numFmtId="3" fontId="8" fillId="51" borderId="171" xfId="0" applyNumberFormat="1" applyFont="1" applyFill="1" applyBorder="1"/>
    <xf numFmtId="0" fontId="8" fillId="18" borderId="84" xfId="0" applyFont="1" applyFill="1" applyBorder="1" applyAlignment="1">
      <alignment horizontal="right"/>
    </xf>
    <xf numFmtId="3" fontId="8" fillId="18" borderId="75" xfId="0" applyNumberFormat="1" applyFont="1" applyFill="1" applyBorder="1"/>
    <xf numFmtId="3" fontId="8" fillId="18" borderId="52" xfId="0" applyNumberFormat="1" applyFont="1" applyFill="1" applyBorder="1"/>
    <xf numFmtId="3" fontId="8" fillId="18" borderId="51" xfId="0" applyNumberFormat="1" applyFont="1" applyFill="1" applyBorder="1"/>
    <xf numFmtId="3" fontId="8" fillId="18" borderId="77" xfId="0" applyNumberFormat="1" applyFont="1" applyFill="1" applyBorder="1"/>
    <xf numFmtId="3" fontId="18" fillId="0" borderId="41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18" fillId="13" borderId="43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 wrapText="1"/>
    </xf>
    <xf numFmtId="0" fontId="32" fillId="0" borderId="175" xfId="0" applyFont="1" applyFill="1" applyBorder="1" applyAlignment="1">
      <alignment horizontal="center" vertical="center" wrapText="1"/>
    </xf>
    <xf numFmtId="3" fontId="24" fillId="26" borderId="175" xfId="4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32" fillId="0" borderId="175" xfId="0" applyFont="1" applyBorder="1" applyAlignment="1">
      <alignment wrapText="1"/>
    </xf>
    <xf numFmtId="0" fontId="17" fillId="0" borderId="194" xfId="4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23" fillId="0" borderId="20" xfId="0" applyFont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0" fillId="0" borderId="43" xfId="0" applyFont="1" applyBorder="1"/>
    <xf numFmtId="3" fontId="25" fillId="2" borderId="9" xfId="4" applyNumberFormat="1" applyFont="1" applyFill="1" applyBorder="1" applyAlignment="1">
      <alignment horizontal="center" vertical="center" wrapText="1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0" fontId="32" fillId="0" borderId="6" xfId="112" applyFont="1" applyBorder="1" applyAlignment="1">
      <alignment horizontal="center" vertical="center" wrapText="1"/>
    </xf>
    <xf numFmtId="0" fontId="17" fillId="8" borderId="11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43" fontId="7" fillId="8" borderId="150" xfId="1" applyFont="1" applyFill="1" applyBorder="1" applyAlignment="1">
      <alignment vertical="center"/>
    </xf>
    <xf numFmtId="43" fontId="27" fillId="50" borderId="171" xfId="1" applyFont="1" applyFill="1" applyBorder="1" applyAlignment="1">
      <alignment horizontal="right" vertical="center"/>
    </xf>
    <xf numFmtId="43" fontId="27" fillId="50" borderId="23" xfId="1" quotePrefix="1" applyFont="1" applyFill="1" applyBorder="1" applyAlignment="1">
      <alignment horizontal="right" vertical="top"/>
    </xf>
    <xf numFmtId="43" fontId="31" fillId="8" borderId="35" xfId="1" applyFont="1" applyFill="1" applyBorder="1" applyAlignment="1"/>
    <xf numFmtId="43" fontId="31" fillId="8" borderId="149" xfId="1" applyFont="1" applyFill="1" applyBorder="1" applyAlignment="1">
      <alignment vertical="center"/>
    </xf>
    <xf numFmtId="43" fontId="7" fillId="8" borderId="149" xfId="1" applyFont="1" applyFill="1" applyBorder="1" applyAlignment="1">
      <alignment vertical="center"/>
    </xf>
    <xf numFmtId="3" fontId="31" fillId="23" borderId="183" xfId="0" applyNumberFormat="1" applyFont="1" applyFill="1" applyBorder="1" applyAlignment="1">
      <alignment vertical="top"/>
    </xf>
    <xf numFmtId="3" fontId="31" fillId="25" borderId="10" xfId="0" applyNumberFormat="1" applyFont="1" applyFill="1" applyBorder="1" applyAlignment="1">
      <alignment horizontal="center" vertical="top"/>
    </xf>
    <xf numFmtId="43" fontId="25" fillId="22" borderId="7" xfId="1" applyFont="1" applyFill="1" applyBorder="1" applyAlignment="1">
      <alignment horizontal="center" vertical="center"/>
    </xf>
    <xf numFmtId="3" fontId="25" fillId="23" borderId="18" xfId="0" applyNumberFormat="1" applyFont="1" applyFill="1" applyBorder="1" applyAlignment="1">
      <alignment vertical="top"/>
    </xf>
    <xf numFmtId="0" fontId="57" fillId="8" borderId="43" xfId="0" applyFont="1" applyFill="1" applyBorder="1" applyAlignment="1">
      <alignment horizontal="center" vertical="top" wrapText="1"/>
    </xf>
    <xf numFmtId="0" fontId="57" fillId="8" borderId="43" xfId="0" applyFont="1" applyFill="1" applyBorder="1" applyAlignment="1">
      <alignment horizontal="center" vertical="center" wrapText="1"/>
    </xf>
    <xf numFmtId="0" fontId="18" fillId="8" borderId="43" xfId="0" applyFont="1" applyFill="1" applyBorder="1" applyAlignment="1">
      <alignment horizontal="center" vertical="top" wrapText="1"/>
    </xf>
    <xf numFmtId="0" fontId="18" fillId="8" borderId="43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0" fontId="17" fillId="0" borderId="20" xfId="4" applyFont="1" applyBorder="1" applyAlignment="1">
      <alignment horizontal="center" vertical="center"/>
    </xf>
    <xf numFmtId="0" fontId="23" fillId="0" borderId="35" xfId="6" applyFont="1" applyBorder="1" applyAlignment="1">
      <alignment horizontal="center" vertical="center" wrapText="1"/>
    </xf>
    <xf numFmtId="0" fontId="17" fillId="0" borderId="149" xfId="4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64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3" fontId="31" fillId="0" borderId="9" xfId="4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98" xfId="0" applyFont="1" applyBorder="1"/>
    <xf numFmtId="0" fontId="4" fillId="0" borderId="174" xfId="0" applyFont="1" applyBorder="1"/>
    <xf numFmtId="0" fontId="4" fillId="0" borderId="174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3" fontId="4" fillId="0" borderId="174" xfId="0" applyNumberFormat="1" applyFont="1" applyBorder="1"/>
    <xf numFmtId="3" fontId="4" fillId="0" borderId="98" xfId="0" applyNumberFormat="1" applyFont="1" applyBorder="1"/>
    <xf numFmtId="0" fontId="4" fillId="0" borderId="175" xfId="0" applyFont="1" applyBorder="1"/>
    <xf numFmtId="3" fontId="4" fillId="51" borderId="174" xfId="0" applyNumberFormat="1" applyFont="1" applyFill="1" applyBorder="1"/>
    <xf numFmtId="0" fontId="4" fillId="0" borderId="108" xfId="0" applyFont="1" applyBorder="1" applyAlignment="1">
      <alignment vertical="center"/>
    </xf>
    <xf numFmtId="3" fontId="4" fillId="0" borderId="174" xfId="0" applyNumberFormat="1" applyFont="1" applyBorder="1" applyAlignment="1">
      <alignment vertical="center"/>
    </xf>
    <xf numFmtId="3" fontId="4" fillId="0" borderId="98" xfId="0" applyNumberFormat="1" applyFont="1" applyBorder="1" applyAlignment="1">
      <alignment vertical="center"/>
    </xf>
    <xf numFmtId="0" fontId="4" fillId="0" borderId="111" xfId="0" applyFont="1" applyBorder="1" applyAlignment="1">
      <alignment vertical="center"/>
    </xf>
    <xf numFmtId="0" fontId="4" fillId="0" borderId="175" xfId="0" applyFont="1" applyBorder="1" applyAlignment="1">
      <alignment vertical="center"/>
    </xf>
    <xf numFmtId="0" fontId="4" fillId="0" borderId="109" xfId="0" applyFont="1" applyBorder="1"/>
    <xf numFmtId="4" fontId="4" fillId="0" borderId="174" xfId="0" applyNumberFormat="1" applyFont="1" applyBorder="1"/>
    <xf numFmtId="3" fontId="24" fillId="22" borderId="76" xfId="4" applyNumberFormat="1" applyFont="1" applyFill="1" applyBorder="1" applyAlignment="1">
      <alignment horizontal="right" vertical="center"/>
    </xf>
    <xf numFmtId="3" fontId="28" fillId="23" borderId="183" xfId="4" applyNumberFormat="1" applyFont="1" applyFill="1" applyBorder="1" applyAlignment="1">
      <alignment horizontal="right" vertical="center"/>
    </xf>
    <xf numFmtId="0" fontId="4" fillId="0" borderId="169" xfId="0" applyFont="1" applyBorder="1"/>
    <xf numFmtId="0" fontId="4" fillId="32" borderId="174" xfId="0" applyFont="1" applyFill="1" applyBorder="1"/>
    <xf numFmtId="0" fontId="4" fillId="32" borderId="175" xfId="0" applyFont="1" applyFill="1" applyBorder="1"/>
    <xf numFmtId="3" fontId="4" fillId="32" borderId="174" xfId="0" applyNumberFormat="1" applyFont="1" applyFill="1" applyBorder="1"/>
    <xf numFmtId="0" fontId="4" fillId="0" borderId="160" xfId="0" applyFont="1" applyBorder="1"/>
    <xf numFmtId="0" fontId="4" fillId="0" borderId="160" xfId="0" applyFont="1" applyBorder="1" applyAlignment="1">
      <alignment vertical="center"/>
    </xf>
    <xf numFmtId="3" fontId="4" fillId="0" borderId="160" xfId="0" applyNumberFormat="1" applyFont="1" applyBorder="1" applyAlignment="1">
      <alignment vertical="center"/>
    </xf>
    <xf numFmtId="43" fontId="31" fillId="0" borderId="185" xfId="1" applyFont="1" applyFill="1" applyBorder="1" applyAlignment="1">
      <alignment horizontal="right" vertical="center"/>
    </xf>
    <xf numFmtId="3" fontId="29" fillId="2" borderId="175" xfId="4" applyNumberFormat="1" applyFont="1" applyFill="1" applyBorder="1" applyAlignment="1">
      <alignment wrapText="1"/>
    </xf>
    <xf numFmtId="0" fontId="25" fillId="0" borderId="12" xfId="4" applyFont="1" applyBorder="1" applyAlignment="1">
      <alignment horizontal="center" vertical="center" wrapText="1"/>
    </xf>
    <xf numFmtId="43" fontId="31" fillId="0" borderId="178" xfId="1" applyFont="1" applyFill="1" applyBorder="1" applyAlignment="1">
      <alignment vertical="center"/>
    </xf>
    <xf numFmtId="43" fontId="31" fillId="25" borderId="183" xfId="1" applyFont="1" applyFill="1" applyBorder="1" applyAlignment="1">
      <alignment vertical="top"/>
    </xf>
    <xf numFmtId="43" fontId="31" fillId="0" borderId="186" xfId="1" applyFont="1" applyFill="1" applyBorder="1" applyAlignment="1"/>
    <xf numFmtId="43" fontId="31" fillId="0" borderId="114" xfId="1" applyFont="1" applyFill="1" applyBorder="1" applyAlignment="1">
      <alignment vertical="center"/>
    </xf>
    <xf numFmtId="0" fontId="24" fillId="8" borderId="5" xfId="0" applyFont="1" applyFill="1" applyBorder="1" applyAlignment="1">
      <alignment vertical="top" wrapText="1"/>
    </xf>
    <xf numFmtId="3" fontId="31" fillId="23" borderId="18" xfId="0" applyNumberFormat="1" applyFont="1" applyFill="1" applyBorder="1" applyAlignment="1"/>
    <xf numFmtId="0" fontId="7" fillId="6" borderId="154" xfId="0" applyFont="1" applyFill="1" applyBorder="1" applyAlignment="1">
      <alignment vertical="top"/>
    </xf>
    <xf numFmtId="3" fontId="25" fillId="6" borderId="160" xfId="0" applyNumberFormat="1" applyFont="1" applyFill="1" applyBorder="1" applyAlignment="1"/>
    <xf numFmtId="3" fontId="25" fillId="22" borderId="178" xfId="0" applyNumberFormat="1" applyFont="1" applyFill="1" applyBorder="1" applyAlignment="1"/>
    <xf numFmtId="43" fontId="31" fillId="0" borderId="112" xfId="1" applyFont="1" applyFill="1" applyBorder="1" applyAlignment="1"/>
    <xf numFmtId="3" fontId="31" fillId="0" borderId="151" xfId="0" applyNumberFormat="1" applyFont="1" applyFill="1" applyBorder="1" applyAlignment="1">
      <alignment vertical="center"/>
    </xf>
    <xf numFmtId="43" fontId="31" fillId="0" borderId="112" xfId="1" applyFont="1" applyFill="1" applyBorder="1" applyAlignment="1">
      <alignment vertical="center"/>
    </xf>
    <xf numFmtId="3" fontId="31" fillId="23" borderId="127" xfId="0" applyNumberFormat="1" applyFont="1" applyFill="1" applyBorder="1" applyAlignment="1"/>
    <xf numFmtId="3" fontId="31" fillId="0" borderId="166" xfId="0" applyNumberFormat="1" applyFont="1" applyFill="1" applyBorder="1" applyAlignment="1">
      <alignment vertical="center"/>
    </xf>
    <xf numFmtId="0" fontId="0" fillId="0" borderId="66" xfId="0" applyFont="1" applyBorder="1" applyAlignment="1">
      <alignment horizontal="center" vertical="top" wrapText="1"/>
    </xf>
    <xf numFmtId="0" fontId="0" fillId="0" borderId="84" xfId="0" applyFont="1" applyBorder="1" applyAlignment="1">
      <alignment horizontal="center" vertical="top" wrapText="1"/>
    </xf>
    <xf numFmtId="0" fontId="0" fillId="0" borderId="175" xfId="0" applyFont="1" applyBorder="1" applyAlignment="1">
      <alignment horizontal="center" vertical="top"/>
    </xf>
    <xf numFmtId="0" fontId="0" fillId="0" borderId="69" xfId="0" applyFont="1" applyBorder="1" applyAlignment="1">
      <alignment horizontal="center" vertical="top"/>
    </xf>
    <xf numFmtId="0" fontId="0" fillId="0" borderId="38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0" fillId="0" borderId="5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31" fillId="6" borderId="176" xfId="0" applyFont="1" applyFill="1" applyBorder="1" applyAlignment="1">
      <alignment vertical="top"/>
    </xf>
    <xf numFmtId="3" fontId="25" fillId="22" borderId="175" xfId="0" applyNumberFormat="1" applyFont="1" applyFill="1" applyBorder="1" applyAlignment="1">
      <alignment vertical="center"/>
    </xf>
    <xf numFmtId="0" fontId="31" fillId="0" borderId="182" xfId="0" applyFont="1" applyFill="1" applyBorder="1" applyAlignment="1">
      <alignment vertical="top"/>
    </xf>
    <xf numFmtId="3" fontId="31" fillId="2" borderId="174" xfId="0" applyNumberFormat="1" applyFont="1" applyFill="1" applyBorder="1" applyAlignment="1">
      <alignment vertical="top"/>
    </xf>
    <xf numFmtId="0" fontId="31" fillId="0" borderId="182" xfId="0" applyFont="1" applyFill="1" applyBorder="1" applyAlignment="1">
      <alignment horizontal="left" vertical="center" wrapText="1"/>
    </xf>
    <xf numFmtId="3" fontId="25" fillId="32" borderId="175" xfId="0" applyNumberFormat="1" applyFont="1" applyFill="1" applyBorder="1" applyAlignment="1">
      <alignment vertical="top"/>
    </xf>
    <xf numFmtId="3" fontId="27" fillId="25" borderId="175" xfId="0" applyNumberFormat="1" applyFont="1" applyFill="1" applyBorder="1" applyAlignment="1">
      <alignment vertical="top"/>
    </xf>
    <xf numFmtId="0" fontId="62" fillId="52" borderId="182" xfId="0" applyFont="1" applyFill="1" applyBorder="1"/>
    <xf numFmtId="3" fontId="28" fillId="52" borderId="175" xfId="0" applyNumberFormat="1" applyFont="1" applyFill="1" applyBorder="1" applyAlignment="1">
      <alignment vertical="top"/>
    </xf>
    <xf numFmtId="3" fontId="28" fillId="52" borderId="174" xfId="0" applyNumberFormat="1" applyFont="1" applyFill="1" applyBorder="1" applyAlignment="1">
      <alignment vertical="top"/>
    </xf>
    <xf numFmtId="3" fontId="28" fillId="55" borderId="174" xfId="0" applyNumberFormat="1" applyFont="1" applyFill="1" applyBorder="1" applyAlignment="1">
      <alignment vertical="center"/>
    </xf>
    <xf numFmtId="0" fontId="62" fillId="53" borderId="182" xfId="0" applyFont="1" applyFill="1" applyBorder="1"/>
    <xf numFmtId="3" fontId="28" fillId="53" borderId="175" xfId="0" applyNumberFormat="1" applyFont="1" applyFill="1" applyBorder="1" applyAlignment="1">
      <alignment vertical="top"/>
    </xf>
    <xf numFmtId="3" fontId="28" fillId="53" borderId="174" xfId="0" applyNumberFormat="1" applyFont="1" applyFill="1" applyBorder="1" applyAlignment="1">
      <alignment vertical="top"/>
    </xf>
    <xf numFmtId="3" fontId="28" fillId="55" borderId="175" xfId="0" applyNumberFormat="1" applyFont="1" applyFill="1" applyBorder="1" applyAlignment="1">
      <alignment vertical="center"/>
    </xf>
    <xf numFmtId="0" fontId="62" fillId="51" borderId="182" xfId="0" applyFont="1" applyFill="1" applyBorder="1" applyAlignment="1">
      <alignment vertical="center"/>
    </xf>
    <xf numFmtId="3" fontId="28" fillId="51" borderId="35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vertical="center"/>
    </xf>
    <xf numFmtId="0" fontId="39" fillId="54" borderId="182" xfId="0" applyFont="1" applyFill="1" applyBorder="1"/>
    <xf numFmtId="3" fontId="28" fillId="54" borderId="175" xfId="0" applyNumberFormat="1" applyFont="1" applyFill="1" applyBorder="1" applyAlignment="1">
      <alignment vertical="top"/>
    </xf>
    <xf numFmtId="3" fontId="28" fillId="54" borderId="23" xfId="0" applyNumberFormat="1" applyFont="1" applyFill="1" applyBorder="1" applyAlignment="1">
      <alignment vertical="top"/>
    </xf>
    <xf numFmtId="0" fontId="8" fillId="0" borderId="182" xfId="0" applyFont="1" applyFill="1" applyBorder="1" applyAlignment="1">
      <alignment vertical="center" wrapText="1"/>
    </xf>
    <xf numFmtId="3" fontId="31" fillId="0" borderId="7" xfId="4" applyNumberFormat="1" applyFont="1" applyFill="1" applyBorder="1" applyAlignment="1">
      <alignment vertical="center"/>
    </xf>
    <xf numFmtId="43" fontId="31" fillId="25" borderId="175" xfId="1" applyFont="1" applyFill="1" applyBorder="1" applyAlignment="1">
      <alignment vertical="top"/>
    </xf>
    <xf numFmtId="0" fontId="31" fillId="50" borderId="0" xfId="4" applyFont="1" applyFill="1" applyBorder="1" applyAlignment="1">
      <alignment horizontal="left" vertical="center"/>
    </xf>
    <xf numFmtId="3" fontId="31" fillId="0" borderId="0" xfId="4" applyNumberFormat="1" applyFont="1" applyFill="1" applyBorder="1" applyAlignment="1">
      <alignment vertical="center"/>
    </xf>
    <xf numFmtId="3" fontId="28" fillId="50" borderId="10" xfId="0" applyNumberFormat="1" applyFont="1" applyFill="1" applyBorder="1" applyAlignment="1">
      <alignment vertical="top"/>
    </xf>
    <xf numFmtId="3" fontId="31" fillId="50" borderId="0" xfId="0" applyNumberFormat="1" applyFont="1" applyFill="1" applyBorder="1" applyAlignment="1">
      <alignment vertical="top"/>
    </xf>
    <xf numFmtId="43" fontId="28" fillId="25" borderId="27" xfId="1" applyFont="1" applyFill="1" applyBorder="1" applyAlignment="1">
      <alignment vertical="center"/>
    </xf>
    <xf numFmtId="0" fontId="27" fillId="2" borderId="82" xfId="4" applyFont="1" applyFill="1" applyBorder="1" applyAlignment="1">
      <alignment vertical="top"/>
    </xf>
    <xf numFmtId="3" fontId="27" fillId="0" borderId="7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vertical="top"/>
    </xf>
    <xf numFmtId="0" fontId="31" fillId="0" borderId="82" xfId="0" applyFont="1" applyFill="1" applyBorder="1" applyAlignment="1">
      <alignment horizontal="left" vertical="center" wrapText="1"/>
    </xf>
    <xf numFmtId="3" fontId="23" fillId="0" borderId="176" xfId="0" applyNumberFormat="1" applyFont="1" applyBorder="1" applyAlignment="1">
      <alignment horizontal="center" vertical="center" wrapText="1"/>
    </xf>
    <xf numFmtId="3" fontId="31" fillId="51" borderId="175" xfId="0" applyNumberFormat="1" applyFont="1" applyFill="1" applyBorder="1" applyAlignment="1">
      <alignment vertical="top"/>
    </xf>
    <xf numFmtId="3" fontId="31" fillId="51" borderId="174" xfId="0" applyNumberFormat="1" applyFont="1" applyFill="1" applyBorder="1" applyAlignment="1">
      <alignment vertical="top"/>
    </xf>
    <xf numFmtId="3" fontId="31" fillId="23" borderId="175" xfId="0" applyNumberFormat="1" applyFont="1" applyFill="1" applyBorder="1" applyAlignment="1">
      <alignment vertical="center"/>
    </xf>
    <xf numFmtId="0" fontId="62" fillId="52" borderId="21" xfId="0" applyFont="1" applyFill="1" applyBorder="1"/>
    <xf numFmtId="0" fontId="28" fillId="52" borderId="6" xfId="0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horizontal="right" vertical="center"/>
    </xf>
    <xf numFmtId="0" fontId="62" fillId="53" borderId="115" xfId="0" applyFont="1" applyFill="1" applyBorder="1"/>
    <xf numFmtId="0" fontId="28" fillId="53" borderId="176" xfId="0" applyFont="1" applyFill="1" applyBorder="1" applyAlignment="1">
      <alignment vertical="top"/>
    </xf>
    <xf numFmtId="0" fontId="62" fillId="51" borderId="115" xfId="0" applyFont="1" applyFill="1" applyBorder="1" applyAlignment="1">
      <alignment vertical="center"/>
    </xf>
    <xf numFmtId="0" fontId="28" fillId="51" borderId="173" xfId="0" applyFont="1" applyFill="1" applyBorder="1" applyAlignment="1">
      <alignment vertical="center"/>
    </xf>
    <xf numFmtId="3" fontId="28" fillId="51" borderId="174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horizontal="right" vertical="center"/>
    </xf>
    <xf numFmtId="0" fontId="28" fillId="54" borderId="176" xfId="0" applyFont="1" applyFill="1" applyBorder="1" applyAlignment="1">
      <alignment vertical="top"/>
    </xf>
    <xf numFmtId="3" fontId="28" fillId="54" borderId="174" xfId="0" applyNumberFormat="1" applyFont="1" applyFill="1" applyBorder="1" applyAlignment="1">
      <alignment vertical="top"/>
    </xf>
    <xf numFmtId="0" fontId="28" fillId="54" borderId="173" xfId="0" applyFont="1" applyFill="1" applyBorder="1" applyAlignment="1">
      <alignment vertical="top"/>
    </xf>
    <xf numFmtId="3" fontId="28" fillId="54" borderId="9" xfId="0" applyNumberFormat="1" applyFont="1" applyFill="1" applyBorder="1" applyAlignment="1">
      <alignment vertical="top"/>
    </xf>
    <xf numFmtId="0" fontId="31" fillId="50" borderId="115" xfId="4" applyFont="1" applyFill="1" applyBorder="1" applyAlignment="1">
      <alignment horizontal="left" vertical="center"/>
    </xf>
    <xf numFmtId="0" fontId="31" fillId="50" borderId="173" xfId="0" applyFont="1" applyFill="1" applyBorder="1" applyAlignment="1">
      <alignment vertical="top"/>
    </xf>
    <xf numFmtId="3" fontId="28" fillId="50" borderId="174" xfId="0" applyNumberFormat="1" applyFont="1" applyFill="1" applyBorder="1" applyAlignment="1">
      <alignment vertical="top"/>
    </xf>
    <xf numFmtId="3" fontId="28" fillId="50" borderId="9" xfId="0" applyNumberFormat="1" applyFont="1" applyFill="1" applyBorder="1" applyAlignment="1">
      <alignment horizontal="right" vertical="center"/>
    </xf>
    <xf numFmtId="3" fontId="28" fillId="50" borderId="9" xfId="0" applyNumberFormat="1" applyFont="1" applyFill="1" applyBorder="1" applyAlignment="1">
      <alignment horizontal="right"/>
    </xf>
    <xf numFmtId="0" fontId="31" fillId="50" borderId="176" xfId="0" applyFont="1" applyFill="1" applyBorder="1" applyAlignment="1">
      <alignment vertical="top"/>
    </xf>
    <xf numFmtId="3" fontId="28" fillId="55" borderId="35" xfId="0" applyNumberFormat="1" applyFont="1" applyFill="1" applyBorder="1" applyAlignment="1">
      <alignment vertical="center"/>
    </xf>
    <xf numFmtId="0" fontId="27" fillId="2" borderId="179" xfId="4" applyFont="1" applyFill="1" applyBorder="1" applyAlignment="1">
      <alignment vertical="top"/>
    </xf>
    <xf numFmtId="41" fontId="27" fillId="32" borderId="174" xfId="0" applyNumberFormat="1" applyFont="1" applyFill="1" applyBorder="1" applyAlignment="1">
      <alignment vertical="center"/>
    </xf>
    <xf numFmtId="43" fontId="27" fillId="25" borderId="175" xfId="1" applyFont="1" applyFill="1" applyBorder="1" applyAlignment="1">
      <alignment horizontal="center" vertical="top"/>
    </xf>
    <xf numFmtId="0" fontId="6" fillId="0" borderId="193" xfId="0" applyFont="1" applyFill="1" applyBorder="1" applyAlignment="1">
      <alignment vertical="center" wrapText="1"/>
    </xf>
    <xf numFmtId="41" fontId="31" fillId="2" borderId="174" xfId="0" applyNumberFormat="1" applyFont="1" applyFill="1" applyBorder="1" applyAlignment="1">
      <alignment vertical="top"/>
    </xf>
    <xf numFmtId="43" fontId="31" fillId="25" borderId="175" xfId="1" applyFont="1" applyFill="1" applyBorder="1" applyAlignment="1">
      <alignment horizontal="center" vertical="top"/>
    </xf>
    <xf numFmtId="0" fontId="31" fillId="50" borderId="193" xfId="4" applyFont="1" applyFill="1" applyBorder="1" applyAlignment="1">
      <alignment horizontal="left" vertical="center"/>
    </xf>
    <xf numFmtId="3" fontId="31" fillId="50" borderId="35" xfId="0" applyNumberFormat="1" applyFont="1" applyFill="1" applyBorder="1" applyAlignment="1">
      <alignment vertical="top"/>
    </xf>
    <xf numFmtId="3" fontId="31" fillId="50" borderId="9" xfId="0" applyNumberFormat="1" applyFont="1" applyFill="1" applyBorder="1" applyAlignment="1">
      <alignment vertical="top"/>
    </xf>
    <xf numFmtId="43" fontId="28" fillId="25" borderId="175" xfId="1" applyFont="1" applyFill="1" applyBorder="1" applyAlignment="1">
      <alignment vertical="center"/>
    </xf>
    <xf numFmtId="3" fontId="27" fillId="0" borderId="150" xfId="0" applyNumberFormat="1" applyFont="1" applyFill="1" applyBorder="1" applyAlignment="1">
      <alignment vertical="top"/>
    </xf>
    <xf numFmtId="3" fontId="27" fillId="25" borderId="160" xfId="0" applyNumberFormat="1" applyFont="1" applyFill="1" applyBorder="1" applyAlignment="1">
      <alignment vertical="top"/>
    </xf>
    <xf numFmtId="0" fontId="23" fillId="0" borderId="167" xfId="0" applyFont="1" applyBorder="1" applyAlignment="1">
      <alignment horizontal="center" vertical="center" wrapText="1"/>
    </xf>
    <xf numFmtId="0" fontId="28" fillId="53" borderId="167" xfId="0" applyFont="1" applyFill="1" applyBorder="1" applyAlignment="1">
      <alignment vertical="top"/>
    </xf>
    <xf numFmtId="0" fontId="28" fillId="51" borderId="121" xfId="0" applyFont="1" applyFill="1" applyBorder="1" applyAlignment="1">
      <alignment vertical="center"/>
    </xf>
    <xf numFmtId="0" fontId="28" fillId="54" borderId="167" xfId="0" applyFont="1" applyFill="1" applyBorder="1" applyAlignment="1">
      <alignment vertical="top"/>
    </xf>
    <xf numFmtId="0" fontId="28" fillId="54" borderId="121" xfId="0" applyFont="1" applyFill="1" applyBorder="1" applyAlignment="1">
      <alignment vertical="top"/>
    </xf>
    <xf numFmtId="0" fontId="31" fillId="50" borderId="121" xfId="0" applyFont="1" applyFill="1" applyBorder="1" applyAlignment="1">
      <alignment vertical="top"/>
    </xf>
    <xf numFmtId="0" fontId="31" fillId="50" borderId="167" xfId="0" applyFont="1" applyFill="1" applyBorder="1" applyAlignment="1">
      <alignment vertical="top"/>
    </xf>
    <xf numFmtId="3" fontId="28" fillId="0" borderId="112" xfId="0" applyNumberFormat="1" applyFont="1" applyFill="1" applyBorder="1" applyAlignment="1">
      <alignment vertical="center"/>
    </xf>
    <xf numFmtId="0" fontId="7" fillId="2" borderId="193" xfId="0" applyFont="1" applyFill="1" applyBorder="1" applyAlignment="1">
      <alignment vertical="center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17" xfId="4" applyNumberFormat="1" applyFont="1" applyFill="1" applyBorder="1" applyAlignment="1">
      <alignment vertical="center" wrapText="1"/>
    </xf>
    <xf numFmtId="43" fontId="27" fillId="0" borderId="35" xfId="1" applyFont="1" applyFill="1" applyBorder="1" applyAlignment="1">
      <alignment vertical="top"/>
    </xf>
    <xf numFmtId="0" fontId="31" fillId="0" borderId="175" xfId="0" applyFont="1" applyFill="1" applyBorder="1" applyAlignment="1">
      <alignment vertical="top" wrapText="1"/>
    </xf>
    <xf numFmtId="0" fontId="27" fillId="0" borderId="175" xfId="0" applyFont="1" applyFill="1" applyBorder="1" applyAlignment="1">
      <alignment vertical="top" wrapText="1"/>
    </xf>
    <xf numFmtId="0" fontId="31" fillId="0" borderId="185" xfId="4" applyFont="1" applyFill="1" applyBorder="1" applyAlignment="1">
      <alignment vertical="center"/>
    </xf>
    <xf numFmtId="41" fontId="7" fillId="0" borderId="191" xfId="4" applyNumberFormat="1" applyFont="1" applyFill="1" applyBorder="1" applyAlignment="1">
      <alignment horizontal="right" vertical="center"/>
    </xf>
    <xf numFmtId="3" fontId="25" fillId="8" borderId="9" xfId="4" applyNumberFormat="1" applyFont="1" applyFill="1" applyBorder="1" applyAlignment="1">
      <alignment horizontal="center" vertical="center"/>
    </xf>
    <xf numFmtId="3" fontId="25" fillId="8" borderId="76" xfId="4" applyNumberFormat="1" applyFont="1" applyFill="1" applyBorder="1" applyAlignment="1">
      <alignment horizontal="center" vertical="center"/>
    </xf>
    <xf numFmtId="3" fontId="25" fillId="6" borderId="194" xfId="4" applyNumberFormat="1" applyFont="1" applyFill="1" applyBorder="1" applyAlignment="1">
      <alignment vertical="center"/>
    </xf>
    <xf numFmtId="3" fontId="29" fillId="25" borderId="175" xfId="4" applyNumberFormat="1" applyFont="1" applyFill="1" applyBorder="1" applyAlignment="1">
      <alignment horizontal="right" vertical="center"/>
    </xf>
    <xf numFmtId="43" fontId="7" fillId="0" borderId="185" xfId="1" applyFont="1" applyFill="1" applyBorder="1" applyAlignment="1">
      <alignment vertical="center"/>
    </xf>
    <xf numFmtId="3" fontId="7" fillId="23" borderId="185" xfId="4" applyNumberFormat="1" applyFont="1" applyFill="1" applyBorder="1" applyAlignment="1">
      <alignment vertical="center"/>
    </xf>
    <xf numFmtId="0" fontId="18" fillId="0" borderId="42" xfId="112" applyFont="1" applyFill="1" applyBorder="1" applyAlignment="1">
      <alignment vertical="center" wrapText="1"/>
    </xf>
    <xf numFmtId="41" fontId="31" fillId="0" borderId="175" xfId="4" applyNumberFormat="1" applyFont="1" applyFill="1" applyBorder="1" applyAlignment="1">
      <alignment vertical="center"/>
    </xf>
    <xf numFmtId="43" fontId="31" fillId="32" borderId="175" xfId="1" applyFont="1" applyFill="1" applyBorder="1" applyAlignment="1">
      <alignment vertical="center"/>
    </xf>
    <xf numFmtId="41" fontId="7" fillId="0" borderId="175" xfId="4" applyNumberFormat="1" applyFont="1" applyFill="1" applyBorder="1" applyAlignment="1">
      <alignment vertical="center"/>
    </xf>
    <xf numFmtId="43" fontId="31" fillId="32" borderId="174" xfId="1" applyFont="1" applyFill="1" applyBorder="1" applyAlignment="1">
      <alignment vertical="center"/>
    </xf>
    <xf numFmtId="0" fontId="7" fillId="2" borderId="74" xfId="4" applyFont="1" applyFill="1" applyBorder="1" applyAlignment="1">
      <alignment vertical="center"/>
    </xf>
    <xf numFmtId="0" fontId="24" fillId="8" borderId="21" xfId="112" applyFont="1" applyFill="1" applyBorder="1" applyAlignment="1">
      <alignment vertical="center" wrapText="1"/>
    </xf>
    <xf numFmtId="0" fontId="24" fillId="8" borderId="6" xfId="112" applyFont="1" applyFill="1" applyBorder="1" applyAlignment="1">
      <alignment horizontal="center" vertical="center" wrapText="1"/>
    </xf>
    <xf numFmtId="3" fontId="7" fillId="8" borderId="7" xfId="112" applyNumberFormat="1" applyFont="1" applyFill="1" applyBorder="1" applyAlignment="1">
      <alignment vertical="center"/>
    </xf>
    <xf numFmtId="3" fontId="7" fillId="23" borderId="35" xfId="112" applyNumberFormat="1" applyFont="1" applyFill="1" applyBorder="1" applyAlignment="1">
      <alignment vertical="center"/>
    </xf>
    <xf numFmtId="3" fontId="7" fillId="0" borderId="165" xfId="4" applyNumberFormat="1" applyFont="1" applyFill="1" applyBorder="1" applyAlignment="1">
      <alignment vertical="center"/>
    </xf>
    <xf numFmtId="3" fontId="7" fillId="0" borderId="117" xfId="4" applyNumberFormat="1" applyFont="1" applyFill="1" applyBorder="1" applyAlignment="1">
      <alignment horizontal="right" vertical="center"/>
    </xf>
    <xf numFmtId="0" fontId="7" fillId="61" borderId="36" xfId="4" applyFont="1" applyFill="1" applyBorder="1" applyAlignment="1">
      <alignment vertical="center"/>
    </xf>
    <xf numFmtId="3" fontId="7" fillId="61" borderId="165" xfId="4" applyNumberFormat="1" applyFont="1" applyFill="1" applyBorder="1" applyAlignment="1">
      <alignment vertical="center"/>
    </xf>
    <xf numFmtId="43" fontId="31" fillId="61" borderId="174" xfId="1" applyFont="1" applyFill="1" applyBorder="1" applyAlignment="1">
      <alignment vertical="center"/>
    </xf>
    <xf numFmtId="3" fontId="7" fillId="61" borderId="175" xfId="4" applyNumberFormat="1" applyFont="1" applyFill="1" applyBorder="1" applyAlignment="1">
      <alignment horizontal="right" vertical="center"/>
    </xf>
    <xf numFmtId="0" fontId="7" fillId="59" borderId="36" xfId="4" applyFont="1" applyFill="1" applyBorder="1" applyAlignment="1">
      <alignment vertical="center"/>
    </xf>
    <xf numFmtId="3" fontId="7" fillId="59" borderId="165" xfId="4" applyNumberFormat="1" applyFont="1" applyFill="1" applyBorder="1" applyAlignment="1">
      <alignment vertical="center"/>
    </xf>
    <xf numFmtId="43" fontId="31" fillId="59" borderId="174" xfId="1" applyFont="1" applyFill="1" applyBorder="1" applyAlignment="1">
      <alignment vertical="center"/>
    </xf>
    <xf numFmtId="3" fontId="7" fillId="59" borderId="175" xfId="4" applyNumberFormat="1" applyFont="1" applyFill="1" applyBorder="1" applyAlignment="1">
      <alignment horizontal="right" vertical="center"/>
    </xf>
    <xf numFmtId="3" fontId="7" fillId="61" borderId="174" xfId="4" applyNumberFormat="1" applyFont="1" applyFill="1" applyBorder="1" applyAlignment="1">
      <alignment vertical="center"/>
    </xf>
    <xf numFmtId="3" fontId="7" fillId="61" borderId="171" xfId="4" applyNumberFormat="1" applyFont="1" applyFill="1" applyBorder="1" applyAlignment="1">
      <alignment horizontal="right" vertical="center"/>
    </xf>
    <xf numFmtId="3" fontId="7" fillId="59" borderId="174" xfId="4" applyNumberFormat="1" applyFont="1" applyFill="1" applyBorder="1" applyAlignment="1">
      <alignment vertical="center"/>
    </xf>
    <xf numFmtId="3" fontId="7" fillId="59" borderId="171" xfId="4" applyNumberFormat="1" applyFont="1" applyFill="1" applyBorder="1" applyAlignment="1">
      <alignment horizontal="right" vertical="center"/>
    </xf>
    <xf numFmtId="0" fontId="4" fillId="0" borderId="193" xfId="112" applyFont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31" fillId="0" borderId="112" xfId="112" applyNumberFormat="1" applyFont="1" applyFill="1" applyBorder="1" applyAlignment="1">
      <alignment vertical="center"/>
    </xf>
    <xf numFmtId="0" fontId="40" fillId="0" borderId="0" xfId="0" applyFont="1" applyAlignment="1"/>
    <xf numFmtId="3" fontId="8" fillId="0" borderId="0" xfId="0" applyNumberFormat="1" applyFont="1" applyBorder="1" applyAlignment="1"/>
    <xf numFmtId="0" fontId="0" fillId="0" borderId="0" xfId="0" applyFont="1" applyAlignment="1"/>
    <xf numFmtId="0" fontId="8" fillId="0" borderId="0" xfId="0" applyFont="1" applyAlignment="1"/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15" borderId="14" xfId="0" applyFont="1" applyFill="1" applyBorder="1" applyAlignment="1">
      <alignment horizontal="center" vertical="center" wrapText="1"/>
    </xf>
    <xf numFmtId="0" fontId="36" fillId="15" borderId="22" xfId="0" applyFont="1" applyFill="1" applyBorder="1" applyAlignment="1">
      <alignment horizontal="center" vertical="center" wrapText="1"/>
    </xf>
    <xf numFmtId="0" fontId="36" fillId="16" borderId="14" xfId="0" applyFont="1" applyFill="1" applyBorder="1" applyAlignment="1">
      <alignment horizontal="center" wrapText="1"/>
    </xf>
    <xf numFmtId="0" fontId="36" fillId="16" borderId="22" xfId="0" applyFont="1" applyFill="1" applyBorder="1" applyAlignment="1">
      <alignment horizontal="center" wrapText="1"/>
    </xf>
    <xf numFmtId="0" fontId="69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4" fillId="0" borderId="15" xfId="4" applyFont="1" applyBorder="1" applyAlignment="1">
      <alignment horizontal="center" vertical="center" wrapText="1"/>
    </xf>
    <xf numFmtId="0" fontId="24" fillId="0" borderId="13" xfId="4" applyFont="1" applyBorder="1" applyAlignment="1">
      <alignment horizontal="center" vertical="center" wrapText="1"/>
    </xf>
    <xf numFmtId="0" fontId="24" fillId="0" borderId="12" xfId="4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8" fillId="0" borderId="184" xfId="0" applyFont="1" applyBorder="1" applyAlignment="1">
      <alignment horizontal="center"/>
    </xf>
    <xf numFmtId="0" fontId="8" fillId="0" borderId="189" xfId="0" applyFont="1" applyBorder="1" applyAlignment="1">
      <alignment horizont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1" fillId="10" borderId="180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25" fillId="2" borderId="173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3" fontId="25" fillId="26" borderId="171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0" fontId="22" fillId="0" borderId="181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4" fillId="2" borderId="173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2" xfId="4" applyNumberFormat="1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4" fillId="27" borderId="64" xfId="4" applyFont="1" applyFill="1" applyBorder="1" applyAlignment="1">
      <alignment horizontal="center" vertical="center" wrapText="1"/>
    </xf>
    <xf numFmtId="0" fontId="24" fillId="27" borderId="65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3" fontId="24" fillId="26" borderId="61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4" fillId="26" borderId="171" xfId="4" applyNumberFormat="1" applyFont="1" applyFill="1" applyBorder="1" applyAlignment="1">
      <alignment horizontal="center" vertical="center"/>
    </xf>
    <xf numFmtId="3" fontId="25" fillId="2" borderId="101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6" borderId="191" xfId="4" applyNumberFormat="1" applyFont="1" applyFill="1" applyBorder="1" applyAlignment="1">
      <alignment horizontal="center" vertical="center"/>
    </xf>
    <xf numFmtId="3" fontId="25" fillId="26" borderId="50" xfId="4" applyNumberFormat="1" applyFont="1" applyFill="1" applyBorder="1" applyAlignment="1">
      <alignment horizontal="center" vertical="center"/>
    </xf>
    <xf numFmtId="3" fontId="18" fillId="0" borderId="40" xfId="4" applyNumberFormat="1" applyFont="1" applyFill="1" applyBorder="1" applyAlignment="1">
      <alignment horizontal="center" vertical="center" wrapText="1"/>
    </xf>
    <xf numFmtId="3" fontId="18" fillId="0" borderId="44" xfId="4" applyNumberFormat="1" applyFont="1" applyFill="1" applyBorder="1" applyAlignment="1">
      <alignment horizontal="center" vertical="center" wrapText="1"/>
    </xf>
    <xf numFmtId="0" fontId="22" fillId="0" borderId="113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3" fontId="25" fillId="26" borderId="159" xfId="4" applyNumberFormat="1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3" fontId="31" fillId="26" borderId="184" xfId="4" applyNumberFormat="1" applyFont="1" applyFill="1" applyBorder="1" applyAlignment="1">
      <alignment horizontal="center" vertical="center"/>
    </xf>
    <xf numFmtId="3" fontId="31" fillId="26" borderId="10" xfId="4" applyNumberFormat="1" applyFont="1" applyFill="1" applyBorder="1" applyAlignment="1">
      <alignment horizontal="center" vertical="center"/>
    </xf>
    <xf numFmtId="3" fontId="31" fillId="26" borderId="72" xfId="4" applyNumberFormat="1" applyFont="1" applyFill="1" applyBorder="1" applyAlignment="1">
      <alignment horizontal="center" vertical="center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0" fontId="18" fillId="0" borderId="40" xfId="4" applyFont="1" applyFill="1" applyBorder="1" applyAlignment="1">
      <alignment horizontal="center" vertical="center" wrapText="1"/>
    </xf>
    <xf numFmtId="0" fontId="18" fillId="0" borderId="44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0" fontId="17" fillId="0" borderId="74" xfId="4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8" fillId="0" borderId="181" xfId="4" applyFont="1" applyFill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17" fillId="0" borderId="26" xfId="4" applyFont="1" applyFill="1" applyBorder="1" applyAlignment="1">
      <alignment horizontal="center" vertical="center"/>
    </xf>
    <xf numFmtId="0" fontId="18" fillId="0" borderId="65" xfId="4" applyFont="1" applyFill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3" fontId="25" fillId="2" borderId="0" xfId="4" applyNumberFormat="1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" fontId="25" fillId="2" borderId="121" xfId="4" applyNumberFormat="1" applyFont="1" applyFill="1" applyBorder="1" applyAlignment="1">
      <alignment horizontal="center" vertical="center" wrapText="1"/>
    </xf>
    <xf numFmtId="0" fontId="25" fillId="2" borderId="121" xfId="4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3" fontId="25" fillId="26" borderId="166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0" fontId="32" fillId="0" borderId="181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22" fillId="0" borderId="12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25" fillId="2" borderId="173" xfId="4" applyFont="1" applyFill="1" applyBorder="1" applyAlignment="1">
      <alignment horizontal="center" vertical="center" wrapText="1"/>
    </xf>
    <xf numFmtId="0" fontId="18" fillId="0" borderId="5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18" fillId="0" borderId="113" xfId="4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25" fillId="2" borderId="38" xfId="4" applyNumberFormat="1" applyFont="1" applyFill="1" applyBorder="1" applyAlignment="1">
      <alignment horizontal="center" vertical="center" wrapText="1"/>
    </xf>
    <xf numFmtId="3" fontId="32" fillId="25" borderId="0" xfId="6" applyNumberFormat="1" applyFont="1" applyFill="1" applyBorder="1" applyAlignment="1">
      <alignment horizontal="center" vertical="center"/>
    </xf>
    <xf numFmtId="3" fontId="32" fillId="25" borderId="7" xfId="6" applyNumberFormat="1" applyFont="1" applyFill="1" applyBorder="1" applyAlignment="1">
      <alignment horizontal="center" vertical="center"/>
    </xf>
    <xf numFmtId="3" fontId="32" fillId="25" borderId="72" xfId="6" applyNumberFormat="1" applyFont="1" applyFill="1" applyBorder="1" applyAlignment="1">
      <alignment horizontal="center" vertical="center"/>
    </xf>
    <xf numFmtId="3" fontId="32" fillId="25" borderId="10" xfId="6" applyNumberFormat="1" applyFont="1" applyFill="1" applyBorder="1" applyAlignment="1">
      <alignment horizontal="center" vertical="center"/>
    </xf>
    <xf numFmtId="3" fontId="25" fillId="26" borderId="184" xfId="4" applyNumberFormat="1" applyFont="1" applyFill="1" applyBorder="1" applyAlignment="1">
      <alignment horizontal="center" vertical="center"/>
    </xf>
    <xf numFmtId="3" fontId="25" fillId="26" borderId="10" xfId="4" applyNumberFormat="1" applyFont="1" applyFill="1" applyBorder="1" applyAlignment="1">
      <alignment horizontal="center" vertical="center"/>
    </xf>
    <xf numFmtId="3" fontId="25" fillId="26" borderId="72" xfId="4" applyNumberFormat="1" applyFont="1" applyFill="1" applyBorder="1" applyAlignment="1">
      <alignment horizontal="center" vertical="center"/>
    </xf>
    <xf numFmtId="0" fontId="18" fillId="0" borderId="14" xfId="4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3" fontId="25" fillId="23" borderId="171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3" fontId="24" fillId="24" borderId="171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 wrapText="1"/>
    </xf>
    <xf numFmtId="0" fontId="17" fillId="0" borderId="175" xfId="4" applyFont="1" applyBorder="1" applyAlignment="1">
      <alignment horizontal="center" vertical="center" wrapText="1"/>
    </xf>
    <xf numFmtId="0" fontId="25" fillId="0" borderId="76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32" fillId="0" borderId="38" xfId="0" applyFont="1" applyBorder="1" applyAlignment="1">
      <alignment vertical="center" wrapText="1"/>
    </xf>
    <xf numFmtId="0" fontId="32" fillId="0" borderId="40" xfId="0" applyFont="1" applyBorder="1" applyAlignment="1">
      <alignment horizontal="center" vertical="center" wrapText="1"/>
    </xf>
    <xf numFmtId="3" fontId="24" fillId="26" borderId="39" xfId="4" applyNumberFormat="1" applyFont="1" applyFill="1" applyBorder="1" applyAlignment="1">
      <alignment horizontal="center" vertical="center"/>
    </xf>
    <xf numFmtId="3" fontId="24" fillId="26" borderId="159" xfId="4" applyNumberFormat="1" applyFont="1" applyFill="1" applyBorder="1" applyAlignment="1">
      <alignment horizontal="center" vertical="center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3" fontId="24" fillId="26" borderId="166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3" fontId="25" fillId="25" borderId="171" xfId="4" applyNumberFormat="1" applyFont="1" applyFill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/>
    </xf>
    <xf numFmtId="43" fontId="24" fillId="22" borderId="60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2" xfId="1" applyFont="1" applyFill="1" applyBorder="1" applyAlignment="1">
      <alignment horizontal="center" vertical="center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3" borderId="25" xfId="4" applyFont="1" applyFill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6" fillId="0" borderId="12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3" fontId="25" fillId="2" borderId="71" xfId="4" applyNumberFormat="1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3" fontId="25" fillId="26" borderId="61" xfId="4" applyNumberFormat="1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25" fillId="2" borderId="154" xfId="4" applyNumberFormat="1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43" fontId="24" fillId="22" borderId="104" xfId="1" applyFont="1" applyFill="1" applyBorder="1" applyAlignment="1">
      <alignment horizontal="center" vertical="center"/>
    </xf>
    <xf numFmtId="3" fontId="25" fillId="25" borderId="61" xfId="4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3" fontId="24" fillId="26" borderId="185" xfId="4" applyNumberFormat="1" applyFont="1" applyFill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/>
    </xf>
    <xf numFmtId="43" fontId="24" fillId="22" borderId="159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3" fontId="18" fillId="0" borderId="181" xfId="4" applyNumberFormat="1" applyFont="1" applyFill="1" applyBorder="1" applyAlignment="1">
      <alignment horizontal="center" vertical="center" wrapText="1"/>
    </xf>
    <xf numFmtId="3" fontId="18" fillId="0" borderId="120" xfId="4" applyNumberFormat="1" applyFont="1" applyFill="1" applyBorder="1" applyAlignment="1">
      <alignment horizontal="center" vertical="center" wrapText="1"/>
    </xf>
    <xf numFmtId="0" fontId="24" fillId="2" borderId="180" xfId="4" applyFont="1" applyFill="1" applyBorder="1" applyAlignment="1">
      <alignment horizontal="center" vertical="center"/>
    </xf>
    <xf numFmtId="3" fontId="25" fillId="25" borderId="165" xfId="4" applyNumberFormat="1" applyFont="1" applyFill="1" applyBorder="1" applyAlignment="1">
      <alignment horizontal="center" vertical="center"/>
    </xf>
    <xf numFmtId="3" fontId="25" fillId="25" borderId="185" xfId="4" applyNumberFormat="1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3" fontId="31" fillId="25" borderId="171" xfId="4" applyNumberFormat="1" applyFont="1" applyFill="1" applyBorder="1" applyAlignment="1">
      <alignment horizontal="center" vertical="center"/>
    </xf>
    <xf numFmtId="3" fontId="31" fillId="25" borderId="13" xfId="4" applyNumberFormat="1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0" fontId="7" fillId="8" borderId="40" xfId="4" applyFont="1" applyFill="1" applyBorder="1" applyAlignment="1">
      <alignment horizontal="center" vertical="center"/>
    </xf>
    <xf numFmtId="3" fontId="18" fillId="0" borderId="79" xfId="4" applyNumberFormat="1" applyFont="1" applyFill="1" applyBorder="1" applyAlignment="1">
      <alignment horizontal="center" vertical="center" wrapText="1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17" fillId="0" borderId="194" xfId="4" applyFont="1" applyFill="1" applyBorder="1" applyAlignment="1">
      <alignment horizontal="center" vertical="center" wrapText="1"/>
    </xf>
    <xf numFmtId="0" fontId="4" fillId="0" borderId="19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1" fillId="0" borderId="42" xfId="4" applyFont="1" applyFill="1" applyBorder="1" applyAlignment="1">
      <alignment horizontal="center" vertical="center" wrapText="1"/>
    </xf>
    <xf numFmtId="0" fontId="31" fillId="0" borderId="43" xfId="4" applyFont="1" applyFill="1" applyBorder="1" applyAlignment="1">
      <alignment horizontal="center" vertical="center" wrapText="1"/>
    </xf>
    <xf numFmtId="3" fontId="25" fillId="0" borderId="175" xfId="4" applyNumberFormat="1" applyFont="1" applyFill="1" applyBorder="1" applyAlignment="1">
      <alignment horizontal="center" vertical="center" wrapText="1"/>
    </xf>
    <xf numFmtId="0" fontId="32" fillId="0" borderId="175" xfId="0" applyFont="1" applyFill="1" applyBorder="1" applyAlignment="1">
      <alignment horizontal="center" vertical="center" wrapText="1"/>
    </xf>
    <xf numFmtId="3" fontId="24" fillId="26" borderId="175" xfId="4" applyNumberFormat="1" applyFont="1" applyFill="1" applyBorder="1" applyAlignment="1">
      <alignment horizontal="center" vertical="center"/>
    </xf>
    <xf numFmtId="0" fontId="23" fillId="0" borderId="171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7" fillId="0" borderId="42" xfId="4" applyFont="1" applyFill="1" applyBorder="1" applyAlignment="1">
      <alignment horizontal="center" vertical="center" wrapText="1"/>
    </xf>
    <xf numFmtId="0" fontId="7" fillId="0" borderId="43" xfId="4" applyFont="1" applyFill="1" applyBorder="1" applyAlignment="1">
      <alignment horizontal="center" vertical="center" wrapText="1"/>
    </xf>
    <xf numFmtId="0" fontId="7" fillId="0" borderId="46" xfId="4" applyFont="1" applyFill="1" applyBorder="1" applyAlignment="1">
      <alignment horizontal="center" vertical="center" wrapText="1"/>
    </xf>
    <xf numFmtId="0" fontId="17" fillId="0" borderId="14" xfId="4" applyFont="1" applyFill="1" applyBorder="1" applyAlignment="1">
      <alignment horizontal="center" vertical="center" wrapText="1"/>
    </xf>
    <xf numFmtId="0" fontId="17" fillId="0" borderId="6" xfId="4" applyFont="1" applyFill="1" applyBorder="1" applyAlignment="1">
      <alignment horizontal="center" vertical="center" wrapText="1"/>
    </xf>
    <xf numFmtId="0" fontId="17" fillId="0" borderId="22" xfId="4" applyFont="1" applyFill="1" applyBorder="1" applyAlignment="1">
      <alignment horizontal="center" vertical="center" wrapText="1"/>
    </xf>
    <xf numFmtId="0" fontId="7" fillId="0" borderId="40" xfId="4" applyFont="1" applyFill="1" applyBorder="1" applyAlignment="1">
      <alignment horizontal="center" vertical="center" wrapText="1"/>
    </xf>
    <xf numFmtId="0" fontId="7" fillId="0" borderId="44" xfId="4" applyFont="1" applyFill="1" applyBorder="1" applyAlignment="1">
      <alignment horizontal="center" vertical="center" wrapText="1"/>
    </xf>
    <xf numFmtId="0" fontId="23" fillId="0" borderId="171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4" fillId="2" borderId="173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30" fillId="8" borderId="5" xfId="0" applyFont="1" applyFill="1" applyBorder="1" applyAlignment="1">
      <alignment horizontal="center" vertical="top"/>
    </xf>
    <xf numFmtId="0" fontId="30" fillId="8" borderId="11" xfId="0" applyFont="1" applyFill="1" applyBorder="1" applyAlignment="1">
      <alignment horizontal="center" vertical="top"/>
    </xf>
    <xf numFmtId="0" fontId="30" fillId="8" borderId="25" xfId="0" applyFont="1" applyFill="1" applyBorder="1" applyAlignment="1">
      <alignment horizontal="center" vertical="top"/>
    </xf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3" fontId="25" fillId="28" borderId="40" xfId="0" applyNumberFormat="1" applyFont="1" applyFill="1" applyBorder="1" applyAlignment="1">
      <alignment horizontal="center" vertical="center" wrapText="1"/>
    </xf>
    <xf numFmtId="3" fontId="25" fillId="28" borderId="113" xfId="0" applyNumberFormat="1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32" fillId="0" borderId="113" xfId="0" applyFont="1" applyBorder="1" applyAlignment="1">
      <alignment horizontal="center" vertical="center" wrapText="1"/>
    </xf>
    <xf numFmtId="0" fontId="23" fillId="0" borderId="185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31" fillId="0" borderId="46" xfId="4" applyFont="1" applyFill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17" fillId="0" borderId="37" xfId="4" applyFont="1" applyFill="1" applyBorder="1" applyAlignment="1">
      <alignment horizontal="center" vertical="center" wrapText="1"/>
    </xf>
    <xf numFmtId="3" fontId="25" fillId="0" borderId="184" xfId="4" applyNumberFormat="1" applyFont="1" applyFill="1" applyBorder="1" applyAlignment="1">
      <alignment horizontal="center" vertical="center" wrapText="1"/>
    </xf>
    <xf numFmtId="3" fontId="25" fillId="0" borderId="10" xfId="4" applyNumberFormat="1" applyFont="1" applyFill="1" applyBorder="1" applyAlignment="1">
      <alignment horizontal="center" vertical="center" wrapText="1"/>
    </xf>
    <xf numFmtId="3" fontId="25" fillId="0" borderId="7" xfId="4" applyNumberFormat="1" applyFont="1" applyFill="1" applyBorder="1" applyAlignment="1">
      <alignment horizontal="center" vertical="center" wrapText="1"/>
    </xf>
    <xf numFmtId="0" fontId="23" fillId="0" borderId="184" xfId="0" applyFont="1" applyFill="1" applyBorder="1" applyAlignment="1">
      <alignment horizontal="center" vertical="center" wrapText="1"/>
    </xf>
    <xf numFmtId="0" fontId="23" fillId="0" borderId="72" xfId="0" applyFont="1" applyFill="1" applyBorder="1" applyAlignment="1">
      <alignment horizontal="center" vertical="center" wrapText="1"/>
    </xf>
    <xf numFmtId="0" fontId="18" fillId="0" borderId="68" xfId="4" applyFont="1" applyBorder="1" applyAlignment="1">
      <alignment horizontal="center" vertical="center" wrapText="1"/>
    </xf>
    <xf numFmtId="0" fontId="4" fillId="0" borderId="175" xfId="0" applyFont="1" applyBorder="1" applyAlignment="1">
      <alignment horizontal="center" vertical="center" wrapText="1"/>
    </xf>
    <xf numFmtId="0" fontId="22" fillId="0" borderId="175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0" xfId="4" applyFont="1" applyBorder="1" applyAlignment="1">
      <alignment horizontal="center" vertical="center" wrapText="1"/>
    </xf>
    <xf numFmtId="0" fontId="20" fillId="19" borderId="68" xfId="4" applyFont="1" applyFill="1" applyBorder="1" applyAlignment="1">
      <alignment horizontal="center" vertical="center" wrapText="1"/>
    </xf>
    <xf numFmtId="0" fontId="4" fillId="19" borderId="175" xfId="0" applyFont="1" applyFill="1" applyBorder="1" applyAlignment="1">
      <alignment horizontal="center" vertical="center" wrapText="1"/>
    </xf>
    <xf numFmtId="0" fontId="17" fillId="0" borderId="194" xfId="4" quotePrefix="1" applyFont="1" applyFill="1" applyBorder="1" applyAlignment="1">
      <alignment horizontal="center" vertical="center" wrapText="1"/>
    </xf>
    <xf numFmtId="0" fontId="17" fillId="0" borderId="182" xfId="4" applyFont="1" applyFill="1" applyBorder="1" applyAlignment="1">
      <alignment horizontal="center" vertical="center" wrapText="1"/>
    </xf>
    <xf numFmtId="3" fontId="25" fillId="2" borderId="175" xfId="4" applyNumberFormat="1" applyFont="1" applyFill="1" applyBorder="1" applyAlignment="1">
      <alignment horizontal="center" vertical="center" wrapText="1"/>
    </xf>
    <xf numFmtId="0" fontId="32" fillId="0" borderId="175" xfId="0" applyFont="1" applyBorder="1" applyAlignment="1">
      <alignment horizontal="center" vertical="center" wrapText="1"/>
    </xf>
    <xf numFmtId="0" fontId="32" fillId="0" borderId="174" xfId="0" applyFont="1" applyBorder="1" applyAlignment="1">
      <alignment horizontal="center" vertical="center" wrapText="1"/>
    </xf>
    <xf numFmtId="0" fontId="25" fillId="2" borderId="175" xfId="4" applyFont="1" applyFill="1" applyBorder="1" applyAlignment="1">
      <alignment horizontal="center" vertical="center" wrapText="1"/>
    </xf>
    <xf numFmtId="0" fontId="32" fillId="0" borderId="175" xfId="0" applyFont="1" applyBorder="1" applyAlignment="1">
      <alignment wrapText="1"/>
    </xf>
    <xf numFmtId="0" fontId="32" fillId="0" borderId="185" xfId="0" applyFont="1" applyBorder="1" applyAlignment="1">
      <alignment wrapText="1"/>
    </xf>
    <xf numFmtId="3" fontId="24" fillId="22" borderId="175" xfId="4" applyNumberFormat="1" applyFont="1" applyFill="1" applyBorder="1" applyAlignment="1">
      <alignment horizontal="center" vertical="center"/>
    </xf>
    <xf numFmtId="3" fontId="24" fillId="22" borderId="171" xfId="4" applyNumberFormat="1" applyFont="1" applyFill="1" applyBorder="1" applyAlignment="1">
      <alignment horizontal="center" vertical="center"/>
    </xf>
    <xf numFmtId="3" fontId="24" fillId="22" borderId="185" xfId="4" applyNumberFormat="1" applyFont="1" applyFill="1" applyBorder="1" applyAlignment="1">
      <alignment horizontal="center" vertical="center"/>
    </xf>
    <xf numFmtId="0" fontId="23" fillId="0" borderId="15" xfId="6" applyFont="1" applyBorder="1" applyAlignment="1">
      <alignment horizontal="center" vertical="center" wrapText="1"/>
    </xf>
    <xf numFmtId="0" fontId="23" fillId="0" borderId="35" xfId="6" applyFont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4" fillId="0" borderId="35" xfId="0" applyFont="1" applyBorder="1"/>
    <xf numFmtId="0" fontId="23" fillId="0" borderId="171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17" fillId="0" borderId="14" xfId="4" quotePrefix="1" applyFont="1" applyFill="1" applyBorder="1" applyAlignment="1">
      <alignment horizontal="center" vertical="center" wrapText="1"/>
    </xf>
    <xf numFmtId="0" fontId="17" fillId="0" borderId="6" xfId="4" quotePrefix="1" applyFont="1" applyFill="1" applyBorder="1" applyAlignment="1">
      <alignment horizontal="center" vertical="center" wrapText="1"/>
    </xf>
    <xf numFmtId="0" fontId="17" fillId="0" borderId="22" xfId="4" quotePrefix="1" applyFont="1" applyFill="1" applyBorder="1" applyAlignment="1">
      <alignment horizontal="center" vertical="center" wrapText="1"/>
    </xf>
    <xf numFmtId="0" fontId="32" fillId="0" borderId="181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17" fillId="0" borderId="194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17" fillId="0" borderId="16" xfId="4" quotePrefix="1" applyFont="1" applyFill="1" applyBorder="1" applyAlignment="1">
      <alignment horizontal="center" vertical="center" wrapText="1"/>
    </xf>
    <xf numFmtId="0" fontId="25" fillId="0" borderId="171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17" fillId="0" borderId="38" xfId="4" applyFont="1" applyFill="1" applyBorder="1" applyAlignment="1">
      <alignment horizontal="center" vertical="center"/>
    </xf>
    <xf numFmtId="0" fontId="17" fillId="0" borderId="14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32" fillId="0" borderId="18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3" fontId="24" fillId="26" borderId="0" xfId="4" applyNumberFormat="1" applyFont="1" applyFill="1" applyBorder="1" applyAlignment="1">
      <alignment horizontal="center" vertical="center"/>
    </xf>
    <xf numFmtId="3" fontId="24" fillId="26" borderId="7" xfId="4" applyNumberFormat="1" applyFont="1" applyFill="1" applyBorder="1" applyAlignment="1">
      <alignment horizontal="center" vertical="center"/>
    </xf>
    <xf numFmtId="3" fontId="24" fillId="26" borderId="183" xfId="4" applyNumberFormat="1" applyFont="1" applyFill="1" applyBorder="1" applyAlignment="1">
      <alignment horizontal="center" vertical="center"/>
    </xf>
    <xf numFmtId="3" fontId="24" fillId="26" borderId="127" xfId="4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175" xfId="0" applyFont="1" applyBorder="1" applyAlignment="1">
      <alignment horizontal="center" vertical="center" wrapText="1"/>
    </xf>
    <xf numFmtId="0" fontId="23" fillId="0" borderId="185" xfId="0" applyFont="1" applyBorder="1" applyAlignment="1">
      <alignment horizontal="center" vertical="center" wrapText="1"/>
    </xf>
    <xf numFmtId="0" fontId="25" fillId="0" borderId="171" xfId="4" applyFont="1" applyFill="1" applyBorder="1" applyAlignment="1">
      <alignment horizontal="center" vertical="center" wrapText="1"/>
    </xf>
    <xf numFmtId="0" fontId="25" fillId="0" borderId="13" xfId="4" applyFont="1" applyFill="1" applyBorder="1" applyAlignment="1">
      <alignment horizontal="center" vertical="center" wrapText="1"/>
    </xf>
    <xf numFmtId="0" fontId="25" fillId="0" borderId="35" xfId="4" applyFont="1" applyFill="1" applyBorder="1" applyAlignment="1">
      <alignment horizontal="center" vertical="center" wrapText="1"/>
    </xf>
    <xf numFmtId="0" fontId="7" fillId="0" borderId="181" xfId="4" applyFont="1" applyFill="1" applyBorder="1" applyAlignment="1">
      <alignment horizontal="center" vertical="center" wrapText="1"/>
    </xf>
    <xf numFmtId="0" fontId="7" fillId="0" borderId="41" xfId="4" applyFont="1" applyFill="1" applyBorder="1" applyAlignment="1">
      <alignment horizontal="center" vertical="center" wrapText="1"/>
    </xf>
    <xf numFmtId="0" fontId="17" fillId="0" borderId="38" xfId="4" quotePrefix="1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/>
    </xf>
    <xf numFmtId="0" fontId="17" fillId="0" borderId="173" xfId="4" applyFont="1" applyFill="1" applyBorder="1" applyAlignment="1">
      <alignment horizontal="center" vertical="center"/>
    </xf>
    <xf numFmtId="0" fontId="17" fillId="0" borderId="1" xfId="4" applyFont="1" applyFill="1" applyBorder="1" applyAlignment="1">
      <alignment horizontal="center" vertical="center" wrapText="1"/>
    </xf>
    <xf numFmtId="0" fontId="17" fillId="0" borderId="26" xfId="4" applyFont="1" applyFill="1" applyBorder="1" applyAlignment="1">
      <alignment horizontal="center" vertical="center" wrapText="1"/>
    </xf>
    <xf numFmtId="0" fontId="17" fillId="0" borderId="66" xfId="4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2" xfId="4" applyFont="1" applyFill="1" applyBorder="1" applyAlignment="1">
      <alignment horizontal="left" vertical="center" wrapText="1"/>
    </xf>
    <xf numFmtId="0" fontId="0" fillId="58" borderId="166" xfId="3" applyFont="1" applyFill="1" applyBorder="1" applyAlignment="1">
      <alignment horizontal="center" vertical="center"/>
    </xf>
    <xf numFmtId="0" fontId="0" fillId="58" borderId="27" xfId="3" applyFont="1" applyFill="1" applyBorder="1" applyAlignment="1">
      <alignment horizontal="center" vertical="center"/>
    </xf>
    <xf numFmtId="0" fontId="0" fillId="58" borderId="23" xfId="3" applyFont="1" applyFill="1" applyBorder="1" applyAlignment="1">
      <alignment horizontal="center" vertical="center"/>
    </xf>
    <xf numFmtId="0" fontId="17" fillId="2" borderId="83" xfId="0" quotePrefix="1" applyFont="1" applyFill="1" applyBorder="1" applyAlignment="1">
      <alignment horizontal="center" vertical="center" wrapText="1"/>
    </xf>
    <xf numFmtId="0" fontId="17" fillId="2" borderId="156" xfId="0" quotePrefix="1" applyFont="1" applyFill="1" applyBorder="1" applyAlignment="1">
      <alignment horizontal="center" vertical="center" wrapText="1"/>
    </xf>
    <xf numFmtId="0" fontId="17" fillId="2" borderId="188" xfId="0" quotePrefix="1" applyFont="1" applyFill="1" applyBorder="1" applyAlignment="1">
      <alignment horizontal="center" vertical="center" wrapText="1"/>
    </xf>
    <xf numFmtId="0" fontId="24" fillId="0" borderId="17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37" fillId="0" borderId="17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17" fillId="2" borderId="182" xfId="0" quotePrefix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top"/>
    </xf>
    <xf numFmtId="0" fontId="57" fillId="0" borderId="26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52" xfId="0" quotePrefix="1" applyFont="1" applyFill="1" applyBorder="1" applyAlignment="1">
      <alignment horizontal="center" vertical="center" wrapText="1"/>
    </xf>
    <xf numFmtId="49" fontId="22" fillId="0" borderId="15" xfId="3" applyNumberFormat="1" applyFont="1" applyBorder="1" applyAlignment="1">
      <alignment horizontal="center" vertical="center" wrapText="1"/>
    </xf>
    <xf numFmtId="49" fontId="22" fillId="0" borderId="12" xfId="3" applyNumberFormat="1" applyFont="1" applyBorder="1" applyAlignment="1">
      <alignment horizontal="center" vertical="center" wrapText="1"/>
    </xf>
    <xf numFmtId="49" fontId="22" fillId="0" borderId="68" xfId="3" applyNumberFormat="1" applyFont="1" applyBorder="1" applyAlignment="1">
      <alignment horizontal="center" vertical="center" wrapText="1"/>
    </xf>
    <xf numFmtId="49" fontId="22" fillId="0" borderId="41" xfId="3" applyNumberFormat="1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49" fontId="22" fillId="0" borderId="185" xfId="3" applyNumberFormat="1" applyFont="1" applyBorder="1" applyAlignment="1">
      <alignment horizontal="center" vertical="center" wrapText="1"/>
    </xf>
    <xf numFmtId="49" fontId="22" fillId="0" borderId="39" xfId="3" applyNumberFormat="1" applyFont="1" applyBorder="1" applyAlignment="1">
      <alignment horizontal="center" vertical="center" wrapText="1"/>
    </xf>
    <xf numFmtId="49" fontId="78" fillId="0" borderId="171" xfId="3" applyNumberFormat="1" applyFont="1" applyBorder="1" applyAlignment="1">
      <alignment horizontal="center" vertical="center" wrapText="1"/>
    </xf>
    <xf numFmtId="49" fontId="78" fillId="0" borderId="13" xfId="3" applyNumberFormat="1" applyFont="1" applyBorder="1" applyAlignment="1">
      <alignment horizontal="center" vertical="center" wrapText="1"/>
    </xf>
    <xf numFmtId="49" fontId="78" fillId="0" borderId="12" xfId="3" applyNumberFormat="1" applyFont="1" applyBorder="1" applyAlignment="1">
      <alignment horizontal="center" vertical="center" wrapText="1"/>
    </xf>
    <xf numFmtId="3" fontId="25" fillId="22" borderId="184" xfId="0" applyNumberFormat="1" applyFont="1" applyFill="1" applyBorder="1" applyAlignment="1">
      <alignment horizontal="center" vertical="center"/>
    </xf>
    <xf numFmtId="3" fontId="25" fillId="22" borderId="10" xfId="0" applyNumberFormat="1" applyFont="1" applyFill="1" applyBorder="1" applyAlignment="1">
      <alignment horizontal="center" vertical="center"/>
    </xf>
    <xf numFmtId="3" fontId="25" fillId="22" borderId="72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24" fillId="0" borderId="121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37" fillId="0" borderId="121" xfId="0" applyFont="1" applyBorder="1" applyAlignment="1">
      <alignment horizontal="center" vertical="center" wrapText="1"/>
    </xf>
    <xf numFmtId="43" fontId="25" fillId="22" borderId="184" xfId="1" applyFont="1" applyFill="1" applyBorder="1" applyAlignment="1">
      <alignment horizontal="center" vertical="center"/>
    </xf>
    <xf numFmtId="43" fontId="25" fillId="22" borderId="10" xfId="1" applyFont="1" applyFill="1" applyBorder="1" applyAlignment="1">
      <alignment horizontal="center" vertical="center"/>
    </xf>
    <xf numFmtId="43" fontId="25" fillId="22" borderId="72" xfId="1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wrapText="1"/>
    </xf>
    <xf numFmtId="43" fontId="25" fillId="22" borderId="171" xfId="1" applyFont="1" applyFill="1" applyBorder="1" applyAlignment="1">
      <alignment horizontal="center" vertical="center"/>
    </xf>
    <xf numFmtId="43" fontId="25" fillId="22" borderId="13" xfId="1" applyFont="1" applyFill="1" applyBorder="1" applyAlignment="1">
      <alignment horizontal="center" vertical="center"/>
    </xf>
    <xf numFmtId="43" fontId="25" fillId="22" borderId="12" xfId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vertical="center"/>
    </xf>
    <xf numFmtId="0" fontId="17" fillId="2" borderId="5" xfId="0" quotePrefix="1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66" xfId="0" applyFont="1" applyBorder="1"/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181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3" fontId="25" fillId="22" borderId="171" xfId="0" applyNumberFormat="1" applyFont="1" applyFill="1" applyBorder="1" applyAlignment="1">
      <alignment horizontal="center" vertical="center"/>
    </xf>
    <xf numFmtId="2" fontId="25" fillId="32" borderId="173" xfId="0" applyNumberFormat="1" applyFont="1" applyFill="1" applyBorder="1" applyAlignment="1">
      <alignment horizontal="center" vertical="center" wrapText="1"/>
    </xf>
    <xf numFmtId="2" fontId="25" fillId="32" borderId="6" xfId="0" applyNumberFormat="1" applyFont="1" applyFill="1" applyBorder="1" applyAlignment="1">
      <alignment horizontal="center" vertical="center" wrapText="1"/>
    </xf>
    <xf numFmtId="2" fontId="25" fillId="32" borderId="20" xfId="0" applyNumberFormat="1" applyFont="1" applyFill="1" applyBorder="1" applyAlignment="1">
      <alignment horizontal="center" vertical="center" wrapText="1"/>
    </xf>
    <xf numFmtId="2" fontId="25" fillId="32" borderId="22" xfId="0" applyNumberFormat="1" applyFont="1" applyFill="1" applyBorder="1" applyAlignment="1">
      <alignment horizontal="center" vertical="center" wrapText="1"/>
    </xf>
    <xf numFmtId="3" fontId="24" fillId="22" borderId="171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2" fontId="18" fillId="0" borderId="64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 applyAlignment="1">
      <alignment horizontal="center" wrapText="1"/>
    </xf>
    <xf numFmtId="2" fontId="0" fillId="0" borderId="67" xfId="0" applyNumberFormat="1" applyFont="1" applyBorder="1" applyAlignment="1">
      <alignment horizontal="center" wrapText="1"/>
    </xf>
    <xf numFmtId="2" fontId="23" fillId="0" borderId="173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16" fillId="2" borderId="24" xfId="0" applyNumberFormat="1" applyFont="1" applyFill="1" applyBorder="1" applyAlignment="1">
      <alignment horizontal="left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21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20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35" xfId="4" applyNumberFormat="1" applyFont="1" applyBorder="1" applyAlignment="1">
      <alignment horizontal="center" vertical="center" wrapText="1"/>
    </xf>
    <xf numFmtId="2" fontId="17" fillId="0" borderId="64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0" fillId="2" borderId="5" xfId="0" applyNumberFormat="1" applyFont="1" applyFill="1" applyBorder="1" applyAlignment="1">
      <alignment horizontal="center" vertical="center"/>
    </xf>
    <xf numFmtId="2" fontId="20" fillId="2" borderId="21" xfId="0" applyNumberFormat="1" applyFont="1" applyFill="1" applyBorder="1" applyAlignment="1">
      <alignment horizontal="center" vertical="center"/>
    </xf>
    <xf numFmtId="0" fontId="83" fillId="0" borderId="15" xfId="4" applyFont="1" applyBorder="1" applyAlignment="1">
      <alignment horizontal="center" vertical="center" wrapText="1"/>
    </xf>
    <xf numFmtId="0" fontId="83" fillId="0" borderId="35" xfId="4" applyFont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25" fillId="2" borderId="173" xfId="0" applyNumberFormat="1" applyFont="1" applyFill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/>
    </xf>
    <xf numFmtId="0" fontId="25" fillId="2" borderId="173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4" xfId="0" applyNumberFormat="1" applyFont="1" applyFill="1" applyBorder="1" applyAlignment="1">
      <alignment horizontal="center" vertical="center" wrapText="1"/>
    </xf>
    <xf numFmtId="2" fontId="20" fillId="31" borderId="25" xfId="0" applyNumberFormat="1" applyFont="1" applyFill="1" applyBorder="1" applyAlignment="1">
      <alignment horizontal="center" vertical="center" wrapText="1"/>
    </xf>
    <xf numFmtId="2" fontId="20" fillId="31" borderId="11" xfId="0" applyNumberFormat="1" applyFont="1" applyFill="1" applyBorder="1" applyAlignment="1">
      <alignment horizontal="center" vertical="center" wrapText="1"/>
    </xf>
    <xf numFmtId="2" fontId="20" fillId="31" borderId="65" xfId="0" applyNumberFormat="1" applyFont="1" applyFill="1" applyBorder="1" applyAlignment="1">
      <alignment horizontal="center" vertical="center" wrapText="1"/>
    </xf>
    <xf numFmtId="2" fontId="20" fillId="31" borderId="52" xfId="0" applyNumberFormat="1" applyFont="1" applyFill="1" applyBorder="1" applyAlignment="1">
      <alignment horizontal="center" vertical="center" wrapText="1"/>
    </xf>
    <xf numFmtId="2" fontId="16" fillId="2" borderId="66" xfId="0" applyNumberFormat="1" applyFont="1" applyFill="1" applyBorder="1" applyAlignment="1">
      <alignment horizontal="left" vertical="center" wrapText="1"/>
    </xf>
    <xf numFmtId="3" fontId="20" fillId="2" borderId="159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20" fillId="2" borderId="17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113" xfId="0" applyFont="1" applyFill="1" applyBorder="1" applyAlignment="1">
      <alignment horizontal="center" vertical="center" wrapText="1"/>
    </xf>
    <xf numFmtId="0" fontId="25" fillId="8" borderId="173" xfId="0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25" xfId="0" applyNumberFormat="1" applyFont="1" applyBorder="1" applyAlignment="1">
      <alignment vertical="center" wrapText="1"/>
    </xf>
    <xf numFmtId="2" fontId="23" fillId="0" borderId="171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0" fillId="0" borderId="173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25" fillId="22" borderId="171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17" fillId="51" borderId="5" xfId="0" applyNumberFormat="1" applyFont="1" applyFill="1" applyBorder="1" applyAlignment="1">
      <alignment horizontal="center" vertical="center" wrapText="1"/>
    </xf>
    <xf numFmtId="2" fontId="0" fillId="51" borderId="11" xfId="0" applyNumberFormat="1" applyFont="1" applyFill="1" applyBorder="1" applyAlignment="1">
      <alignment vertical="center" wrapText="1"/>
    </xf>
    <xf numFmtId="2" fontId="0" fillId="51" borderId="25" xfId="0" applyNumberFormat="1" applyFont="1" applyFill="1" applyBorder="1" applyAlignment="1">
      <alignment vertical="center" wrapText="1"/>
    </xf>
    <xf numFmtId="2" fontId="25" fillId="22" borderId="184" xfId="0" applyNumberFormat="1" applyFont="1" applyFill="1" applyBorder="1" applyAlignment="1">
      <alignment horizontal="center" vertical="center"/>
    </xf>
    <xf numFmtId="2" fontId="25" fillId="22" borderId="10" xfId="0" applyNumberFormat="1" applyFont="1" applyFill="1" applyBorder="1" applyAlignment="1">
      <alignment horizontal="center" vertical="center"/>
    </xf>
    <xf numFmtId="3" fontId="25" fillId="28" borderId="43" xfId="0" applyNumberFormat="1" applyFont="1" applyFill="1" applyBorder="1" applyAlignment="1">
      <alignment horizontal="center" vertical="center" wrapText="1"/>
    </xf>
    <xf numFmtId="3" fontId="24" fillId="22" borderId="91" xfId="0" applyNumberFormat="1" applyFont="1" applyFill="1" applyBorder="1" applyAlignment="1">
      <alignment horizontal="center" vertical="center"/>
    </xf>
    <xf numFmtId="3" fontId="25" fillId="22" borderId="91" xfId="0" applyNumberFormat="1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3" fontId="25" fillId="22" borderId="159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42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32" fillId="0" borderId="40" xfId="0" applyFont="1" applyBorder="1"/>
    <xf numFmtId="0" fontId="25" fillId="2" borderId="121" xfId="0" applyFont="1" applyFill="1" applyBorder="1" applyAlignment="1">
      <alignment horizontal="center" vertical="center" wrapText="1"/>
    </xf>
    <xf numFmtId="0" fontId="25" fillId="0" borderId="173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8" fillId="0" borderId="173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17" fillId="0" borderId="180" xfId="0" applyFont="1" applyFill="1" applyBorder="1" applyAlignment="1">
      <alignment horizontal="center" vertical="center"/>
    </xf>
    <xf numFmtId="0" fontId="19" fillId="0" borderId="157" xfId="4" applyFont="1" applyFill="1" applyBorder="1" applyAlignment="1">
      <alignment horizontal="center" vertical="center" wrapText="1"/>
    </xf>
    <xf numFmtId="0" fontId="19" fillId="0" borderId="26" xfId="4" applyFont="1" applyFill="1" applyBorder="1" applyAlignment="1">
      <alignment horizontal="center" vertical="center" wrapText="1"/>
    </xf>
    <xf numFmtId="0" fontId="19" fillId="0" borderId="66" xfId="4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 wrapText="1"/>
    </xf>
    <xf numFmtId="0" fontId="23" fillId="0" borderId="181" xfId="0" applyFont="1" applyBorder="1" applyAlignment="1">
      <alignment horizontal="center" wrapText="1"/>
    </xf>
    <xf numFmtId="0" fontId="23" fillId="0" borderId="44" xfId="0" applyFont="1" applyBorder="1" applyAlignment="1">
      <alignment horizontal="center" wrapText="1"/>
    </xf>
    <xf numFmtId="0" fontId="25" fillId="2" borderId="101" xfId="0" applyFont="1" applyFill="1" applyBorder="1" applyAlignment="1">
      <alignment horizontal="center" vertical="center" wrapText="1"/>
    </xf>
    <xf numFmtId="0" fontId="7" fillId="0" borderId="17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3" fontId="24" fillId="22" borderId="159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35" xfId="6" applyFont="1" applyBorder="1" applyAlignment="1">
      <alignment horizontal="center" vertical="center" wrapText="1"/>
    </xf>
    <xf numFmtId="0" fontId="17" fillId="0" borderId="64" xfId="4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vertical="center" wrapText="1"/>
    </xf>
    <xf numFmtId="0" fontId="20" fillId="19" borderId="35" xfId="4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6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3" fontId="25" fillId="22" borderId="15" xfId="0" applyNumberFormat="1" applyFont="1" applyFill="1" applyBorder="1" applyAlignment="1">
      <alignment horizontal="center" vertical="center"/>
    </xf>
    <xf numFmtId="0" fontId="25" fillId="2" borderId="88" xfId="0" applyFont="1" applyFill="1" applyBorder="1" applyAlignment="1">
      <alignment horizontal="center" vertical="center" wrapText="1"/>
    </xf>
    <xf numFmtId="0" fontId="6" fillId="0" borderId="101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8" fillId="0" borderId="101" xfId="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3" fontId="25" fillId="22" borderId="97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3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3" fontId="24" fillId="22" borderId="97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justify" vertical="top" wrapText="1"/>
    </xf>
    <xf numFmtId="3" fontId="0" fillId="0" borderId="26" xfId="0" applyNumberFormat="1" applyFont="1" applyBorder="1" applyAlignment="1">
      <alignment horizontal="justify" vertical="top" wrapText="1"/>
    </xf>
    <xf numFmtId="0" fontId="25" fillId="2" borderId="113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wrapText="1"/>
    </xf>
    <xf numFmtId="0" fontId="23" fillId="2" borderId="44" xfId="0" applyFont="1" applyFill="1" applyBorder="1" applyAlignment="1">
      <alignment horizontal="center" wrapText="1"/>
    </xf>
    <xf numFmtId="0" fontId="23" fillId="2" borderId="113" xfId="0" applyFont="1" applyFill="1" applyBorder="1" applyAlignment="1">
      <alignment horizontal="center" wrapText="1"/>
    </xf>
    <xf numFmtId="0" fontId="23" fillId="2" borderId="42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0" fontId="23" fillId="2" borderId="43" xfId="0" applyFont="1" applyFill="1" applyBorder="1" applyAlignment="1">
      <alignment horizontal="center" wrapText="1"/>
    </xf>
    <xf numFmtId="0" fontId="23" fillId="0" borderId="12" xfId="6" applyFont="1" applyBorder="1" applyAlignment="1">
      <alignment horizontal="center" vertical="center" wrapText="1"/>
    </xf>
    <xf numFmtId="0" fontId="23" fillId="0" borderId="17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5" fillId="2" borderId="117" xfId="4" applyNumberFormat="1" applyFont="1" applyFill="1" applyBorder="1" applyAlignment="1">
      <alignment horizontal="center" vertical="center" wrapText="1"/>
    </xf>
    <xf numFmtId="0" fontId="32" fillId="0" borderId="118" xfId="0" applyFont="1" applyBorder="1" applyAlignment="1">
      <alignment horizontal="center" vertical="center"/>
    </xf>
    <xf numFmtId="0" fontId="23" fillId="0" borderId="17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0" fillId="2" borderId="35" xfId="4" applyNumberFormat="1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3" fontId="25" fillId="2" borderId="171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/>
    </xf>
    <xf numFmtId="3" fontId="25" fillId="25" borderId="104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2" xfId="0" applyNumberFormat="1" applyFont="1" applyFill="1" applyBorder="1" applyAlignment="1">
      <alignment horizontal="center" vertical="center"/>
    </xf>
    <xf numFmtId="3" fontId="25" fillId="2" borderId="118" xfId="4" applyNumberFormat="1" applyFont="1" applyFill="1" applyBorder="1" applyAlignment="1">
      <alignment horizontal="center" vertical="center" wrapText="1"/>
    </xf>
    <xf numFmtId="3" fontId="25" fillId="25" borderId="184" xfId="0" applyNumberFormat="1" applyFont="1" applyFill="1" applyBorder="1" applyAlignment="1">
      <alignment horizontal="center" vertical="center"/>
    </xf>
    <xf numFmtId="0" fontId="21" fillId="0" borderId="181" xfId="0" applyFont="1" applyFill="1" applyBorder="1" applyAlignment="1">
      <alignment horizontal="center" vertical="center" wrapText="1"/>
    </xf>
    <xf numFmtId="0" fontId="0" fillId="0" borderId="41" xfId="0" applyFont="1" applyBorder="1"/>
    <xf numFmtId="3" fontId="25" fillId="25" borderId="118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3" fontId="25" fillId="2" borderId="35" xfId="4" applyNumberFormat="1" applyFont="1" applyFill="1" applyBorder="1" applyAlignment="1">
      <alignment horizontal="center" vertical="center" wrapText="1"/>
    </xf>
    <xf numFmtId="3" fontId="25" fillId="22" borderId="118" xfId="0" applyNumberFormat="1" applyFont="1" applyFill="1" applyBorder="1" applyAlignment="1">
      <alignment horizontal="center" vertical="center"/>
    </xf>
    <xf numFmtId="0" fontId="32" fillId="0" borderId="17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17" xfId="4" applyFont="1" applyFill="1" applyBorder="1" applyAlignment="1">
      <alignment horizontal="center" vertical="center"/>
    </xf>
    <xf numFmtId="0" fontId="27" fillId="8" borderId="175" xfId="4" applyFont="1" applyFill="1" applyBorder="1" applyAlignment="1">
      <alignment horizontal="center" vertical="center"/>
    </xf>
    <xf numFmtId="0" fontId="27" fillId="8" borderId="118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18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3" fontId="25" fillId="2" borderId="12" xfId="4" applyNumberFormat="1" applyFont="1" applyFill="1" applyBorder="1" applyAlignment="1">
      <alignment horizontal="center" vertical="center" wrapText="1"/>
    </xf>
    <xf numFmtId="0" fontId="0" fillId="0" borderId="43" xfId="0" applyFont="1" applyBorder="1"/>
    <xf numFmtId="0" fontId="20" fillId="2" borderId="20" xfId="0" applyFont="1" applyFill="1" applyBorder="1" applyAlignment="1">
      <alignment horizontal="center" vertical="center" wrapText="1"/>
    </xf>
    <xf numFmtId="3" fontId="25" fillId="2" borderId="184" xfId="4" applyNumberFormat="1" applyFont="1" applyFill="1" applyBorder="1" applyAlignment="1">
      <alignment horizontal="center" vertical="center" wrapText="1"/>
    </xf>
    <xf numFmtId="3" fontId="25" fillId="2" borderId="10" xfId="4" applyNumberFormat="1" applyFont="1" applyFill="1" applyBorder="1" applyAlignment="1">
      <alignment horizontal="center" vertical="center" wrapText="1"/>
    </xf>
    <xf numFmtId="3" fontId="25" fillId="2" borderId="7" xfId="4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3" fontId="25" fillId="2" borderId="171" xfId="4" applyNumberFormat="1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/>
    </xf>
    <xf numFmtId="3" fontId="25" fillId="2" borderId="12" xfId="4" applyNumberFormat="1" applyFont="1" applyFill="1" applyBorder="1" applyAlignment="1">
      <alignment horizontal="center" vertical="center"/>
    </xf>
    <xf numFmtId="3" fontId="25" fillId="25" borderId="166" xfId="0" applyNumberFormat="1" applyFont="1" applyFill="1" applyBorder="1" applyAlignment="1">
      <alignment horizontal="center" vertical="center"/>
    </xf>
    <xf numFmtId="3" fontId="25" fillId="25" borderId="27" xfId="0" applyNumberFormat="1" applyFont="1" applyFill="1" applyBorder="1" applyAlignment="1">
      <alignment horizontal="center" vertical="center"/>
    </xf>
    <xf numFmtId="3" fontId="25" fillId="25" borderId="23" xfId="0" applyNumberFormat="1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0" fillId="0" borderId="77" xfId="0" applyFont="1" applyBorder="1"/>
    <xf numFmtId="0" fontId="23" fillId="0" borderId="16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3" fontId="25" fillId="2" borderId="166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18" fillId="0" borderId="181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5" fillId="2" borderId="22" xfId="4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3" fontId="24" fillId="26" borderId="184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0" fontId="25" fillId="2" borderId="37" xfId="4" applyFont="1" applyFill="1" applyBorder="1" applyAlignment="1">
      <alignment horizontal="center" vertical="center" wrapText="1"/>
    </xf>
    <xf numFmtId="0" fontId="25" fillId="32" borderId="173" xfId="4" applyFont="1" applyFill="1" applyBorder="1" applyAlignment="1">
      <alignment horizontal="center" vertical="center" wrapText="1"/>
    </xf>
    <xf numFmtId="0" fontId="25" fillId="32" borderId="20" xfId="4" applyFont="1" applyFill="1" applyBorder="1" applyAlignment="1">
      <alignment horizontal="center" vertical="center" wrapText="1"/>
    </xf>
    <xf numFmtId="0" fontId="25" fillId="32" borderId="27" xfId="4" applyFont="1" applyFill="1" applyBorder="1" applyAlignment="1">
      <alignment horizontal="center" vertical="center" wrapText="1"/>
    </xf>
    <xf numFmtId="0" fontId="25" fillId="32" borderId="23" xfId="4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vertical="center" wrapText="1"/>
    </xf>
    <xf numFmtId="0" fontId="17" fillId="0" borderId="18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25" fillId="2" borderId="71" xfId="4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0" fillId="0" borderId="84" xfId="0" applyFont="1" applyBorder="1" applyAlignment="1">
      <alignment vertical="center" wrapText="1"/>
    </xf>
    <xf numFmtId="0" fontId="18" fillId="0" borderId="113" xfId="0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25" fillId="2" borderId="194" xfId="4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3" fontId="17" fillId="26" borderId="171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64" xfId="0" applyFont="1" applyFill="1" applyBorder="1" applyAlignment="1">
      <alignment horizontal="center" vertical="center" wrapText="1"/>
    </xf>
    <xf numFmtId="0" fontId="22" fillId="0" borderId="189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3" fontId="24" fillId="26" borderId="35" xfId="4" applyNumberFormat="1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0" fontId="17" fillId="0" borderId="7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3" fontId="24" fillId="26" borderId="24" xfId="4" applyNumberFormat="1" applyFont="1" applyFill="1" applyBorder="1" applyAlignment="1">
      <alignment horizontal="center" vertical="center"/>
    </xf>
    <xf numFmtId="0" fontId="25" fillId="2" borderId="0" xfId="4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3" fontId="25" fillId="2" borderId="16" xfId="4" applyNumberFormat="1" applyFont="1" applyFill="1" applyBorder="1" applyAlignment="1">
      <alignment horizontal="center" vertical="center" wrapText="1"/>
    </xf>
    <xf numFmtId="0" fontId="25" fillId="2" borderId="166" xfId="4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0" fillId="0" borderId="20" xfId="0" applyFont="1" applyBorder="1" applyAlignment="1">
      <alignment vertical="center"/>
    </xf>
    <xf numFmtId="0" fontId="18" fillId="0" borderId="35" xfId="4" applyFont="1" applyBorder="1" applyAlignment="1">
      <alignment horizontal="center" vertical="center" wrapText="1"/>
    </xf>
    <xf numFmtId="0" fontId="0" fillId="19" borderId="35" xfId="0" applyFont="1" applyFill="1" applyBorder="1" applyAlignment="1">
      <alignment horizontal="center" vertical="center" wrapText="1"/>
    </xf>
    <xf numFmtId="0" fontId="25" fillId="0" borderId="173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25" fillId="2" borderId="20" xfId="4" applyFont="1" applyFill="1" applyBorder="1" applyAlignment="1">
      <alignment horizontal="center" vertical="center" wrapText="1"/>
    </xf>
    <xf numFmtId="0" fontId="0" fillId="0" borderId="189" xfId="0" applyFont="1" applyBorder="1" applyAlignment="1">
      <alignment horizontal="center" vertical="center" wrapText="1"/>
    </xf>
    <xf numFmtId="3" fontId="20" fillId="26" borderId="171" xfId="4" applyNumberFormat="1" applyFont="1" applyFill="1" applyBorder="1" applyAlignment="1">
      <alignment horizontal="center" vertical="center"/>
    </xf>
    <xf numFmtId="3" fontId="20" fillId="26" borderId="13" xfId="4" applyNumberFormat="1" applyFont="1" applyFill="1" applyBorder="1" applyAlignment="1">
      <alignment horizontal="center" vertical="center"/>
    </xf>
    <xf numFmtId="3" fontId="20" fillId="26" borderId="12" xfId="4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0" fillId="0" borderId="180" xfId="0" applyFont="1" applyBorder="1" applyAlignment="1">
      <alignment vertical="center" wrapText="1"/>
    </xf>
    <xf numFmtId="3" fontId="7" fillId="8" borderId="76" xfId="0" applyNumberFormat="1" applyFont="1" applyFill="1" applyBorder="1" applyAlignment="1">
      <alignment horizontal="center" vertical="center"/>
    </xf>
    <xf numFmtId="3" fontId="7" fillId="8" borderId="18" xfId="0" applyNumberFormat="1" applyFont="1" applyFill="1" applyBorder="1" applyAlignment="1">
      <alignment horizontal="center" vertical="center"/>
    </xf>
    <xf numFmtId="3" fontId="7" fillId="8" borderId="17" xfId="0" applyNumberFormat="1" applyFont="1" applyFill="1" applyBorder="1" applyAlignment="1">
      <alignment horizontal="center" vertical="center"/>
    </xf>
    <xf numFmtId="0" fontId="25" fillId="2" borderId="182" xfId="4" applyFont="1" applyFill="1" applyBorder="1" applyAlignment="1">
      <alignment horizontal="center" vertical="center" wrapText="1"/>
    </xf>
    <xf numFmtId="0" fontId="0" fillId="0" borderId="182" xfId="0" applyFont="1" applyBorder="1"/>
    <xf numFmtId="0" fontId="32" fillId="0" borderId="182" xfId="0" applyFont="1" applyBorder="1" applyAlignment="1">
      <alignment horizontal="center" vertical="center" wrapText="1"/>
    </xf>
    <xf numFmtId="3" fontId="24" fillId="22" borderId="13" xfId="4" applyNumberFormat="1" applyFont="1" applyFill="1" applyBorder="1" applyAlignment="1">
      <alignment horizontal="center" vertical="center"/>
    </xf>
    <xf numFmtId="3" fontId="24" fillId="22" borderId="12" xfId="4" applyNumberFormat="1" applyFont="1" applyFill="1" applyBorder="1" applyAlignment="1">
      <alignment horizontal="center" vertical="center"/>
    </xf>
    <xf numFmtId="0" fontId="18" fillId="0" borderId="17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3" fontId="25" fillId="2" borderId="187" xfId="4" applyNumberFormat="1" applyFont="1" applyFill="1" applyBorder="1" applyAlignment="1">
      <alignment horizontal="center" vertical="center" wrapText="1"/>
    </xf>
    <xf numFmtId="3" fontId="25" fillId="2" borderId="26" xfId="4" applyNumberFormat="1" applyFont="1" applyFill="1" applyBorder="1" applyAlignment="1">
      <alignment horizontal="center" vertical="center" wrapText="1"/>
    </xf>
    <xf numFmtId="3" fontId="25" fillId="2" borderId="82" xfId="4" applyNumberFormat="1" applyFont="1" applyFill="1" applyBorder="1" applyAlignment="1">
      <alignment horizontal="center" vertical="center" wrapText="1"/>
    </xf>
    <xf numFmtId="0" fontId="25" fillId="0" borderId="187" xfId="4" applyFont="1" applyFill="1" applyBorder="1" applyAlignment="1">
      <alignment horizontal="center" vertical="center" wrapText="1"/>
    </xf>
    <xf numFmtId="0" fontId="0" fillId="0" borderId="82" xfId="0" applyFont="1" applyBorder="1"/>
    <xf numFmtId="3" fontId="24" fillId="34" borderId="171" xfId="4" applyNumberFormat="1" applyFont="1" applyFill="1" applyBorder="1" applyAlignment="1">
      <alignment horizontal="center" vertical="center"/>
    </xf>
    <xf numFmtId="0" fontId="0" fillId="0" borderId="13" xfId="0" applyFont="1" applyBorder="1"/>
    <xf numFmtId="0" fontId="0" fillId="0" borderId="12" xfId="0" applyFont="1" applyBorder="1"/>
    <xf numFmtId="0" fontId="24" fillId="2" borderId="182" xfId="4" applyFont="1" applyFill="1" applyBorder="1" applyAlignment="1">
      <alignment horizontal="center" vertical="center" wrapText="1"/>
    </xf>
    <xf numFmtId="0" fontId="18" fillId="0" borderId="170" xfId="4" applyFont="1" applyFill="1" applyBorder="1" applyAlignment="1">
      <alignment horizontal="center" vertical="center" wrapText="1"/>
    </xf>
    <xf numFmtId="0" fontId="24" fillId="2" borderId="182" xfId="4" applyFont="1" applyFill="1" applyBorder="1" applyAlignment="1">
      <alignment horizontal="center" vertical="center" wrapText="1" shrinkToFit="1"/>
    </xf>
    <xf numFmtId="0" fontId="24" fillId="2" borderId="188" xfId="4" applyFont="1" applyFill="1" applyBorder="1" applyAlignment="1">
      <alignment horizontal="center" vertical="center" wrapText="1" shrinkToFit="1"/>
    </xf>
    <xf numFmtId="3" fontId="24" fillId="22" borderId="160" xfId="4" applyNumberFormat="1" applyFont="1" applyFill="1" applyBorder="1" applyAlignment="1">
      <alignment horizontal="center" vertical="center"/>
    </xf>
    <xf numFmtId="0" fontId="25" fillId="2" borderId="187" xfId="4" applyFont="1" applyFill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25" fillId="0" borderId="35" xfId="4" applyFont="1" applyBorder="1" applyAlignment="1">
      <alignment horizontal="center" vertical="center" wrapText="1"/>
    </xf>
    <xf numFmtId="3" fontId="25" fillId="22" borderId="159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0" fillId="0" borderId="114" xfId="0" applyFont="1" applyBorder="1"/>
    <xf numFmtId="0" fontId="0" fillId="0" borderId="114" xfId="0" applyFont="1" applyBorder="1" applyAlignment="1">
      <alignment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25" xfId="0" applyFont="1" applyBorder="1"/>
    <xf numFmtId="0" fontId="25" fillId="2" borderId="82" xfId="4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18" fillId="0" borderId="64" xfId="112" applyFont="1" applyFill="1" applyBorder="1" applyAlignment="1">
      <alignment horizontal="center" vertical="center" wrapText="1"/>
    </xf>
    <xf numFmtId="0" fontId="18" fillId="0" borderId="65" xfId="112" applyFont="1" applyFill="1" applyBorder="1" applyAlignment="1">
      <alignment horizontal="center" vertical="center" wrapText="1"/>
    </xf>
    <xf numFmtId="0" fontId="4" fillId="0" borderId="65" xfId="112" applyFont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3" fontId="24" fillId="26" borderId="118" xfId="4" applyNumberFormat="1" applyFont="1" applyFill="1" applyBorder="1" applyAlignment="1">
      <alignment horizontal="center" vertical="center"/>
    </xf>
    <xf numFmtId="0" fontId="17" fillId="0" borderId="5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22" fillId="0" borderId="181" xfId="112" applyFont="1" applyBorder="1" applyAlignment="1">
      <alignment horizontal="center" vertical="center" wrapText="1"/>
    </xf>
    <xf numFmtId="0" fontId="22" fillId="0" borderId="43" xfId="112" applyFont="1" applyBorder="1" applyAlignment="1">
      <alignment horizontal="center" vertical="center" wrapText="1"/>
    </xf>
    <xf numFmtId="0" fontId="22" fillId="0" borderId="41" xfId="112" applyFont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18" fillId="0" borderId="42" xfId="112" applyFont="1" applyFill="1" applyBorder="1" applyAlignment="1">
      <alignment horizontal="center" vertical="center" wrapText="1"/>
    </xf>
    <xf numFmtId="0" fontId="18" fillId="0" borderId="43" xfId="112" applyFont="1" applyFill="1" applyBorder="1" applyAlignment="1">
      <alignment horizontal="center" vertical="center" wrapText="1"/>
    </xf>
    <xf numFmtId="0" fontId="18" fillId="0" borderId="46" xfId="112" applyFont="1" applyFill="1" applyBorder="1" applyAlignment="1">
      <alignment horizontal="center" vertical="center" wrapText="1"/>
    </xf>
    <xf numFmtId="0" fontId="22" fillId="0" borderId="46" xfId="112" applyFont="1" applyBorder="1" applyAlignment="1">
      <alignment horizontal="center" vertical="center" wrapText="1"/>
    </xf>
    <xf numFmtId="2" fontId="17" fillId="0" borderId="11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2" fontId="4" fillId="0" borderId="25" xfId="112" applyNumberFormat="1" applyFont="1" applyBorder="1" applyAlignment="1">
      <alignment horizontal="center" vertical="center" wrapText="1"/>
    </xf>
    <xf numFmtId="0" fontId="17" fillId="8" borderId="180" xfId="4" applyFont="1" applyFill="1" applyBorder="1" applyAlignment="1">
      <alignment horizontal="center" vertical="center"/>
    </xf>
    <xf numFmtId="0" fontId="17" fillId="8" borderId="11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2" fontId="17" fillId="0" borderId="5" xfId="4" applyNumberFormat="1" applyFont="1" applyFill="1" applyBorder="1" applyAlignment="1">
      <alignment horizontal="center" vertical="center"/>
    </xf>
    <xf numFmtId="2" fontId="60" fillId="0" borderId="25" xfId="112" applyNumberFormat="1" applyFont="1" applyBorder="1" applyAlignment="1">
      <alignment horizontal="center" vertical="center" wrapText="1"/>
    </xf>
    <xf numFmtId="3" fontId="25" fillId="25" borderId="159" xfId="4" applyNumberFormat="1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vertical="center"/>
    </xf>
    <xf numFmtId="3" fontId="25" fillId="28" borderId="171" xfId="0" applyNumberFormat="1" applyFont="1" applyFill="1" applyBorder="1" applyAlignment="1">
      <alignment horizontal="center" vertical="center" wrapText="1"/>
    </xf>
    <xf numFmtId="3" fontId="25" fillId="28" borderId="13" xfId="0" applyNumberFormat="1" applyFont="1" applyFill="1" applyBorder="1" applyAlignment="1">
      <alignment horizontal="center" vertical="center" wrapText="1"/>
    </xf>
    <xf numFmtId="3" fontId="25" fillId="28" borderId="12" xfId="0" applyNumberFormat="1" applyFont="1" applyFill="1" applyBorder="1" applyAlignment="1">
      <alignment horizontal="center" vertical="center" wrapText="1"/>
    </xf>
    <xf numFmtId="3" fontId="25" fillId="28" borderId="39" xfId="0" applyNumberFormat="1" applyFont="1" applyFill="1" applyBorder="1" applyAlignment="1">
      <alignment horizontal="center" vertical="center" wrapText="1"/>
    </xf>
    <xf numFmtId="3" fontId="25" fillId="28" borderId="15" xfId="0" applyNumberFormat="1" applyFont="1" applyFill="1" applyBorder="1" applyAlignment="1">
      <alignment horizontal="center" vertical="center" wrapText="1"/>
    </xf>
    <xf numFmtId="0" fontId="25" fillId="8" borderId="12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7" fillId="0" borderId="41" xfId="0" applyFont="1" applyFill="1" applyBorder="1" applyAlignment="1">
      <alignment horizontal="center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1" xfId="112" applyFont="1" applyBorder="1" applyAlignment="1">
      <alignment horizontal="center" vertical="center" wrapText="1"/>
    </xf>
    <xf numFmtId="0" fontId="18" fillId="0" borderId="20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00FF00"/>
      <color rgb="FF66FF66"/>
      <color rgb="FFCCFF33"/>
      <color rgb="FFFFFF99"/>
      <color rgb="FFFFFF00"/>
      <color rgb="FFFF99FF"/>
      <color rgb="FF800000"/>
      <color rgb="FFFF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75</xdr:row>
      <xdr:rowOff>0</xdr:rowOff>
    </xdr:from>
    <xdr:to>
      <xdr:col>17</xdr:col>
      <xdr:colOff>0</xdr:colOff>
      <xdr:row>75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9/Uchwa&#322;y/Sejmiku/stycze&#324;_24/stycze&#324;_24_WPF_zmiany_2019/stycze&#324;_zmiany%20WPF_Tabele%206_przedsi&#281;wziecia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Czerwiec/czerwiec_26_WPF_Tabele%206_przedsi&#281;wzie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</sheetData>
      <sheetData sheetId="4"/>
      <sheetData sheetId="5"/>
      <sheetData sheetId="6">
        <row r="35">
          <cell r="G35">
            <v>473192</v>
          </cell>
        </row>
        <row r="115">
          <cell r="G115">
            <v>26461975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D - Oświata"/>
      <sheetName val="Tab. 6H - Kultura fiz. i turyst"/>
      <sheetName val="Tab. 6C - Ochrona zdrowia"/>
      <sheetName val="Tab. 6E - Administracja"/>
      <sheetName val="Tab. 6F - Kultura"/>
      <sheetName val="Tab. 6G - Roln i ochrona środ."/>
      <sheetName val="Tab.6I - Planow. przestrz."/>
      <sheetName val="projekty UE"/>
      <sheetName val="Dane do WPF"/>
      <sheetName val="Arkusz1"/>
    </sheetNames>
    <sheetDataSet>
      <sheetData sheetId="0">
        <row r="16">
          <cell r="D16">
            <v>250000</v>
          </cell>
        </row>
      </sheetData>
      <sheetData sheetId="1">
        <row r="74">
          <cell r="J74">
            <v>3176618048</v>
          </cell>
        </row>
      </sheetData>
      <sheetData sheetId="2">
        <row r="8">
          <cell r="D8">
            <v>986839735</v>
          </cell>
        </row>
      </sheetData>
      <sheetData sheetId="3">
        <row r="7">
          <cell r="D7">
            <v>138408529</v>
          </cell>
        </row>
      </sheetData>
      <sheetData sheetId="4">
        <row r="9">
          <cell r="D9">
            <v>1408272</v>
          </cell>
        </row>
      </sheetData>
      <sheetData sheetId="5">
        <row r="7">
          <cell r="D7">
            <v>101294089</v>
          </cell>
        </row>
        <row r="74">
          <cell r="D74">
            <v>7500000</v>
          </cell>
        </row>
      </sheetData>
      <sheetData sheetId="6">
        <row r="6">
          <cell r="D6">
            <v>38992820</v>
          </cell>
        </row>
      </sheetData>
      <sheetData sheetId="7">
        <row r="9">
          <cell r="D9">
            <v>335590850</v>
          </cell>
        </row>
        <row r="20">
          <cell r="D20">
            <v>271743700</v>
          </cell>
        </row>
        <row r="27">
          <cell r="D27">
            <v>1966760</v>
          </cell>
        </row>
        <row r="35">
          <cell r="D35">
            <v>1964760</v>
          </cell>
        </row>
        <row r="39">
          <cell r="D39">
            <v>1304492</v>
          </cell>
        </row>
        <row r="54">
          <cell r="D54">
            <v>1234943</v>
          </cell>
        </row>
        <row r="60">
          <cell r="D60">
            <v>12448</v>
          </cell>
        </row>
        <row r="66">
          <cell r="D66">
            <v>11826</v>
          </cell>
        </row>
        <row r="83">
          <cell r="D83">
            <v>41857</v>
          </cell>
        </row>
        <row r="88">
          <cell r="D88">
            <v>41857</v>
          </cell>
        </row>
        <row r="93">
          <cell r="D93">
            <v>217427656</v>
          </cell>
        </row>
        <row r="115">
          <cell r="D115">
            <v>182654787</v>
          </cell>
        </row>
        <row r="119">
          <cell r="D119">
            <v>2776726</v>
          </cell>
        </row>
        <row r="124">
          <cell r="D124">
            <v>2741069</v>
          </cell>
        </row>
        <row r="138">
          <cell r="D138">
            <v>98152110</v>
          </cell>
        </row>
        <row r="147">
          <cell r="D147">
            <v>69250000</v>
          </cell>
        </row>
        <row r="220">
          <cell r="D220">
            <v>4936236</v>
          </cell>
        </row>
        <row r="231">
          <cell r="D231">
            <v>5764</v>
          </cell>
        </row>
        <row r="253">
          <cell r="D253">
            <v>82293135</v>
          </cell>
        </row>
        <row r="259">
          <cell r="D259">
            <v>685000</v>
          </cell>
        </row>
      </sheetData>
      <sheetData sheetId="8">
        <row r="7">
          <cell r="D7">
            <v>133145158</v>
          </cell>
        </row>
      </sheetData>
      <sheetData sheetId="9">
        <row r="8">
          <cell r="D8">
            <v>43479650</v>
          </cell>
        </row>
      </sheetData>
      <sheetData sheetId="10">
        <row r="8">
          <cell r="D8">
            <v>54820691</v>
          </cell>
        </row>
        <row r="32">
          <cell r="D32">
            <v>816583</v>
          </cell>
        </row>
        <row r="41">
          <cell r="D41">
            <v>761593</v>
          </cell>
        </row>
        <row r="57">
          <cell r="D57">
            <v>393255</v>
          </cell>
        </row>
        <row r="68">
          <cell r="D68">
            <v>4335</v>
          </cell>
        </row>
        <row r="80">
          <cell r="D80">
            <v>49937985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6">
          <cell r="M86">
            <v>34307447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G34">
            <v>1146458</v>
          </cell>
        </row>
        <row r="46">
          <cell r="G46">
            <v>535390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Q1007"/>
  <sheetViews>
    <sheetView showGridLines="0" tabSelected="1" view="pageBreakPreview" topLeftCell="A7" zoomScale="90" zoomScaleNormal="110" zoomScaleSheetLayoutView="90" workbookViewId="0">
      <pane xSplit="1" ySplit="5" topLeftCell="D12" activePane="bottomRight" state="frozen"/>
      <selection activeCell="O36" sqref="O36"/>
      <selection pane="topRight" activeCell="O36" sqref="O36"/>
      <selection pane="bottomLeft" activeCell="O36" sqref="O36"/>
      <selection pane="bottomRight" activeCell="T267" sqref="T267"/>
    </sheetView>
  </sheetViews>
  <sheetFormatPr defaultColWidth="9.140625" defaultRowHeight="12.75" outlineLevelCol="1"/>
  <cols>
    <col min="1" max="1" width="52.28515625" style="497" customWidth="1"/>
    <col min="2" max="2" width="16.5703125" style="498" customWidth="1"/>
    <col min="3" max="6" width="16.140625" style="498" customWidth="1"/>
    <col min="7" max="7" width="14" style="498" customWidth="1"/>
    <col min="8" max="9" width="14" style="498" hidden="1" customWidth="1"/>
    <col min="10" max="10" width="16.140625" style="497" customWidth="1"/>
    <col min="11" max="11" width="15.5703125" style="500" customWidth="1" outlineLevel="1"/>
    <col min="12" max="12" width="17.28515625" style="500" hidden="1" customWidth="1" outlineLevel="1"/>
    <col min="13" max="13" width="14.7109375" style="497" hidden="1" customWidth="1"/>
    <col min="14" max="14" width="14.28515625" style="497" hidden="1" customWidth="1"/>
    <col min="15" max="15" width="16.140625" style="497" hidden="1" customWidth="1"/>
    <col min="16" max="16" width="15.28515625" style="497" hidden="1" customWidth="1"/>
    <col min="17" max="17" width="14" style="497" hidden="1" customWidth="1"/>
    <col min="18" max="19" width="0" style="497" hidden="1" customWidth="1"/>
    <col min="20" max="16384" width="9.140625" style="497"/>
  </cols>
  <sheetData>
    <row r="1" spans="1:17" ht="15.75" customHeight="1">
      <c r="A1" s="496"/>
      <c r="C1" s="499"/>
      <c r="E1" s="499"/>
      <c r="F1" s="499"/>
      <c r="G1" s="499"/>
      <c r="H1" s="499"/>
      <c r="I1" s="499"/>
    </row>
    <row r="2" spans="1:17" ht="15">
      <c r="C2" s="502"/>
      <c r="E2" s="502"/>
      <c r="F2" s="502"/>
      <c r="G2" s="499" t="s">
        <v>275</v>
      </c>
      <c r="H2" s="499"/>
      <c r="I2" s="499"/>
      <c r="J2" s="501"/>
    </row>
    <row r="3" spans="1:17" s="3819" customFormat="1" ht="47.25" customHeight="1" thickBot="1">
      <c r="A3" s="3816" t="s">
        <v>152</v>
      </c>
      <c r="B3" s="3817"/>
      <c r="C3" s="502"/>
      <c r="D3" s="502"/>
      <c r="E3" s="502"/>
      <c r="F3" s="502"/>
      <c r="G3" s="502"/>
      <c r="H3" s="502"/>
      <c r="I3" s="502"/>
      <c r="J3" s="501"/>
      <c r="K3" s="3818"/>
      <c r="L3" s="3818"/>
    </row>
    <row r="4" spans="1:17" ht="12.75" customHeight="1">
      <c r="A4" s="498"/>
      <c r="C4" s="152"/>
      <c r="D4" s="152"/>
      <c r="E4" s="152"/>
      <c r="F4" s="152"/>
      <c r="G4" s="152"/>
      <c r="H4" s="152"/>
      <c r="I4" s="152"/>
      <c r="J4" s="2096"/>
      <c r="K4" s="820"/>
      <c r="L4" s="647"/>
      <c r="M4" s="646"/>
      <c r="N4" s="1995"/>
    </row>
    <row r="5" spans="1:17" ht="72" customHeight="1">
      <c r="A5" s="3830" t="s">
        <v>0</v>
      </c>
      <c r="B5" s="3830"/>
      <c r="C5" s="3830"/>
      <c r="D5" s="3830"/>
      <c r="E5" s="3830"/>
      <c r="F5" s="3830"/>
      <c r="G5" s="3830"/>
      <c r="H5" s="3830"/>
      <c r="I5" s="3830"/>
      <c r="J5" s="3830"/>
      <c r="K5" s="1841"/>
      <c r="L5" s="820"/>
      <c r="M5" s="498"/>
      <c r="N5" s="1996"/>
    </row>
    <row r="6" spans="1:17" ht="12" customHeight="1">
      <c r="A6" s="503"/>
      <c r="B6" s="503"/>
      <c r="C6" s="503"/>
      <c r="D6" s="503"/>
      <c r="E6" s="503"/>
      <c r="F6" s="503"/>
      <c r="G6" s="503"/>
      <c r="H6" s="503"/>
      <c r="I6" s="503"/>
      <c r="J6" s="503"/>
      <c r="K6" s="820"/>
      <c r="L6" s="820"/>
      <c r="M6" s="498"/>
      <c r="N6" s="1996"/>
    </row>
    <row r="7" spans="1:17" ht="48.75" customHeight="1" thickBot="1">
      <c r="A7" s="3831" t="s">
        <v>1</v>
      </c>
      <c r="B7" s="3831"/>
      <c r="C7" s="3831"/>
      <c r="D7" s="3831"/>
      <c r="E7" s="3831"/>
      <c r="F7" s="3831"/>
      <c r="G7" s="3831"/>
      <c r="H7" s="3831"/>
      <c r="I7" s="3831"/>
      <c r="J7" s="3831"/>
      <c r="K7" s="688"/>
      <c r="L7" s="820"/>
      <c r="M7" s="498"/>
      <c r="N7" s="1996"/>
    </row>
    <row r="8" spans="1:17" s="498" customFormat="1" ht="24.75" customHeight="1">
      <c r="A8" s="504"/>
      <c r="B8" s="3835" t="s">
        <v>208</v>
      </c>
      <c r="C8" s="3820" t="s">
        <v>446</v>
      </c>
      <c r="D8" s="3821"/>
      <c r="E8" s="3821"/>
      <c r="F8" s="3821"/>
      <c r="G8" s="3822"/>
      <c r="H8" s="3844">
        <v>2024</v>
      </c>
      <c r="I8" s="3841">
        <v>2025</v>
      </c>
      <c r="J8" s="3832" t="s">
        <v>3</v>
      </c>
      <c r="K8" s="3850" t="s">
        <v>444</v>
      </c>
      <c r="L8" s="505"/>
      <c r="N8" s="1996"/>
    </row>
    <row r="9" spans="1:17" ht="27" customHeight="1">
      <c r="A9" s="506" t="s">
        <v>4</v>
      </c>
      <c r="B9" s="3836"/>
      <c r="C9" s="3823"/>
      <c r="D9" s="3824"/>
      <c r="E9" s="3824"/>
      <c r="F9" s="3824"/>
      <c r="G9" s="3825"/>
      <c r="H9" s="3846"/>
      <c r="I9" s="3842"/>
      <c r="J9" s="3833"/>
      <c r="K9" s="3851"/>
      <c r="L9" s="505" t="s">
        <v>2</v>
      </c>
      <c r="M9" s="498"/>
      <c r="N9" s="1996"/>
    </row>
    <row r="10" spans="1:17" ht="19.5" customHeight="1" thickBot="1">
      <c r="A10" s="506"/>
      <c r="B10" s="507" t="s">
        <v>517</v>
      </c>
      <c r="C10" s="508" t="s">
        <v>163</v>
      </c>
      <c r="D10" s="508" t="s">
        <v>164</v>
      </c>
      <c r="E10" s="508" t="s">
        <v>202</v>
      </c>
      <c r="F10" s="508" t="s">
        <v>203</v>
      </c>
      <c r="G10" s="1997" t="s">
        <v>201</v>
      </c>
      <c r="H10" s="3847"/>
      <c r="I10" s="3843"/>
      <c r="J10" s="3834"/>
      <c r="K10" s="3851"/>
      <c r="L10" s="156"/>
      <c r="M10" s="505"/>
      <c r="N10" s="1996"/>
    </row>
    <row r="11" spans="1:17" ht="13.5" customHeight="1" thickBot="1">
      <c r="A11" s="510">
        <v>1</v>
      </c>
      <c r="B11" s="511">
        <v>2</v>
      </c>
      <c r="C11" s="512">
        <v>3</v>
      </c>
      <c r="D11" s="513">
        <v>4</v>
      </c>
      <c r="E11" s="514">
        <v>5</v>
      </c>
      <c r="F11" s="511">
        <v>6</v>
      </c>
      <c r="G11" s="514">
        <v>7</v>
      </c>
      <c r="H11" s="511"/>
      <c r="I11" s="1844"/>
      <c r="J11" s="981">
        <v>8</v>
      </c>
      <c r="K11" s="515">
        <v>9</v>
      </c>
      <c r="L11" s="820"/>
      <c r="M11" s="3848" t="s">
        <v>39</v>
      </c>
      <c r="N11" s="3849"/>
    </row>
    <row r="12" spans="1:17" s="519" customFormat="1" ht="18.75" customHeight="1">
      <c r="A12" s="516" t="s">
        <v>6</v>
      </c>
      <c r="B12" s="517">
        <f>+B13+B14</f>
        <v>296203323</v>
      </c>
      <c r="C12" s="517">
        <f t="shared" ref="C12:G12" si="0">+C13+C14</f>
        <v>316677256</v>
      </c>
      <c r="D12" s="517">
        <f t="shared" si="0"/>
        <v>388672173</v>
      </c>
      <c r="E12" s="517">
        <f t="shared" si="0"/>
        <v>293825333</v>
      </c>
      <c r="F12" s="517">
        <f t="shared" si="0"/>
        <v>100405730</v>
      </c>
      <c r="G12" s="517">
        <f t="shared" si="0"/>
        <v>28703515</v>
      </c>
      <c r="H12" s="517">
        <f t="shared" ref="H12" si="1">+H13+H14</f>
        <v>0</v>
      </c>
      <c r="I12" s="517">
        <f>+I13+I14</f>
        <v>0</v>
      </c>
      <c r="J12" s="982">
        <f>+J13+J14</f>
        <v>1424487330</v>
      </c>
      <c r="K12" s="518">
        <f>+K13+K14</f>
        <v>1128284007</v>
      </c>
      <c r="L12" s="1845"/>
      <c r="M12" s="240"/>
      <c r="N12" s="1998"/>
      <c r="O12" s="240">
        <f>159420630+136754793</f>
        <v>296175423</v>
      </c>
      <c r="P12" s="1676">
        <f>O12-B12</f>
        <v>-27900</v>
      </c>
      <c r="Q12" s="1676"/>
    </row>
    <row r="13" spans="1:17" s="519" customFormat="1" ht="17.25" customHeight="1">
      <c r="A13" s="520" t="s">
        <v>7</v>
      </c>
      <c r="B13" s="521">
        <f>+'Tab. 6B Polit społ i rozwój prz'!E7+'Tab. 6D - Oświata'!E9+'Tab. 6A -Drogi'!E8+'Tab. 6E - Administracja'!E9+'Tab. 6G - Roln i ochrona środ.'!E8+'Tab. 6H - Kultura fiz. i turyst'!E7+'Tab.6I - Planow. przestrz.'!E8+'Tab. 6C - Ochrona zdrowia'!E6</f>
        <v>149213792</v>
      </c>
      <c r="C13" s="521">
        <f>+'Tab. 6B Polit społ i rozwój prz'!F7+'Tab. 6D - Oświata'!F9+'Tab. 6A -Drogi'!F8+'Tab. 6E - Administracja'!F9+'Tab. 6G - Roln i ochrona środ.'!F8+'Tab. 6H - Kultura fiz. i turyst'!F7+'Tab.6I - Planow. przestrz.'!F8+'Tab. 6C - Ochrona zdrowia'!F6</f>
        <v>93841751</v>
      </c>
      <c r="D13" s="521">
        <f>+'Tab. 6B Polit społ i rozwój prz'!G7+'Tab. 6D - Oświata'!G9+'Tab. 6A -Drogi'!G8+'Tab. 6E - Administracja'!G9+'Tab. 6G - Roln i ochrona środ.'!G8+'Tab. 6H - Kultura fiz. i turyst'!G7+'Tab.6I - Planow. przestrz.'!G8+'Tab. 6C - Ochrona zdrowia'!G6</f>
        <v>85983563</v>
      </c>
      <c r="E13" s="521">
        <f>+'Tab. 6B Polit społ i rozwój prz'!H7+'Tab. 6D - Oświata'!H9+'Tab. 6A -Drogi'!H8+'Tab. 6E - Administracja'!H9+'Tab. 6G - Roln i ochrona środ.'!H8+'Tab. 6H - Kultura fiz. i turyst'!H7+'Tab.6I - Planow. przestrz.'!H8+'Tab. 6C - Ochrona zdrowia'!H6</f>
        <v>88803326</v>
      </c>
      <c r="F13" s="521">
        <f>+'Tab. 6B Polit społ i rozwój prz'!I7+'Tab. 6D - Oświata'!I9+'Tab. 6A -Drogi'!I8+'Tab. 6E - Administracja'!I9+'Tab. 6G - Roln i ochrona środ.'!I8+'Tab. 6H - Kultura fiz. i turyst'!I7+'Tab.6I - Planow. przestrz.'!I8+'Tab. 6C - Ochrona zdrowia'!I6</f>
        <v>44107404</v>
      </c>
      <c r="G13" s="521">
        <f>+'Tab. 6B Polit społ i rozwój prz'!J7+'Tab. 6D - Oświata'!J9+'Tab. 6A -Drogi'!J8+'Tab. 6E - Administracja'!J9+'Tab. 6G - Roln i ochrona środ.'!J8+'Tab. 6H - Kultura fiz. i turyst'!J7+'Tab.6I - Planow. przestrz.'!J8+'Tab. 6C - Ochrona zdrowia'!J6</f>
        <v>28557474</v>
      </c>
      <c r="H13" s="521">
        <f>+'Tab. 6B Polit społ i rozwój prz'!K7+'Tab. 6D - Oświata'!K9+'Tab. 6A -Drogi'!K8+'Tab. 6E - Administracja'!K9+'Tab. 6G - Roln i ochrona środ.'!K8+'Tab. 6H - Kultura fiz. i turyst'!K7+'Tab.6I - Planow. przestrz.'!K8+'Tab. 6C - Ochrona zdrowia'!K6</f>
        <v>0</v>
      </c>
      <c r="I13" s="1846">
        <f>+'Tab. 6B Polit społ i rozwój prz'!L7+'Tab. 6D - Oświata'!L9+'Tab. 6A -Drogi'!L8+'Tab. 6E - Administracja'!L9+'Tab. 6G - Roln i ochrona środ.'!L8+'Tab. 6H - Kultura fiz. i turyst'!L7+'Tab.6I - Planow. przestrz.'!L8</f>
        <v>0</v>
      </c>
      <c r="J13" s="983">
        <f>'Tab. 6A -Drogi'!D8+'Tab. 6B Polit społ i rozwój prz'!D7+'Tab. 6D - Oświata'!D9+'Tab. 6E - Administracja'!D9+'Tab. 6G - Roln i ochrona środ.'!D8+'Tab. 6H - Kultura fiz. i turyst'!D7+'Tab.6I - Planow. przestrz.'!D8+'Tab. 6C - Ochrona zdrowia'!D6</f>
        <v>490507310</v>
      </c>
      <c r="K13" s="657">
        <f>SUM(C13:G13)</f>
        <v>341293518</v>
      </c>
      <c r="L13" s="1845"/>
      <c r="M13" s="240"/>
      <c r="N13" s="1999"/>
      <c r="O13" s="519">
        <f>91134677+58079115</f>
        <v>149213792</v>
      </c>
      <c r="P13" s="1676">
        <f t="shared" ref="P13:P17" si="2">O13-B13</f>
        <v>0</v>
      </c>
      <c r="Q13" s="1676"/>
    </row>
    <row r="14" spans="1:17" s="519" customFormat="1" ht="17.25" customHeight="1" thickBot="1">
      <c r="A14" s="523" t="s">
        <v>8</v>
      </c>
      <c r="B14" s="524">
        <f>+'Tab. 6D - Oświata'!E10+'Tab. 6A -Drogi'!E9+'Tab. 6E - Administracja'!E10+'Tab. 6G - Roln i ochrona środ.'!E9+'Tab. 6H - Kultura fiz. i turyst'!E8+'Tab. 6B Polit społ i rozwój prz'!E8+'Tab.6I - Planow. przestrz.'!E9+'Tab. 6C - Ochrona zdrowia'!E7</f>
        <v>146989531</v>
      </c>
      <c r="C14" s="524">
        <f>+'Tab. 6D - Oświata'!F10+'Tab. 6A -Drogi'!F9+'Tab. 6E - Administracja'!F10+'Tab. 6G - Roln i ochrona środ.'!F9+'Tab. 6H - Kultura fiz. i turyst'!F8+'Tab. 6B Polit społ i rozwój prz'!F8+'Tab.6I - Planow. przestrz.'!F9+'Tab. 6C - Ochrona zdrowia'!F7</f>
        <v>222835505</v>
      </c>
      <c r="D14" s="524">
        <f>+'Tab. 6D - Oświata'!G10+'Tab. 6A -Drogi'!G9+'Tab. 6E - Administracja'!G10+'Tab. 6G - Roln i ochrona środ.'!G9+'Tab. 6H - Kultura fiz. i turyst'!G8+'Tab. 6B Polit społ i rozwój prz'!G8+'Tab.6I - Planow. przestrz.'!G9+'Tab. 6C - Ochrona zdrowia'!G7</f>
        <v>302688610</v>
      </c>
      <c r="E14" s="524">
        <f>+'Tab. 6D - Oświata'!H10+'Tab. 6A -Drogi'!H9+'Tab. 6E - Administracja'!H10+'Tab. 6G - Roln i ochrona środ.'!H9+'Tab. 6H - Kultura fiz. i turyst'!H8+'Tab. 6B Polit społ i rozwój prz'!H8+'Tab.6I - Planow. przestrz.'!H9+'Tab. 6C - Ochrona zdrowia'!H7</f>
        <v>205022007</v>
      </c>
      <c r="F14" s="524">
        <f>+'Tab. 6D - Oświata'!I10+'Tab. 6A -Drogi'!I9+'Tab. 6E - Administracja'!I10+'Tab. 6G - Roln i ochrona środ.'!I9+'Tab. 6H - Kultura fiz. i turyst'!I8+'Tab. 6B Polit społ i rozwój prz'!I8+'Tab.6I - Planow. przestrz.'!I9+'Tab. 6C - Ochrona zdrowia'!I7</f>
        <v>56298326</v>
      </c>
      <c r="G14" s="524">
        <f>+'Tab. 6D - Oświata'!J10+'Tab. 6A -Drogi'!J9+'Tab. 6E - Administracja'!J10+'Tab. 6G - Roln i ochrona środ.'!J9+'Tab. 6H - Kultura fiz. i turyst'!J8+'Tab. 6B Polit społ i rozwój prz'!J8+'Tab.6I - Planow. przestrz.'!J9+'Tab. 6C - Ochrona zdrowia'!J7</f>
        <v>146041</v>
      </c>
      <c r="H14" s="524">
        <f>+'Tab. 6D - Oświata'!K10+'Tab. 6A -Drogi'!K9+'Tab. 6E - Administracja'!K10+'Tab. 6G - Roln i ochrona środ.'!K9+'Tab. 6H - Kultura fiz. i turyst'!K8+'Tab. 6B Polit społ i rozwój prz'!K8+'Tab.6I - Planow. przestrz.'!K9+'Tab. 6C - Ochrona zdrowia'!K7</f>
        <v>0</v>
      </c>
      <c r="I14" s="1847">
        <f>+'Tab. 6D - Oświata'!L10+'Tab. 6A -Drogi'!L9+'Tab. 6E - Administracja'!L10+'Tab. 6G - Roln i ochrona środ.'!L9+'Tab. 6H - Kultura fiz. i turyst'!L8+'Tab. 6B Polit społ i rozwój prz'!L8+'Tab.6I - Planow. przestrz.'!L9</f>
        <v>0</v>
      </c>
      <c r="J14" s="984">
        <f>'Tab. 6A -Drogi'!D9+'Tab. 6B Polit społ i rozwój prz'!D8+'Tab. 6D - Oświata'!D10+'Tab. 6E - Administracja'!D10+'Tab. 6G - Roln i ochrona środ.'!D9+'Tab. 6H - Kultura fiz. i turyst'!D8+'Tab.6I - Planow. przestrz.'!D9+'Tab. 6C - Ochrona zdrowia'!D7</f>
        <v>933980020</v>
      </c>
      <c r="K14" s="658">
        <f>SUM(C14:G14)</f>
        <v>786990489</v>
      </c>
      <c r="L14" s="1845">
        <f>J14-B14-I14-H14-C14-D14-E14-F14-G14</f>
        <v>0</v>
      </c>
      <c r="M14" s="240">
        <f t="shared" ref="M14:M26" si="3">+I14+H14+C14+D14+E14+F14+G14+B14</f>
        <v>933980020</v>
      </c>
      <c r="N14" s="1999">
        <f>J14-M14</f>
        <v>0</v>
      </c>
      <c r="O14" s="240">
        <f>68285953+78675678</f>
        <v>146961631</v>
      </c>
      <c r="P14" s="1676">
        <f t="shared" si="2"/>
        <v>-27900</v>
      </c>
      <c r="Q14" s="1676"/>
    </row>
    <row r="15" spans="1:17" s="241" customFormat="1">
      <c r="A15" s="525"/>
      <c r="B15" s="526"/>
      <c r="C15" s="526"/>
      <c r="D15" s="526"/>
      <c r="E15" s="526"/>
      <c r="F15" s="526"/>
      <c r="G15" s="526"/>
      <c r="H15" s="526"/>
      <c r="I15" s="526"/>
      <c r="J15" s="526"/>
      <c r="K15" s="994"/>
      <c r="L15" s="538"/>
      <c r="M15" s="240">
        <f t="shared" si="3"/>
        <v>0</v>
      </c>
      <c r="N15" s="1999">
        <f t="shared" ref="N15:N26" si="4">J15-M15</f>
        <v>0</v>
      </c>
      <c r="P15" s="1676">
        <f t="shared" si="2"/>
        <v>0</v>
      </c>
      <c r="Q15" s="1676"/>
    </row>
    <row r="16" spans="1:17" s="527" customFormat="1" ht="18" customHeight="1">
      <c r="A16" s="2000" t="s">
        <v>9</v>
      </c>
      <c r="B16" s="2001">
        <f t="shared" ref="B16:K16" si="5">+B17+B24</f>
        <v>297114872</v>
      </c>
      <c r="C16" s="2001">
        <f t="shared" si="5"/>
        <v>318362366</v>
      </c>
      <c r="D16" s="2001">
        <f t="shared" si="5"/>
        <v>388933182</v>
      </c>
      <c r="E16" s="2001">
        <f t="shared" si="5"/>
        <v>294127024</v>
      </c>
      <c r="F16" s="2001">
        <f t="shared" si="5"/>
        <v>100642848</v>
      </c>
      <c r="G16" s="2001">
        <f t="shared" si="5"/>
        <v>28803084</v>
      </c>
      <c r="H16" s="2001">
        <f>+H17+H24</f>
        <v>0</v>
      </c>
      <c r="I16" s="2001">
        <f>+I17+I24</f>
        <v>0</v>
      </c>
      <c r="J16" s="985">
        <f t="shared" si="5"/>
        <v>1427983376</v>
      </c>
      <c r="K16" s="2002">
        <f t="shared" si="5"/>
        <v>1128284007</v>
      </c>
      <c r="L16" s="1752"/>
      <c r="M16" s="240">
        <f t="shared" si="3"/>
        <v>1427983376</v>
      </c>
      <c r="N16" s="1999">
        <f t="shared" si="4"/>
        <v>0</v>
      </c>
      <c r="O16" s="240">
        <f>160115242+136971730</f>
        <v>297086972</v>
      </c>
      <c r="P16" s="1676">
        <f t="shared" si="2"/>
        <v>-27900</v>
      </c>
      <c r="Q16" s="1676"/>
    </row>
    <row r="17" spans="1:17" s="531" customFormat="1" ht="17.25" customHeight="1">
      <c r="A17" s="528" t="s">
        <v>10</v>
      </c>
      <c r="B17" s="529">
        <f>SUM(B18:B23)</f>
        <v>55247032</v>
      </c>
      <c r="C17" s="529">
        <f>SUM(C18:C23)</f>
        <v>67664372</v>
      </c>
      <c r="D17" s="529">
        <f t="shared" ref="D17:G17" si="6">SUM(D18:D23)</f>
        <v>91701697</v>
      </c>
      <c r="E17" s="529">
        <f>SUM(E18:E23)</f>
        <v>56922851</v>
      </c>
      <c r="F17" s="529">
        <f>SUM(F18:F23)</f>
        <v>14840760</v>
      </c>
      <c r="G17" s="529">
        <f t="shared" si="6"/>
        <v>3773680</v>
      </c>
      <c r="H17" s="529">
        <f>SUM(H18:H23)</f>
        <v>0</v>
      </c>
      <c r="I17" s="529">
        <f>SUM(I18:I23)</f>
        <v>0</v>
      </c>
      <c r="J17" s="986">
        <f>SUM(J18:J23)</f>
        <v>290150392</v>
      </c>
      <c r="K17" s="530">
        <f>SUM(K18:K23)</f>
        <v>232318863</v>
      </c>
      <c r="L17" s="1752"/>
      <c r="M17" s="240">
        <f t="shared" si="3"/>
        <v>290150392</v>
      </c>
      <c r="N17" s="1999">
        <f t="shared" si="4"/>
        <v>0</v>
      </c>
      <c r="O17" s="240">
        <f>31387451+23855396</f>
        <v>55242847</v>
      </c>
      <c r="P17" s="1676">
        <f t="shared" si="2"/>
        <v>-4185</v>
      </c>
      <c r="Q17" s="1676"/>
    </row>
    <row r="18" spans="1:17" s="241" customFormat="1" ht="14.25" customHeight="1">
      <c r="A18" s="532" t="s">
        <v>11</v>
      </c>
      <c r="B18" s="533">
        <f>+'Tab. 6B Polit społ i rozwój prz'!E11+'Tab. 6D - Oświata'!E13+'Tab. 6A -Drogi'!E12+'Tab. 6E - Administracja'!E13+'Tab. 6G - Roln i ochrona środ.'!E12+'Tab. 6H - Kultura fiz. i turyst'!E11+'Tab.6I - Planow. przestrz.'!E12+'Tab. 6C - Ochrona zdrowia'!E10</f>
        <v>39407208</v>
      </c>
      <c r="C18" s="533">
        <f>+'Tab. 6B Polit społ i rozwój prz'!F11+'Tab. 6D - Oświata'!F13+'Tab. 6A -Drogi'!F12+'Tab. 6E - Administracja'!F13+'Tab. 6G - Roln i ochrona środ.'!F12+'Tab. 6H - Kultura fiz. i turyst'!F11+'Tab.6I - Planow. przestrz.'!F12+'Tab. 6C - Ochrona zdrowia'!F10</f>
        <v>52865161</v>
      </c>
      <c r="D18" s="533">
        <f>+'Tab. 6B Polit społ i rozwój prz'!G11+'Tab. 6D - Oświata'!G13+'Tab. 6A -Drogi'!G12+'Tab. 6E - Administracja'!G13+'Tab. 6G - Roln i ochrona środ.'!G12+'Tab. 6H - Kultura fiz. i turyst'!G11+'Tab.6I - Planow. przestrz.'!G12+'Tab. 6C - Ochrona zdrowia'!G10</f>
        <v>75458192</v>
      </c>
      <c r="E18" s="533">
        <f>+'Tab. 6B Polit społ i rozwój prz'!H11+'Tab. 6D - Oświata'!H13+'Tab. 6A -Drogi'!H12+'Tab. 6E - Administracja'!H13+'Tab. 6G - Roln i ochrona środ.'!H12+'Tab. 6H - Kultura fiz. i turyst'!H11+'Tab.6I - Planow. przestrz.'!H12+'Tab. 6C - Ochrona zdrowia'!H10</f>
        <v>50510168</v>
      </c>
      <c r="F18" s="533">
        <f>+'Tab. 6B Polit społ i rozwój prz'!I11+'Tab. 6D - Oświata'!I13+'Tab. 6A -Drogi'!I12+'Tab. 6E - Administracja'!I13+'Tab. 6G - Roln i ochrona środ.'!I12+'Tab. 6H - Kultura fiz. i turyst'!I11+'Tab.6I - Planow. przestrz.'!I12+'Tab. 6C - Ochrona zdrowia'!I10</f>
        <v>13233049</v>
      </c>
      <c r="G18" s="533">
        <f>+'Tab. 6B Polit społ i rozwój prz'!J11+'Tab. 6D - Oświata'!J13+'Tab. 6A -Drogi'!J12+'Tab. 6E - Administracja'!J13+'Tab. 6G - Roln i ochrona środ.'!J12+'Tab. 6H - Kultura fiz. i turyst'!J11+'Tab.6I - Planow. przestrz.'!J12+'Tab. 6C - Ochrona zdrowia'!J10</f>
        <v>2957199</v>
      </c>
      <c r="H18" s="533">
        <f>+'Tab. 6B Polit społ i rozwój prz'!K11+'Tab. 6D - Oświata'!K13+'Tab. 6A -Drogi'!K12+'Tab. 6E - Administracja'!K13+'Tab. 6G - Roln i ochrona środ.'!K12+'Tab. 6H - Kultura fiz. i turyst'!K11+'Tab.6I - Planow. przestrz.'!K12+'Tab. 6C - Ochrona zdrowia'!K10</f>
        <v>0</v>
      </c>
      <c r="I18" s="533">
        <f>+'Tab. 6B Polit społ i rozwój prz'!L11+'Tab. 6D - Oświata'!L13+'Tab. 6A -Drogi'!L12+'Tab. 6E - Administracja'!L13+'Tab. 6G - Roln i ochrona środ.'!L12+'Tab. 6H - Kultura fiz. i turyst'!L11+'Tab.6I - Planow. przestrz.'!L12</f>
        <v>0</v>
      </c>
      <c r="J18" s="987">
        <f t="shared" ref="J18:J23" si="7">B18+I18+H18+C18+D18+E18+F18+G18</f>
        <v>234430977</v>
      </c>
      <c r="K18" s="522">
        <f>SUM(C18:G18)</f>
        <v>195023769</v>
      </c>
      <c r="L18" s="1752"/>
      <c r="M18" s="240">
        <f t="shared" si="3"/>
        <v>234430977</v>
      </c>
      <c r="N18" s="1999">
        <f t="shared" si="4"/>
        <v>0</v>
      </c>
      <c r="O18" s="240">
        <f>21789356+17613667</f>
        <v>39403023</v>
      </c>
      <c r="P18" s="1676">
        <f>O18-B18</f>
        <v>-4185</v>
      </c>
      <c r="Q18" s="1676"/>
    </row>
    <row r="19" spans="1:17" s="241" customFormat="1" ht="15.75" customHeight="1">
      <c r="A19" s="2003" t="s">
        <v>12</v>
      </c>
      <c r="B19" s="533">
        <f>+'Tab. 6B Polit społ i rozwój prz'!E12+'Tab. 6A -Drogi'!E13+'Tab. 6E - Administracja'!E14+'Tab. 6G - Roln i ochrona środ.'!E13+'Tab.6I - Planow. przestrz.'!E13</f>
        <v>7610840</v>
      </c>
      <c r="C19" s="533">
        <f>+'Tab. 6B Polit społ i rozwój prz'!F12+'Tab. 6A -Drogi'!F13+'Tab. 6E - Administracja'!F14+'Tab. 6G - Roln i ochrona środ.'!F13+'Tab.6I - Planow. przestrz.'!F13+'Tab. 6D - Oświata'!F14</f>
        <v>5601444</v>
      </c>
      <c r="D19" s="533">
        <f>+'Tab. 6B Polit społ i rozwój prz'!G12+'Tab. 6A -Drogi'!G13+'Tab. 6E - Administracja'!G14+'Tab. 6G - Roln i ochrona środ.'!G13+'Tab.6I - Planow. przestrz.'!G13</f>
        <v>4014529</v>
      </c>
      <c r="E19" s="533">
        <f>+'Tab. 6B Polit społ i rozwój prz'!H12+'Tab. 6A -Drogi'!H13+'Tab. 6E - Administracja'!H14+'Tab. 6G - Roln i ochrona środ.'!H13+'Tab.6I - Planow. przestrz.'!H13</f>
        <v>1857764</v>
      </c>
      <c r="F19" s="533">
        <f>+'Tab. 6B Polit społ i rozwój prz'!I12+'Tab. 6A -Drogi'!I13+'Tab. 6E - Administracja'!I14+'Tab. 6G - Roln i ochrona środ.'!I13+'Tab.6I - Planow. przestrz.'!I13</f>
        <v>1256957</v>
      </c>
      <c r="G19" s="533">
        <f>+'Tab. 6B Polit społ i rozwój prz'!J12+'Tab. 6A -Drogi'!J13+'Tab. 6E - Administracja'!J14+'Tab. 6G - Roln i ochrona środ.'!J13+'Tab.6I - Planow. przestrz.'!J13</f>
        <v>716912</v>
      </c>
      <c r="H19" s="533">
        <f>+'Tab. 6B Polit społ i rozwój prz'!K12+'Tab. 6A -Drogi'!K13+'Tab. 6E - Administracja'!K14+'Tab. 6G - Roln i ochrona środ.'!K13+'Tab.6I - Planow. przestrz.'!K13+'Tab. 6D - Oświata'!K14</f>
        <v>0</v>
      </c>
      <c r="I19" s="533">
        <f>+'Tab. 6B Polit społ i rozwój prz'!L12+'Tab. 6A -Drogi'!L13+'Tab. 6E - Administracja'!L14+'Tab. 6G - Roln i ochrona środ.'!L13+'Tab.6I - Planow. przestrz.'!L13</f>
        <v>0</v>
      </c>
      <c r="J19" s="987">
        <f t="shared" si="7"/>
        <v>21058446</v>
      </c>
      <c r="K19" s="522">
        <f>SUM(C19:G19)</f>
        <v>13447606</v>
      </c>
      <c r="L19" s="1752"/>
      <c r="M19" s="240">
        <f t="shared" si="3"/>
        <v>21058446</v>
      </c>
      <c r="N19" s="1999">
        <f t="shared" si="4"/>
        <v>0</v>
      </c>
      <c r="O19" s="240">
        <f>4875121+2735719</f>
        <v>7610840</v>
      </c>
      <c r="P19" s="1676">
        <f t="shared" ref="P19:P26" si="8">O19-B19</f>
        <v>0</v>
      </c>
      <c r="Q19" s="1676"/>
    </row>
    <row r="20" spans="1:17" s="241" customFormat="1" ht="15.75" customHeight="1">
      <c r="A20" s="2003" t="s">
        <v>14</v>
      </c>
      <c r="B20" s="2004">
        <f>+'Tab. 6A -Drogi'!E14+'Tab. 6H - Kultura fiz. i turyst'!E13+'Tab.6I - Planow. przestrz.'!E14</f>
        <v>6799238</v>
      </c>
      <c r="C20" s="2004">
        <f>+'Tab. 6A -Drogi'!F14+'Tab. 6H - Kultura fiz. i turyst'!F13+'Tab.6I - Planow. przestrz.'!F14</f>
        <v>5420169</v>
      </c>
      <c r="D20" s="2004">
        <f>+'Tab. 6A -Drogi'!G14+'Tab. 6H - Kultura fiz. i turyst'!G13+'Tab.6I - Planow. przestrz.'!G14</f>
        <v>8638784</v>
      </c>
      <c r="E20" s="2004">
        <f>+'Tab. 6A -Drogi'!H14+'Tab. 6H - Kultura fiz. i turyst'!H13+'Tab.6I - Planow. przestrz.'!H14</f>
        <v>399808</v>
      </c>
      <c r="F20" s="2007">
        <f>+'Tab. 6A -Drogi'!I14+'Tab. 6H - Kultura fiz. i turyst'!I13+'Tab.6I - Planow. przestrz.'!I14</f>
        <v>0</v>
      </c>
      <c r="G20" s="2005">
        <f>+'Tab. 6A -Drogi'!J14+'Tab. 6H - Kultura fiz. i turyst'!J13+'Tab.6I - Planow. przestrz.'!J14</f>
        <v>0</v>
      </c>
      <c r="H20" s="2004">
        <f>+'Tab. 6A -Drogi'!K14+'Tab. 6H - Kultura fiz. i turyst'!K13+'Tab.6I - Planow. przestrz.'!K14</f>
        <v>0</v>
      </c>
      <c r="I20" s="533">
        <f>+'Tab. 6A -Drogi'!L14+'Tab. 6H - Kultura fiz. i turyst'!L13</f>
        <v>0</v>
      </c>
      <c r="J20" s="987">
        <f t="shared" si="7"/>
        <v>21257999</v>
      </c>
      <c r="K20" s="522">
        <f>SUM(C20:G20)</f>
        <v>14458761</v>
      </c>
      <c r="L20" s="1752"/>
      <c r="M20" s="240">
        <f t="shared" si="3"/>
        <v>21257999</v>
      </c>
      <c r="N20" s="1999">
        <f t="shared" si="4"/>
        <v>0</v>
      </c>
      <c r="O20" s="240">
        <f>4028362+2770876</f>
        <v>6799238</v>
      </c>
      <c r="P20" s="1676">
        <f t="shared" si="8"/>
        <v>0</v>
      </c>
      <c r="Q20" s="1676"/>
    </row>
    <row r="21" spans="1:17" s="241" customFormat="1" ht="15.75" customHeight="1">
      <c r="A21" s="2003" t="s">
        <v>15</v>
      </c>
      <c r="B21" s="2004">
        <f>+'Tab. 6A -Drogi'!E15+'Tab. 6G - Roln i ochrona środ.'!E14+'Tab. 6E - Administracja'!E15+'Tab. 6H - Kultura fiz. i turyst'!E12</f>
        <v>320000</v>
      </c>
      <c r="C21" s="2007">
        <f>+'Tab. 6A -Drogi'!F15+'Tab. 6G - Roln i ochrona środ.'!F14+'Tab. 6E - Administracja'!F15+'Tab. 6H - Kultura fiz. i turyst'!F12</f>
        <v>0</v>
      </c>
      <c r="D21" s="2005">
        <f>+'Tab. 6A -Drogi'!G15+'Tab. 6G - Roln i ochrona środ.'!G14+'Tab. 6E - Administracja'!G15+'Tab. 6H - Kultura fiz. i turyst'!G12</f>
        <v>0</v>
      </c>
      <c r="E21" s="2005">
        <f>+'Tab. 6A -Drogi'!H15+'Tab. 6G - Roln i ochrona środ.'!H14+'Tab. 6E - Administracja'!H15+'Tab. 6H - Kultura fiz. i turyst'!H12</f>
        <v>0</v>
      </c>
      <c r="F21" s="2005">
        <f>+'Tab. 6A -Drogi'!I15+'Tab. 6G - Roln i ochrona środ.'!I14+'Tab. 6E - Administracja'!I15+'Tab. 6H - Kultura fiz. i turyst'!I12</f>
        <v>0</v>
      </c>
      <c r="G21" s="2005">
        <f>+'Tab. 6A -Drogi'!J15+'Tab. 6G - Roln i ochrona środ.'!J14+'Tab. 6E - Administracja'!J15+'Tab. 6H - Kultura fiz. i turyst'!J12</f>
        <v>0</v>
      </c>
      <c r="H21" s="2006">
        <f>+'Tab. 6A -Drogi'!K15+'Tab. 6G - Roln i ochrona środ.'!K14+'Tab. 6E - Administracja'!K15+'Tab. 6H - Kultura fiz. i turyst'!K12</f>
        <v>0</v>
      </c>
      <c r="I21" s="2006">
        <f>+'Tab. 6A -Drogi'!L15+'Tab. 6G - Roln i ochrona środ.'!L14+'Tab. 6E - Administracja'!L15+'Tab. 6H - Kultura fiz. i turyst'!L12</f>
        <v>0</v>
      </c>
      <c r="J21" s="987">
        <f>B21+I21+H21+C21+D21+E21+F21+G21</f>
        <v>320000</v>
      </c>
      <c r="K21" s="2704">
        <f>SUM(C21:G21)</f>
        <v>0</v>
      </c>
      <c r="L21" s="1752"/>
      <c r="M21" s="240">
        <f t="shared" si="3"/>
        <v>320000</v>
      </c>
      <c r="N21" s="1999">
        <f t="shared" si="4"/>
        <v>0</v>
      </c>
      <c r="O21" s="240">
        <v>320000</v>
      </c>
      <c r="P21" s="1676">
        <f t="shared" si="8"/>
        <v>0</v>
      </c>
      <c r="Q21" s="1676"/>
    </row>
    <row r="22" spans="1:17" s="241" customFormat="1" ht="15.75" customHeight="1">
      <c r="A22" s="2003" t="s">
        <v>16</v>
      </c>
      <c r="B22" s="2006">
        <f>+'Tab. 6A -Drogi'!E16+'Tab. 6C - Ochrona zdrowia'!E12+'Tab.6I - Planow. przestrz.'!E15</f>
        <v>198197</v>
      </c>
      <c r="C22" s="2006">
        <f>+'Tab. 6A -Drogi'!F16+'Tab. 6C - Ochrona zdrowia'!F12+'Tab.6I - Planow. przestrz.'!F15</f>
        <v>2092488</v>
      </c>
      <c r="D22" s="2006">
        <f>+'Tab. 6A -Drogi'!G16+'Tab. 6C - Ochrona zdrowia'!G12+'Tab.6I - Planow. przestrz.'!G15</f>
        <v>3329183</v>
      </c>
      <c r="E22" s="2006">
        <f>+'Tab. 6A -Drogi'!H16+'Tab. 6C - Ochrona zdrowia'!H12+'Tab.6I - Planow. przestrz.'!H15</f>
        <v>3853420</v>
      </c>
      <c r="F22" s="2006">
        <f>+'Tab. 6A -Drogi'!I16+'Tab. 6C - Ochrona zdrowia'!I12+'Tab.6I - Planow. przestrz.'!I15</f>
        <v>113636</v>
      </c>
      <c r="G22" s="2005">
        <f>+'Tab. 6A -Drogi'!J16+'Tab. 6C - Ochrona zdrowia'!J12+'Tab.6I - Planow. przestrz.'!J15</f>
        <v>0</v>
      </c>
      <c r="H22" s="2006">
        <f>+'Tab. 6A -Drogi'!K16+'Tab. 6C - Ochrona zdrowia'!K12+'Tab.6I - Planow. przestrz.'!K15</f>
        <v>0</v>
      </c>
      <c r="I22" s="2007">
        <f>+'Tab. 6A -Drogi'!L16</f>
        <v>0</v>
      </c>
      <c r="J22" s="987">
        <f t="shared" si="7"/>
        <v>9586924</v>
      </c>
      <c r="K22" s="522">
        <f>SUM(C22:G22)</f>
        <v>9388727</v>
      </c>
      <c r="L22" s="1752"/>
      <c r="M22" s="240">
        <f t="shared" si="3"/>
        <v>9586924</v>
      </c>
      <c r="N22" s="1999">
        <f t="shared" si="4"/>
        <v>0</v>
      </c>
      <c r="O22" s="240">
        <v>198197</v>
      </c>
      <c r="P22" s="1676">
        <f t="shared" si="8"/>
        <v>0</v>
      </c>
      <c r="Q22" s="1676"/>
    </row>
    <row r="23" spans="1:17" s="241" customFormat="1" ht="15.75" customHeight="1">
      <c r="A23" s="2003" t="s">
        <v>29</v>
      </c>
      <c r="B23" s="535">
        <f>'Tab. 6E - Administracja'!E16+'Tab. 6B Polit społ i rozwój prz'!E13+'Tab. 6C - Ochrona zdrowia'!E11</f>
        <v>911549</v>
      </c>
      <c r="C23" s="535">
        <f>'Tab. 6E - Administracja'!F16+'Tab. 6B Polit społ i rozwój prz'!F13+'Tab. 6C - Ochrona zdrowia'!F11</f>
        <v>1685110</v>
      </c>
      <c r="D23" s="535">
        <f>'Tab. 6E - Administracja'!G16+'Tab. 6B Polit społ i rozwój prz'!G13+'Tab. 6C - Ochrona zdrowia'!G11</f>
        <v>261009</v>
      </c>
      <c r="E23" s="535">
        <f>'Tab. 6E - Administracja'!H16+'Tab. 6B Polit społ i rozwój prz'!H13+'Tab. 6C - Ochrona zdrowia'!H11</f>
        <v>301691</v>
      </c>
      <c r="F23" s="535">
        <f>'Tab. 6E - Administracja'!I16+'Tab. 6B Polit społ i rozwój prz'!I13+'Tab. 6C - Ochrona zdrowia'!I11</f>
        <v>237118</v>
      </c>
      <c r="G23" s="535">
        <f>'Tab. 6E - Administracja'!J16+'Tab. 6B Polit społ i rozwój prz'!J13+'Tab. 6C - Ochrona zdrowia'!J11</f>
        <v>99569</v>
      </c>
      <c r="H23" s="535">
        <f>'Tab. 6E - Administracja'!K16+'Tab. 6B Polit społ i rozwój prz'!K13+'Tab. 6C - Ochrona zdrowia'!K11</f>
        <v>0</v>
      </c>
      <c r="I23" s="535">
        <f>'Tab. 6E - Administracja'!L16+'Tab. 6B Polit społ i rozwój prz'!L13</f>
        <v>0</v>
      </c>
      <c r="J23" s="987">
        <f t="shared" si="7"/>
        <v>3496046</v>
      </c>
      <c r="K23" s="826" t="s">
        <v>51</v>
      </c>
      <c r="L23" s="1752"/>
      <c r="M23" s="240">
        <f t="shared" si="3"/>
        <v>3496046</v>
      </c>
      <c r="N23" s="1999">
        <f t="shared" si="4"/>
        <v>0</v>
      </c>
      <c r="O23" s="240">
        <f>694612+216937</f>
        <v>911549</v>
      </c>
      <c r="P23" s="1676">
        <f t="shared" si="8"/>
        <v>0</v>
      </c>
      <c r="Q23" s="1676"/>
    </row>
    <row r="24" spans="1:17" s="241" customFormat="1" ht="17.25" customHeight="1">
      <c r="A24" s="239" t="s">
        <v>17</v>
      </c>
      <c r="B24" s="2008">
        <f t="shared" ref="B24:K24" si="9">SUM(B25:B26)</f>
        <v>241867840</v>
      </c>
      <c r="C24" s="2008">
        <f t="shared" si="9"/>
        <v>250697994</v>
      </c>
      <c r="D24" s="2008">
        <f t="shared" si="9"/>
        <v>297231485</v>
      </c>
      <c r="E24" s="2008">
        <f t="shared" si="9"/>
        <v>237204173</v>
      </c>
      <c r="F24" s="2008">
        <f t="shared" si="9"/>
        <v>85802088</v>
      </c>
      <c r="G24" s="2008">
        <f t="shared" si="9"/>
        <v>25029404</v>
      </c>
      <c r="H24" s="2008">
        <f>SUM(H25:H26)</f>
        <v>0</v>
      </c>
      <c r="I24" s="2008">
        <f>SUM(I25:I26)</f>
        <v>0</v>
      </c>
      <c r="J24" s="988">
        <f t="shared" si="9"/>
        <v>1137832984</v>
      </c>
      <c r="K24" s="2009">
        <f t="shared" si="9"/>
        <v>895965144</v>
      </c>
      <c r="L24" s="1752"/>
      <c r="M24" s="240">
        <f t="shared" si="3"/>
        <v>1137832984</v>
      </c>
      <c r="N24" s="1999">
        <f t="shared" si="4"/>
        <v>0</v>
      </c>
      <c r="O24" s="240">
        <f>128727791+113116334</f>
        <v>241844125</v>
      </c>
      <c r="P24" s="1676">
        <f t="shared" si="8"/>
        <v>-23715</v>
      </c>
      <c r="Q24" s="1676"/>
    </row>
    <row r="25" spans="1:17" s="241" customFormat="1" ht="14.25" customHeight="1">
      <c r="A25" s="2003" t="s">
        <v>18</v>
      </c>
      <c r="B25" s="533">
        <f>+'Tab. 6D - Oświata'!E17+'Tab. 6A -Drogi'!E18+'Tab. 6G - Roln i ochrona środ.'!E19+'Tab.6I - Planow. przestrz.'!E18+'Tab. 6B Polit społ i rozwój prz'!E15</f>
        <v>2452188</v>
      </c>
      <c r="C25" s="533">
        <f>+'Tab. 6D - Oświata'!F17+'Tab. 6A -Drogi'!F18+'Tab. 6G - Roln i ochrona środ.'!F19+'Tab.6I - Planow. przestrz.'!F18+'Tab. 6B Polit społ i rozwój prz'!F15</f>
        <v>333166</v>
      </c>
      <c r="D25" s="533">
        <f>+'Tab. 6D - Oświata'!G17+'Tab. 6A -Drogi'!G18+'Tab. 6G - Roln i ochrona środ.'!G19+'Tab.6I - Planow. przestrz.'!G18+'Tab. 6B Polit społ i rozwój prz'!G15</f>
        <v>227567</v>
      </c>
      <c r="E25" s="2705">
        <f>+'Tab. 6D - Oświata'!H17+'Tab. 6A -Drogi'!H18+'Tab. 6G - Roln i ochrona środ.'!H19+'Tab.6I - Planow. przestrz.'!H18+'Tab. 6B Polit społ i rozwój prz'!H15</f>
        <v>0</v>
      </c>
      <c r="F25" s="2705">
        <f>+'Tab. 6D - Oświata'!I17+'Tab. 6A -Drogi'!I18+'Tab. 6G - Roln i ochrona środ.'!I19+'Tab.6I - Planow. przestrz.'!I18+'Tab. 6B Polit społ i rozwój prz'!I15</f>
        <v>0</v>
      </c>
      <c r="G25" s="2705">
        <f>+'Tab. 6D - Oświata'!J17+'Tab. 6A -Drogi'!J18+'Tab. 6G - Roln i ochrona środ.'!J19+'Tab.6I - Planow. przestrz.'!J18+'Tab. 6B Polit społ i rozwój prz'!J15</f>
        <v>0</v>
      </c>
      <c r="H25" s="533">
        <f>+'Tab. 6D - Oświata'!K17+'Tab. 6A -Drogi'!K18+'Tab. 6G - Roln i ochrona środ.'!K19+'Tab.6I - Planow. przestrz.'!K18+'Tab. 6B Polit społ i rozwój prz'!K15</f>
        <v>0</v>
      </c>
      <c r="I25" s="533">
        <f>+'Tab. 6D - Oświata'!L17+'Tab. 6A -Drogi'!L18+'Tab. 6G - Roln i ochrona środ.'!L19+'Tab.6I - Planow. przestrz.'!L18+'Tab. 6B Polit społ i rozwój prz'!L15</f>
        <v>0</v>
      </c>
      <c r="J25" s="987">
        <f>B25+I25+H25+C25+D25+E25+F25+G25</f>
        <v>3012921</v>
      </c>
      <c r="K25" s="522">
        <f>SUM(C25:G25)</f>
        <v>560733</v>
      </c>
      <c r="L25" s="1752"/>
      <c r="M25" s="240">
        <f t="shared" si="3"/>
        <v>3012921</v>
      </c>
      <c r="N25" s="1999">
        <f t="shared" si="4"/>
        <v>0</v>
      </c>
      <c r="O25" s="240">
        <f>1601732+850456</f>
        <v>2452188</v>
      </c>
      <c r="P25" s="1676">
        <f t="shared" si="8"/>
        <v>0</v>
      </c>
      <c r="Q25" s="1676"/>
    </row>
    <row r="26" spans="1:17" s="241" customFormat="1" ht="14.25" customHeight="1">
      <c r="A26" s="2003" t="s">
        <v>19</v>
      </c>
      <c r="B26" s="2004">
        <f>+'Tab. 6B Polit społ i rozwój prz'!E16+'Tab. 6A -Drogi'!E19+'Tab. 6E - Administracja'!E18+'Tab. 6G - Roln i ochrona środ.'!E17+'Tab. 6H - Kultura fiz. i turyst'!E15+'Tab.6I - Planow. przestrz.'!E17+'Tab. 6D - Oświata'!E16+'Tab. 6C - Ochrona zdrowia'!E14</f>
        <v>239415652</v>
      </c>
      <c r="C26" s="2004">
        <f>+'Tab. 6B Polit społ i rozwój prz'!F16+'Tab. 6A -Drogi'!F19+'Tab. 6E - Administracja'!F18+'Tab. 6G - Roln i ochrona środ.'!F17+'Tab. 6H - Kultura fiz. i turyst'!F15+'Tab.6I - Planow. przestrz.'!F17+'Tab. 6D - Oświata'!F16+'Tab. 6C - Ochrona zdrowia'!F14</f>
        <v>250364828</v>
      </c>
      <c r="D26" s="2004">
        <f>+'Tab. 6B Polit społ i rozwój prz'!G16+'Tab. 6A -Drogi'!G19+'Tab. 6E - Administracja'!G18+'Tab. 6G - Roln i ochrona środ.'!G17+'Tab. 6H - Kultura fiz. i turyst'!G15+'Tab.6I - Planow. przestrz.'!G17+'Tab. 6D - Oświata'!G16+'Tab. 6C - Ochrona zdrowia'!G14</f>
        <v>297003918</v>
      </c>
      <c r="E26" s="2004">
        <f>+'Tab. 6B Polit społ i rozwój prz'!H16+'Tab. 6A -Drogi'!H19+'Tab. 6E - Administracja'!H18+'Tab. 6G - Roln i ochrona środ.'!H17+'Tab. 6H - Kultura fiz. i turyst'!H15+'Tab.6I - Planow. przestrz.'!H17+'Tab. 6D - Oświata'!H16+'Tab. 6C - Ochrona zdrowia'!H14</f>
        <v>237204173</v>
      </c>
      <c r="F26" s="2004">
        <f>+'Tab. 6B Polit społ i rozwój prz'!I16+'Tab. 6A -Drogi'!I19+'Tab. 6E - Administracja'!I18+'Tab. 6G - Roln i ochrona środ.'!I17+'Tab. 6H - Kultura fiz. i turyst'!I15+'Tab.6I - Planow. przestrz.'!I17+'Tab. 6D - Oświata'!I16+'Tab. 6C - Ochrona zdrowia'!I14</f>
        <v>85802088</v>
      </c>
      <c r="G26" s="2004">
        <f>+'Tab. 6B Polit społ i rozwój prz'!J16+'Tab. 6A -Drogi'!J19+'Tab. 6E - Administracja'!J18+'Tab. 6G - Roln i ochrona środ.'!J17+'Tab. 6H - Kultura fiz. i turyst'!J15+'Tab.6I - Planow. przestrz.'!J17+'Tab. 6D - Oświata'!J16+'Tab. 6C - Ochrona zdrowia'!J14</f>
        <v>25029404</v>
      </c>
      <c r="H26" s="2004">
        <f>+'Tab. 6B Polit społ i rozwój prz'!K16+'Tab. 6A -Drogi'!K19+'Tab. 6E - Administracja'!K18+'Tab. 6G - Roln i ochrona środ.'!K17+'Tab. 6H - Kultura fiz. i turyst'!K15+'Tab.6I - Planow. przestrz.'!K17+'Tab. 6D - Oświata'!K16+'Tab. 6C - Ochrona zdrowia'!K14</f>
        <v>0</v>
      </c>
      <c r="I26" s="2004">
        <f>+'Tab. 6B Polit społ i rozwój prz'!L16+'Tab. 6A -Drogi'!L19+'Tab. 6E - Administracja'!L18+'Tab. 6G - Roln i ochrona środ.'!L17+'Tab. 6H - Kultura fiz. i turyst'!L15+'Tab.6I - Planow. przestrz.'!L17</f>
        <v>0</v>
      </c>
      <c r="J26" s="987">
        <f>B26+I26+H26+C26+D26+E26+F26+G26</f>
        <v>1134820063</v>
      </c>
      <c r="K26" s="522">
        <f>SUM(C26:G26)</f>
        <v>895404411</v>
      </c>
      <c r="L26" s="1752"/>
      <c r="M26" s="240">
        <f t="shared" si="3"/>
        <v>1134820063</v>
      </c>
      <c r="N26" s="1998">
        <f t="shared" si="4"/>
        <v>0</v>
      </c>
      <c r="O26" s="240">
        <f>127126059+112265878</f>
        <v>239391937</v>
      </c>
      <c r="P26" s="1676">
        <f t="shared" si="8"/>
        <v>-23715</v>
      </c>
      <c r="Q26" s="1676"/>
    </row>
    <row r="27" spans="1:17" s="536" customFormat="1" ht="15.75" customHeight="1">
      <c r="A27" s="2010" t="s">
        <v>20</v>
      </c>
      <c r="B27" s="2011">
        <f>+B28+B33</f>
        <v>249876330</v>
      </c>
      <c r="C27" s="2011">
        <f t="shared" ref="C27:J27" si="10">+C28+C33</f>
        <v>247310463</v>
      </c>
      <c r="D27" s="2011">
        <f t="shared" si="10"/>
        <v>296498595</v>
      </c>
      <c r="E27" s="2011">
        <f t="shared" si="10"/>
        <v>252455465</v>
      </c>
      <c r="F27" s="2011">
        <f t="shared" si="10"/>
        <v>94874728</v>
      </c>
      <c r="G27" s="2011">
        <f t="shared" si="10"/>
        <v>34646456</v>
      </c>
      <c r="H27" s="2011">
        <f>+H28+H33</f>
        <v>0</v>
      </c>
      <c r="I27" s="2012">
        <f>+I28+I33</f>
        <v>0</v>
      </c>
      <c r="J27" s="989">
        <f t="shared" si="10"/>
        <v>1190056353</v>
      </c>
      <c r="K27" s="3852" t="s">
        <v>21</v>
      </c>
      <c r="L27" s="1752"/>
      <c r="N27" s="2013"/>
    </row>
    <row r="28" spans="1:17" s="241" customFormat="1" ht="17.25" customHeight="1">
      <c r="A28" s="239" t="s">
        <v>22</v>
      </c>
      <c r="B28" s="2014">
        <f>SUM(B29:B32)</f>
        <v>14967675</v>
      </c>
      <c r="C28" s="2014">
        <f t="shared" ref="C28:J28" si="11">SUM(C29:C32)</f>
        <v>13038935</v>
      </c>
      <c r="D28" s="2014">
        <f t="shared" si="11"/>
        <v>15987507</v>
      </c>
      <c r="E28" s="2014">
        <f t="shared" si="11"/>
        <v>6141747</v>
      </c>
      <c r="F28" s="2014">
        <f t="shared" si="11"/>
        <v>1370593</v>
      </c>
      <c r="G28" s="2014">
        <f t="shared" si="11"/>
        <v>716912</v>
      </c>
      <c r="H28" s="2014">
        <f>SUM(H29:H32)</f>
        <v>0</v>
      </c>
      <c r="I28" s="2008">
        <f>SUM(I29:I32)</f>
        <v>0</v>
      </c>
      <c r="J28" s="990">
        <f t="shared" si="11"/>
        <v>52223369</v>
      </c>
      <c r="K28" s="3853"/>
      <c r="L28" s="538" t="s">
        <v>188</v>
      </c>
      <c r="N28" s="2015"/>
    </row>
    <row r="29" spans="1:17" s="241" customFormat="1" ht="14.25" customHeight="1">
      <c r="A29" s="2003" t="s">
        <v>12</v>
      </c>
      <c r="B29" s="461">
        <f>+'Tab. 6B Polit społ i rozwój prz'!E19+'Tab. 6A -Drogi'!E23+'Tab. 6E - Administracja'!E21+'Tab. 6G - Roln i ochrona środ.'!E22+'Tab.6I - Planow. przestrz.'!E21+'Tab. 6D - Oświata'!E20</f>
        <v>7650240</v>
      </c>
      <c r="C29" s="461">
        <f>+'Tab. 6B Polit społ i rozwój prz'!F19+'Tab. 6A -Drogi'!F23+'Tab. 6E - Administracja'!F21+'Tab. 6G - Roln i ochrona środ.'!F22+'Tab.6I - Planow. przestrz.'!F21+'Tab. 6D - Oświata'!F20</f>
        <v>5526278</v>
      </c>
      <c r="D29" s="461">
        <f>+'Tab. 6B Polit społ i rozwój prz'!G19+'Tab. 6A -Drogi'!G23+'Tab. 6E - Administracja'!G21+'Tab. 6G - Roln i ochrona środ.'!G22+'Tab.6I - Planow. przestrz.'!G21</f>
        <v>4019540</v>
      </c>
      <c r="E29" s="461">
        <f>+'Tab. 6B Polit społ i rozwój prz'!H19+'Tab. 6A -Drogi'!H23+'Tab. 6E - Administracja'!H21+'Tab. 6G - Roln i ochrona środ.'!H22+'Tab.6I - Planow. przestrz.'!H21</f>
        <v>1888519</v>
      </c>
      <c r="F29" s="461">
        <f>+'Tab. 6B Polit społ i rozwój prz'!I19+'Tab. 6A -Drogi'!I23+'Tab. 6E - Administracja'!I21+'Tab. 6G - Roln i ochrona środ.'!I22+'Tab.6I - Planow. przestrz.'!I21</f>
        <v>1256957</v>
      </c>
      <c r="G29" s="461">
        <f>+'Tab. 6B Polit społ i rozwój prz'!J19+'Tab. 6A -Drogi'!J23+'Tab. 6E - Administracja'!J21+'Tab. 6G - Roln i ochrona środ.'!J22+'Tab.6I - Planow. przestrz.'!J21</f>
        <v>716912</v>
      </c>
      <c r="H29" s="461">
        <f>+'Tab. 6B Polit społ i rozwój prz'!K19+'Tab. 6A -Drogi'!K23+'Tab. 6E - Administracja'!K21+'Tab. 6G - Roln i ochrona środ.'!K22+'Tab.6I - Planow. przestrz.'!K21+'Tab. 6D - Oświata'!K20</f>
        <v>0</v>
      </c>
      <c r="I29" s="125">
        <f>+'Tab. 6B Polit społ i rozwój prz'!L19+'Tab. 6A -Drogi'!L23+'Tab. 6E - Administracja'!L21+'Tab. 6G - Roln i ochrona środ.'!L22+'Tab.6I - Planow. przestrz.'!L21</f>
        <v>0</v>
      </c>
      <c r="J29" s="987">
        <f>B29+I29+H29+C29+D29+E29+F29+G29</f>
        <v>21058446</v>
      </c>
      <c r="K29" s="3853"/>
      <c r="L29" s="538">
        <f>J19-J29</f>
        <v>0</v>
      </c>
      <c r="N29" s="2015"/>
    </row>
    <row r="30" spans="1:17" s="241" customFormat="1" ht="14.25" customHeight="1">
      <c r="A30" s="2003" t="s">
        <v>14</v>
      </c>
      <c r="B30" s="533">
        <f>+'Tab. 6A -Drogi'!E24+'Tab. 6H - Kultura fiz. i turyst'!E20+'Tab.6I - Planow. przestrz.'!E22</f>
        <v>6799238</v>
      </c>
      <c r="C30" s="533">
        <f>+'Tab. 6A -Drogi'!F24+'Tab. 6H - Kultura fiz. i turyst'!F20+'Tab.6I - Planow. przestrz.'!F22</f>
        <v>5420169</v>
      </c>
      <c r="D30" s="533">
        <f>+'Tab. 6A -Drogi'!G24+'Tab. 6H - Kultura fiz. i turyst'!G20+'Tab.6I - Planow. przestrz.'!G22</f>
        <v>8638784</v>
      </c>
      <c r="E30" s="533">
        <f>+'Tab. 6A -Drogi'!H24+'Tab. 6H - Kultura fiz. i turyst'!H20+'Tab.6I - Planow. przestrz.'!H22</f>
        <v>399808</v>
      </c>
      <c r="F30" s="534">
        <f>+'Tab. 6A -Drogi'!I24+'Tab. 6H - Kultura fiz. i turyst'!I20+'Tab.6I - Planow. przestrz.'!I22</f>
        <v>0</v>
      </c>
      <c r="G30" s="2005">
        <f>+'Tab. 6A -Drogi'!J24+'Tab. 6H - Kultura fiz. i turyst'!J20+'Tab.6I - Planow. przestrz.'!J22</f>
        <v>0</v>
      </c>
      <c r="H30" s="533">
        <f>+'Tab. 6A -Drogi'!K24+'Tab. 6H - Kultura fiz. i turyst'!K20+'Tab.6I - Planow. przestrz.'!K22</f>
        <v>0</v>
      </c>
      <c r="I30" s="533">
        <f>+'Tab. 6A -Drogi'!L24+'Tab. 6H - Kultura fiz. i turyst'!L20+'Tab.6I - Planow. przestrz.'!L22</f>
        <v>0</v>
      </c>
      <c r="J30" s="987">
        <f>B30+I30+H30+C30+D30+E30+F30+G30</f>
        <v>21257999</v>
      </c>
      <c r="K30" s="3853"/>
      <c r="L30" s="538">
        <f>J30-J20</f>
        <v>0</v>
      </c>
      <c r="M30" s="538"/>
      <c r="N30" s="2015"/>
    </row>
    <row r="31" spans="1:17" s="241" customFormat="1" ht="12.75" customHeight="1">
      <c r="A31" s="2003" t="s">
        <v>15</v>
      </c>
      <c r="B31" s="533">
        <f>+'Tab. 6A -Drogi'!E25+'Tab. 6G - Roln i ochrona środ.'!E24+'Tab. 6E - Administracja'!E22+'Tab. 6H - Kultura fiz. i turyst'!E19</f>
        <v>320000</v>
      </c>
      <c r="C31" s="2005">
        <f>+'Tab. 6A -Drogi'!F25+'Tab. 6G - Roln i ochrona środ.'!F24+'Tab. 6E - Administracja'!F22+'Tab. 6H - Kultura fiz. i turyst'!F19</f>
        <v>0</v>
      </c>
      <c r="D31" s="2005">
        <f>+'Tab. 6A -Drogi'!G25+'Tab. 6G - Roln i ochrona środ.'!G24+'Tab. 6E - Administracja'!G22+'Tab. 6H - Kultura fiz. i turyst'!G19</f>
        <v>0</v>
      </c>
      <c r="E31" s="2005">
        <f>+'Tab. 6A -Drogi'!H25+'Tab. 6G - Roln i ochrona środ.'!H24+'Tab. 6E - Administracja'!H22+'Tab. 6H - Kultura fiz. i turyst'!H19</f>
        <v>0</v>
      </c>
      <c r="F31" s="2005">
        <f>+'Tab. 6A -Drogi'!I25+'Tab. 6G - Roln i ochrona środ.'!I24+'Tab. 6E - Administracja'!I22+'Tab. 6H - Kultura fiz. i turyst'!I19</f>
        <v>0</v>
      </c>
      <c r="G31" s="2005">
        <f>+'Tab. 6A -Drogi'!J25+'Tab. 6G - Roln i ochrona środ.'!J24+'Tab. 6E - Administracja'!J22+'Tab. 6H - Kultura fiz. i turyst'!J19</f>
        <v>0</v>
      </c>
      <c r="H31" s="2006">
        <f>+'Tab. 6A -Drogi'!K25+'Tab. 6G - Roln i ochrona środ.'!K24+'Tab. 6E - Administracja'!K22+'Tab. 6H - Kultura fiz. i turyst'!K19</f>
        <v>0</v>
      </c>
      <c r="I31" s="2006">
        <f>+'Tab. 6A -Drogi'!L25+'Tab. 6G - Roln i ochrona środ.'!L24+'Tab. 6E - Administracja'!L22+'Tab. 6H - Kultura fiz. i turyst'!L19</f>
        <v>0</v>
      </c>
      <c r="J31" s="987">
        <f>B31+I31+H31+C31+D31+E31+F31+G31</f>
        <v>320000</v>
      </c>
      <c r="K31" s="3853"/>
      <c r="L31" s="538">
        <f>J31-J21</f>
        <v>0</v>
      </c>
      <c r="N31" s="2015"/>
    </row>
    <row r="32" spans="1:17" s="241" customFormat="1" ht="15" customHeight="1">
      <c r="A32" s="2003" t="s">
        <v>16</v>
      </c>
      <c r="B32" s="2006">
        <f>+'Tab. 6A -Drogi'!E26+'Tab. 6C - Ochrona zdrowia'!E17+'Tab.6I - Planow. przestrz.'!E23</f>
        <v>198197</v>
      </c>
      <c r="C32" s="2006">
        <f>+'Tab. 6A -Drogi'!F26+'Tab. 6C - Ochrona zdrowia'!F17+'Tab.6I - Planow. przestrz.'!F23</f>
        <v>2092488</v>
      </c>
      <c r="D32" s="2006">
        <f>+'Tab. 6A -Drogi'!G26+'Tab. 6C - Ochrona zdrowia'!G17+'Tab.6I - Planow. przestrz.'!G23</f>
        <v>3329183</v>
      </c>
      <c r="E32" s="2006">
        <f>+'Tab. 6A -Drogi'!H26+'Tab. 6C - Ochrona zdrowia'!H17+'Tab.6I - Planow. przestrz.'!H23</f>
        <v>3853420</v>
      </c>
      <c r="F32" s="2006">
        <f>+'Tab. 6A -Drogi'!I26+'Tab. 6C - Ochrona zdrowia'!I17+'Tab.6I - Planow. przestrz.'!I23</f>
        <v>113636</v>
      </c>
      <c r="G32" s="2005">
        <f>+'Tab. 6A -Drogi'!J26+'Tab. 6C - Ochrona zdrowia'!J17+'Tab.6I - Planow. przestrz.'!J23</f>
        <v>0</v>
      </c>
      <c r="H32" s="2006">
        <f>+'Tab. 6A -Drogi'!K26+'Tab. 6C - Ochrona zdrowia'!K17+'Tab.6I - Planow. przestrz.'!K23</f>
        <v>0</v>
      </c>
      <c r="I32" s="534">
        <f>+'Tab. 6A -Drogi'!L26</f>
        <v>0</v>
      </c>
      <c r="J32" s="987">
        <f>B32+I32+H32+C32+D32+E32+F32+G32</f>
        <v>9586924</v>
      </c>
      <c r="K32" s="3853"/>
      <c r="L32" s="538">
        <f>J32-J22</f>
        <v>0</v>
      </c>
      <c r="N32" s="2015"/>
    </row>
    <row r="33" spans="1:17" s="241" customFormat="1" ht="16.5" customHeight="1">
      <c r="A33" s="239" t="s">
        <v>17</v>
      </c>
      <c r="B33" s="2016">
        <f t="shared" ref="B33:J33" si="12">SUM(B34:B35)</f>
        <v>234908655</v>
      </c>
      <c r="C33" s="2016">
        <f t="shared" si="12"/>
        <v>234271528</v>
      </c>
      <c r="D33" s="2016">
        <f t="shared" si="12"/>
        <v>280511088</v>
      </c>
      <c r="E33" s="2016">
        <f t="shared" si="12"/>
        <v>246313718</v>
      </c>
      <c r="F33" s="2016">
        <f t="shared" si="12"/>
        <v>93504135</v>
      </c>
      <c r="G33" s="2016">
        <f t="shared" si="12"/>
        <v>33929544</v>
      </c>
      <c r="H33" s="2016">
        <f>SUM(H34:H35)</f>
        <v>0</v>
      </c>
      <c r="I33" s="2017">
        <f>SUM(I34:I35)</f>
        <v>0</v>
      </c>
      <c r="J33" s="990">
        <f t="shared" si="12"/>
        <v>1137832984</v>
      </c>
      <c r="K33" s="3853"/>
      <c r="L33" s="538"/>
      <c r="N33" s="2015"/>
    </row>
    <row r="34" spans="1:17" s="241" customFormat="1" ht="14.25" customHeight="1">
      <c r="A34" s="2003" t="s">
        <v>18</v>
      </c>
      <c r="B34" s="2004">
        <f>+'Tab. 6A -Drogi'!E30+'Tab. 6G - Roln i ochrona środ.'!E30+'Tab. 6D - Oświata'!E23+'Tab.6I - Planow. przestrz.'!E26+'Tab. 6B Polit społ i rozwój prz'!E21</f>
        <v>1837878</v>
      </c>
      <c r="C34" s="2004">
        <f>+'Tab. 6A -Drogi'!F30+'Tab. 6G - Roln i ochrona środ.'!F30+'Tab. 6D - Oświata'!F23+'Tab.6I - Planow. przestrz.'!F26+'Tab. 6B Polit społ i rozwój prz'!F21</f>
        <v>808384</v>
      </c>
      <c r="D34" s="2004">
        <f>+'Tab. 6A -Drogi'!G30+'Tab. 6G - Roln i ochrona środ.'!G30+'Tab. 6D - Oświata'!G23+'Tab.6I - Planow. przestrz.'!G26+'Tab. 6B Polit społ i rozwój prz'!G21</f>
        <v>273472</v>
      </c>
      <c r="E34" s="2004">
        <f>+'Tab. 6A -Drogi'!H30+'Tab. 6G - Roln i ochrona środ.'!H30+'Tab. 6D - Oświata'!H23+'Tab.6I - Planow. przestrz.'!H26+'Tab. 6B Polit społ i rozwój prz'!H21</f>
        <v>93187</v>
      </c>
      <c r="F34" s="2007">
        <f>+'Tab. 6A -Drogi'!I30+'Tab. 6G - Roln i ochrona środ.'!I30+'Tab. 6D - Oświata'!I23+'Tab.6I - Planow. przestrz.'!I26+'Tab. 6B Polit społ i rozwój prz'!I21</f>
        <v>0</v>
      </c>
      <c r="G34" s="2007">
        <f>+'Tab. 6A -Drogi'!J30+'Tab. 6G - Roln i ochrona środ.'!J30+'Tab. 6D - Oświata'!J23+'Tab.6I - Planow. przestrz.'!J26+'Tab. 6B Polit społ i rozwój prz'!J21</f>
        <v>0</v>
      </c>
      <c r="H34" s="2004">
        <f>+'Tab. 6A -Drogi'!K30+'Tab. 6G - Roln i ochrona środ.'!K30+'Tab. 6D - Oświata'!K23+'Tab.6I - Planow. przestrz.'!K26+'Tab. 6B Polit społ i rozwój prz'!K21</f>
        <v>0</v>
      </c>
      <c r="I34" s="2004">
        <f>+'Tab. 6A -Drogi'!L30+'Tab. 6G - Roln i ochrona środ.'!L30+'Tab. 6D - Oświata'!L23+'Tab.6I - Planow. przestrz.'!L26+'Tab. 6B Polit społ i rozwój prz'!L21</f>
        <v>0</v>
      </c>
      <c r="J34" s="987">
        <f>B34+I34+H34+C34+D34+E34+F34+G34</f>
        <v>3012921</v>
      </c>
      <c r="K34" s="3853"/>
      <c r="L34" s="538">
        <f>J34-J25</f>
        <v>0</v>
      </c>
      <c r="M34" s="538" t="s">
        <v>306</v>
      </c>
      <c r="N34" s="2015"/>
    </row>
    <row r="35" spans="1:17" s="241" customFormat="1" ht="15.75" customHeight="1" thickBot="1">
      <c r="A35" s="553" t="s">
        <v>19</v>
      </c>
      <c r="B35" s="2018">
        <f>+'Tab. 6B Polit społ i rozwój prz'!E22+'Tab. 6A -Drogi'!E31+'Tab. 6E - Administracja'!E24+'Tab. 6G - Roln i ochrona środ.'!E28+'Tab. 6H - Kultura fiz. i turyst'!E22+'Tab.6I - Planow. przestrz.'!E25+'Tab. 6D - Oświata'!E22+'Tab. 6C - Ochrona zdrowia'!E19</f>
        <v>233070777</v>
      </c>
      <c r="C35" s="2018">
        <f>+'Tab. 6B Polit społ i rozwój prz'!F22+'Tab. 6A -Drogi'!F31+'Tab. 6E - Administracja'!F24+'Tab. 6G - Roln i ochrona środ.'!F28+'Tab. 6H - Kultura fiz. i turyst'!F22+'Tab.6I - Planow. przestrz.'!F25+'Tab. 6D - Oświata'!F22+'Tab. 6C - Ochrona zdrowia'!F19</f>
        <v>233463144</v>
      </c>
      <c r="D35" s="2018">
        <f>+'Tab. 6B Polit społ i rozwój prz'!G22+'Tab. 6A -Drogi'!G31+'Tab. 6E - Administracja'!G24+'Tab. 6G - Roln i ochrona środ.'!G28+'Tab. 6H - Kultura fiz. i turyst'!G22+'Tab.6I - Planow. przestrz.'!G25+'Tab. 6D - Oświata'!G22+'Tab. 6C - Ochrona zdrowia'!G19</f>
        <v>280237616</v>
      </c>
      <c r="E35" s="2018">
        <f>+'Tab. 6B Polit społ i rozwój prz'!H22+'Tab. 6A -Drogi'!H31+'Tab. 6E - Administracja'!H24+'Tab. 6G - Roln i ochrona środ.'!H28+'Tab. 6H - Kultura fiz. i turyst'!H22+'Tab.6I - Planow. przestrz.'!H25+'Tab. 6D - Oświata'!H22+'Tab. 6C - Ochrona zdrowia'!H19</f>
        <v>246220531</v>
      </c>
      <c r="F35" s="2018">
        <f>+'Tab. 6B Polit społ i rozwój prz'!I22+'Tab. 6A -Drogi'!I31+'Tab. 6E - Administracja'!I24+'Tab. 6G - Roln i ochrona środ.'!I28+'Tab. 6H - Kultura fiz. i turyst'!I22+'Tab.6I - Planow. przestrz.'!I25+'Tab. 6D - Oświata'!I22+'Tab. 6C - Ochrona zdrowia'!I19</f>
        <v>93504135</v>
      </c>
      <c r="G35" s="2018">
        <f>+'Tab. 6B Polit społ i rozwój prz'!J22+'Tab. 6A -Drogi'!J31+'Tab. 6E - Administracja'!J24+'Tab. 6G - Roln i ochrona środ.'!J28+'Tab. 6H - Kultura fiz. i turyst'!J22+'Tab.6I - Planow. przestrz.'!J25+'Tab. 6D - Oświata'!J22+'Tab. 6C - Ochrona zdrowia'!J19</f>
        <v>33929544</v>
      </c>
      <c r="H35" s="2018">
        <f>+'Tab. 6B Polit społ i rozwój prz'!K22+'Tab. 6A -Drogi'!K31+'Tab. 6E - Administracja'!K24+'Tab. 6G - Roln i ochrona środ.'!K28+'Tab. 6H - Kultura fiz. i turyst'!K22+'Tab.6I - Planow. przestrz.'!K25+'Tab. 6D - Oświata'!K22+'Tab. 6C - Ochrona zdrowia'!K19</f>
        <v>0</v>
      </c>
      <c r="I35" s="2018">
        <f>+'Tab. 6B Polit społ i rozwój prz'!L22+'Tab. 6A -Drogi'!L31+'Tab. 6E - Administracja'!L24+'Tab. 6G - Roln i ochrona środ.'!L28+'Tab. 6H - Kultura fiz. i turyst'!L22+'Tab.6I - Planow. przestrz.'!L25+'Tab. 6D - Oświata'!L22+'Tab. 6C - Ochrona zdrowia'!L19</f>
        <v>0</v>
      </c>
      <c r="J35" s="991">
        <f>B35+I35+H35+C35+D35+E35+F35+G35+2029435+2998719+2055406+3812897+2520257-11253840+12231442</f>
        <v>1134820063</v>
      </c>
      <c r="K35" s="3854"/>
      <c r="L35" s="538">
        <f>J35-J26</f>
        <v>0</v>
      </c>
      <c r="M35" s="538"/>
      <c r="N35" s="2015"/>
    </row>
    <row r="36" spans="1:17" s="241" customFormat="1" ht="21" customHeight="1" thickBot="1">
      <c r="A36" s="2561"/>
      <c r="B36" s="526"/>
      <c r="C36" s="526"/>
      <c r="D36" s="526"/>
      <c r="E36" s="526"/>
      <c r="F36" s="526"/>
      <c r="G36" s="526"/>
      <c r="H36" s="526"/>
      <c r="I36" s="526"/>
      <c r="J36" s="526"/>
      <c r="K36" s="541"/>
      <c r="L36" s="538"/>
      <c r="N36" s="2015"/>
    </row>
    <row r="37" spans="1:17" s="527" customFormat="1" ht="18.75" customHeight="1" thickBot="1">
      <c r="A37" s="542" t="s">
        <v>25</v>
      </c>
      <c r="B37" s="543">
        <f t="shared" ref="B37:J37" si="13">+B16-B23</f>
        <v>296203323</v>
      </c>
      <c r="C37" s="543">
        <f t="shared" si="13"/>
        <v>316677256</v>
      </c>
      <c r="D37" s="543">
        <f t="shared" si="13"/>
        <v>388672173</v>
      </c>
      <c r="E37" s="543">
        <f t="shared" si="13"/>
        <v>293825333</v>
      </c>
      <c r="F37" s="543">
        <f t="shared" si="13"/>
        <v>100405730</v>
      </c>
      <c r="G37" s="543">
        <f t="shared" si="13"/>
        <v>28703515</v>
      </c>
      <c r="H37" s="543">
        <f>+H16-H23</f>
        <v>0</v>
      </c>
      <c r="I37" s="1848">
        <f>+I16-I23</f>
        <v>0</v>
      </c>
      <c r="J37" s="992">
        <f t="shared" si="13"/>
        <v>1424487330</v>
      </c>
      <c r="K37" s="544">
        <f>+C37+D37+E37+F37+G37</f>
        <v>1128284007</v>
      </c>
      <c r="L37" s="545">
        <f>B37+I37+H37+C37+D37+E37+F37+G37</f>
        <v>1424487330</v>
      </c>
      <c r="M37" s="545">
        <f>L37-J37</f>
        <v>0</v>
      </c>
      <c r="N37" s="2019"/>
    </row>
    <row r="38" spans="1:17" s="527" customFormat="1" ht="16.5" customHeight="1" thickBot="1">
      <c r="A38" s="542" t="s">
        <v>26</v>
      </c>
      <c r="B38" s="546">
        <f>+B27</f>
        <v>249876330</v>
      </c>
      <c r="C38" s="546">
        <f t="shared" ref="C38:G38" si="14">+C27</f>
        <v>247310463</v>
      </c>
      <c r="D38" s="546">
        <f t="shared" si="14"/>
        <v>296498595</v>
      </c>
      <c r="E38" s="546">
        <f t="shared" si="14"/>
        <v>252455465</v>
      </c>
      <c r="F38" s="546">
        <f t="shared" si="14"/>
        <v>94874728</v>
      </c>
      <c r="G38" s="546">
        <f t="shared" si="14"/>
        <v>34646456</v>
      </c>
      <c r="H38" s="546">
        <f>+H27</f>
        <v>0</v>
      </c>
      <c r="I38" s="1849">
        <f>+I27</f>
        <v>0</v>
      </c>
      <c r="J38" s="993">
        <f>+J27</f>
        <v>1190056353</v>
      </c>
      <c r="K38" s="547" t="s">
        <v>21</v>
      </c>
      <c r="L38" s="545">
        <v>105067692</v>
      </c>
      <c r="M38" s="545" t="s">
        <v>200</v>
      </c>
      <c r="N38" s="2020"/>
    </row>
    <row r="39" spans="1:17" s="241" customFormat="1" ht="18.75" hidden="1" customHeight="1">
      <c r="A39" s="525"/>
      <c r="B39" s="526">
        <f>'Tab. 6A -Drogi'!E15+'Tab. 6E - Administracja'!E15+'Tab. 6G - Roln i ochrona środ.'!E14</f>
        <v>0</v>
      </c>
      <c r="C39" s="526"/>
      <c r="D39" s="526"/>
      <c r="E39" s="526"/>
      <c r="F39" s="526"/>
      <c r="G39" s="526"/>
      <c r="H39" s="526"/>
      <c r="I39" s="526"/>
      <c r="J39" s="541"/>
      <c r="K39" s="538"/>
      <c r="L39" s="538">
        <f>L38+L37</f>
        <v>1529555022</v>
      </c>
      <c r="M39" s="538">
        <f>J37-L39</f>
        <v>-105067692</v>
      </c>
      <c r="N39" s="2015"/>
    </row>
    <row r="40" spans="1:17" s="241" customFormat="1" ht="12.75" hidden="1" customHeight="1">
      <c r="A40" s="2021"/>
      <c r="B40" s="526">
        <f>'Tab. 6A -Drogi'!E31+'Tab. 6B Polit społ i rozwój prz'!E22+'Tab. 6E - Administracja'!E24+'Tab. 6H - Kultura fiz. i turyst'!E22+'Tab.6I - Planow. przestrz.'!E25+'Tab. 6G - Roln i ochrona środ.'!E28</f>
        <v>231386105</v>
      </c>
      <c r="C40" s="526">
        <f>'Tab. 6A -Drogi'!F31+'Tab. 6B Polit społ i rozwój prz'!F22+'Tab. 6E - Administracja'!F24+'Tab. 6H - Kultura fiz. i turyst'!F22+'Tab.6I - Planow. przestrz.'!F25+'Tab. 6G - Roln i ochrona środ.'!F28</f>
        <v>215739439</v>
      </c>
      <c r="D40" s="526">
        <f>'Tab. 6A -Drogi'!G31+'Tab. 6B Polit społ i rozwój prz'!G22+'Tab. 6E - Administracja'!G24+'Tab. 6H - Kultura fiz. i turyst'!G22+'Tab.6I - Planow. przestrz.'!G25+'Tab. 6G - Roln i ochrona środ.'!G28</f>
        <v>267578034</v>
      </c>
      <c r="E40" s="526">
        <f>'Tab. 6A -Drogi'!H31+'Tab. 6B Polit społ i rozwój prz'!H22+'Tab. 6E - Administracja'!H24+'Tab. 6H - Kultura fiz. i turyst'!H22+'Tab.6I - Planow. przestrz.'!H25+'Tab. 6G - Roln i ochrona środ.'!H28</f>
        <v>244294914</v>
      </c>
      <c r="F40" s="526">
        <f>'Tab. 6A -Drogi'!I31+'Tab. 6B Polit społ i rozwój prz'!I22+'Tab. 6E - Administracja'!I24+'Tab. 6H - Kultura fiz. i turyst'!I22+'Tab.6I - Planow. przestrz.'!I25+'Tab. 6G - Roln i ochrona środ.'!I28</f>
        <v>93504135</v>
      </c>
      <c r="G40" s="526">
        <f>'Tab. 6A -Drogi'!J31+'Tab. 6B Polit społ i rozwój prz'!J22+'Tab. 6E - Administracja'!J24+'Tab. 6H - Kultura fiz. i turyst'!J22+'Tab.6I - Planow. przestrz.'!J25+'Tab. 6G - Roln i ochrona środ.'!J28</f>
        <v>33929544</v>
      </c>
      <c r="H40" s="526"/>
      <c r="I40" s="526"/>
      <c r="J40" s="526" t="e">
        <f>B40+#REF!+#REF!+#REF!+#REF!+C40+D40+E40+F40+G40</f>
        <v>#REF!</v>
      </c>
      <c r="K40" s="538"/>
      <c r="L40" s="538"/>
      <c r="N40" s="2015"/>
    </row>
    <row r="41" spans="1:17" s="241" customFormat="1" hidden="1">
      <c r="A41" s="2022"/>
      <c r="B41" s="526">
        <f>B35-B40</f>
        <v>1684672</v>
      </c>
      <c r="C41" s="526">
        <f t="shared" ref="C41:G41" si="15">C35-C40</f>
        <v>17723705</v>
      </c>
      <c r="D41" s="526">
        <f t="shared" si="15"/>
        <v>12659582</v>
      </c>
      <c r="E41" s="526">
        <f t="shared" si="15"/>
        <v>1925617</v>
      </c>
      <c r="F41" s="526">
        <f t="shared" si="15"/>
        <v>0</v>
      </c>
      <c r="G41" s="526">
        <f t="shared" si="15"/>
        <v>0</v>
      </c>
      <c r="H41" s="526"/>
      <c r="I41" s="526"/>
      <c r="J41" s="526"/>
      <c r="K41" s="538"/>
      <c r="L41" s="538"/>
      <c r="N41" s="2015"/>
    </row>
    <row r="42" spans="1:17" s="241" customFormat="1" ht="6" customHeight="1">
      <c r="A42" s="548"/>
      <c r="B42" s="526"/>
      <c r="C42" s="526"/>
      <c r="D42" s="526"/>
      <c r="E42" s="526"/>
      <c r="F42" s="526"/>
      <c r="G42" s="526"/>
      <c r="H42" s="526"/>
      <c r="I42" s="526"/>
      <c r="J42" s="541"/>
      <c r="K42" s="538"/>
      <c r="L42" s="538"/>
      <c r="N42" s="2015"/>
    </row>
    <row r="43" spans="1:17" ht="31.5" customHeight="1" thickBot="1">
      <c r="A43" s="3837" t="s">
        <v>27</v>
      </c>
      <c r="B43" s="3837"/>
      <c r="C43" s="3837"/>
      <c r="D43" s="3837"/>
      <c r="E43" s="3837"/>
      <c r="F43" s="3837"/>
      <c r="G43" s="3837"/>
      <c r="H43" s="3837"/>
      <c r="I43" s="3837"/>
      <c r="J43" s="3837"/>
      <c r="K43" s="549"/>
      <c r="L43" s="820"/>
      <c r="M43" s="498"/>
      <c r="N43" s="1996"/>
    </row>
    <row r="44" spans="1:17" s="498" customFormat="1" ht="34.5" customHeight="1">
      <c r="A44" s="504"/>
      <c r="B44" s="3835" t="s">
        <v>208</v>
      </c>
      <c r="C44" s="3820" t="s">
        <v>446</v>
      </c>
      <c r="D44" s="3821"/>
      <c r="E44" s="3821"/>
      <c r="F44" s="3821"/>
      <c r="G44" s="3822"/>
      <c r="H44" s="3844" t="s">
        <v>460</v>
      </c>
      <c r="I44" s="3842">
        <v>2024</v>
      </c>
      <c r="J44" s="3838" t="s">
        <v>3</v>
      </c>
      <c r="K44" s="3850" t="s">
        <v>444</v>
      </c>
      <c r="N44" s="1996"/>
    </row>
    <row r="45" spans="1:17" ht="19.5" customHeight="1">
      <c r="A45" s="506" t="s">
        <v>4</v>
      </c>
      <c r="B45" s="3836"/>
      <c r="C45" s="3823"/>
      <c r="D45" s="3824"/>
      <c r="E45" s="3824"/>
      <c r="F45" s="3824"/>
      <c r="G45" s="3825"/>
      <c r="H45" s="3845"/>
      <c r="I45" s="3842"/>
      <c r="J45" s="3839"/>
      <c r="K45" s="3851"/>
      <c r="L45" s="820"/>
      <c r="M45" s="498"/>
      <c r="N45" s="1996"/>
    </row>
    <row r="46" spans="1:17" ht="24" customHeight="1" thickBot="1">
      <c r="A46" s="506"/>
      <c r="B46" s="507" t="s">
        <v>517</v>
      </c>
      <c r="C46" s="508" t="s">
        <v>163</v>
      </c>
      <c r="D46" s="508" t="s">
        <v>164</v>
      </c>
      <c r="E46" s="508" t="s">
        <v>202</v>
      </c>
      <c r="F46" s="508" t="s">
        <v>203</v>
      </c>
      <c r="G46" s="1997" t="s">
        <v>201</v>
      </c>
      <c r="H46" s="508" t="s">
        <v>5</v>
      </c>
      <c r="I46" s="3843"/>
      <c r="J46" s="3840"/>
      <c r="K46" s="3851"/>
      <c r="L46" s="820"/>
      <c r="M46" s="498"/>
      <c r="N46" s="1996"/>
    </row>
    <row r="47" spans="1:17" ht="13.5" customHeight="1" thickBot="1">
      <c r="A47" s="510">
        <v>1</v>
      </c>
      <c r="B47" s="511">
        <v>2</v>
      </c>
      <c r="C47" s="512">
        <v>3</v>
      </c>
      <c r="D47" s="513">
        <v>4</v>
      </c>
      <c r="E47" s="514">
        <v>5</v>
      </c>
      <c r="F47" s="511">
        <v>6</v>
      </c>
      <c r="G47" s="514">
        <v>7</v>
      </c>
      <c r="H47" s="511">
        <v>8</v>
      </c>
      <c r="I47" s="1844"/>
      <c r="J47" s="981">
        <v>9</v>
      </c>
      <c r="K47" s="515">
        <v>10</v>
      </c>
      <c r="L47" s="820"/>
      <c r="M47" s="498"/>
      <c r="N47" s="1996"/>
    </row>
    <row r="48" spans="1:17" ht="18.75" customHeight="1">
      <c r="A48" s="516" t="s">
        <v>6</v>
      </c>
      <c r="B48" s="517">
        <f>+B49+B50</f>
        <v>787102646</v>
      </c>
      <c r="C48" s="517">
        <f t="shared" ref="C48:I48" si="16">+C49+C50</f>
        <v>247397064</v>
      </c>
      <c r="D48" s="517">
        <f t="shared" si="16"/>
        <v>252519203</v>
      </c>
      <c r="E48" s="517">
        <f t="shared" si="16"/>
        <v>139624023</v>
      </c>
      <c r="F48" s="517">
        <f t="shared" si="16"/>
        <v>47035763</v>
      </c>
      <c r="G48" s="517">
        <f t="shared" si="16"/>
        <v>10209694</v>
      </c>
      <c r="H48" s="517">
        <f t="shared" ref="H48" si="17">+H49+H50</f>
        <v>83899</v>
      </c>
      <c r="I48" s="517">
        <f t="shared" si="16"/>
        <v>0</v>
      </c>
      <c r="J48" s="995">
        <f>+J49+J50</f>
        <v>1517608617</v>
      </c>
      <c r="K48" s="518">
        <f>+K49+K50</f>
        <v>730505971</v>
      </c>
      <c r="L48" s="1752">
        <f>+K52-K48</f>
        <v>0</v>
      </c>
      <c r="M48" s="240">
        <f>+I48+H48+C48+D48+E48+F48+G48+B48+'Tab. 6C - Ochrona zdrowia'!O87+'Tab. 6C - Ochrona zdrowia'!O92</f>
        <v>1517608617</v>
      </c>
      <c r="N48" s="1999">
        <f>J48-M48</f>
        <v>0</v>
      </c>
      <c r="O48" s="240">
        <f>576868407+210234239</f>
        <v>787102646</v>
      </c>
      <c r="P48" s="1676">
        <f t="shared" ref="P48:P71" si="18">O48-B48</f>
        <v>0</v>
      </c>
      <c r="Q48" s="1676"/>
    </row>
    <row r="49" spans="1:17" s="519" customFormat="1" ht="15" customHeight="1">
      <c r="A49" s="520" t="s">
        <v>276</v>
      </c>
      <c r="B49" s="521">
        <f>'Tab. 6A -Drogi'!E526+'Tab. 6C - Ochrona zdrowia'!E47+'Tab. 6D - Oświata'!E103+'Tab. 6E - Administracja'!E240+'Tab. 6F - Kultura'!E7+'Tab. 6G - Roln i ochrona środ.'!E105+'Tab. 6H - Kultura fiz. i turyst'!E330+'Tab.6I - Planow. przestrz.'!E116+'Tab. 6D - Oświata'!E87+'Tab. 6B Polit społ i rozwój prz'!E380</f>
        <v>657541462</v>
      </c>
      <c r="C49" s="521">
        <f>'Tab. 6A -Drogi'!F526+'Tab. 6C - Ochrona zdrowia'!F47+'Tab. 6D - Oświata'!F103+'Tab. 6E - Administracja'!F240+'Tab. 6F - Kultura'!F7+'Tab. 6G - Roln i ochrona środ.'!F105+'Tab. 6H - Kultura fiz. i turyst'!F330+'Tab.6I - Planow. przestrz.'!F116+'Tab. 6D - Oświata'!F87+'Tab. 6B Polit społ i rozwój prz'!F380</f>
        <v>177833526</v>
      </c>
      <c r="D49" s="521">
        <f>'Tab. 6A -Drogi'!G526+'Tab. 6C - Ochrona zdrowia'!G47+'Tab. 6D - Oświata'!G103+'Tab. 6E - Administracja'!G240+'Tab. 6F - Kultura'!G7+'Tab. 6G - Roln i ochrona środ.'!G105+'Tab. 6H - Kultura fiz. i turyst'!G330+'Tab.6I - Planow. przestrz.'!G116+'Tab. 6D - Oświata'!G87+'Tab. 6B Polit społ i rozwój prz'!G380</f>
        <v>170497294</v>
      </c>
      <c r="E49" s="521">
        <f>'Tab. 6A -Drogi'!H526+'Tab. 6C - Ochrona zdrowia'!H47+'Tab. 6D - Oświata'!H103+'Tab. 6E - Administracja'!H240+'Tab. 6F - Kultura'!H7+'Tab. 6G - Roln i ochrona środ.'!H105+'Tab. 6H - Kultura fiz. i turyst'!H330+'Tab.6I - Planow. przestrz.'!H116+'Tab. 6D - Oświata'!H87+'Tab. 6B Polit społ i rozwój prz'!H380</f>
        <v>74965377</v>
      </c>
      <c r="F49" s="521">
        <f>'Tab. 6A -Drogi'!I526+'Tab. 6C - Ochrona zdrowia'!I47+'Tab. 6D - Oświata'!I103+'Tab. 6E - Administracja'!I240+'Tab. 6F - Kultura'!I7+'Tab. 6G - Roln i ochrona środ.'!I105+'Tab. 6H - Kultura fiz. i turyst'!I330+'Tab.6I - Planow. przestrz.'!I116+'Tab. 6D - Oświata'!I87+'Tab. 6B Polit społ i rozwój prz'!I380</f>
        <v>34566038</v>
      </c>
      <c r="G49" s="521">
        <f>'Tab. 6A -Drogi'!J526+'Tab. 6C - Ochrona zdrowia'!J47+'Tab. 6D - Oświata'!J103+'Tab. 6E - Administracja'!J240+'Tab. 6F - Kultura'!J7+'Tab. 6G - Roln i ochrona środ.'!J105+'Tab. 6H - Kultura fiz. i turyst'!J330+'Tab.6I - Planow. przestrz.'!J116+'Tab. 6D - Oświata'!J87+'Tab. 6B Polit społ i rozwój prz'!J380</f>
        <v>10209694</v>
      </c>
      <c r="H49" s="521">
        <f>'Tab. 6A -Drogi'!K526+'Tab. 6C - Ochrona zdrowia'!K47+'Tab. 6D - Oświata'!K103+'Tab. 6E - Administracja'!K240+'Tab. 6F - Kultura'!K7+'Tab. 6G - Roln i ochrona środ.'!K105+'Tab. 6H - Kultura fiz. i turyst'!K330+'Tab.6I - Planow. przestrz.'!K116+'Tab. 6D - Oświata'!K87+'Tab. 6B Polit społ i rozwój prz'!K380</f>
        <v>83899</v>
      </c>
      <c r="I49" s="521">
        <f>'Tab. 6A -Drogi'!L526+'Tab. 6C - Ochrona zdrowia'!L47+'Tab. 6D - Oświata'!L103+'Tab. 6E - Administracja'!L240+'Tab. 6F - Kultura'!L7+'Tab. 6G - Roln i ochrona środ.'!L105+'Tab. 6H - Kultura fiz. i turyst'!L330+'Tab.6I - Planow. przestrz.'!L116+'Tab. 6D - Oświata'!L87</f>
        <v>0</v>
      </c>
      <c r="J49" s="996">
        <f>'Tab. 6A -Drogi'!D526+'Tab. 6C - Ochrona zdrowia'!D47+'Tab. 6D - Oświata'!D103+'Tab. 6E - Administracja'!D240+'Tab. 6F - Kultura'!D7+'Tab. 6G - Roln i ochrona środ.'!D105+'Tab. 6H - Kultura fiz. i turyst'!D330+'Tab.6I - Planow. przestrz.'!D116+'Tab. 6D - Oświata'!D87+'Tab. 6B Polit społ i rozwój prz'!D380</f>
        <v>1159333615</v>
      </c>
      <c r="K49" s="657">
        <f>SUM(C49:I49)+'Tab. 6C - Ochrona zdrowia'!O87+'Tab. 6C - Ochrona zdrowia'!O92</f>
        <v>501792153</v>
      </c>
      <c r="L49" s="1845">
        <f>J49-B49-I49-H49-C49-D49-E49-F49-G49-L74</f>
        <v>0</v>
      </c>
      <c r="M49" s="240">
        <f>+I49+H49+C49+D49+E49+F49+G49+B49+'Tab. 6C - Ochrona zdrowia'!O87+'Tab. 6C - Ochrona zdrowia'!O92</f>
        <v>1159333615</v>
      </c>
      <c r="N49" s="1999">
        <f>J49-M49</f>
        <v>0</v>
      </c>
      <c r="O49" s="240">
        <f>500939759+156601703</f>
        <v>657541462</v>
      </c>
      <c r="P49" s="1676">
        <f t="shared" si="18"/>
        <v>0</v>
      </c>
      <c r="Q49" s="1676"/>
    </row>
    <row r="50" spans="1:17" ht="14.25" customHeight="1" thickBot="1">
      <c r="A50" s="550" t="s">
        <v>28</v>
      </c>
      <c r="B50" s="2023">
        <f>'Tab. 6A -Drogi'!E527+'Tab. 6C - Ochrona zdrowia'!E48+'Tab. 6D - Oświata'!E104+'Tab. 6E - Administracja'!E241+'Tab. 6F - Kultura'!E8+'Tab. 6G - Roln i ochrona środ.'!E106+'Tab. 6D - Oświata'!E88</f>
        <v>129561184</v>
      </c>
      <c r="C50" s="2023">
        <f>'Tab. 6A -Drogi'!F527+'Tab. 6C - Ochrona zdrowia'!F48+'Tab. 6D - Oświata'!F104+'Tab. 6E - Administracja'!F241+'Tab. 6F - Kultura'!F8+'Tab. 6G - Roln i ochrona środ.'!F106+'Tab. 6D - Oświata'!F92</f>
        <v>69563538</v>
      </c>
      <c r="D50" s="2023">
        <f>'Tab. 6A -Drogi'!G527+'Tab. 6C - Ochrona zdrowia'!G48+'Tab. 6D - Oświata'!G104+'Tab. 6E - Administracja'!G241+'Tab. 6F - Kultura'!G8+'Tab. 6G - Roln i ochrona środ.'!G106+'Tab. 6D - Oświata'!G92</f>
        <v>82021909</v>
      </c>
      <c r="E50" s="2023">
        <f>'Tab. 6A -Drogi'!H527+'Tab. 6C - Ochrona zdrowia'!H48+'Tab. 6D - Oświata'!H104+'Tab. 6E - Administracja'!H241+'Tab. 6F - Kultura'!H8+'Tab. 6G - Roln i ochrona środ.'!H106+'Tab. 6D - Oświata'!H88</f>
        <v>64658646</v>
      </c>
      <c r="F50" s="2023">
        <f>'Tab. 6A -Drogi'!I527+'Tab. 6C - Ochrona zdrowia'!I48+'Tab. 6D - Oświata'!I104+'Tab. 6E - Administracja'!I241+'Tab. 6F - Kultura'!I8+'Tab. 6G - Roln i ochrona środ.'!I106+'Tab. 6D - Oświata'!I88</f>
        <v>12469725</v>
      </c>
      <c r="G50" s="2706">
        <f>'Tab. 6A -Drogi'!J527+'Tab. 6C - Ochrona zdrowia'!J48+'Tab. 6D - Oświata'!J104+'Tab. 6E - Administracja'!J241+'Tab. 6F - Kultura'!J8+'Tab. 6G - Roln i ochrona środ.'!J106+'Tab. 6D - Oświata'!J88</f>
        <v>0</v>
      </c>
      <c r="H50" s="2023">
        <f>'Tab. 6A -Drogi'!K527+'Tab. 6C - Ochrona zdrowia'!K48+'Tab. 6D - Oświata'!K104+'Tab. 6E - Administracja'!K241+'Tab. 6F - Kultura'!K8+'Tab. 6G - Roln i ochrona środ.'!K106+'Tab. 6D - Oświata'!K88</f>
        <v>0</v>
      </c>
      <c r="I50" s="2023">
        <f>'Tab. 6A -Drogi'!L527+'Tab. 6C - Ochrona zdrowia'!L48+'Tab. 6D - Oświata'!L104+'Tab. 6E - Administracja'!L241+'Tab. 6F - Kultura'!L8+'Tab. 6G - Roln i ochrona środ.'!L106</f>
        <v>0</v>
      </c>
      <c r="J50" s="997">
        <f>'Tab. 6A -Drogi'!D527+'Tab. 6C - Ochrona zdrowia'!D48+'Tab. 6D - Oświata'!D104+'Tab. 6E - Administracja'!D241+'Tab. 6F - Kultura'!D8+'Tab. 6G - Roln i ochrona środ.'!D106+'Tab. 6D - Oświata'!D88</f>
        <v>358275002</v>
      </c>
      <c r="K50" s="658">
        <f>SUM(C50:G50)</f>
        <v>228713818</v>
      </c>
      <c r="L50" s="1845">
        <f>J50-B50-I50-H50-C50-D50-E50-F50-G50</f>
        <v>0</v>
      </c>
      <c r="M50" s="240">
        <f>+I50+H50+C50+D50+E50+F50+G50+B50</f>
        <v>358275002</v>
      </c>
      <c r="N50" s="1999">
        <f>J50-M50</f>
        <v>0</v>
      </c>
      <c r="O50" s="240">
        <f>75928648+53632536</f>
        <v>129561184</v>
      </c>
      <c r="P50" s="1676">
        <f t="shared" si="18"/>
        <v>0</v>
      </c>
      <c r="Q50" s="1676"/>
    </row>
    <row r="51" spans="1:17" s="241" customFormat="1" ht="4.5" customHeight="1">
      <c r="A51" s="525"/>
      <c r="B51" s="526"/>
      <c r="C51" s="526"/>
      <c r="D51" s="526"/>
      <c r="E51" s="526"/>
      <c r="F51" s="526"/>
      <c r="G51" s="526"/>
      <c r="H51" s="540"/>
      <c r="I51" s="526"/>
      <c r="J51" s="541"/>
      <c r="K51" s="1001"/>
      <c r="L51" s="538"/>
      <c r="M51" s="240"/>
      <c r="N51" s="1999"/>
      <c r="O51" s="240"/>
      <c r="P51" s="1676"/>
      <c r="Q51" s="1676"/>
    </row>
    <row r="52" spans="1:17" s="536" customFormat="1" ht="18" customHeight="1">
      <c r="A52" s="2000" t="s">
        <v>9</v>
      </c>
      <c r="B52" s="2001">
        <f t="shared" ref="B52:J52" si="19">+B53+B61</f>
        <v>795783067.63999999</v>
      </c>
      <c r="C52" s="2001">
        <f t="shared" si="19"/>
        <v>287257736</v>
      </c>
      <c r="D52" s="2001">
        <f t="shared" si="19"/>
        <v>331760197</v>
      </c>
      <c r="E52" s="2001">
        <f t="shared" si="19"/>
        <v>170075157</v>
      </c>
      <c r="F52" s="2001">
        <f t="shared" si="19"/>
        <v>49320314</v>
      </c>
      <c r="G52" s="2001">
        <f t="shared" si="19"/>
        <v>10209694</v>
      </c>
      <c r="H52" s="2001">
        <f>+H53+H61</f>
        <v>83899</v>
      </c>
      <c r="I52" s="2001">
        <f t="shared" ref="I52" si="20">+I53+I61</f>
        <v>0</v>
      </c>
      <c r="J52" s="985">
        <f t="shared" si="19"/>
        <v>1678126389.6400001</v>
      </c>
      <c r="K52" s="2002">
        <f>+K53</f>
        <v>730505971</v>
      </c>
      <c r="L52" s="545"/>
      <c r="M52" s="240">
        <f>+I52+H52+C52+D52+E52+F52+G52+B52+'Tab. 6C - Ochrona zdrowia'!O87+'Tab. 6C - Ochrona zdrowia'!O92</f>
        <v>1678126389.6399999</v>
      </c>
      <c r="N52" s="1999">
        <f>J52-M52</f>
        <v>0</v>
      </c>
      <c r="O52" s="240">
        <f>580558166+214919730</f>
        <v>795477896</v>
      </c>
      <c r="P52" s="1676">
        <f t="shared" si="18"/>
        <v>-305171.63999998569</v>
      </c>
      <c r="Q52" s="1676"/>
    </row>
    <row r="53" spans="1:17" s="531" customFormat="1" ht="18" customHeight="1">
      <c r="A53" s="528" t="s">
        <v>10</v>
      </c>
      <c r="B53" s="551">
        <f>SUM(B54:B60)</f>
        <v>794689071.63999999</v>
      </c>
      <c r="C53" s="551">
        <f>SUM(C54:C60)</f>
        <v>251886292</v>
      </c>
      <c r="D53" s="551">
        <f t="shared" ref="D53:J53" si="21">SUM(D54:D60)</f>
        <v>252533203</v>
      </c>
      <c r="E53" s="551">
        <f t="shared" si="21"/>
        <v>139624023</v>
      </c>
      <c r="F53" s="551">
        <f t="shared" si="21"/>
        <v>47035763</v>
      </c>
      <c r="G53" s="551">
        <f t="shared" si="21"/>
        <v>10209694</v>
      </c>
      <c r="H53" s="551">
        <f t="shared" si="21"/>
        <v>83899</v>
      </c>
      <c r="I53" s="551">
        <f t="shared" si="21"/>
        <v>0</v>
      </c>
      <c r="J53" s="551">
        <f t="shared" si="21"/>
        <v>1529698270.6400001</v>
      </c>
      <c r="K53" s="1002">
        <f>SUM(K54:K59)</f>
        <v>730505971</v>
      </c>
      <c r="L53" s="538"/>
      <c r="M53" s="240">
        <f>+I53+H53+C53+D53+E53+F53+G53+B53+'Tab. 6C - Ochrona zdrowia'!O87+'Tab. 6C - Ochrona zdrowia'!O92</f>
        <v>1529698270.6399999</v>
      </c>
      <c r="N53" s="1999">
        <f t="shared" ref="N53:N62" si="22">J53-M53</f>
        <v>0</v>
      </c>
      <c r="O53" s="240">
        <f>580008616+214375284</f>
        <v>794383900</v>
      </c>
      <c r="P53" s="1676">
        <f>O53-B53</f>
        <v>-305171.63999998569</v>
      </c>
      <c r="Q53" s="1676"/>
    </row>
    <row r="54" spans="1:17" s="241" customFormat="1" ht="16.5" customHeight="1">
      <c r="A54" s="532" t="s">
        <v>11</v>
      </c>
      <c r="B54" s="243">
        <f>+'Tab. 6D - Oświata'!E109+'Tab. 6A -Drogi'!E530+'Tab. 6E - Administracja'!E244+'Tab. 6C - Ochrona zdrowia'!E51+'Tab.6I - Planow. przestrz.'!E120+'Tab. 6G - Roln i ochrona środ.'!E109+'Tab. 6H - Kultura fiz. i turyst'!E334+'Tab. 6D - Oświata'!E96+'Tab. 6B Polit społ i rozwój prz'!E384</f>
        <v>669749804</v>
      </c>
      <c r="C54" s="243">
        <f>+'Tab. 6D - Oświata'!F109+'Tab. 6A -Drogi'!F530+'Tab. 6E - Administracja'!F244+'Tab. 6C - Ochrona zdrowia'!F51+'Tab.6I - Planow. przestrz.'!F120+'Tab. 6G - Roln i ochrona środ.'!F109+'Tab. 6H - Kultura fiz. i turyst'!F334+'Tab. 6D - Oświata'!F96+'Tab. 6B Polit społ i rozwój prz'!F384</f>
        <v>197919854</v>
      </c>
      <c r="D54" s="243">
        <f>+'Tab. 6D - Oświata'!G109+'Tab. 6A -Drogi'!G530+'Tab. 6E - Administracja'!G244+'Tab. 6C - Ochrona zdrowia'!G51+'Tab.6I - Planow. przestrz.'!G120+'Tab. 6G - Roln i ochrona środ.'!G109+'Tab. 6H - Kultura fiz. i turyst'!G334+'Tab. 6D - Oświata'!G96+'Tab. 6B Polit społ i rozwój prz'!G384</f>
        <v>196488876</v>
      </c>
      <c r="E54" s="243">
        <f>+'Tab. 6D - Oświata'!H109+'Tab. 6A -Drogi'!H530+'Tab. 6E - Administracja'!H244+'Tab. 6C - Ochrona zdrowia'!H51+'Tab.6I - Planow. przestrz.'!H120+'Tab. 6G - Roln i ochrona środ.'!H109+'Tab. 6H - Kultura fiz. i turyst'!H334+'Tab. 6D - Oświata'!H96+'Tab. 6B Polit społ i rozwój prz'!H384</f>
        <v>78099656</v>
      </c>
      <c r="F54" s="243">
        <f>+'Tab. 6D - Oświata'!I109+'Tab. 6A -Drogi'!I530+'Tab. 6E - Administracja'!I244+'Tab. 6C - Ochrona zdrowia'!I51+'Tab.6I - Planow. przestrz.'!I120+'Tab. 6G - Roln i ochrona środ.'!I109+'Tab. 6H - Kultura fiz. i turyst'!I334+'Tab. 6D - Oświata'!I96+'Tab. 6B Polit społ i rozwój prz'!I384</f>
        <v>31761038</v>
      </c>
      <c r="G54" s="243">
        <f>+'Tab. 6D - Oświata'!J109+'Tab. 6A -Drogi'!J530+'Tab. 6E - Administracja'!J244+'Tab. 6C - Ochrona zdrowia'!J51+'Tab.6I - Planow. przestrz.'!J120+'Tab. 6G - Roln i ochrona środ.'!J109+'Tab. 6H - Kultura fiz. i turyst'!J334+'Tab. 6D - Oświata'!J96+'Tab. 6B Polit społ i rozwój prz'!J384</f>
        <v>10209694</v>
      </c>
      <c r="H54" s="243">
        <f>+'Tab. 6D - Oświata'!K109+'Tab. 6A -Drogi'!K530+'Tab. 6E - Administracja'!K244+'Tab. 6C - Ochrona zdrowia'!K51+'Tab.6I - Planow. przestrz.'!K120+'Tab. 6G - Roln i ochrona środ.'!K109+'Tab. 6H - Kultura fiz. i turyst'!K334+'Tab. 6D - Oświata'!K96+'Tab. 6B Polit społ i rozwój prz'!K384</f>
        <v>83899</v>
      </c>
      <c r="I54" s="243">
        <f>+'Tab. 6D - Oświata'!L109+'Tab. 6A -Drogi'!L530+'Tab. 6E - Administracja'!L244+'Tab. 6C - Ochrona zdrowia'!L51+'Tab.6I - Planow. przestrz.'!L120+'Tab. 6G - Roln i ochrona środ.'!L109+'Tab. 6H - Kultura fiz. i turyst'!L334+'Tab. 6D - Oświata'!L96</f>
        <v>0</v>
      </c>
      <c r="J54" s="987">
        <f>B54+I54+H54+C54+D54+E54+F54+G54+'Tab. 6C - Ochrona zdrowia'!O87+'Tab. 6C - Ochrona zdrowia'!O92</f>
        <v>1217949146</v>
      </c>
      <c r="K54" s="1850">
        <f>SUM(C54:I54)+'Tab. 6C - Ochrona zdrowia'!O87+'Tab. 6C - Ochrona zdrowia'!O92</f>
        <v>548199342</v>
      </c>
      <c r="L54" s="156"/>
      <c r="M54" s="240">
        <f>+I54+H54+C54+D54+E54+F54+G54+B54+'Tab. 6C - Ochrona zdrowia'!O87+'Tab. 6C - Ochrona zdrowia'!O92</f>
        <v>1217949146</v>
      </c>
      <c r="N54" s="1999">
        <f t="shared" si="22"/>
        <v>0</v>
      </c>
      <c r="O54" s="240">
        <f>518668716+151081088</f>
        <v>669749804</v>
      </c>
      <c r="P54" s="1676">
        <f t="shared" si="18"/>
        <v>0</v>
      </c>
      <c r="Q54" s="1676"/>
    </row>
    <row r="55" spans="1:17" s="241" customFormat="1" ht="15.75" customHeight="1">
      <c r="A55" s="2003" t="s">
        <v>15</v>
      </c>
      <c r="B55" s="243">
        <f>+'Tab. 6A -Drogi'!E533+'Tab. 6G - Roln i ochrona środ.'!E112</f>
        <v>26490825</v>
      </c>
      <c r="C55" s="243">
        <f>+'Tab. 6A -Drogi'!F533+'Tab. 6G - Roln i ochrona środ.'!F112</f>
        <v>26186043</v>
      </c>
      <c r="D55" s="243">
        <f>+'Tab. 6A -Drogi'!G533+'Tab. 6G - Roln i ochrona środ.'!G112</f>
        <v>9992333</v>
      </c>
      <c r="E55" s="2707">
        <f>+'Tab. 6A -Drogi'!H533+'Tab. 6G - Roln i ochrona środ.'!H112</f>
        <v>0</v>
      </c>
      <c r="F55" s="2707">
        <f>+'Tab. 6A -Drogi'!I533+'Tab. 6G - Roln i ochrona środ.'!I112</f>
        <v>0</v>
      </c>
      <c r="G55" s="2707">
        <f>+'Tab. 6A -Drogi'!J533+'Tab. 6G - Roln i ochrona środ.'!J112</f>
        <v>0</v>
      </c>
      <c r="H55" s="243">
        <f>+'Tab. 6A -Drogi'!K533+'Tab. 6G - Roln i ochrona środ.'!K112+'Tab. 6H - Kultura fiz. i turyst'!K335</f>
        <v>0</v>
      </c>
      <c r="I55" s="243">
        <f>+'Tab. 6A -Drogi'!L533+'Tab. 6G - Roln i ochrona środ.'!L112+'Tab. 6H - Kultura fiz. i turyst'!L335</f>
        <v>0</v>
      </c>
      <c r="J55" s="987">
        <f t="shared" ref="J55:J60" si="23">B55+I55+H55+C55+D55+E55+F55+G55</f>
        <v>62669201</v>
      </c>
      <c r="K55" s="522">
        <f>SUM(C55:G55)</f>
        <v>36178376</v>
      </c>
      <c r="L55" s="156"/>
      <c r="M55" s="240">
        <f t="shared" ref="M55:M62" si="24">+I55+H55+C55+D55+E55+F55+G55+B55</f>
        <v>62669201</v>
      </c>
      <c r="N55" s="1999">
        <f t="shared" si="22"/>
        <v>0</v>
      </c>
      <c r="O55" s="240">
        <f>10003578+16487247</f>
        <v>26490825</v>
      </c>
      <c r="P55" s="1676">
        <f t="shared" si="18"/>
        <v>0</v>
      </c>
      <c r="Q55" s="1676"/>
    </row>
    <row r="56" spans="1:17" s="241" customFormat="1" ht="15.75" customHeight="1">
      <c r="A56" s="2003" t="s">
        <v>29</v>
      </c>
      <c r="B56" s="243">
        <f>+'Tab. 6F - Kultura'!E11+'Tab. 6C - Ochrona zdrowia'!E52</f>
        <v>7436807.6399999997</v>
      </c>
      <c r="C56" s="243">
        <f>+'Tab. 6F - Kultura'!F11+'Tab. 6C - Ochrona zdrowia'!F52</f>
        <v>3906263</v>
      </c>
      <c r="D56" s="243">
        <f>+'Tab. 6F - Kultura'!G11+'Tab. 6C - Ochrona zdrowia'!G52</f>
        <v>14000</v>
      </c>
      <c r="E56" s="242">
        <f>+'Tab. 6F - Kultura'!H11+'Tab. 6C - Ochrona zdrowia'!H52</f>
        <v>0</v>
      </c>
      <c r="F56" s="242">
        <f>+'Tab. 6F - Kultura'!I11+'Tab. 6C - Ochrona zdrowia'!I52</f>
        <v>0</v>
      </c>
      <c r="G56" s="242">
        <f>+'Tab. 6F - Kultura'!J11+'Tab. 6C - Ochrona zdrowia'!J52+'Tab. 6H - Kultura fiz. i turyst'!J12</f>
        <v>0</v>
      </c>
      <c r="H56" s="243">
        <f>+'Tab. 6F - Kultura'!K11+'Tab. 6C - Ochrona zdrowia'!K52</f>
        <v>0</v>
      </c>
      <c r="I56" s="243">
        <f>+'Tab. 6F - Kultura'!L11+'Tab. 6C - Ochrona zdrowia'!L52</f>
        <v>0</v>
      </c>
      <c r="J56" s="987">
        <f t="shared" si="23"/>
        <v>11357070.640000001</v>
      </c>
      <c r="K56" s="826" t="s">
        <v>51</v>
      </c>
      <c r="L56" s="538"/>
      <c r="M56" s="240">
        <f t="shared" si="24"/>
        <v>11357070.640000001</v>
      </c>
      <c r="N56" s="1999">
        <f t="shared" si="22"/>
        <v>0</v>
      </c>
      <c r="O56" s="240">
        <f>3140209+4141045</f>
        <v>7281254</v>
      </c>
      <c r="P56" s="1676">
        <f t="shared" si="18"/>
        <v>-155553.63999999966</v>
      </c>
    </row>
    <row r="57" spans="1:17" s="241" customFormat="1" ht="15.75" customHeight="1">
      <c r="A57" s="532" t="s">
        <v>30</v>
      </c>
      <c r="B57" s="243">
        <f>+'Tab. 6F - Kultura'!E12+'Tab. 6C - Ochrona zdrowia'!E53+'Tab. 6D - Oświata'!E108+'Tab. 6H - Kultura fiz. i turyst'!E343+'Tab. 6D - Oświata'!E92</f>
        <v>28197404</v>
      </c>
      <c r="C57" s="243">
        <f>+'Tab. 6F - Kultura'!F12+'Tab. 6C - Ochrona zdrowia'!F53+'Tab. 6D - Oświata'!F108+'Tab. 6H - Kultura fiz. i turyst'!F343+'Tab. 6D - Oświata'!F92</f>
        <v>19199997</v>
      </c>
      <c r="D57" s="243">
        <f>+'Tab. 6F - Kultura'!G12+'Tab. 6C - Ochrona zdrowia'!G53+'Tab. 6D - Oświata'!G108+'Tab. 6H - Kultura fiz. i turyst'!G343+'Tab. 6D - Oświata'!G92</f>
        <v>46037994</v>
      </c>
      <c r="E57" s="243">
        <f>+'Tab. 6F - Kultura'!H12+'Tab. 6C - Ochrona zdrowia'!H53+'Tab. 6D - Oświata'!H108+'Tab. 6H - Kultura fiz. i turyst'!H343+'Tab. 6D - Oświata'!H92</f>
        <v>61524367</v>
      </c>
      <c r="F57" s="243">
        <f>+'Tab. 6F - Kultura'!I12+'Tab. 6C - Ochrona zdrowia'!I53+'Tab. 6D - Oświata'!I108+'Tab. 6H - Kultura fiz. i turyst'!I343+'Tab. 6D - Oświata'!I92</f>
        <v>15274725</v>
      </c>
      <c r="G57" s="242">
        <f>+'Tab. 6F - Kultura'!J12+'Tab. 6C - Ochrona zdrowia'!J53+'Tab. 6D - Oświata'!J108+'Tab. 6H - Kultura fiz. i turyst'!J343+'Tab. 6D - Oświata'!J92</f>
        <v>0</v>
      </c>
      <c r="H57" s="242">
        <f>+'Tab. 6F - Kultura'!K12+'Tab. 6C - Ochrona zdrowia'!K53+'Tab. 6D - Oświata'!K108+'Tab. 6H - Kultura fiz. i turyst'!K343+'Tab. 6D - Oświata'!K92</f>
        <v>0</v>
      </c>
      <c r="I57" s="243">
        <f>+'Tab. 6F - Kultura'!L12+'Tab. 6C - Ochrona zdrowia'!L53+'Tab. 6H - Kultura fiz. i turyst'!L343</f>
        <v>0</v>
      </c>
      <c r="J57" s="987">
        <f t="shared" si="23"/>
        <v>170234487</v>
      </c>
      <c r="K57" s="1850">
        <f>SUM(C57:G57)</f>
        <v>142037083</v>
      </c>
      <c r="L57" s="156"/>
      <c r="M57" s="240">
        <f t="shared" si="24"/>
        <v>170234487</v>
      </c>
      <c r="N57" s="1999">
        <f t="shared" si="22"/>
        <v>0</v>
      </c>
      <c r="O57" s="240">
        <f>16076191+12121213</f>
        <v>28197404</v>
      </c>
      <c r="P57" s="1676">
        <f t="shared" si="18"/>
        <v>0</v>
      </c>
      <c r="Q57" s="1676"/>
    </row>
    <row r="58" spans="1:17" s="241" customFormat="1" ht="15.75" customHeight="1">
      <c r="A58" s="2003" t="s">
        <v>14</v>
      </c>
      <c r="B58" s="243">
        <f>+'Tab. 6A -Drogi'!E532+'Tab. 6C - Ochrona zdrowia'!E56</f>
        <v>13620885</v>
      </c>
      <c r="C58" s="243">
        <f>+'Tab. 6A -Drogi'!F532+'Tab. 6C - Ochrona zdrowia'!F56</f>
        <v>4011170</v>
      </c>
      <c r="D58" s="242">
        <f>+'Tab. 6A -Drogi'!G532+'Tab. 6C - Ochrona zdrowia'!G56</f>
        <v>0</v>
      </c>
      <c r="E58" s="242">
        <f>+'Tab. 6A -Drogi'!H532+'Tab. 6C - Ochrona zdrowia'!H56</f>
        <v>0</v>
      </c>
      <c r="F58" s="242">
        <f>+'Tab. 6A -Drogi'!I532+'Tab. 6C - Ochrona zdrowia'!I56</f>
        <v>0</v>
      </c>
      <c r="G58" s="242">
        <f>+'Tab. 6A -Drogi'!J532+'Tab. 6C - Ochrona zdrowia'!J56</f>
        <v>0</v>
      </c>
      <c r="H58" s="243">
        <f>+'Tab. 6A -Drogi'!K532+'Tab. 6C - Ochrona zdrowia'!K56</f>
        <v>0</v>
      </c>
      <c r="I58" s="243">
        <f>+'Tab. 6A -Drogi'!L532+'Tab. 6C - Ochrona zdrowia'!L56</f>
        <v>0</v>
      </c>
      <c r="J58" s="987">
        <f t="shared" si="23"/>
        <v>17632055</v>
      </c>
      <c r="K58" s="522">
        <f>SUM(C58:G58)</f>
        <v>4011170</v>
      </c>
      <c r="L58" s="156"/>
      <c r="M58" s="240">
        <f t="shared" si="24"/>
        <v>17632055</v>
      </c>
      <c r="N58" s="1999">
        <f t="shared" si="22"/>
        <v>0</v>
      </c>
      <c r="O58" s="240">
        <f>8693931+4926954</f>
        <v>13620885</v>
      </c>
      <c r="P58" s="1676">
        <f t="shared" si="18"/>
        <v>0</v>
      </c>
      <c r="Q58" s="1676"/>
    </row>
    <row r="59" spans="1:17" s="241" customFormat="1" ht="24.75" customHeight="1">
      <c r="A59" s="2003" t="s">
        <v>539</v>
      </c>
      <c r="B59" s="243">
        <f>+'Tab. 6A -Drogi'!E531+'Tab. 6C - Ochrona zdrowia'!E54+'Tab. 6G - Roln i ochrona środ.'!E121</f>
        <v>49043728</v>
      </c>
      <c r="C59" s="243">
        <f>+'Tab. 6A -Drogi'!F531+'Tab. 6C - Ochrona zdrowia'!F54+'Tab. 6G - Roln i ochrona środ.'!F121</f>
        <v>80000</v>
      </c>
      <c r="D59" s="242">
        <f>+'Tab. 6A -Drogi'!G531+'Tab. 6C - Ochrona zdrowia'!G54</f>
        <v>0</v>
      </c>
      <c r="E59" s="242">
        <f>+'Tab. 6A -Drogi'!H531+'Tab. 6C - Ochrona zdrowia'!H54</f>
        <v>0</v>
      </c>
      <c r="F59" s="242">
        <f>+'Tab. 6A -Drogi'!I531+'Tab. 6C - Ochrona zdrowia'!I54</f>
        <v>0</v>
      </c>
      <c r="G59" s="242">
        <f>+'Tab. 6A -Drogi'!J531+'Tab. 6C - Ochrona zdrowia'!J54</f>
        <v>0</v>
      </c>
      <c r="H59" s="243">
        <f>+'Tab. 6A -Drogi'!K531+'Tab. 6C - Ochrona zdrowia'!K54</f>
        <v>0</v>
      </c>
      <c r="I59" s="243">
        <f>+'Tab. 6A -Drogi'!L531+'Tab. 6C - Ochrona zdrowia'!L54</f>
        <v>0</v>
      </c>
      <c r="J59" s="987">
        <f t="shared" si="23"/>
        <v>49123728</v>
      </c>
      <c r="K59" s="522">
        <f>SUM(C59:G59)</f>
        <v>80000</v>
      </c>
      <c r="L59" s="156"/>
      <c r="M59" s="240">
        <f t="shared" si="24"/>
        <v>49123728</v>
      </c>
      <c r="N59" s="1999">
        <f t="shared" si="22"/>
        <v>0</v>
      </c>
      <c r="O59" s="240">
        <f>23425991+25617737</f>
        <v>49043728</v>
      </c>
      <c r="P59" s="1676">
        <f t="shared" si="18"/>
        <v>0</v>
      </c>
      <c r="Q59" s="1676"/>
    </row>
    <row r="60" spans="1:17" s="241" customFormat="1" ht="15" customHeight="1">
      <c r="A60" s="532" t="s">
        <v>338</v>
      </c>
      <c r="B60" s="533">
        <f>'Tab. 6F - Kultura'!E13</f>
        <v>149618</v>
      </c>
      <c r="C60" s="533">
        <f>'Tab. 6F - Kultura'!F13</f>
        <v>582965</v>
      </c>
      <c r="D60" s="534">
        <f>'Tab. 6F - Kultura'!G13</f>
        <v>0</v>
      </c>
      <c r="E60" s="534">
        <f>'Tab. 6F - Kultura'!H13</f>
        <v>0</v>
      </c>
      <c r="F60" s="534">
        <f>'Tab. 6F - Kultura'!I13</f>
        <v>0</v>
      </c>
      <c r="G60" s="534">
        <f>'Tab. 6F - Kultura'!J13</f>
        <v>0</v>
      </c>
      <c r="H60" s="533">
        <f>'Tab. 6F - Kultura'!K13</f>
        <v>0</v>
      </c>
      <c r="I60" s="533">
        <f>'Tab. 6F - Kultura'!L13</f>
        <v>0</v>
      </c>
      <c r="J60" s="987">
        <f t="shared" si="23"/>
        <v>732583</v>
      </c>
      <c r="K60" s="826" t="s">
        <v>51</v>
      </c>
      <c r="L60" s="156"/>
      <c r="M60" s="240"/>
      <c r="N60" s="1999"/>
      <c r="O60" s="240"/>
      <c r="P60" s="1676"/>
      <c r="Q60" s="1676"/>
    </row>
    <row r="61" spans="1:17" s="241" customFormat="1" ht="18" customHeight="1">
      <c r="A61" s="239" t="s">
        <v>17</v>
      </c>
      <c r="B61" s="2014">
        <f t="shared" ref="B61:G61" si="25">SUM(B62:B62)</f>
        <v>1093996</v>
      </c>
      <c r="C61" s="2008">
        <f t="shared" si="25"/>
        <v>35371444</v>
      </c>
      <c r="D61" s="2008">
        <f t="shared" si="25"/>
        <v>79226994</v>
      </c>
      <c r="E61" s="2008">
        <f t="shared" si="25"/>
        <v>30451134</v>
      </c>
      <c r="F61" s="2008">
        <f t="shared" si="25"/>
        <v>2284551</v>
      </c>
      <c r="G61" s="2024">
        <f t="shared" si="25"/>
        <v>0</v>
      </c>
      <c r="H61" s="2008">
        <f>SUM(H62:H62)</f>
        <v>0</v>
      </c>
      <c r="I61" s="2008">
        <f>SUM(I62:I62)</f>
        <v>0</v>
      </c>
      <c r="J61" s="988">
        <f>+J62</f>
        <v>148428119</v>
      </c>
      <c r="K61" s="2025" t="s">
        <v>51</v>
      </c>
      <c r="L61" s="538"/>
      <c r="M61" s="240">
        <f t="shared" si="24"/>
        <v>148428119</v>
      </c>
      <c r="N61" s="1999">
        <f t="shared" si="22"/>
        <v>0</v>
      </c>
      <c r="O61" s="240">
        <f>549550+544446</f>
        <v>1093996</v>
      </c>
      <c r="P61" s="1676">
        <f t="shared" si="18"/>
        <v>0</v>
      </c>
    </row>
    <row r="62" spans="1:17" s="241" customFormat="1" ht="16.5" customHeight="1">
      <c r="A62" s="2003" t="s">
        <v>32</v>
      </c>
      <c r="B62" s="243">
        <f>+'Tab. 6D - Oświata'!E111+'Tab. 6F - Kultura'!E15+'Tab. 6C - Ochrona zdrowia'!E58</f>
        <v>1093996</v>
      </c>
      <c r="C62" s="243">
        <f>+'Tab. 6D - Oświata'!F111+'Tab. 6F - Kultura'!F15+'Tab. 6C - Ochrona zdrowia'!F58</f>
        <v>35371444</v>
      </c>
      <c r="D62" s="243">
        <f>+'Tab. 6D - Oświata'!G111+'Tab. 6F - Kultura'!G15+'Tab. 6C - Ochrona zdrowia'!G58</f>
        <v>79226994</v>
      </c>
      <c r="E62" s="243">
        <f>+'Tab. 6D - Oświata'!H111+'Tab. 6F - Kultura'!H15+'Tab. 6C - Ochrona zdrowia'!H58</f>
        <v>30451134</v>
      </c>
      <c r="F62" s="243">
        <f>+'Tab. 6D - Oświata'!I111+'Tab. 6F - Kultura'!I15+'Tab. 6C - Ochrona zdrowia'!I58</f>
        <v>2284551</v>
      </c>
      <c r="G62" s="242">
        <f>+'Tab. 6D - Oświata'!J111+'Tab. 6F - Kultura'!J15+'Tab. 6C - Ochrona zdrowia'!J58</f>
        <v>0</v>
      </c>
      <c r="H62" s="242">
        <f>+'Tab. 6D - Oświata'!K111+'Tab. 6F - Kultura'!K15+'Tab. 6C - Ochrona zdrowia'!K58</f>
        <v>0</v>
      </c>
      <c r="I62" s="243">
        <f>+'Tab. 6F - Kultura'!L15+'Tab. 6C - Ochrona zdrowia'!L58</f>
        <v>0</v>
      </c>
      <c r="J62" s="987">
        <f>B62+I62+H62+C62+D62+E62+F62+G62</f>
        <v>148428119</v>
      </c>
      <c r="K62" s="827" t="s">
        <v>51</v>
      </c>
      <c r="L62" s="538"/>
      <c r="M62" s="240">
        <f t="shared" si="24"/>
        <v>148428119</v>
      </c>
      <c r="N62" s="1999">
        <f t="shared" si="22"/>
        <v>0</v>
      </c>
      <c r="O62" s="240">
        <f>549550+544446</f>
        <v>1093996</v>
      </c>
      <c r="P62" s="1676">
        <f t="shared" si="18"/>
        <v>0</v>
      </c>
    </row>
    <row r="63" spans="1:17" s="527" customFormat="1" ht="18" customHeight="1">
      <c r="A63" s="2000" t="s">
        <v>20</v>
      </c>
      <c r="B63" s="2026">
        <f>+B64+B70</f>
        <v>170990092</v>
      </c>
      <c r="C63" s="2026">
        <f t="shared" ref="C63:J63" si="26">+C64+C70</f>
        <v>84279523</v>
      </c>
      <c r="D63" s="2026">
        <f t="shared" si="26"/>
        <v>128356813</v>
      </c>
      <c r="E63" s="2026">
        <f t="shared" si="26"/>
        <v>48069208</v>
      </c>
      <c r="F63" s="2026">
        <f t="shared" si="26"/>
        <v>4079230</v>
      </c>
      <c r="G63" s="3568">
        <f t="shared" si="26"/>
        <v>0</v>
      </c>
      <c r="H63" s="2026">
        <f>+H64+H70</f>
        <v>0</v>
      </c>
      <c r="I63" s="2027">
        <f>+I64+I70</f>
        <v>0</v>
      </c>
      <c r="J63" s="998">
        <f t="shared" si="26"/>
        <v>435774866</v>
      </c>
      <c r="K63" s="3852" t="s">
        <v>21</v>
      </c>
      <c r="L63" s="545"/>
      <c r="N63" s="2020"/>
      <c r="O63" s="527">
        <f>107114885+63738928</f>
        <v>170853813</v>
      </c>
      <c r="P63" s="1676">
        <f t="shared" si="18"/>
        <v>-136279</v>
      </c>
    </row>
    <row r="64" spans="1:17" s="241" customFormat="1" ht="15" customHeight="1">
      <c r="A64" s="239" t="s">
        <v>22</v>
      </c>
      <c r="B64" s="2014">
        <f>SUM(B65:B69)</f>
        <v>170098269</v>
      </c>
      <c r="C64" s="2014">
        <f>SUM(C65:C69)</f>
        <v>49303718</v>
      </c>
      <c r="D64" s="2014">
        <f t="shared" ref="D64:G64" si="27">SUM(D65:D69)</f>
        <v>48532007</v>
      </c>
      <c r="E64" s="2014">
        <f t="shared" si="27"/>
        <v>17618074</v>
      </c>
      <c r="F64" s="2014">
        <f t="shared" si="27"/>
        <v>1794679</v>
      </c>
      <c r="G64" s="3569">
        <f t="shared" si="27"/>
        <v>0</v>
      </c>
      <c r="H64" s="2014">
        <f>SUM(H65:H68)</f>
        <v>0</v>
      </c>
      <c r="I64" s="2008">
        <f>SUM(I65:I68)</f>
        <v>0</v>
      </c>
      <c r="J64" s="990">
        <f>SUM(J65:J69)</f>
        <v>287346747</v>
      </c>
      <c r="K64" s="3853"/>
      <c r="L64" s="538" t="s">
        <v>188</v>
      </c>
      <c r="N64" s="2015"/>
      <c r="O64" s="241">
        <f>106589985+63372005</f>
        <v>169961990</v>
      </c>
      <c r="P64" s="1676">
        <f t="shared" si="18"/>
        <v>-136279</v>
      </c>
    </row>
    <row r="65" spans="1:17" s="241" customFormat="1" ht="27" customHeight="1">
      <c r="A65" s="2003" t="s">
        <v>538</v>
      </c>
      <c r="B65" s="461">
        <f>+'Tab. 6C - Ochrona zdrowia'!E61+'Tab. 6A -Drogi'!E537+'Tab. 6G - Roln i ochrona środ.'!E125</f>
        <v>49043728</v>
      </c>
      <c r="C65" s="461">
        <f>+'Tab. 6C - Ochrona zdrowia'!F61+'Tab. 6A -Drogi'!F537+'Tab. 6G - Roln i ochrona środ.'!F125</f>
        <v>80000</v>
      </c>
      <c r="D65" s="552">
        <f>+'Tab. 6C - Ochrona zdrowia'!G61+'Tab. 6A -Drogi'!G537</f>
        <v>0</v>
      </c>
      <c r="E65" s="552">
        <f>+'Tab. 6C - Ochrona zdrowia'!H61+'Tab. 6A -Drogi'!H537</f>
        <v>0</v>
      </c>
      <c r="F65" s="552">
        <f>+'Tab. 6C - Ochrona zdrowia'!I61+'Tab. 6A -Drogi'!I537</f>
        <v>0</v>
      </c>
      <c r="G65" s="552">
        <f>+'Tab. 6C - Ochrona zdrowia'!J61+'Tab. 6A -Drogi'!J537</f>
        <v>0</v>
      </c>
      <c r="H65" s="243">
        <f>+'Tab. 6C - Ochrona zdrowia'!K61+'Tab. 6A -Drogi'!K537</f>
        <v>0</v>
      </c>
      <c r="I65" s="125">
        <f>+'Tab. 6C - Ochrona zdrowia'!L61+'Tab. 6A -Drogi'!L537</f>
        <v>0</v>
      </c>
      <c r="J65" s="987">
        <f>B65+I65+H65+C65+D65+E65+F65+G65</f>
        <v>49123728</v>
      </c>
      <c r="K65" s="3853"/>
      <c r="L65" s="538">
        <f>J65-J59</f>
        <v>0</v>
      </c>
      <c r="N65" s="2015"/>
      <c r="O65" s="241">
        <f>23425991+25617737</f>
        <v>49043728</v>
      </c>
      <c r="P65" s="1676">
        <f t="shared" si="18"/>
        <v>0</v>
      </c>
    </row>
    <row r="66" spans="1:17" s="241" customFormat="1" ht="15" customHeight="1">
      <c r="A66" s="2003" t="s">
        <v>14</v>
      </c>
      <c r="B66" s="461">
        <f>+'Tab. 6A -Drogi'!E538+'Tab. 6C - Ochrona zdrowia'!E62</f>
        <v>13620885</v>
      </c>
      <c r="C66" s="125">
        <f>+'Tab. 6A -Drogi'!F538+'Tab. 6C - Ochrona zdrowia'!F62</f>
        <v>4011170</v>
      </c>
      <c r="D66" s="552">
        <f>+'Tab. 6A -Drogi'!G538+'Tab. 6C - Ochrona zdrowia'!G62</f>
        <v>0</v>
      </c>
      <c r="E66" s="552">
        <f>+'Tab. 6A -Drogi'!H538+'Tab. 6C - Ochrona zdrowia'!H62</f>
        <v>0</v>
      </c>
      <c r="F66" s="552">
        <f>+'Tab. 6A -Drogi'!I538+'Tab. 6C - Ochrona zdrowia'!I62</f>
        <v>0</v>
      </c>
      <c r="G66" s="552">
        <f>+'Tab. 6A -Drogi'!J538+'Tab. 6C - Ochrona zdrowia'!J62</f>
        <v>0</v>
      </c>
      <c r="H66" s="125">
        <f>+'Tab. 6A -Drogi'!K538+'Tab. 6C - Ochrona zdrowia'!K62</f>
        <v>0</v>
      </c>
      <c r="I66" s="125">
        <f>+'Tab. 6A -Drogi'!L538+'Tab. 6C - Ochrona zdrowia'!L62</f>
        <v>0</v>
      </c>
      <c r="J66" s="987">
        <f>B66+I66+H66+C66+D66+E66+F66+G66</f>
        <v>17632055</v>
      </c>
      <c r="K66" s="3853"/>
      <c r="L66" s="538">
        <f>J66-J58</f>
        <v>0</v>
      </c>
      <c r="N66" s="2015"/>
      <c r="O66" s="241">
        <f>8693931+4926954</f>
        <v>13620885</v>
      </c>
      <c r="P66" s="1676">
        <f t="shared" si="18"/>
        <v>0</v>
      </c>
    </row>
    <row r="67" spans="1:17" s="241" customFormat="1" ht="15" customHeight="1">
      <c r="A67" s="2003" t="s">
        <v>15</v>
      </c>
      <c r="B67" s="461">
        <f>+'Tab. 6A -Drogi'!E539+'Tab. 6G - Roln i ochrona środ.'!E117</f>
        <v>45610631</v>
      </c>
      <c r="C67" s="461">
        <f>+'Tab. 6A -Drogi'!F539+'Tab. 6G - Roln i ochrona środ.'!F117</f>
        <v>8419285</v>
      </c>
      <c r="D67" s="461">
        <f>+'Tab. 6A -Drogi'!G539+'Tab. 6G - Roln i ochrona środ.'!G117</f>
        <v>8639285</v>
      </c>
      <c r="E67" s="537">
        <f>+'Tab. 6A -Drogi'!H539+'Tab. 6G - Roln i ochrona środ.'!H117+'Tab. 6H - Kultura fiz. i turyst'!H19</f>
        <v>0</v>
      </c>
      <c r="F67" s="537">
        <f>+'Tab. 6A -Drogi'!I539+'Tab. 6G - Roln i ochrona środ.'!I117+'Tab. 6H - Kultura fiz. i turyst'!I19</f>
        <v>0</v>
      </c>
      <c r="G67" s="537">
        <f>+'Tab. 6A -Drogi'!J539+'Tab. 6G - Roln i ochrona środ.'!J117</f>
        <v>0</v>
      </c>
      <c r="H67" s="461">
        <f>+'Tab. 6A -Drogi'!K539+'Tab. 6G - Roln i ochrona środ.'!K117</f>
        <v>0</v>
      </c>
      <c r="I67" s="125">
        <f>+'Tab. 6A -Drogi'!L539+'Tab. 6G - Roln i ochrona środ.'!L117</f>
        <v>0</v>
      </c>
      <c r="J67" s="987">
        <f>B67+I67+H67+C67+D67+E67+F67+G67</f>
        <v>62669201</v>
      </c>
      <c r="K67" s="3853"/>
      <c r="L67" s="538">
        <f>J67-J55</f>
        <v>0</v>
      </c>
      <c r="N67" s="2015"/>
      <c r="O67" s="241">
        <f>37191346+8419285</f>
        <v>45610631</v>
      </c>
      <c r="P67" s="1676">
        <f t="shared" si="18"/>
        <v>0</v>
      </c>
    </row>
    <row r="68" spans="1:17" s="241" customFormat="1" ht="14.25" customHeight="1">
      <c r="A68" s="532" t="s">
        <v>168</v>
      </c>
      <c r="B68" s="462">
        <f>+'Tab. 6F - Kultura'!E18+'Tab. 6D - Oświata'!E115+'Tab. 6A -Drogi'!E536+'Tab. 6G - Roln i ochrona środ.'!E115</f>
        <v>61686746</v>
      </c>
      <c r="C68" s="462">
        <f>+'Tab. 6F - Kultura'!F18+'Tab. 6D - Oświata'!F115+'Tab. 6A -Drogi'!F536+'Tab. 6G - Roln i ochrona środ.'!F115</f>
        <v>36196959</v>
      </c>
      <c r="D68" s="462">
        <f>+'Tab. 6F - Kultura'!G18+'Tab. 6D - Oświata'!G115+'Tab. 6A -Drogi'!G536+'Tab. 6G - Roln i ochrona środ.'!G115</f>
        <v>39892722</v>
      </c>
      <c r="E68" s="462">
        <f>+'Tab. 6F - Kultura'!H18+'Tab. 6D - Oświata'!H115+'Tab. 6A -Drogi'!H536+'Tab. 6G - Roln i ochrona środ.'!H115</f>
        <v>17618074</v>
      </c>
      <c r="F68" s="462">
        <f>+'Tab. 6F - Kultura'!I18+'Tab. 6D - Oświata'!I115+'Tab. 6A -Drogi'!I536+'Tab. 6G - Roln i ochrona środ.'!I115</f>
        <v>1794679</v>
      </c>
      <c r="G68" s="2819">
        <f>+'Tab. 6F - Kultura'!J18+'Tab. 6D - Oświata'!J115+'Tab. 6A -Drogi'!J536+'Tab. 6G - Roln i ochrona środ.'!J115</f>
        <v>0</v>
      </c>
      <c r="H68" s="534">
        <f>+'Tab. 6F - Kultura'!K18+'Tab. 6D - Oświata'!K115+'Tab. 6A -Drogi'!K536</f>
        <v>0</v>
      </c>
      <c r="I68" s="533">
        <f>+'Tab. 6F - Kultura'!L18+'Tab. 6A -Drogi'!L536</f>
        <v>0</v>
      </c>
      <c r="J68" s="987">
        <f>B68+I68+H68+C68+D68+E68+F68+G68</f>
        <v>157189180</v>
      </c>
      <c r="K68" s="3853"/>
      <c r="L68" s="538"/>
      <c r="N68" s="2015"/>
      <c r="O68" s="241">
        <f>37278717+24408029</f>
        <v>61686746</v>
      </c>
      <c r="P68" s="1676">
        <f t="shared" si="18"/>
        <v>0</v>
      </c>
    </row>
    <row r="69" spans="1:17" s="241" customFormat="1" ht="14.25" customHeight="1">
      <c r="A69" s="532" t="s">
        <v>338</v>
      </c>
      <c r="B69" s="462">
        <f>'Tab. 6F - Kultura'!E19</f>
        <v>136279</v>
      </c>
      <c r="C69" s="462">
        <f>'Tab. 6F - Kultura'!F19</f>
        <v>596304</v>
      </c>
      <c r="D69" s="2819">
        <f>'Tab. 6F - Kultura'!G19</f>
        <v>0</v>
      </c>
      <c r="E69" s="2819">
        <f>'Tab. 6F - Kultura'!H19</f>
        <v>0</v>
      </c>
      <c r="F69" s="2819">
        <f>'Tab. 6F - Kultura'!I19</f>
        <v>0</v>
      </c>
      <c r="G69" s="2819">
        <f>'Tab. 6F - Kultura'!J19</f>
        <v>0</v>
      </c>
      <c r="H69" s="534"/>
      <c r="I69" s="533"/>
      <c r="J69" s="987">
        <f>B69+I69+H69+C69+D69+E69+F69+G69</f>
        <v>732583</v>
      </c>
      <c r="K69" s="3853"/>
      <c r="L69" s="538"/>
      <c r="N69" s="2015"/>
      <c r="P69" s="1676"/>
    </row>
    <row r="70" spans="1:17" s="241" customFormat="1" ht="14.25" customHeight="1">
      <c r="A70" s="239" t="s">
        <v>17</v>
      </c>
      <c r="B70" s="2014">
        <f t="shared" ref="B70:H70" si="28">SUM(B71:B71)</f>
        <v>891823</v>
      </c>
      <c r="C70" s="2016">
        <f t="shared" si="28"/>
        <v>34975805</v>
      </c>
      <c r="D70" s="2016">
        <f t="shared" si="28"/>
        <v>79824806</v>
      </c>
      <c r="E70" s="2016">
        <f t="shared" si="28"/>
        <v>30451134</v>
      </c>
      <c r="F70" s="2016">
        <f t="shared" si="28"/>
        <v>2284551</v>
      </c>
      <c r="G70" s="2028">
        <f t="shared" si="28"/>
        <v>0</v>
      </c>
      <c r="H70" s="2028">
        <f t="shared" si="28"/>
        <v>0</v>
      </c>
      <c r="I70" s="2017">
        <f>SUM(I71:I71)</f>
        <v>0</v>
      </c>
      <c r="J70" s="999">
        <f>+J71</f>
        <v>148428119</v>
      </c>
      <c r="K70" s="3853"/>
      <c r="L70" s="538"/>
      <c r="N70" s="2015"/>
      <c r="O70" s="241">
        <f>524900+366923</f>
        <v>891823</v>
      </c>
      <c r="P70" s="1676">
        <f t="shared" si="18"/>
        <v>0</v>
      </c>
    </row>
    <row r="71" spans="1:17" s="241" customFormat="1" ht="15.75" customHeight="1" thickBot="1">
      <c r="A71" s="553" t="s">
        <v>32</v>
      </c>
      <c r="B71" s="1250">
        <f>+'Tab. 6D - Oświata'!E117+'Tab. 6F - Kultura'!E21+'Tab. 6C - Ochrona zdrowia'!E64</f>
        <v>891823</v>
      </c>
      <c r="C71" s="1250">
        <f>+'Tab. 6D - Oświata'!F117+'Tab. 6F - Kultura'!F21+'Tab. 6C - Ochrona zdrowia'!F64</f>
        <v>34975805</v>
      </c>
      <c r="D71" s="1250">
        <f>+'Tab. 6D - Oświata'!G117+'Tab. 6F - Kultura'!G21+'Tab. 6C - Ochrona zdrowia'!G64</f>
        <v>79824806</v>
      </c>
      <c r="E71" s="1250">
        <f>+'Tab. 6D - Oświata'!H117+'Tab. 6F - Kultura'!H21+'Tab. 6C - Ochrona zdrowia'!H64</f>
        <v>30451134</v>
      </c>
      <c r="F71" s="1250">
        <f>+'Tab. 6D - Oświata'!I117+'Tab. 6F - Kultura'!I21+'Tab. 6C - Ochrona zdrowia'!I64</f>
        <v>2284551</v>
      </c>
      <c r="G71" s="2029">
        <f>+'Tab. 6D - Oświata'!J117+'Tab. 6F - Kultura'!J21+'Tab. 6C - Ochrona zdrowia'!J64</f>
        <v>0</v>
      </c>
      <c r="H71" s="2029">
        <f>+'Tab. 6D - Oświata'!K117+'Tab. 6F - Kultura'!K21+'Tab. 6C - Ochrona zdrowia'!K64</f>
        <v>0</v>
      </c>
      <c r="I71" s="1250">
        <f>+'Tab. 6F - Kultura'!L21+'Tab. 6C - Ochrona zdrowia'!L64</f>
        <v>0</v>
      </c>
      <c r="J71" s="1000">
        <f>B71+I71+H71+C71+D71+E71+F71+G71</f>
        <v>148428119</v>
      </c>
      <c r="K71" s="3854"/>
      <c r="L71" s="538"/>
      <c r="M71" s="538"/>
      <c r="N71" s="2030"/>
      <c r="O71" s="241">
        <f>524900+366923</f>
        <v>891823</v>
      </c>
      <c r="P71" s="1676">
        <f t="shared" si="18"/>
        <v>0</v>
      </c>
    </row>
    <row r="72" spans="1:17" s="241" customFormat="1" ht="9.75" customHeight="1" thickBot="1">
      <c r="A72" s="525"/>
      <c r="B72" s="526"/>
      <c r="C72" s="526"/>
      <c r="D72" s="526"/>
      <c r="E72" s="540"/>
      <c r="F72" s="539"/>
      <c r="G72" s="539"/>
      <c r="H72" s="526"/>
      <c r="I72" s="526"/>
      <c r="J72" s="541"/>
      <c r="K72" s="541"/>
      <c r="L72" s="538"/>
      <c r="N72" s="2031"/>
    </row>
    <row r="73" spans="1:17" s="527" customFormat="1" ht="18" customHeight="1" thickBot="1">
      <c r="A73" s="554" t="s">
        <v>25</v>
      </c>
      <c r="B73" s="555">
        <f>+B52-B61-B56-B60</f>
        <v>787102646</v>
      </c>
      <c r="C73" s="555">
        <f t="shared" ref="C73:F73" si="29">+C52-C61-C56-C60</f>
        <v>247397064</v>
      </c>
      <c r="D73" s="555">
        <f t="shared" si="29"/>
        <v>252519203</v>
      </c>
      <c r="E73" s="555">
        <f t="shared" si="29"/>
        <v>139624023</v>
      </c>
      <c r="F73" s="555">
        <f t="shared" si="29"/>
        <v>47035763</v>
      </c>
      <c r="G73" s="555">
        <f>+G52-G61-G56-G60</f>
        <v>10209694</v>
      </c>
      <c r="H73" s="555">
        <f t="shared" ref="H73:I73" si="30">+H52-H61-H56-H60</f>
        <v>83899</v>
      </c>
      <c r="I73" s="555">
        <f t="shared" si="30"/>
        <v>0</v>
      </c>
      <c r="J73" s="555">
        <f>+J52-J61-J56-J60</f>
        <v>1517608617</v>
      </c>
      <c r="K73" s="557">
        <f>+C73+D73+E73+F73+G73+H73+I73+'Tab. 6C - Ochrona zdrowia'!O87+'Tab. 6C - Ochrona zdrowia'!O92</f>
        <v>730505971</v>
      </c>
      <c r="L73" s="545">
        <f>+H73+C73+D73+E73+F73+G73+L74-K73</f>
        <v>0</v>
      </c>
      <c r="M73" s="545">
        <f>J54+J55+J57+J58+J59-J73</f>
        <v>0</v>
      </c>
      <c r="N73" s="2032"/>
      <c r="P73" s="1676">
        <v>653048060</v>
      </c>
      <c r="Q73" s="1676">
        <f t="shared" ref="Q73" si="31">K73-P73</f>
        <v>77457911</v>
      </c>
    </row>
    <row r="74" spans="1:17" s="527" customFormat="1" ht="18" customHeight="1" thickBot="1">
      <c r="A74" s="554" t="s">
        <v>26</v>
      </c>
      <c r="B74" s="558">
        <f>+B63-B70-B69</f>
        <v>169961990</v>
      </c>
      <c r="C74" s="558">
        <f t="shared" ref="C74:G74" si="32">+C63-C70-C69</f>
        <v>48707414</v>
      </c>
      <c r="D74" s="558">
        <f t="shared" si="32"/>
        <v>48532007</v>
      </c>
      <c r="E74" s="558">
        <f t="shared" si="32"/>
        <v>17618074</v>
      </c>
      <c r="F74" s="558">
        <f t="shared" si="32"/>
        <v>1794679</v>
      </c>
      <c r="G74" s="3551">
        <f t="shared" si="32"/>
        <v>0</v>
      </c>
      <c r="H74" s="559">
        <f>+H63-H70</f>
        <v>0</v>
      </c>
      <c r="I74" s="1851">
        <f>+I63-I70</f>
        <v>0</v>
      </c>
      <c r="J74" s="556">
        <f>SUM(C74:G74)+B74</f>
        <v>286614164</v>
      </c>
      <c r="K74" s="560" t="s">
        <v>21</v>
      </c>
      <c r="L74" s="545">
        <f>+'Tab. 6C - Ochrona zdrowia'!O87+'Tab. 6C - Ochrona zdrowia'!O92</f>
        <v>33636325</v>
      </c>
      <c r="M74" s="527" t="s">
        <v>305</v>
      </c>
      <c r="N74" s="2032"/>
    </row>
    <row r="75" spans="1:17" s="562" customFormat="1" ht="3" customHeight="1" thickBot="1">
      <c r="A75" s="2033"/>
      <c r="B75" s="561"/>
      <c r="C75" s="561"/>
      <c r="D75" s="561"/>
      <c r="E75" s="561"/>
      <c r="F75" s="561"/>
      <c r="G75" s="561"/>
      <c r="H75" s="561"/>
      <c r="I75" s="1852"/>
      <c r="J75" s="561"/>
      <c r="K75" s="561"/>
      <c r="L75" s="573"/>
      <c r="N75" s="2034"/>
    </row>
    <row r="76" spans="1:17" s="562" customFormat="1" ht="18" customHeight="1" thickBot="1">
      <c r="A76" s="563" t="s">
        <v>33</v>
      </c>
      <c r="B76" s="564">
        <f>B77+B78</f>
        <v>1083305969</v>
      </c>
      <c r="C76" s="564">
        <f t="shared" ref="C76:K76" si="33">C77+C78</f>
        <v>564074320</v>
      </c>
      <c r="D76" s="564">
        <f t="shared" si="33"/>
        <v>641191376</v>
      </c>
      <c r="E76" s="564">
        <f t="shared" si="33"/>
        <v>433449356</v>
      </c>
      <c r="F76" s="564">
        <f t="shared" si="33"/>
        <v>147441493</v>
      </c>
      <c r="G76" s="564">
        <f t="shared" si="33"/>
        <v>38913209</v>
      </c>
      <c r="H76" s="564">
        <f t="shared" ref="H76" si="34">H77+H78</f>
        <v>83899</v>
      </c>
      <c r="I76" s="1853">
        <f>I77+I78</f>
        <v>0</v>
      </c>
      <c r="J76" s="565">
        <f t="shared" si="33"/>
        <v>2942095947</v>
      </c>
      <c r="K76" s="566">
        <f t="shared" si="33"/>
        <v>1858789978</v>
      </c>
      <c r="L76" s="573"/>
      <c r="N76" s="2034"/>
      <c r="P76" s="1676">
        <v>1551877189</v>
      </c>
      <c r="Q76" s="1676">
        <f t="shared" ref="Q76:Q78" si="35">K76-P76</f>
        <v>306912789</v>
      </c>
    </row>
    <row r="77" spans="1:17" s="562" customFormat="1" ht="18" customHeight="1" thickTop="1" thickBot="1">
      <c r="A77" s="1595" t="s">
        <v>34</v>
      </c>
      <c r="B77" s="567">
        <f t="shared" ref="B77:G77" si="36">B13+B49</f>
        <v>806755254</v>
      </c>
      <c r="C77" s="567">
        <f>C13+C49</f>
        <v>271675277</v>
      </c>
      <c r="D77" s="567">
        <f t="shared" si="36"/>
        <v>256480857</v>
      </c>
      <c r="E77" s="567">
        <f t="shared" si="36"/>
        <v>163768703</v>
      </c>
      <c r="F77" s="567">
        <f t="shared" si="36"/>
        <v>78673442</v>
      </c>
      <c r="G77" s="567">
        <f t="shared" si="36"/>
        <v>38767168</v>
      </c>
      <c r="H77" s="567">
        <f>H13+H49</f>
        <v>83899</v>
      </c>
      <c r="I77" s="1854">
        <f>I13+I49</f>
        <v>0</v>
      </c>
      <c r="J77" s="568">
        <f>J13+J49</f>
        <v>1649840925</v>
      </c>
      <c r="K77" s="569">
        <f>K13+K49</f>
        <v>843085671</v>
      </c>
      <c r="L77" s="573"/>
      <c r="N77" s="2035"/>
      <c r="P77" s="1676">
        <v>711712603</v>
      </c>
      <c r="Q77" s="1676">
        <f t="shared" si="35"/>
        <v>131373068</v>
      </c>
    </row>
    <row r="78" spans="1:17" s="562" customFormat="1" ht="18" customHeight="1" thickBot="1">
      <c r="A78" s="1596" t="s">
        <v>35</v>
      </c>
      <c r="B78" s="567">
        <f t="shared" ref="B78:K78" si="37">B14+B50</f>
        <v>276550715</v>
      </c>
      <c r="C78" s="567">
        <f>C14+C50</f>
        <v>292399043</v>
      </c>
      <c r="D78" s="567">
        <f t="shared" si="37"/>
        <v>384710519</v>
      </c>
      <c r="E78" s="567">
        <f t="shared" si="37"/>
        <v>269680653</v>
      </c>
      <c r="F78" s="567">
        <f t="shared" si="37"/>
        <v>68768051</v>
      </c>
      <c r="G78" s="567">
        <f t="shared" si="37"/>
        <v>146041</v>
      </c>
      <c r="H78" s="567">
        <f>H14+H50</f>
        <v>0</v>
      </c>
      <c r="I78" s="1854">
        <f>I14+I50</f>
        <v>0</v>
      </c>
      <c r="J78" s="568">
        <f>J14+J50</f>
        <v>1292255022</v>
      </c>
      <c r="K78" s="569">
        <f t="shared" si="37"/>
        <v>1015704307</v>
      </c>
      <c r="L78" s="573"/>
      <c r="N78" s="2036"/>
      <c r="P78" s="1676">
        <v>840164586</v>
      </c>
      <c r="Q78" s="1676">
        <f t="shared" si="35"/>
        <v>175539721</v>
      </c>
    </row>
    <row r="79" spans="1:17" s="562" customFormat="1" ht="18" customHeight="1" thickBot="1">
      <c r="A79" s="1598" t="s">
        <v>36</v>
      </c>
      <c r="B79" s="570">
        <f>B38+B74</f>
        <v>419838320</v>
      </c>
      <c r="C79" s="570">
        <f>C38+C74</f>
        <v>296017877</v>
      </c>
      <c r="D79" s="570">
        <f t="shared" ref="D79:J79" si="38">D38+D74</f>
        <v>345030602</v>
      </c>
      <c r="E79" s="570">
        <f t="shared" si="38"/>
        <v>270073539</v>
      </c>
      <c r="F79" s="570">
        <f t="shared" si="38"/>
        <v>96669407</v>
      </c>
      <c r="G79" s="570">
        <f t="shared" si="38"/>
        <v>34646456</v>
      </c>
      <c r="H79" s="570">
        <f>H38+H74</f>
        <v>0</v>
      </c>
      <c r="I79" s="1855">
        <f>I38+I74</f>
        <v>0</v>
      </c>
      <c r="J79" s="570">
        <f t="shared" si="38"/>
        <v>1476670517</v>
      </c>
      <c r="K79" s="571" t="s">
        <v>21</v>
      </c>
      <c r="L79" s="573">
        <f>'Tab. 6A -Drogi'!D21+'Tab. 6A -Drogi'!D534+'Tab. 6B Polit społ i rozwój prz'!D17+'Tab. 6C - Ochrona zdrowia'!D60+'Tab. 6D - Oświata'!D18+'Tab. 6E - Administracja'!D19+'Tab. 6E - Administracja'!D246+'Tab. 6F - Kultura'!D18+'Tab. 6G - Roln i ochrona środ.'!D20+'Tab. 6G - Roln i ochrona środ.'!D113+'Tab. 6H - Kultura fiz. i turyst'!D17+'Tab.6I - Planow. przestrz.'!D19+'Tab. 6C - Ochrona zdrowia'!D15</f>
        <v>1476670517</v>
      </c>
      <c r="M79" s="562" t="s">
        <v>189</v>
      </c>
      <c r="N79" s="2036"/>
    </row>
    <row r="80" spans="1:17" s="562" customFormat="1" ht="18.75" customHeight="1" thickTop="1">
      <c r="A80" s="1597" t="s">
        <v>37</v>
      </c>
      <c r="B80" s="567">
        <f>B86+B90</f>
        <v>289400453</v>
      </c>
      <c r="C80" s="567">
        <f>C86+C90</f>
        <v>130263063</v>
      </c>
      <c r="D80" s="567">
        <f t="shared" ref="D80:G81" si="39">D86+D90</f>
        <v>121843388</v>
      </c>
      <c r="E80" s="567">
        <f t="shared" si="39"/>
        <v>80101697</v>
      </c>
      <c r="F80" s="567">
        <f t="shared" si="39"/>
        <v>42671539</v>
      </c>
      <c r="G80" s="567">
        <f t="shared" si="39"/>
        <v>34500415</v>
      </c>
      <c r="H80" s="567">
        <f t="shared" ref="H80" si="40">H86+H90</f>
        <v>0</v>
      </c>
      <c r="I80" s="1854">
        <f>I86+I90</f>
        <v>0</v>
      </c>
      <c r="J80" s="567">
        <f>J86+J90</f>
        <v>713174871</v>
      </c>
      <c r="K80" s="572" t="s">
        <v>21</v>
      </c>
      <c r="L80" s="573">
        <f>J79-L79</f>
        <v>0</v>
      </c>
      <c r="M80" s="573"/>
      <c r="N80" s="2037"/>
    </row>
    <row r="81" spans="1:14" s="562" customFormat="1" ht="16.5" customHeight="1" thickBot="1">
      <c r="A81" s="1367" t="s">
        <v>38</v>
      </c>
      <c r="B81" s="2038">
        <f>B87+B91</f>
        <v>130437867</v>
      </c>
      <c r="C81" s="2038">
        <f>C87+C91</f>
        <v>165754814</v>
      </c>
      <c r="D81" s="2038">
        <f t="shared" si="39"/>
        <v>223187214</v>
      </c>
      <c r="E81" s="2038">
        <f t="shared" si="39"/>
        <v>189971842</v>
      </c>
      <c r="F81" s="2038">
        <f t="shared" si="39"/>
        <v>53997868</v>
      </c>
      <c r="G81" s="2038">
        <f t="shared" si="39"/>
        <v>146041</v>
      </c>
      <c r="H81" s="2038">
        <f t="shared" ref="H81" si="41">H87+H91</f>
        <v>0</v>
      </c>
      <c r="I81" s="2039">
        <f>I87+I91</f>
        <v>0</v>
      </c>
      <c r="J81" s="2038">
        <f>J87+J91</f>
        <v>763495646</v>
      </c>
      <c r="K81" s="574" t="s">
        <v>21</v>
      </c>
      <c r="L81" s="573">
        <f>L79-J85-J89</f>
        <v>0</v>
      </c>
      <c r="N81" s="2040"/>
    </row>
    <row r="82" spans="1:14" s="562" customFormat="1" ht="18" hidden="1" customHeight="1" thickBot="1">
      <c r="A82" s="2041" t="s">
        <v>39</v>
      </c>
      <c r="B82" s="575">
        <f>B80+B81-B79</f>
        <v>0</v>
      </c>
      <c r="C82" s="575">
        <f>C80+C81-C79</f>
        <v>0</v>
      </c>
      <c r="D82" s="575">
        <f>D80+D81-D79</f>
        <v>0</v>
      </c>
      <c r="E82" s="575">
        <f t="shared" ref="E82:G82" si="42">E80+E81-E79</f>
        <v>0</v>
      </c>
      <c r="F82" s="575">
        <f t="shared" si="42"/>
        <v>0</v>
      </c>
      <c r="G82" s="575">
        <f t="shared" si="42"/>
        <v>0</v>
      </c>
      <c r="H82" s="575">
        <f>H80+H81-H79</f>
        <v>0</v>
      </c>
      <c r="I82" s="1856">
        <f>I80+I81-I79</f>
        <v>0</v>
      </c>
      <c r="J82" s="575">
        <f>J80+J81-J79</f>
        <v>0</v>
      </c>
      <c r="K82" s="573"/>
      <c r="L82" s="573"/>
      <c r="M82" s="573"/>
      <c r="N82" s="2036"/>
    </row>
    <row r="83" spans="1:14" s="562" customFormat="1" ht="15.75" hidden="1" customHeight="1" thickBot="1">
      <c r="A83" s="2042"/>
      <c r="B83" s="2568" t="s">
        <v>520</v>
      </c>
      <c r="C83" s="1277">
        <v>2019</v>
      </c>
      <c r="D83" s="1277">
        <v>2020</v>
      </c>
      <c r="E83" s="1277">
        <v>2021</v>
      </c>
      <c r="F83" s="1277">
        <v>2022</v>
      </c>
      <c r="G83" s="1277">
        <v>2023</v>
      </c>
      <c r="H83" s="1277">
        <v>2024</v>
      </c>
      <c r="I83" s="1277">
        <v>2025</v>
      </c>
      <c r="J83" s="575"/>
      <c r="K83" s="573"/>
      <c r="L83" s="573"/>
      <c r="N83" s="2036"/>
    </row>
    <row r="84" spans="1:14" s="562" customFormat="1" ht="18" hidden="1" customHeight="1" thickBot="1">
      <c r="A84" s="2043" t="s">
        <v>40</v>
      </c>
      <c r="B84" s="576">
        <f t="shared" ref="B84:G84" si="43">B27-B85</f>
        <v>0</v>
      </c>
      <c r="C84" s="576">
        <f>C27-C85</f>
        <v>0</v>
      </c>
      <c r="D84" s="576">
        <f t="shared" si="43"/>
        <v>0</v>
      </c>
      <c r="E84" s="576">
        <f t="shared" si="43"/>
        <v>0</v>
      </c>
      <c r="F84" s="576">
        <f t="shared" si="43"/>
        <v>0</v>
      </c>
      <c r="G84" s="576">
        <f t="shared" si="43"/>
        <v>0</v>
      </c>
      <c r="H84" s="576">
        <f>H27-H85</f>
        <v>0</v>
      </c>
      <c r="I84" s="1857">
        <f>I27-I85</f>
        <v>0</v>
      </c>
      <c r="J84" s="576">
        <f>J27-J85</f>
        <v>0</v>
      </c>
      <c r="K84" s="573">
        <f>J85-K85</f>
        <v>0</v>
      </c>
      <c r="L84" s="573"/>
      <c r="M84" s="573">
        <f>L85+L89-L79</f>
        <v>0</v>
      </c>
      <c r="N84" s="2037"/>
    </row>
    <row r="85" spans="1:14" s="562" customFormat="1" ht="18" hidden="1" customHeight="1" thickBot="1">
      <c r="A85" s="1368" t="s">
        <v>41</v>
      </c>
      <c r="B85" s="577">
        <f t="shared" ref="B85" si="44">B86+B87</f>
        <v>249876330</v>
      </c>
      <c r="C85" s="577">
        <f>C86+C87</f>
        <v>247310463</v>
      </c>
      <c r="D85" s="577">
        <f t="shared" ref="D85:M85" si="45">D86+D87</f>
        <v>296498595</v>
      </c>
      <c r="E85" s="577">
        <f t="shared" si="45"/>
        <v>252455465</v>
      </c>
      <c r="F85" s="577">
        <f t="shared" si="45"/>
        <v>94874728</v>
      </c>
      <c r="G85" s="577">
        <f t="shared" si="45"/>
        <v>34646456</v>
      </c>
      <c r="H85" s="577">
        <f t="shared" ref="H85" si="46">H86+H87</f>
        <v>0</v>
      </c>
      <c r="I85" s="1858">
        <f>I86+I87</f>
        <v>0</v>
      </c>
      <c r="J85" s="578">
        <f>J86+J87</f>
        <v>1190056353</v>
      </c>
      <c r="K85" s="573">
        <f>'Tab. 6A -Drogi'!D21+'Tab. 6B Polit społ i rozwój prz'!D17+'Tab. 6D - Oświata'!D18+'Tab. 6E - Administracja'!D19+'Tab. 6G - Roln i ochrona środ.'!D20+'Tab. 6H - Kultura fiz. i turyst'!D17+'Tab.6I - Planow. przestrz.'!D19+'Tab. 6C - Ochrona zdrowia'!D15</f>
        <v>1190056353</v>
      </c>
      <c r="L85" s="578">
        <f>L86+L87</f>
        <v>1190056353</v>
      </c>
      <c r="M85" s="1455">
        <f t="shared" si="45"/>
        <v>0</v>
      </c>
      <c r="N85" s="2044" t="s">
        <v>300</v>
      </c>
    </row>
    <row r="86" spans="1:14" s="562" customFormat="1" ht="20.25" hidden="1" customHeight="1">
      <c r="A86" s="1391" t="s">
        <v>37</v>
      </c>
      <c r="B86" s="579">
        <f>'Tab. 6A -Drogi'!E686+'Tab. 6B Polit społ i rozwój prz'!E393+'Tab. 6D - Oświata'!E145+'Tab. 6E - Administracja'!E271+'Tab. 6G - Roln i ochrona środ.'!E155+'Tab. 6H - Kultura fiz. i turyst'!E359+'Tab.6I - Planow. przestrz.'!E136+'Tab. 6C - Ochrona zdrowia'!E108</f>
        <v>123916814</v>
      </c>
      <c r="C86" s="579">
        <f>'Tab. 6A -Drogi'!F686+'Tab. 6B Polit społ i rozwój prz'!F393+'Tab. 6D - Oświata'!F145+'Tab. 6E - Administracja'!F271+'Tab. 6G - Roln i ochrona środ.'!F155+'Tab. 6H - Kultura fiz. i turyst'!F359+'Tab.6I - Planow. przestrz.'!F136+'Tab. 6C - Ochrona zdrowia'!F108</f>
        <v>85379173</v>
      </c>
      <c r="D86" s="579">
        <f>'Tab. 6A -Drogi'!G686+'Tab. 6B Polit społ i rozwój prz'!G393+'Tab. 6D - Oświata'!G145+'Tab. 6E - Administracja'!G271+'Tab. 6G - Roln i ochrona środ.'!G155+'Tab. 6H - Kultura fiz. i turyst'!G359+'Tab.6I - Planow. przestrz.'!G136+'Tab. 6C - Ochrona zdrowia'!G108</f>
        <v>73311381</v>
      </c>
      <c r="E86" s="579">
        <f>'Tab. 6A -Drogi'!H686+'Tab. 6B Polit społ i rozwój prz'!H393+'Tab. 6D - Oświata'!H145+'Tab. 6E - Administracja'!H271+'Tab. 6G - Roln i ochrona środ.'!H155+'Tab. 6H - Kultura fiz. i turyst'!H359+'Tab.6I - Planow. przestrz.'!H136+'Tab. 6C - Ochrona zdrowia'!H108</f>
        <v>62483623</v>
      </c>
      <c r="F86" s="579">
        <f>'Tab. 6A -Drogi'!I686+'Tab. 6B Polit społ i rozwój prz'!I393+'Tab. 6D - Oświata'!I145+'Tab. 6E - Administracja'!I271+'Tab. 6G - Roln i ochrona środ.'!I155+'Tab. 6H - Kultura fiz. i turyst'!I359+'Tab.6I - Planow. przestrz.'!I136</f>
        <v>40876860</v>
      </c>
      <c r="G86" s="579">
        <f>'Tab. 6A -Drogi'!J686+'Tab. 6B Polit społ i rozwój prz'!J393+'Tab. 6D - Oświata'!J145+'Tab. 6E - Administracja'!J271+'Tab. 6G - Roln i ochrona środ.'!J155+'Tab. 6H - Kultura fiz. i turyst'!J359+'Tab.6I - Planow. przestrz.'!J136</f>
        <v>34500415</v>
      </c>
      <c r="H86" s="579">
        <f>'Tab. 6A -Drogi'!K686+'Tab. 6B Polit społ i rozwój prz'!K393+'Tab. 6D - Oświata'!K145+'Tab. 6E - Administracja'!K271+'Tab. 6G - Roln i ochrona środ.'!K155+'Tab. 6H - Kultura fiz. i turyst'!K359+'Tab.6I - Planow. przestrz.'!K136</f>
        <v>0</v>
      </c>
      <c r="I86" s="1859">
        <f>'Tab. 6A -Drogi'!L686+'Tab. 6B Polit społ i rozwój prz'!L393+'Tab. 6D - Oświata'!L145+'Tab. 6E - Administracja'!L271+'Tab. 6G - Roln i ochrona środ.'!L155+'Tab. 6H - Kultura fiz. i turyst'!L359+'Tab.6I - Planow. przestrz.'!L136</f>
        <v>0</v>
      </c>
      <c r="J86" s="580">
        <f>B86+I86+H86+C86+D86+E86+F86+G86+2029435+2998719+2055406+3812897+2520257-11253840+12231442</f>
        <v>434862582</v>
      </c>
      <c r="L86" s="689">
        <f>'Tab. 6A -Drogi'!D686+'Tab. 6B Polit społ i rozwój prz'!D393+'Tab. 6D - Oświata'!D145+'Tab. 6E - Administracja'!D271+'Tab. 6G - Roln i ochrona środ.'!D155+'Tab. 6H - Kultura fiz. i turyst'!D359+'Tab.6I - Planow. przestrz.'!D136+'Tab. 6C - Ochrona zdrowia'!D108</f>
        <v>434862582</v>
      </c>
      <c r="M86" s="689">
        <f>J86-L86</f>
        <v>0</v>
      </c>
      <c r="N86" s="2045"/>
    </row>
    <row r="87" spans="1:14" s="562" customFormat="1" ht="18" hidden="1" customHeight="1" thickBot="1">
      <c r="A87" s="1387" t="s">
        <v>38</v>
      </c>
      <c r="B87" s="579">
        <f>'Tab. 6A -Drogi'!E687+'Tab. 6B Polit społ i rozwój prz'!E394+'Tab. 6D - Oświata'!E146+'Tab. 6E - Administracja'!E272+'Tab. 6G - Roln i ochrona środ.'!E156+'Tab. 6H - Kultura fiz. i turyst'!E360+'Tab.6I - Planow. przestrz.'!E137+'Tab. 6C - Ochrona zdrowia'!E109</f>
        <v>125959516</v>
      </c>
      <c r="C87" s="579">
        <f>'Tab. 6A -Drogi'!F687+'Tab. 6B Polit społ i rozwój prz'!F394+'Tab. 6D - Oświata'!F146+'Tab. 6E - Administracja'!F272+'Tab. 6G - Roln i ochrona środ.'!F156+'Tab. 6H - Kultura fiz. i turyst'!F360+'Tab.6I - Planow. przestrz.'!F137+'Tab. 6C - Ochrona zdrowia'!F109</f>
        <v>161931290</v>
      </c>
      <c r="D87" s="579">
        <f>'Tab. 6A -Drogi'!G687+'Tab. 6B Polit społ i rozwój prz'!G394+'Tab. 6D - Oświata'!G146+'Tab. 6E - Administracja'!G272+'Tab. 6G - Roln i ochrona środ.'!G156+'Tab. 6H - Kultura fiz. i turyst'!G360+'Tab.6I - Planow. przestrz.'!G137+'Tab. 6C - Ochrona zdrowia'!G109</f>
        <v>223187214</v>
      </c>
      <c r="E87" s="579">
        <f>'Tab. 6A -Drogi'!H687+'Tab. 6B Polit społ i rozwój prz'!H394+'Tab. 6D - Oświata'!H146+'Tab. 6E - Administracja'!H272+'Tab. 6G - Roln i ochrona środ.'!H156+'Tab. 6H - Kultura fiz. i turyst'!H360+'Tab.6I - Planow. przestrz.'!H137+'Tab. 6C - Ochrona zdrowia'!H109</f>
        <v>189971842</v>
      </c>
      <c r="F87" s="579">
        <f>'Tab. 6A -Drogi'!I687+'Tab. 6B Polit społ i rozwój prz'!I394+'Tab. 6D - Oświata'!I146+'Tab. 6E - Administracja'!I272+'Tab. 6G - Roln i ochrona środ.'!I156+'Tab. 6H - Kultura fiz. i turyst'!I360+'Tab.6I - Planow. przestrz.'!I137</f>
        <v>53997868</v>
      </c>
      <c r="G87" s="579">
        <f>'Tab. 6A -Drogi'!J687+'Tab. 6B Polit społ i rozwój prz'!J394+'Tab. 6D - Oświata'!J146+'Tab. 6E - Administracja'!J272+'Tab. 6G - Roln i ochrona środ.'!J156+'Tab. 6H - Kultura fiz. i turyst'!J360+'Tab.6I - Planow. przestrz.'!J137</f>
        <v>146041</v>
      </c>
      <c r="H87" s="579">
        <f>'Tab. 6A -Drogi'!K687+'Tab. 6B Polit społ i rozwój prz'!K394+'Tab. 6D - Oświata'!K146+'Tab. 6E - Administracja'!K272+'Tab. 6G - Roln i ochrona środ.'!K156+'Tab. 6H - Kultura fiz. i turyst'!K360+'Tab.6I - Planow. przestrz.'!K137</f>
        <v>0</v>
      </c>
      <c r="I87" s="1859">
        <f>'Tab. 6A -Drogi'!L687+'Tab. 6B Polit społ i rozwój prz'!L394+'Tab. 6D - Oświata'!L146+'Tab. 6E - Administracja'!L272+'Tab. 6G - Roln i ochrona środ.'!L156+'Tab. 6H - Kultura fiz. i turyst'!L360+'Tab.6I - Planow. przestrz.'!L137</f>
        <v>0</v>
      </c>
      <c r="J87" s="580">
        <f>B87+I87+H87+C87+D87+E87+F87+G87+11590+299481-61071-200000-50000</f>
        <v>755193771</v>
      </c>
      <c r="K87" s="573"/>
      <c r="L87" s="689">
        <f>'Tab. 6A -Drogi'!D687+'Tab. 6B Polit społ i rozwój prz'!D394+'Tab. 6E - Administracja'!D272+'Tab. 6G - Roln i ochrona środ.'!D156+'Tab. 6H - Kultura fiz. i turyst'!D360+'Tab.6I - Planow. przestrz.'!D137+'Tab. 6C - Ochrona zdrowia'!D109</f>
        <v>755193771</v>
      </c>
      <c r="M87" s="1429">
        <f>J87-L87</f>
        <v>0</v>
      </c>
      <c r="N87" s="2046"/>
    </row>
    <row r="88" spans="1:14" s="562" customFormat="1" ht="24" hidden="1" customHeight="1" thickBot="1">
      <c r="A88" s="2043" t="s">
        <v>42</v>
      </c>
      <c r="B88" s="1423">
        <f>B74-B89</f>
        <v>0</v>
      </c>
      <c r="C88" s="1423">
        <f>C74-C89</f>
        <v>0</v>
      </c>
      <c r="D88" s="1423">
        <f>D74-D89</f>
        <v>0</v>
      </c>
      <c r="E88" s="1423">
        <f t="shared" ref="E88:J88" si="47">E74-E89</f>
        <v>0</v>
      </c>
      <c r="F88" s="1423">
        <f t="shared" si="47"/>
        <v>0</v>
      </c>
      <c r="G88" s="1423">
        <f t="shared" si="47"/>
        <v>0</v>
      </c>
      <c r="H88" s="1423">
        <f>H74-H89</f>
        <v>0</v>
      </c>
      <c r="I88" s="1860">
        <f>I74-I89</f>
        <v>0</v>
      </c>
      <c r="J88" s="1423">
        <f t="shared" si="47"/>
        <v>0</v>
      </c>
      <c r="K88" s="1428"/>
      <c r="L88" s="1429"/>
      <c r="M88" s="1445"/>
      <c r="N88" s="2047"/>
    </row>
    <row r="89" spans="1:14" s="562" customFormat="1" ht="20.25" hidden="1" customHeight="1" thickBot="1">
      <c r="A89" s="1368" t="s">
        <v>41</v>
      </c>
      <c r="B89" s="1421">
        <f>B90+B91</f>
        <v>169961990</v>
      </c>
      <c r="C89" s="1421">
        <f t="shared" ref="C89:J89" si="48">C90+C91</f>
        <v>48707414</v>
      </c>
      <c r="D89" s="1421">
        <f t="shared" si="48"/>
        <v>48532007</v>
      </c>
      <c r="E89" s="1421">
        <f t="shared" si="48"/>
        <v>17618074</v>
      </c>
      <c r="F89" s="1421">
        <f>F90+F91</f>
        <v>1794679</v>
      </c>
      <c r="G89" s="1421">
        <f>G90+G91</f>
        <v>0</v>
      </c>
      <c r="H89" s="1421">
        <f>H90+H91</f>
        <v>0</v>
      </c>
      <c r="I89" s="1861">
        <f>I90+I91</f>
        <v>0</v>
      </c>
      <c r="J89" s="1426">
        <f t="shared" si="48"/>
        <v>286614164</v>
      </c>
      <c r="K89" s="1370"/>
      <c r="L89" s="1426">
        <f t="shared" ref="L89:M89" si="49">L90+L91</f>
        <v>286614164</v>
      </c>
      <c r="M89" s="1426">
        <f t="shared" si="49"/>
        <v>0</v>
      </c>
      <c r="N89" s="2048" t="s">
        <v>300</v>
      </c>
    </row>
    <row r="90" spans="1:14" s="562" customFormat="1" ht="19.5" hidden="1" customHeight="1">
      <c r="A90" s="1397" t="s">
        <v>37</v>
      </c>
      <c r="B90" s="1398">
        <f>'Tab. 6A -Drogi'!E693+'Tab. 6F - Kultura'!E18+'Tab. 6G - Roln i ochrona środ.'!E123+'Tab. 6G - Roln i ochrona środ.'!E133+'Tab. 6G - Roln i ochrona środ.'!E140</f>
        <v>165483639</v>
      </c>
      <c r="C90" s="1398">
        <f>'Tab. 6A -Drogi'!F693+'Tab. 6F - Kultura'!F18+'Tab. 6G - Roln i ochrona środ.'!F123+'Tab. 6G - Roln i ochrona środ.'!F133+'Tab. 6G - Roln i ochrona środ.'!F140</f>
        <v>44883890</v>
      </c>
      <c r="D90" s="1398">
        <f>'Tab. 6A -Drogi'!G693+'Tab. 6F - Kultura'!G18+'Tab. 6G - Roln i ochrona środ.'!G123+'Tab. 6G - Roln i ochrona środ.'!G133+'Tab. 6G - Roln i ochrona środ.'!G140</f>
        <v>48532007</v>
      </c>
      <c r="E90" s="1398">
        <f>'Tab. 6A -Drogi'!H693+'Tab. 6F - Kultura'!H18+'Tab. 6G - Roln i ochrona środ.'!H123+'Tab. 6G - Roln i ochrona środ.'!H133+'Tab. 6G - Roln i ochrona środ.'!H140</f>
        <v>17618074</v>
      </c>
      <c r="F90" s="1398">
        <f>'Tab. 6A -Drogi'!I693+'Tab. 6F - Kultura'!I18+'Tab. 6G - Roln i ochrona środ.'!I123+'Tab. 6G - Roln i ochrona środ.'!I133+'Tab. 6G - Roln i ochrona środ.'!I140</f>
        <v>1794679</v>
      </c>
      <c r="G90" s="1398">
        <f>'Tab. 6A -Drogi'!J693+'Tab. 6F - Kultura'!J18+'Tab. 6G - Roln i ochrona środ.'!J123+'Tab. 6G - Roln i ochrona środ.'!J133+'Tab. 6G - Roln i ochrona środ.'!J140</f>
        <v>0</v>
      </c>
      <c r="H90" s="1398">
        <f>'Tab. 6A -Drogi'!K693+'Tab. 6F - Kultura'!K18+'Tab. 6G - Roln i ochrona środ.'!K123+'Tab. 6G - Roln i ochrona środ.'!K133+'Tab. 6G - Roln i ochrona środ.'!K140</f>
        <v>0</v>
      </c>
      <c r="I90" s="1398">
        <f>'Tab. 6A -Drogi'!L693+'Tab. 6F - Kultura'!L18+'Tab. 6G - Roln i ochrona środ.'!L123+'Tab. 6G - Roln i ochrona środ.'!L133+'Tab. 6G - Roln i ochrona środ.'!L140</f>
        <v>0</v>
      </c>
      <c r="J90" s="1399">
        <f>B90+I90+H90+C90+D90+E90+F90+G90</f>
        <v>278312289</v>
      </c>
      <c r="K90" s="573"/>
      <c r="L90" s="689">
        <f>'Tab. 6A -Drogi'!D545+'Tab. 6A -Drogi'!D608+'Tab. 6A -Drogi'!D653+'Tab. 6F - Kultura'!D18+'Tab. 6A -Drogi'!D581+'Tab. 6G - Roln i ochrona środ.'!D162</f>
        <v>278312289</v>
      </c>
      <c r="M90" s="689">
        <f>J90-L90</f>
        <v>0</v>
      </c>
      <c r="N90" s="2049"/>
    </row>
    <row r="91" spans="1:14" s="562" customFormat="1" ht="19.5" hidden="1" customHeight="1">
      <c r="A91" s="2050" t="s">
        <v>38</v>
      </c>
      <c r="B91" s="1413">
        <f>'Tab. 6A -Drogi'!E694+'Tab. 6C - Ochrona zdrowia'!E60</f>
        <v>4478351</v>
      </c>
      <c r="C91" s="1413">
        <f>'Tab. 6A -Drogi'!F694+'Tab. 6C - Ochrona zdrowia'!F60</f>
        <v>3823524</v>
      </c>
      <c r="D91" s="1413">
        <f>'Tab. 6A -Drogi'!G694+'Tab. 6C - Ochrona zdrowia'!G60</f>
        <v>0</v>
      </c>
      <c r="E91" s="1413">
        <f>'Tab. 6A -Drogi'!H694+'Tab. 6C - Ochrona zdrowia'!H60</f>
        <v>0</v>
      </c>
      <c r="F91" s="1413">
        <f>'Tab. 6A -Drogi'!I694+'Tab. 6C - Ochrona zdrowia'!I60</f>
        <v>0</v>
      </c>
      <c r="G91" s="1413">
        <f>'Tab. 6A -Drogi'!J694+'Tab. 6C - Ochrona zdrowia'!J60</f>
        <v>0</v>
      </c>
      <c r="H91" s="1413">
        <f>'Tab. 6A -Drogi'!K694+'Tab. 6C - Ochrona zdrowia'!K60</f>
        <v>0</v>
      </c>
      <c r="I91" s="1413">
        <f>'Tab. 6A -Drogi'!L694+'Tab. 6C - Ochrona zdrowia'!L60</f>
        <v>0</v>
      </c>
      <c r="J91" s="1414">
        <f>B91+I91+H91+C91+D91+E91+F91+G91</f>
        <v>8301875</v>
      </c>
      <c r="K91" s="573"/>
      <c r="L91" s="689">
        <f>'Tab. 6A -Drogi'!D694+'Tab. 6C - Ochrona zdrowia'!D60</f>
        <v>8301875</v>
      </c>
      <c r="M91" s="689">
        <f>J91-L91</f>
        <v>0</v>
      </c>
      <c r="N91" s="2051"/>
    </row>
    <row r="92" spans="1:14" s="562" customFormat="1" ht="15" hidden="1">
      <c r="A92" s="2052"/>
      <c r="B92" s="575">
        <f>B89+B85-B79</f>
        <v>0</v>
      </c>
      <c r="C92" s="575">
        <f t="shared" ref="C92:G92" si="50">C89+C85-C79</f>
        <v>0</v>
      </c>
      <c r="D92" s="575">
        <f t="shared" si="50"/>
        <v>0</v>
      </c>
      <c r="E92" s="575">
        <f t="shared" si="50"/>
        <v>0</v>
      </c>
      <c r="F92" s="575">
        <f t="shared" si="50"/>
        <v>0</v>
      </c>
      <c r="G92" s="575">
        <f t="shared" si="50"/>
        <v>0</v>
      </c>
      <c r="H92" s="575">
        <f>H89+H85-H79</f>
        <v>0</v>
      </c>
      <c r="I92" s="1856">
        <f>I89+I85-I79</f>
        <v>0</v>
      </c>
      <c r="J92" s="575">
        <f>J89+J85-J79</f>
        <v>0</v>
      </c>
      <c r="K92" s="573"/>
      <c r="L92" s="573"/>
      <c r="N92" s="2053"/>
    </row>
    <row r="93" spans="1:14" s="562" customFormat="1" ht="10.5" hidden="1" customHeight="1">
      <c r="A93" s="2052"/>
      <c r="B93" s="575"/>
      <c r="C93" s="575"/>
      <c r="D93" s="575"/>
      <c r="E93" s="575"/>
      <c r="F93" s="575"/>
      <c r="G93" s="575"/>
      <c r="H93" s="575"/>
      <c r="I93" s="1856"/>
      <c r="J93" s="575"/>
      <c r="K93" s="573"/>
      <c r="L93" s="573"/>
      <c r="N93" s="2053"/>
    </row>
    <row r="94" spans="1:14" s="562" customFormat="1" ht="15.75" hidden="1" thickBot="1">
      <c r="A94" s="2054"/>
      <c r="B94" s="561">
        <f>+B73-B48</f>
        <v>0</v>
      </c>
      <c r="C94" s="561">
        <f>+C73-C48</f>
        <v>0</v>
      </c>
      <c r="D94" s="561">
        <f t="shared" ref="D94:G94" si="51">+D73-D48</f>
        <v>0</v>
      </c>
      <c r="E94" s="561">
        <f t="shared" si="51"/>
        <v>0</v>
      </c>
      <c r="F94" s="561">
        <f t="shared" si="51"/>
        <v>0</v>
      </c>
      <c r="G94" s="561">
        <f t="shared" si="51"/>
        <v>0</v>
      </c>
      <c r="H94" s="561">
        <f>+H73-H48</f>
        <v>0</v>
      </c>
      <c r="I94" s="1852">
        <f>+I73-I48</f>
        <v>0</v>
      </c>
      <c r="J94" s="561">
        <f>+J73-J48</f>
        <v>0</v>
      </c>
      <c r="K94" s="561"/>
      <c r="L94" s="573"/>
      <c r="N94" s="2055"/>
    </row>
    <row r="95" spans="1:14" s="562" customFormat="1" ht="18" hidden="1" customHeight="1" thickBot="1">
      <c r="A95" s="2056"/>
      <c r="B95" s="561">
        <f t="shared" ref="B95:J95" si="52">B12+B48</f>
        <v>1083305969</v>
      </c>
      <c r="C95" s="1828">
        <f t="shared" si="52"/>
        <v>564074320</v>
      </c>
      <c r="D95" s="561">
        <f t="shared" si="52"/>
        <v>641191376</v>
      </c>
      <c r="E95" s="561">
        <f t="shared" si="52"/>
        <v>433449356</v>
      </c>
      <c r="F95" s="561">
        <f t="shared" si="52"/>
        <v>147441493</v>
      </c>
      <c r="G95" s="561">
        <f t="shared" si="52"/>
        <v>38913209</v>
      </c>
      <c r="H95" s="1812">
        <f>H12+H48</f>
        <v>83899</v>
      </c>
      <c r="I95" s="1852">
        <f>I12+I48</f>
        <v>0</v>
      </c>
      <c r="J95" s="561">
        <f t="shared" si="52"/>
        <v>2942095947</v>
      </c>
      <c r="K95" s="561"/>
      <c r="L95" s="573"/>
      <c r="N95" s="2057"/>
    </row>
    <row r="96" spans="1:14" s="562" customFormat="1" ht="16.5" hidden="1" customHeight="1" thickBot="1">
      <c r="A96" s="2056"/>
      <c r="B96" s="1178" t="s">
        <v>517</v>
      </c>
      <c r="C96" s="1829" t="s">
        <v>163</v>
      </c>
      <c r="D96" s="1806" t="s">
        <v>164</v>
      </c>
      <c r="E96" s="1179" t="s">
        <v>202</v>
      </c>
      <c r="F96" s="1179" t="s">
        <v>203</v>
      </c>
      <c r="G96" s="1179" t="s">
        <v>201</v>
      </c>
      <c r="H96" s="1813"/>
      <c r="I96" s="1862"/>
      <c r="J96" s="1180" t="s">
        <v>43</v>
      </c>
      <c r="K96" s="1180" t="s">
        <v>448</v>
      </c>
      <c r="L96" s="573"/>
      <c r="N96" s="2057"/>
    </row>
    <row r="97" spans="1:14" s="562" customFormat="1" ht="18" hidden="1" customHeight="1">
      <c r="A97" s="2056"/>
      <c r="B97" s="561"/>
      <c r="C97" s="1059"/>
      <c r="D97" s="561"/>
      <c r="E97" s="561"/>
      <c r="F97" s="561"/>
      <c r="G97" s="561"/>
      <c r="H97" s="1805"/>
      <c r="I97" s="1852"/>
      <c r="J97" s="561"/>
      <c r="K97" s="581"/>
      <c r="L97" s="573"/>
      <c r="N97" s="2057"/>
    </row>
    <row r="98" spans="1:14" s="562" customFormat="1" ht="18" hidden="1" customHeight="1">
      <c r="A98" s="2056"/>
      <c r="B98" s="561"/>
      <c r="C98" s="1059"/>
      <c r="D98" s="561"/>
      <c r="E98" s="561"/>
      <c r="F98" s="561"/>
      <c r="G98" s="561"/>
      <c r="H98" s="1805"/>
      <c r="I98" s="1852"/>
      <c r="J98" s="561"/>
      <c r="K98" s="581"/>
      <c r="L98" s="573"/>
      <c r="N98" s="2057"/>
    </row>
    <row r="99" spans="1:14" s="241" customFormat="1" ht="12.75" hidden="1" customHeight="1">
      <c r="A99" s="2058"/>
      <c r="B99" s="526"/>
      <c r="C99" s="994"/>
      <c r="D99" s="526"/>
      <c r="E99" s="526"/>
      <c r="F99" s="526"/>
      <c r="G99" s="526"/>
      <c r="H99" s="1814">
        <f>+H13+H49</f>
        <v>83899</v>
      </c>
      <c r="I99" s="526">
        <f>+I13+I49</f>
        <v>0</v>
      </c>
      <c r="J99" s="526"/>
      <c r="L99" s="538"/>
      <c r="N99" s="2059"/>
    </row>
    <row r="100" spans="1:14" s="241" customFormat="1" ht="28.5" hidden="1" customHeight="1">
      <c r="A100" s="2060"/>
      <c r="B100" s="583"/>
      <c r="C100" s="1060"/>
      <c r="D100" s="583"/>
      <c r="E100" s="583"/>
      <c r="F100" s="583"/>
      <c r="G100" s="583"/>
      <c r="H100" s="1815">
        <f>+H14+H50</f>
        <v>0</v>
      </c>
      <c r="I100" s="583">
        <f>+I14+I50</f>
        <v>0</v>
      </c>
      <c r="J100" s="582"/>
      <c r="K100" s="582"/>
      <c r="L100" s="538"/>
      <c r="N100" s="2059"/>
    </row>
    <row r="101" spans="1:14" s="241" customFormat="1" ht="8.25" hidden="1" customHeight="1" thickBot="1">
      <c r="A101" s="2058"/>
      <c r="B101" s="526"/>
      <c r="C101" s="994"/>
      <c r="D101" s="526"/>
      <c r="E101" s="526"/>
      <c r="F101" s="526"/>
      <c r="G101" s="526"/>
      <c r="H101" s="1814"/>
      <c r="I101" s="526"/>
      <c r="J101" s="526"/>
      <c r="L101" s="538"/>
      <c r="N101" s="2059"/>
    </row>
    <row r="102" spans="1:14" s="241" customFormat="1" ht="12.75" hidden="1" customHeight="1">
      <c r="A102" s="2061"/>
      <c r="B102" s="584"/>
      <c r="C102" s="1061"/>
      <c r="D102" s="585"/>
      <c r="E102" s="585"/>
      <c r="F102" s="585"/>
      <c r="G102" s="585"/>
      <c r="H102" s="1816">
        <f>+H103+H104</f>
        <v>83899</v>
      </c>
      <c r="I102" s="585">
        <f>+I103+I104</f>
        <v>0</v>
      </c>
      <c r="J102" s="584">
        <f t="shared" ref="J102" si="53">+J103+J104</f>
        <v>2942095947</v>
      </c>
      <c r="K102" s="586"/>
      <c r="L102" s="538"/>
      <c r="N102" s="2062"/>
    </row>
    <row r="103" spans="1:14" s="241" customFormat="1" ht="12.75" hidden="1" customHeight="1">
      <c r="A103" s="525"/>
      <c r="B103" s="587"/>
      <c r="C103" s="1062"/>
      <c r="D103" s="588"/>
      <c r="E103" s="588"/>
      <c r="F103" s="588"/>
      <c r="G103" s="588"/>
      <c r="H103" s="1817">
        <f t="shared" ref="H103:J104" si="54">+H13+H49</f>
        <v>83899</v>
      </c>
      <c r="I103" s="588">
        <f t="shared" si="54"/>
        <v>0</v>
      </c>
      <c r="J103" s="587">
        <f t="shared" si="54"/>
        <v>1649840925</v>
      </c>
      <c r="K103" s="589"/>
      <c r="L103" s="538"/>
      <c r="N103" s="2015"/>
    </row>
    <row r="104" spans="1:14" s="241" customFormat="1" ht="12.75" hidden="1" customHeight="1" thickBot="1">
      <c r="A104" s="525"/>
      <c r="B104" s="590"/>
      <c r="C104" s="1063"/>
      <c r="D104" s="591"/>
      <c r="E104" s="591"/>
      <c r="F104" s="591"/>
      <c r="G104" s="591"/>
      <c r="H104" s="1818">
        <f t="shared" si="54"/>
        <v>0</v>
      </c>
      <c r="I104" s="591">
        <f t="shared" si="54"/>
        <v>0</v>
      </c>
      <c r="J104" s="590">
        <f t="shared" si="54"/>
        <v>1292255022</v>
      </c>
      <c r="K104" s="592"/>
      <c r="L104" s="538"/>
      <c r="N104" s="2015"/>
    </row>
    <row r="105" spans="1:14" s="241" customFormat="1" ht="21.75" hidden="1" customHeight="1">
      <c r="A105" s="2063" t="s">
        <v>44</v>
      </c>
      <c r="B105" s="593"/>
      <c r="C105" s="1064"/>
      <c r="D105" s="593"/>
      <c r="E105" s="593"/>
      <c r="F105" s="593"/>
      <c r="G105" s="593"/>
      <c r="H105" s="1819">
        <f>+H73+H37</f>
        <v>83899</v>
      </c>
      <c r="I105" s="593">
        <f>+I73+I37</f>
        <v>0</v>
      </c>
      <c r="J105" s="593">
        <f>+J73+J37</f>
        <v>2942095947</v>
      </c>
      <c r="K105" s="594"/>
      <c r="L105" s="538"/>
      <c r="N105" s="2015"/>
    </row>
    <row r="106" spans="1:14" s="241" customFormat="1" ht="9.75" hidden="1" customHeight="1">
      <c r="A106" s="2063"/>
      <c r="B106" s="583"/>
      <c r="C106" s="1060"/>
      <c r="D106" s="583"/>
      <c r="E106" s="583"/>
      <c r="F106" s="583"/>
      <c r="G106" s="583"/>
      <c r="H106" s="1815">
        <f>+H105-H102</f>
        <v>0</v>
      </c>
      <c r="I106" s="583">
        <f>+I105-I102</f>
        <v>0</v>
      </c>
      <c r="J106" s="583">
        <f t="shared" ref="J106" si="55">+J105-J102</f>
        <v>0</v>
      </c>
      <c r="K106" s="526"/>
      <c r="L106" s="538"/>
      <c r="N106" s="2015"/>
    </row>
    <row r="107" spans="1:14" s="241" customFormat="1" ht="15.75" hidden="1" customHeight="1" thickBot="1">
      <c r="A107" s="2063" t="s">
        <v>45</v>
      </c>
      <c r="B107" s="593"/>
      <c r="C107" s="1064"/>
      <c r="D107" s="593"/>
      <c r="E107" s="593"/>
      <c r="F107" s="593"/>
      <c r="G107" s="593"/>
      <c r="H107" s="1819">
        <f>+H74+H38</f>
        <v>0</v>
      </c>
      <c r="I107" s="593">
        <f>+I74+I38</f>
        <v>0</v>
      </c>
      <c r="J107" s="593">
        <f>+J74+J38</f>
        <v>1476670517</v>
      </c>
      <c r="K107" s="526"/>
      <c r="L107" s="538"/>
      <c r="N107" s="2015"/>
    </row>
    <row r="108" spans="1:14" ht="1.5" hidden="1" customHeight="1">
      <c r="A108" s="3826" t="s">
        <v>581</v>
      </c>
      <c r="B108" s="1785"/>
      <c r="C108" s="1065"/>
      <c r="D108" s="596"/>
      <c r="E108" s="595"/>
      <c r="F108" s="595"/>
      <c r="G108" s="595"/>
      <c r="H108" s="1785"/>
      <c r="I108" s="597"/>
      <c r="J108" s="595"/>
      <c r="K108" s="597"/>
      <c r="L108" s="820"/>
      <c r="M108" s="498"/>
      <c r="N108" s="1996"/>
    </row>
    <row r="109" spans="1:14" s="519" customFormat="1" ht="27.75" hidden="1" customHeight="1" thickBot="1">
      <c r="A109" s="3827"/>
      <c r="B109" s="1786">
        <f t="shared" ref="B109:K109" si="56">+B73+B37</f>
        <v>1083305969</v>
      </c>
      <c r="C109" s="1066">
        <f t="shared" si="56"/>
        <v>564074320</v>
      </c>
      <c r="D109" s="599">
        <f t="shared" si="56"/>
        <v>641191376</v>
      </c>
      <c r="E109" s="598">
        <f t="shared" si="56"/>
        <v>433449356</v>
      </c>
      <c r="F109" s="598">
        <f t="shared" si="56"/>
        <v>147441493</v>
      </c>
      <c r="G109" s="598">
        <f t="shared" si="56"/>
        <v>38913209</v>
      </c>
      <c r="H109" s="1786">
        <f>+H73+H37</f>
        <v>83899</v>
      </c>
      <c r="I109" s="1863">
        <f>+I73+I37</f>
        <v>0</v>
      </c>
      <c r="J109" s="598">
        <f t="shared" si="56"/>
        <v>2942095947</v>
      </c>
      <c r="K109" s="600">
        <f t="shared" si="56"/>
        <v>1858789978</v>
      </c>
      <c r="L109" s="1749"/>
      <c r="M109" s="1181"/>
      <c r="N109" s="2064"/>
    </row>
    <row r="110" spans="1:14" hidden="1">
      <c r="A110" s="1" t="s">
        <v>46</v>
      </c>
      <c r="B110" s="1787">
        <f>+B18+B54</f>
        <v>709157012</v>
      </c>
      <c r="C110" s="1830">
        <f t="shared" ref="C110:J110" si="57">+C18+C54</f>
        <v>250785015</v>
      </c>
      <c r="D110" s="1807">
        <f t="shared" si="57"/>
        <v>271947068</v>
      </c>
      <c r="E110" s="2">
        <f t="shared" si="57"/>
        <v>128609824</v>
      </c>
      <c r="F110" s="2">
        <f t="shared" si="57"/>
        <v>44994087</v>
      </c>
      <c r="G110" s="2">
        <f t="shared" si="57"/>
        <v>13166893</v>
      </c>
      <c r="H110" s="1787">
        <f>+H18+H54</f>
        <v>83899</v>
      </c>
      <c r="I110" s="2">
        <f>+I18+I54</f>
        <v>0</v>
      </c>
      <c r="J110" s="2">
        <f t="shared" si="57"/>
        <v>1452380123</v>
      </c>
      <c r="K110" s="2">
        <f>+K18+K54</f>
        <v>743223111</v>
      </c>
      <c r="L110" s="820"/>
      <c r="M110" s="498"/>
      <c r="N110" s="1996"/>
    </row>
    <row r="111" spans="1:14" hidden="1">
      <c r="A111" s="1" t="s">
        <v>47</v>
      </c>
      <c r="B111" s="1788">
        <f>+B57</f>
        <v>28197404</v>
      </c>
      <c r="C111" s="1587">
        <f t="shared" ref="C111:K111" si="58">+C57</f>
        <v>19199997</v>
      </c>
      <c r="D111" s="1056">
        <f t="shared" si="58"/>
        <v>46037994</v>
      </c>
      <c r="E111" s="1182">
        <f>+E57</f>
        <v>61524367</v>
      </c>
      <c r="F111" s="1182">
        <f t="shared" si="58"/>
        <v>15274725</v>
      </c>
      <c r="G111" s="1182">
        <f t="shared" si="58"/>
        <v>0</v>
      </c>
      <c r="H111" s="1788">
        <f>+H57</f>
        <v>0</v>
      </c>
      <c r="I111" s="1793">
        <f>+I57</f>
        <v>0</v>
      </c>
      <c r="J111" s="1182">
        <f t="shared" si="58"/>
        <v>170234487</v>
      </c>
      <c r="K111" s="1183">
        <f t="shared" si="58"/>
        <v>142037083</v>
      </c>
      <c r="L111" s="820"/>
      <c r="M111" s="498"/>
      <c r="N111" s="1996"/>
    </row>
    <row r="112" spans="1:14" ht="13.5" hidden="1" thickBot="1">
      <c r="A112" s="1586" t="s">
        <v>12</v>
      </c>
      <c r="B112" s="1788">
        <f t="shared" ref="B112:K112" si="59">+B19+B59</f>
        <v>56654568</v>
      </c>
      <c r="C112" s="1587">
        <f t="shared" si="59"/>
        <v>5681444</v>
      </c>
      <c r="D112" s="1056">
        <f t="shared" si="59"/>
        <v>4014529</v>
      </c>
      <c r="E112" s="1182">
        <f t="shared" si="59"/>
        <v>1857764</v>
      </c>
      <c r="F112" s="1182">
        <f t="shared" si="59"/>
        <v>1256957</v>
      </c>
      <c r="G112" s="1182">
        <f t="shared" si="59"/>
        <v>716912</v>
      </c>
      <c r="H112" s="1788">
        <f>+H19+H59</f>
        <v>0</v>
      </c>
      <c r="I112" s="1793">
        <f>+I19+I59</f>
        <v>0</v>
      </c>
      <c r="J112" s="1182">
        <f t="shared" si="59"/>
        <v>70182174</v>
      </c>
      <c r="K112" s="1183">
        <f t="shared" si="59"/>
        <v>13527606</v>
      </c>
      <c r="L112" s="328"/>
      <c r="M112" s="648"/>
      <c r="N112" s="2065"/>
    </row>
    <row r="113" spans="1:14" hidden="1">
      <c r="A113" s="1" t="s">
        <v>14</v>
      </c>
      <c r="B113" s="1789">
        <f t="shared" ref="B113:K113" si="60">+B20+B58</f>
        <v>20420123</v>
      </c>
      <c r="C113" s="1163">
        <f t="shared" si="60"/>
        <v>9431339</v>
      </c>
      <c r="D113" s="1164">
        <f t="shared" si="60"/>
        <v>8638784</v>
      </c>
      <c r="E113" s="1162">
        <f t="shared" si="60"/>
        <v>399808</v>
      </c>
      <c r="F113" s="1162">
        <f t="shared" si="60"/>
        <v>0</v>
      </c>
      <c r="G113" s="1162">
        <f t="shared" si="60"/>
        <v>0</v>
      </c>
      <c r="H113" s="1789">
        <f>+H20+H58</f>
        <v>0</v>
      </c>
      <c r="I113" s="1864">
        <f>+I20+I58</f>
        <v>0</v>
      </c>
      <c r="J113" s="1162">
        <f t="shared" si="60"/>
        <v>38890054</v>
      </c>
      <c r="K113" s="1585">
        <f t="shared" si="60"/>
        <v>18469931</v>
      </c>
      <c r="L113" s="820"/>
      <c r="M113" s="498"/>
      <c r="N113" s="1996"/>
    </row>
    <row r="114" spans="1:14" hidden="1">
      <c r="A114" s="1586" t="s">
        <v>48</v>
      </c>
      <c r="B114" s="1788">
        <f t="shared" ref="B114:K114" si="61">+B21+B55</f>
        <v>26810825</v>
      </c>
      <c r="C114" s="1587">
        <f t="shared" si="61"/>
        <v>26186043</v>
      </c>
      <c r="D114" s="1056">
        <f t="shared" si="61"/>
        <v>9992333</v>
      </c>
      <c r="E114" s="1182">
        <f t="shared" si="61"/>
        <v>0</v>
      </c>
      <c r="F114" s="1182">
        <f t="shared" si="61"/>
        <v>0</v>
      </c>
      <c r="G114" s="1182">
        <f t="shared" si="61"/>
        <v>0</v>
      </c>
      <c r="H114" s="1788">
        <f>+H21+H55</f>
        <v>0</v>
      </c>
      <c r="I114" s="1793">
        <f>+I21+I55</f>
        <v>0</v>
      </c>
      <c r="J114" s="2066">
        <f t="shared" si="61"/>
        <v>62989201</v>
      </c>
      <c r="K114" s="1183">
        <f t="shared" si="61"/>
        <v>36178376</v>
      </c>
      <c r="L114" s="820"/>
      <c r="M114" s="498"/>
      <c r="N114" s="1996"/>
    </row>
    <row r="115" spans="1:14" hidden="1">
      <c r="A115" s="1586" t="s">
        <v>18</v>
      </c>
      <c r="B115" s="1788">
        <f t="shared" ref="B115:K115" si="62">+B25</f>
        <v>2452188</v>
      </c>
      <c r="C115" s="1587">
        <f t="shared" si="62"/>
        <v>333166</v>
      </c>
      <c r="D115" s="1056">
        <f t="shared" si="62"/>
        <v>227567</v>
      </c>
      <c r="E115" s="1182">
        <f t="shared" si="62"/>
        <v>0</v>
      </c>
      <c r="F115" s="1182">
        <f t="shared" si="62"/>
        <v>0</v>
      </c>
      <c r="G115" s="1182">
        <f t="shared" si="62"/>
        <v>0</v>
      </c>
      <c r="H115" s="1788">
        <f>+H25</f>
        <v>0</v>
      </c>
      <c r="I115" s="1793">
        <f>+I25</f>
        <v>0</v>
      </c>
      <c r="J115" s="2066">
        <f t="shared" si="62"/>
        <v>3012921</v>
      </c>
      <c r="K115" s="1183">
        <f t="shared" si="62"/>
        <v>560733</v>
      </c>
      <c r="L115" s="820"/>
      <c r="M115" s="498"/>
      <c r="N115" s="1996"/>
    </row>
    <row r="116" spans="1:14" hidden="1">
      <c r="A116" s="1586" t="s">
        <v>16</v>
      </c>
      <c r="B116" s="1788">
        <f t="shared" ref="B116:K116" si="63">+B22</f>
        <v>198197</v>
      </c>
      <c r="C116" s="1587">
        <f t="shared" si="63"/>
        <v>2092488</v>
      </c>
      <c r="D116" s="1056">
        <f t="shared" si="63"/>
        <v>3329183</v>
      </c>
      <c r="E116" s="1182">
        <f t="shared" si="63"/>
        <v>3853420</v>
      </c>
      <c r="F116" s="1182">
        <f t="shared" si="63"/>
        <v>113636</v>
      </c>
      <c r="G116" s="1182">
        <f t="shared" si="63"/>
        <v>0</v>
      </c>
      <c r="H116" s="1788">
        <f>+H22</f>
        <v>0</v>
      </c>
      <c r="I116" s="1793">
        <f>+I22</f>
        <v>0</v>
      </c>
      <c r="J116" s="1182">
        <f t="shared" si="63"/>
        <v>9586924</v>
      </c>
      <c r="K116" s="1183">
        <f t="shared" si="63"/>
        <v>9388727</v>
      </c>
      <c r="L116" s="820"/>
      <c r="M116" s="498"/>
      <c r="N116" s="1996"/>
    </row>
    <row r="117" spans="1:14" ht="13.5" hidden="1" thickBot="1">
      <c r="A117" s="601" t="s">
        <v>19</v>
      </c>
      <c r="B117" s="1790">
        <f t="shared" ref="B117:K117" si="64">+B26</f>
        <v>239415652</v>
      </c>
      <c r="C117" s="1067">
        <f t="shared" si="64"/>
        <v>250364828</v>
      </c>
      <c r="D117" s="1808">
        <f t="shared" si="64"/>
        <v>297003918</v>
      </c>
      <c r="E117" s="2067">
        <f t="shared" si="64"/>
        <v>237204173</v>
      </c>
      <c r="F117" s="2067">
        <f t="shared" si="64"/>
        <v>85802088</v>
      </c>
      <c r="G117" s="2067">
        <f t="shared" si="64"/>
        <v>25029404</v>
      </c>
      <c r="H117" s="1790">
        <f>+H26</f>
        <v>0</v>
      </c>
      <c r="I117" s="1794">
        <f>+I26</f>
        <v>0</v>
      </c>
      <c r="J117" s="2067">
        <f t="shared" si="64"/>
        <v>1134820063</v>
      </c>
      <c r="K117" s="2067">
        <f t="shared" si="64"/>
        <v>895404411</v>
      </c>
      <c r="L117" s="820"/>
      <c r="M117" s="498"/>
      <c r="N117" s="1996"/>
    </row>
    <row r="118" spans="1:14" s="519" customFormat="1" ht="18" hidden="1" customHeight="1">
      <c r="A118" s="2068"/>
      <c r="B118" s="1791">
        <f t="shared" ref="B118:K118" si="65">SUM(B110:B117)</f>
        <v>1083305969</v>
      </c>
      <c r="C118" s="1068">
        <f t="shared" si="65"/>
        <v>564074320</v>
      </c>
      <c r="D118" s="602">
        <f t="shared" si="65"/>
        <v>641191376</v>
      </c>
      <c r="E118" s="602">
        <f t="shared" si="65"/>
        <v>433449356</v>
      </c>
      <c r="F118" s="602">
        <f t="shared" si="65"/>
        <v>147441493</v>
      </c>
      <c r="G118" s="602">
        <f t="shared" si="65"/>
        <v>38913209</v>
      </c>
      <c r="H118" s="1791">
        <f>SUM(H110:H117)</f>
        <v>83899</v>
      </c>
      <c r="I118" s="1865">
        <f>SUM(I110:I117)</f>
        <v>0</v>
      </c>
      <c r="J118" s="602">
        <f t="shared" si="65"/>
        <v>2942095947</v>
      </c>
      <c r="K118" s="602">
        <f t="shared" si="65"/>
        <v>1858789978</v>
      </c>
      <c r="L118" s="1749"/>
      <c r="M118" s="1181"/>
      <c r="N118" s="2064"/>
    </row>
    <row r="119" spans="1:14" ht="18" hidden="1" customHeight="1" thickBot="1">
      <c r="A119" s="2069"/>
      <c r="B119" s="603">
        <f t="shared" ref="B119:J119" si="66">+B118-B76</f>
        <v>0</v>
      </c>
      <c r="C119" s="1567">
        <f t="shared" si="66"/>
        <v>0</v>
      </c>
      <c r="D119" s="603">
        <f t="shared" si="66"/>
        <v>0</v>
      </c>
      <c r="E119" s="603">
        <f t="shared" si="66"/>
        <v>0</v>
      </c>
      <c r="F119" s="603">
        <f t="shared" si="66"/>
        <v>0</v>
      </c>
      <c r="G119" s="603">
        <f t="shared" si="66"/>
        <v>0</v>
      </c>
      <c r="H119" s="1820">
        <f>+H118-H76</f>
        <v>0</v>
      </c>
      <c r="I119" s="622">
        <f>+I118-I76</f>
        <v>0</v>
      </c>
      <c r="J119" s="603">
        <f t="shared" si="66"/>
        <v>0</v>
      </c>
      <c r="K119" s="603"/>
      <c r="L119" s="820"/>
      <c r="M119" s="498"/>
      <c r="N119" s="1996"/>
    </row>
    <row r="120" spans="1:14" ht="30" hidden="1" customHeight="1" thickBot="1">
      <c r="A120" s="2070" t="s">
        <v>582</v>
      </c>
      <c r="B120" s="1792">
        <f t="shared" ref="B120:J120" si="67">+B74+B38</f>
        <v>419838320</v>
      </c>
      <c r="C120" s="1069">
        <f t="shared" si="67"/>
        <v>296017877</v>
      </c>
      <c r="D120" s="605">
        <f t="shared" si="67"/>
        <v>345030602</v>
      </c>
      <c r="E120" s="604">
        <f t="shared" si="67"/>
        <v>270073539</v>
      </c>
      <c r="F120" s="604">
        <f t="shared" si="67"/>
        <v>96669407</v>
      </c>
      <c r="G120" s="604">
        <f t="shared" si="67"/>
        <v>34646456</v>
      </c>
      <c r="H120" s="1792">
        <f>+H74+H38</f>
        <v>0</v>
      </c>
      <c r="I120" s="1866">
        <f>+I74+I38</f>
        <v>0</v>
      </c>
      <c r="J120" s="604">
        <f t="shared" si="67"/>
        <v>1476670517</v>
      </c>
      <c r="K120" s="606" t="s">
        <v>21</v>
      </c>
      <c r="L120" s="820"/>
      <c r="M120" s="498"/>
      <c r="N120" s="1996"/>
    </row>
    <row r="121" spans="1:14" ht="14.25" hidden="1" customHeight="1">
      <c r="A121" s="1586" t="s">
        <v>12</v>
      </c>
      <c r="B121" s="1793">
        <f t="shared" ref="B121:K121" si="68">+B65+B29</f>
        <v>56693968</v>
      </c>
      <c r="C121" s="1587">
        <f t="shared" si="68"/>
        <v>5606278</v>
      </c>
      <c r="D121" s="1056">
        <f t="shared" si="68"/>
        <v>4019540</v>
      </c>
      <c r="E121" s="1182">
        <f t="shared" si="68"/>
        <v>1888519</v>
      </c>
      <c r="F121" s="1182">
        <f t="shared" si="68"/>
        <v>1256957</v>
      </c>
      <c r="G121" s="1182">
        <f t="shared" si="68"/>
        <v>716912</v>
      </c>
      <c r="H121" s="1788">
        <f>+H65+H29</f>
        <v>0</v>
      </c>
      <c r="I121" s="1793">
        <f>+I65+I29</f>
        <v>0</v>
      </c>
      <c r="J121" s="607">
        <f t="shared" si="68"/>
        <v>70182174</v>
      </c>
      <c r="K121" s="1182">
        <f t="shared" si="68"/>
        <v>0</v>
      </c>
      <c r="L121" s="820"/>
      <c r="M121" s="498"/>
      <c r="N121" s="1996"/>
    </row>
    <row r="122" spans="1:14" ht="14.25" hidden="1" customHeight="1">
      <c r="A122" s="1586" t="s">
        <v>14</v>
      </c>
      <c r="B122" s="1793">
        <f t="shared" ref="B122:K122" si="69">+B30+B66</f>
        <v>20420123</v>
      </c>
      <c r="C122" s="1587">
        <f t="shared" si="69"/>
        <v>9431339</v>
      </c>
      <c r="D122" s="1056">
        <f t="shared" si="69"/>
        <v>8638784</v>
      </c>
      <c r="E122" s="1182">
        <f t="shared" si="69"/>
        <v>399808</v>
      </c>
      <c r="F122" s="1182">
        <f t="shared" si="69"/>
        <v>0</v>
      </c>
      <c r="G122" s="1182">
        <f t="shared" si="69"/>
        <v>0</v>
      </c>
      <c r="H122" s="1788">
        <f>+H30+H66</f>
        <v>0</v>
      </c>
      <c r="I122" s="1793">
        <f>+I30+I66</f>
        <v>0</v>
      </c>
      <c r="J122" s="607">
        <f t="shared" si="69"/>
        <v>38890054</v>
      </c>
      <c r="K122" s="1182">
        <f t="shared" si="69"/>
        <v>0</v>
      </c>
      <c r="L122" s="820"/>
      <c r="M122" s="498"/>
      <c r="N122" s="1996"/>
    </row>
    <row r="123" spans="1:14" ht="14.25" hidden="1" customHeight="1">
      <c r="A123" s="1586" t="s">
        <v>48</v>
      </c>
      <c r="B123" s="1793">
        <f t="shared" ref="B123:K123" si="70">+B31+B67</f>
        <v>45930631</v>
      </c>
      <c r="C123" s="1587">
        <f t="shared" si="70"/>
        <v>8419285</v>
      </c>
      <c r="D123" s="1056">
        <f t="shared" si="70"/>
        <v>8639285</v>
      </c>
      <c r="E123" s="1182">
        <f t="shared" si="70"/>
        <v>0</v>
      </c>
      <c r="F123" s="1182">
        <f t="shared" si="70"/>
        <v>0</v>
      </c>
      <c r="G123" s="1182">
        <f t="shared" si="70"/>
        <v>0</v>
      </c>
      <c r="H123" s="1788">
        <f>+H31+H67</f>
        <v>0</v>
      </c>
      <c r="I123" s="1793">
        <f>+I31+I67</f>
        <v>0</v>
      </c>
      <c r="J123" s="607">
        <f t="shared" si="70"/>
        <v>62989201</v>
      </c>
      <c r="K123" s="1182">
        <f t="shared" si="70"/>
        <v>0</v>
      </c>
      <c r="L123" s="820"/>
      <c r="M123" s="498"/>
      <c r="N123" s="1996"/>
    </row>
    <row r="124" spans="1:14" ht="14.25" hidden="1" customHeight="1">
      <c r="A124" s="1" t="s">
        <v>11</v>
      </c>
      <c r="B124" s="1793">
        <f t="shared" ref="B124:K124" si="71">+B68</f>
        <v>61686746</v>
      </c>
      <c r="C124" s="1587">
        <f t="shared" si="71"/>
        <v>36196959</v>
      </c>
      <c r="D124" s="1056">
        <f t="shared" si="71"/>
        <v>39892722</v>
      </c>
      <c r="E124" s="1182">
        <f t="shared" si="71"/>
        <v>17618074</v>
      </c>
      <c r="F124" s="1182">
        <f t="shared" si="71"/>
        <v>1794679</v>
      </c>
      <c r="G124" s="1182">
        <f t="shared" si="71"/>
        <v>0</v>
      </c>
      <c r="H124" s="1788">
        <f>+H68</f>
        <v>0</v>
      </c>
      <c r="I124" s="1793">
        <f>+I68</f>
        <v>0</v>
      </c>
      <c r="J124" s="607">
        <f t="shared" si="71"/>
        <v>157189180</v>
      </c>
      <c r="K124" s="1182">
        <f t="shared" si="71"/>
        <v>0</v>
      </c>
      <c r="L124" s="820"/>
      <c r="M124" s="498"/>
      <c r="N124" s="1996"/>
    </row>
    <row r="125" spans="1:14" ht="14.25" hidden="1" customHeight="1">
      <c r="A125" s="1586" t="s">
        <v>16</v>
      </c>
      <c r="B125" s="1793">
        <f>+B32</f>
        <v>198197</v>
      </c>
      <c r="C125" s="1587">
        <f t="shared" ref="C125:K125" si="72">+C32</f>
        <v>2092488</v>
      </c>
      <c r="D125" s="1056">
        <f t="shared" si="72"/>
        <v>3329183</v>
      </c>
      <c r="E125" s="1056">
        <f t="shared" si="72"/>
        <v>3853420</v>
      </c>
      <c r="F125" s="1056">
        <f t="shared" si="72"/>
        <v>113636</v>
      </c>
      <c r="G125" s="1056">
        <f t="shared" si="72"/>
        <v>0</v>
      </c>
      <c r="H125" s="1788">
        <f>+H32</f>
        <v>0</v>
      </c>
      <c r="I125" s="1056">
        <f>+I32</f>
        <v>0</v>
      </c>
      <c r="J125" s="1056">
        <f t="shared" si="72"/>
        <v>9586924</v>
      </c>
      <c r="K125" s="1056">
        <f t="shared" si="72"/>
        <v>0</v>
      </c>
      <c r="L125" s="820"/>
      <c r="M125" s="498"/>
      <c r="N125" s="1996"/>
    </row>
    <row r="126" spans="1:14" ht="14.25" hidden="1" customHeight="1">
      <c r="A126" s="1586" t="s">
        <v>18</v>
      </c>
      <c r="B126" s="1793">
        <f t="shared" ref="B126:K126" si="73">+B34</f>
        <v>1837878</v>
      </c>
      <c r="C126" s="1587">
        <f t="shared" si="73"/>
        <v>808384</v>
      </c>
      <c r="D126" s="1056">
        <f t="shared" si="73"/>
        <v>273472</v>
      </c>
      <c r="E126" s="1182">
        <f t="shared" si="73"/>
        <v>93187</v>
      </c>
      <c r="F126" s="1182">
        <f t="shared" si="73"/>
        <v>0</v>
      </c>
      <c r="G126" s="1182">
        <f t="shared" si="73"/>
        <v>0</v>
      </c>
      <c r="H126" s="1788">
        <f>+H34</f>
        <v>0</v>
      </c>
      <c r="I126" s="1793">
        <f>+I34</f>
        <v>0</v>
      </c>
      <c r="J126" s="607">
        <f t="shared" si="73"/>
        <v>3012921</v>
      </c>
      <c r="K126" s="1182">
        <f t="shared" si="73"/>
        <v>0</v>
      </c>
      <c r="L126" s="820"/>
      <c r="M126" s="498"/>
      <c r="N126" s="1996"/>
    </row>
    <row r="127" spans="1:14" ht="14.25" hidden="1" customHeight="1" thickBot="1">
      <c r="A127" s="601" t="s">
        <v>19</v>
      </c>
      <c r="B127" s="1794">
        <f t="shared" ref="B127:K127" si="74">+B35</f>
        <v>233070777</v>
      </c>
      <c r="C127" s="1070">
        <f t="shared" si="74"/>
        <v>233463144</v>
      </c>
      <c r="D127" s="1809">
        <f t="shared" si="74"/>
        <v>280237616</v>
      </c>
      <c r="E127" s="2071">
        <f t="shared" si="74"/>
        <v>246220531</v>
      </c>
      <c r="F127" s="2071">
        <f t="shared" si="74"/>
        <v>93504135</v>
      </c>
      <c r="G127" s="2071">
        <f t="shared" si="74"/>
        <v>33929544</v>
      </c>
      <c r="H127" s="1821">
        <f>+H35</f>
        <v>0</v>
      </c>
      <c r="I127" s="1794">
        <f>+I35</f>
        <v>0</v>
      </c>
      <c r="J127" s="608">
        <f t="shared" si="74"/>
        <v>1134820063</v>
      </c>
      <c r="K127" s="2071">
        <f t="shared" si="74"/>
        <v>0</v>
      </c>
      <c r="L127" s="820"/>
      <c r="M127" s="498"/>
      <c r="N127" s="1996"/>
    </row>
    <row r="128" spans="1:14" ht="14.25" hidden="1" customHeight="1">
      <c r="A128" s="2072"/>
      <c r="B128" s="609">
        <f t="shared" ref="B128:K128" si="75">SUM(B121:B127)</f>
        <v>419838320</v>
      </c>
      <c r="C128" s="1071">
        <f t="shared" si="75"/>
        <v>296017877</v>
      </c>
      <c r="D128" s="609">
        <f t="shared" si="75"/>
        <v>345030602</v>
      </c>
      <c r="E128" s="609">
        <f t="shared" si="75"/>
        <v>270073539</v>
      </c>
      <c r="F128" s="609">
        <f t="shared" si="75"/>
        <v>96669407</v>
      </c>
      <c r="G128" s="609">
        <f t="shared" si="75"/>
        <v>34646456</v>
      </c>
      <c r="H128" s="1822">
        <f>SUM(H121:H127)</f>
        <v>0</v>
      </c>
      <c r="I128" s="1867">
        <f>SUM(I121:I127)</f>
        <v>0</v>
      </c>
      <c r="J128" s="609">
        <f t="shared" si="75"/>
        <v>1476670517</v>
      </c>
      <c r="K128" s="609">
        <f t="shared" si="75"/>
        <v>0</v>
      </c>
      <c r="L128" s="820"/>
      <c r="M128" s="498"/>
      <c r="N128" s="1996"/>
    </row>
    <row r="129" spans="1:14" ht="14.25" hidden="1" customHeight="1">
      <c r="A129" s="2073"/>
      <c r="B129" s="610">
        <f t="shared" ref="B129:J129" si="76">+B128-B79</f>
        <v>0</v>
      </c>
      <c r="C129" s="1072">
        <f t="shared" si="76"/>
        <v>0</v>
      </c>
      <c r="D129" s="610">
        <f t="shared" si="76"/>
        <v>0</v>
      </c>
      <c r="E129" s="610">
        <f t="shared" si="76"/>
        <v>0</v>
      </c>
      <c r="F129" s="610">
        <f t="shared" si="76"/>
        <v>0</v>
      </c>
      <c r="G129" s="610">
        <f t="shared" si="76"/>
        <v>0</v>
      </c>
      <c r="H129" s="1823">
        <f>+H128-H79</f>
        <v>0</v>
      </c>
      <c r="I129" s="1868">
        <f>+I128-I79</f>
        <v>0</v>
      </c>
      <c r="J129" s="610">
        <f t="shared" si="76"/>
        <v>0</v>
      </c>
      <c r="K129" s="609"/>
      <c r="L129" s="820"/>
      <c r="M129" s="498"/>
      <c r="N129" s="1996"/>
    </row>
    <row r="130" spans="1:14" ht="13.5" hidden="1" thickBot="1">
      <c r="A130" s="2074"/>
      <c r="B130" s="611" t="s">
        <v>517</v>
      </c>
      <c r="C130" s="1829" t="s">
        <v>163</v>
      </c>
      <c r="D130" s="1806" t="s">
        <v>164</v>
      </c>
      <c r="E130" s="1179" t="s">
        <v>202</v>
      </c>
      <c r="F130" s="1179" t="s">
        <v>203</v>
      </c>
      <c r="G130" s="1179" t="s">
        <v>201</v>
      </c>
      <c r="H130" s="1824"/>
      <c r="I130" s="1862"/>
      <c r="J130" s="1180" t="s">
        <v>43</v>
      </c>
      <c r="K130" s="2075" t="s">
        <v>448</v>
      </c>
      <c r="L130" s="820"/>
      <c r="M130" s="498"/>
      <c r="N130" s="1996"/>
    </row>
    <row r="131" spans="1:14" ht="3" hidden="1" customHeight="1">
      <c r="A131" s="3828" t="s">
        <v>583</v>
      </c>
      <c r="B131" s="613"/>
      <c r="C131" s="1073"/>
      <c r="D131" s="614"/>
      <c r="E131" s="612"/>
      <c r="F131" s="612"/>
      <c r="G131" s="612"/>
      <c r="H131" s="1825"/>
      <c r="I131" s="613"/>
      <c r="J131" s="612"/>
      <c r="K131" s="615"/>
      <c r="L131" s="820"/>
      <c r="M131" s="498"/>
      <c r="N131" s="1996"/>
    </row>
    <row r="132" spans="1:14" ht="27" hidden="1" customHeight="1" thickBot="1">
      <c r="A132" s="3829"/>
      <c r="B132" s="1795">
        <f>SUM(B133:B140)</f>
        <v>1083305969</v>
      </c>
      <c r="C132" s="1074">
        <f t="shared" ref="C132:K132" si="77">SUM(C133:C140)</f>
        <v>591311724</v>
      </c>
      <c r="D132" s="617">
        <f t="shared" si="77"/>
        <v>628907707</v>
      </c>
      <c r="E132" s="616">
        <f t="shared" si="77"/>
        <v>400986044</v>
      </c>
      <c r="F132" s="616">
        <f t="shared" si="77"/>
        <v>128912842</v>
      </c>
      <c r="G132" s="616">
        <f t="shared" si="77"/>
        <v>44634837</v>
      </c>
      <c r="H132" s="1795">
        <f>SUM(H133:H140)</f>
        <v>0</v>
      </c>
      <c r="I132" s="1869">
        <f>SUM(I133:I140)</f>
        <v>0</v>
      </c>
      <c r="J132" s="616">
        <f t="shared" si="77"/>
        <v>2911695448</v>
      </c>
      <c r="K132" s="618">
        <f t="shared" si="77"/>
        <v>1828389479</v>
      </c>
      <c r="L132" s="820"/>
      <c r="M132" s="498"/>
      <c r="N132" s="1996"/>
    </row>
    <row r="133" spans="1:14" hidden="1">
      <c r="A133" s="619" t="s">
        <v>46</v>
      </c>
      <c r="B133" s="1796">
        <v>709157012</v>
      </c>
      <c r="C133" s="1831">
        <v>256562609</v>
      </c>
      <c r="D133" s="1057">
        <v>271124909</v>
      </c>
      <c r="E133" s="2076">
        <v>125342926</v>
      </c>
      <c r="F133" s="2076">
        <v>44022581</v>
      </c>
      <c r="G133" s="2076">
        <v>14121163</v>
      </c>
      <c r="H133" s="1796">
        <v>0</v>
      </c>
      <c r="I133" s="2077">
        <v>0</v>
      </c>
      <c r="J133" s="2076">
        <v>1453967525</v>
      </c>
      <c r="K133" s="1796">
        <v>744810513</v>
      </c>
      <c r="L133" s="820"/>
      <c r="M133" s="505"/>
      <c r="N133" s="2078"/>
    </row>
    <row r="134" spans="1:14" hidden="1">
      <c r="A134" s="619" t="s">
        <v>47</v>
      </c>
      <c r="B134" s="1796">
        <v>28197404</v>
      </c>
      <c r="C134" s="1831">
        <v>29759927</v>
      </c>
      <c r="D134" s="1057">
        <v>51670544</v>
      </c>
      <c r="E134" s="2076">
        <v>50719367</v>
      </c>
      <c r="F134" s="2076">
        <v>1472245</v>
      </c>
      <c r="G134" s="2076">
        <v>0</v>
      </c>
      <c r="H134" s="1796">
        <v>0</v>
      </c>
      <c r="I134" s="2077">
        <v>0</v>
      </c>
      <c r="J134" s="2076">
        <v>161819487</v>
      </c>
      <c r="K134" s="1796">
        <v>133622083</v>
      </c>
      <c r="L134" s="820"/>
      <c r="M134" s="505"/>
      <c r="N134" s="2078"/>
    </row>
    <row r="135" spans="1:14" hidden="1">
      <c r="A135" s="1589" t="s">
        <v>12</v>
      </c>
      <c r="B135" s="1796">
        <v>56654568</v>
      </c>
      <c r="C135" s="1831">
        <v>5639775</v>
      </c>
      <c r="D135" s="1057">
        <v>3737918</v>
      </c>
      <c r="E135" s="2076">
        <v>1573783</v>
      </c>
      <c r="F135" s="2076">
        <v>1153821</v>
      </c>
      <c r="G135" s="2076">
        <v>716912</v>
      </c>
      <c r="H135" s="1796">
        <v>0</v>
      </c>
      <c r="I135" s="2077">
        <v>0</v>
      </c>
      <c r="J135" s="2076">
        <v>69476777</v>
      </c>
      <c r="K135" s="1796">
        <v>12822209</v>
      </c>
      <c r="L135" s="820"/>
      <c r="M135" s="505"/>
      <c r="N135" s="2078"/>
    </row>
    <row r="136" spans="1:14" hidden="1">
      <c r="A136" s="1589" t="s">
        <v>14</v>
      </c>
      <c r="B136" s="1796">
        <v>20420123</v>
      </c>
      <c r="C136" s="1831">
        <v>9268076</v>
      </c>
      <c r="D136" s="1057">
        <v>202391</v>
      </c>
      <c r="E136" s="2076">
        <v>468661</v>
      </c>
      <c r="F136" s="2076">
        <v>26507</v>
      </c>
      <c r="G136" s="2076">
        <v>0</v>
      </c>
      <c r="H136" s="1796">
        <v>0</v>
      </c>
      <c r="I136" s="2077">
        <v>0</v>
      </c>
      <c r="J136" s="2076">
        <v>30385758</v>
      </c>
      <c r="K136" s="1796">
        <v>9965635</v>
      </c>
      <c r="L136" s="820"/>
      <c r="M136" s="505"/>
      <c r="N136" s="2078"/>
    </row>
    <row r="137" spans="1:14" hidden="1">
      <c r="A137" s="1589" t="s">
        <v>48</v>
      </c>
      <c r="B137" s="1796">
        <v>26810825</v>
      </c>
      <c r="C137" s="1831">
        <v>26186043</v>
      </c>
      <c r="D137" s="1057">
        <v>9992333</v>
      </c>
      <c r="E137" s="2076">
        <v>0</v>
      </c>
      <c r="F137" s="2076">
        <v>0</v>
      </c>
      <c r="G137" s="2076">
        <v>0</v>
      </c>
      <c r="H137" s="1796">
        <v>0</v>
      </c>
      <c r="I137" s="2077">
        <v>0</v>
      </c>
      <c r="J137" s="2076">
        <v>62989201</v>
      </c>
      <c r="K137" s="1796">
        <v>36178376</v>
      </c>
      <c r="L137" s="820"/>
      <c r="M137" s="505"/>
      <c r="N137" s="2078"/>
    </row>
    <row r="138" spans="1:14" hidden="1">
      <c r="A138" s="1589" t="s">
        <v>18</v>
      </c>
      <c r="B138" s="1796">
        <v>2452188</v>
      </c>
      <c r="C138" s="1831">
        <v>333166</v>
      </c>
      <c r="D138" s="1057">
        <v>227567</v>
      </c>
      <c r="E138" s="2076">
        <v>0</v>
      </c>
      <c r="F138" s="2076">
        <v>0</v>
      </c>
      <c r="G138" s="2076">
        <v>0</v>
      </c>
      <c r="H138" s="1796">
        <v>0</v>
      </c>
      <c r="I138" s="2077">
        <v>0</v>
      </c>
      <c r="J138" s="2076">
        <v>3012921</v>
      </c>
      <c r="K138" s="1796">
        <v>560733</v>
      </c>
      <c r="L138" s="820"/>
      <c r="M138" s="505"/>
      <c r="N138" s="2078"/>
    </row>
    <row r="139" spans="1:14" hidden="1">
      <c r="A139" s="1589" t="s">
        <v>16</v>
      </c>
      <c r="B139" s="1796">
        <v>198197</v>
      </c>
      <c r="C139" s="1831">
        <v>2313390</v>
      </c>
      <c r="D139" s="1057">
        <v>3329183</v>
      </c>
      <c r="E139" s="2076">
        <v>3632518</v>
      </c>
      <c r="F139" s="2076">
        <v>113636</v>
      </c>
      <c r="G139" s="2076">
        <v>0</v>
      </c>
      <c r="H139" s="1796">
        <v>0</v>
      </c>
      <c r="I139" s="2077">
        <v>0</v>
      </c>
      <c r="J139" s="2076">
        <v>9586924</v>
      </c>
      <c r="K139" s="1796">
        <v>9388727</v>
      </c>
      <c r="L139" s="820"/>
      <c r="M139" s="505"/>
      <c r="N139" s="2078"/>
    </row>
    <row r="140" spans="1:14" ht="13.5" hidden="1" thickBot="1">
      <c r="A140" s="353" t="s">
        <v>19</v>
      </c>
      <c r="B140" s="620">
        <v>239415652</v>
      </c>
      <c r="C140" s="1075">
        <v>261248738</v>
      </c>
      <c r="D140" s="1810">
        <v>288622862</v>
      </c>
      <c r="E140" s="2079">
        <v>219248789</v>
      </c>
      <c r="F140" s="2079">
        <v>82124052</v>
      </c>
      <c r="G140" s="2079">
        <v>29796762</v>
      </c>
      <c r="H140" s="620">
        <v>0</v>
      </c>
      <c r="I140" s="1870">
        <v>0</v>
      </c>
      <c r="J140" s="2079">
        <v>1120456855</v>
      </c>
      <c r="K140" s="620">
        <v>881041203</v>
      </c>
      <c r="L140" s="820"/>
      <c r="M140" s="505"/>
      <c r="N140" s="2078"/>
    </row>
    <row r="141" spans="1:14" hidden="1">
      <c r="A141" s="2080"/>
      <c r="B141" s="1797">
        <f t="shared" ref="B141:K141" si="78">SUM(B133:B140)</f>
        <v>1083305969</v>
      </c>
      <c r="C141" s="1076">
        <f t="shared" si="78"/>
        <v>591311724</v>
      </c>
      <c r="D141" s="621">
        <f t="shared" si="78"/>
        <v>628907707</v>
      </c>
      <c r="E141" s="621">
        <f t="shared" si="78"/>
        <v>400986044</v>
      </c>
      <c r="F141" s="621">
        <f t="shared" si="78"/>
        <v>128912842</v>
      </c>
      <c r="G141" s="621">
        <f t="shared" si="78"/>
        <v>44634837</v>
      </c>
      <c r="H141" s="1797">
        <f>SUM(H133:H140)</f>
        <v>0</v>
      </c>
      <c r="I141" s="621">
        <f>SUM(I133:I140)</f>
        <v>0</v>
      </c>
      <c r="J141" s="621">
        <f t="shared" si="78"/>
        <v>2911695448</v>
      </c>
      <c r="K141" s="621">
        <f t="shared" si="78"/>
        <v>1828389479</v>
      </c>
      <c r="L141" s="820"/>
      <c r="M141" s="498"/>
      <c r="N141" s="1996"/>
    </row>
    <row r="142" spans="1:14" hidden="1">
      <c r="A142" s="2081" t="s">
        <v>39</v>
      </c>
      <c r="B142" s="1798">
        <f>+B141-B132</f>
        <v>0</v>
      </c>
      <c r="C142" s="1077">
        <f>+C141-C132</f>
        <v>0</v>
      </c>
      <c r="D142" s="622">
        <f>+D141-D132</f>
        <v>0</v>
      </c>
      <c r="E142" s="622"/>
      <c r="F142" s="622"/>
      <c r="G142" s="622"/>
      <c r="H142" s="1798">
        <f>+H141-H132</f>
        <v>0</v>
      </c>
      <c r="I142" s="622">
        <f>+I141-I132</f>
        <v>0</v>
      </c>
      <c r="J142" s="622">
        <f>+J141-J132</f>
        <v>0</v>
      </c>
      <c r="K142" s="622">
        <f>+K141-K132</f>
        <v>0</v>
      </c>
      <c r="L142" s="820"/>
      <c r="M142" s="498"/>
      <c r="N142" s="1996"/>
    </row>
    <row r="143" spans="1:14" ht="3.75" hidden="1" customHeight="1" thickBot="1">
      <c r="A143" s="2069"/>
      <c r="B143" s="623"/>
      <c r="C143" s="1078"/>
      <c r="D143" s="623"/>
      <c r="E143" s="623"/>
      <c r="F143" s="623"/>
      <c r="G143" s="623"/>
      <c r="H143" s="1826"/>
      <c r="I143" s="623"/>
      <c r="J143" s="623"/>
      <c r="K143" s="820"/>
      <c r="L143" s="820"/>
      <c r="M143" s="498"/>
      <c r="N143" s="1996"/>
    </row>
    <row r="144" spans="1:14" ht="32.25" hidden="1" customHeight="1" thickBot="1">
      <c r="A144" s="2082" t="s">
        <v>584</v>
      </c>
      <c r="B144" s="1799">
        <f>SUM(B145:B151)</f>
        <v>419838320</v>
      </c>
      <c r="C144" s="1079">
        <f t="shared" ref="C144:J144" si="79">SUM(C145:C151)</f>
        <v>309236591</v>
      </c>
      <c r="D144" s="625">
        <f t="shared" si="79"/>
        <v>330681532</v>
      </c>
      <c r="E144" s="624">
        <f t="shared" si="79"/>
        <v>263233787</v>
      </c>
      <c r="F144" s="624">
        <f t="shared" si="79"/>
        <v>93339453</v>
      </c>
      <c r="G144" s="624">
        <f t="shared" si="79"/>
        <v>34646456</v>
      </c>
      <c r="H144" s="1799">
        <f>SUM(H145:H151)</f>
        <v>0</v>
      </c>
      <c r="I144" s="1871">
        <f>SUM(I145:I151)</f>
        <v>0</v>
      </c>
      <c r="J144" s="624">
        <f t="shared" si="79"/>
        <v>1453139013</v>
      </c>
      <c r="K144" s="626"/>
      <c r="L144" s="820"/>
      <c r="M144" s="498"/>
      <c r="N144" s="1996"/>
    </row>
    <row r="145" spans="1:14" ht="13.5" hidden="1" customHeight="1">
      <c r="A145" s="1589" t="s">
        <v>12</v>
      </c>
      <c r="B145" s="1796">
        <v>56693968</v>
      </c>
      <c r="C145" s="1831">
        <v>5564609</v>
      </c>
      <c r="D145" s="1057">
        <v>3742929</v>
      </c>
      <c r="E145" s="2076">
        <v>1604538</v>
      </c>
      <c r="F145" s="2076">
        <v>1153821</v>
      </c>
      <c r="G145" s="2076">
        <v>716912</v>
      </c>
      <c r="H145" s="1796">
        <v>0</v>
      </c>
      <c r="I145" s="2077">
        <v>0</v>
      </c>
      <c r="J145" s="2076">
        <v>69476777</v>
      </c>
      <c r="K145" s="627"/>
      <c r="L145" s="820"/>
      <c r="M145" s="498"/>
      <c r="N145" s="1996"/>
    </row>
    <row r="146" spans="1:14" ht="13.5" hidden="1" customHeight="1">
      <c r="A146" s="1589" t="s">
        <v>14</v>
      </c>
      <c r="B146" s="1796">
        <v>20420123</v>
      </c>
      <c r="C146" s="1831">
        <v>9211638</v>
      </c>
      <c r="D146" s="1057">
        <v>56438</v>
      </c>
      <c r="E146" s="2076">
        <v>202391</v>
      </c>
      <c r="F146" s="2076">
        <v>495168</v>
      </c>
      <c r="G146" s="2076">
        <v>0</v>
      </c>
      <c r="H146" s="1796">
        <v>0</v>
      </c>
      <c r="I146" s="2077">
        <v>0</v>
      </c>
      <c r="J146" s="2076">
        <v>30385758</v>
      </c>
      <c r="K146" s="627"/>
      <c r="L146" s="820"/>
      <c r="M146" s="498"/>
      <c r="N146" s="1996"/>
    </row>
    <row r="147" spans="1:14" ht="13.5" hidden="1" customHeight="1">
      <c r="A147" s="1589" t="s">
        <v>48</v>
      </c>
      <c r="B147" s="1796">
        <v>45930631</v>
      </c>
      <c r="C147" s="1831">
        <v>8419285</v>
      </c>
      <c r="D147" s="1057">
        <v>8639285</v>
      </c>
      <c r="E147" s="2076">
        <v>0</v>
      </c>
      <c r="F147" s="2076">
        <v>0</v>
      </c>
      <c r="G147" s="2076">
        <v>0</v>
      </c>
      <c r="H147" s="1796">
        <v>0</v>
      </c>
      <c r="I147" s="2077">
        <v>0</v>
      </c>
      <c r="J147" s="2076">
        <v>62989201</v>
      </c>
      <c r="K147" s="627"/>
      <c r="L147" s="820"/>
      <c r="M147" s="498"/>
      <c r="N147" s="1996"/>
    </row>
    <row r="148" spans="1:14" ht="13.5" hidden="1" customHeight="1">
      <c r="A148" s="619" t="s">
        <v>11</v>
      </c>
      <c r="B148" s="1796">
        <v>61686746</v>
      </c>
      <c r="C148" s="1831">
        <v>37390721</v>
      </c>
      <c r="D148" s="1057">
        <v>38989022</v>
      </c>
      <c r="E148" s="2076">
        <v>17513359</v>
      </c>
      <c r="F148" s="2076">
        <v>1650729</v>
      </c>
      <c r="G148" s="2076">
        <v>0</v>
      </c>
      <c r="H148" s="1796">
        <v>0</v>
      </c>
      <c r="I148" s="2077">
        <v>0</v>
      </c>
      <c r="J148" s="2076">
        <v>157230577</v>
      </c>
      <c r="K148" s="627"/>
      <c r="L148" s="820"/>
      <c r="M148" s="498"/>
      <c r="N148" s="1996"/>
    </row>
    <row r="149" spans="1:14" ht="13.5" hidden="1" customHeight="1">
      <c r="A149" s="1589" t="s">
        <v>16</v>
      </c>
      <c r="B149" s="1796">
        <v>198197</v>
      </c>
      <c r="C149" s="1831">
        <v>2313390</v>
      </c>
      <c r="D149" s="1057">
        <v>3329183</v>
      </c>
      <c r="E149" s="2076">
        <v>3632518</v>
      </c>
      <c r="F149" s="2076">
        <v>113636</v>
      </c>
      <c r="G149" s="2076">
        <v>0</v>
      </c>
      <c r="H149" s="1796">
        <v>0</v>
      </c>
      <c r="I149" s="2077">
        <v>0</v>
      </c>
      <c r="J149" s="2076">
        <v>9586924</v>
      </c>
      <c r="K149" s="627"/>
      <c r="L149" s="820"/>
      <c r="M149" s="498"/>
      <c r="N149" s="1996"/>
    </row>
    <row r="150" spans="1:14" ht="13.5" hidden="1" customHeight="1">
      <c r="A150" s="1589" t="s">
        <v>18</v>
      </c>
      <c r="B150" s="1796">
        <v>1837878</v>
      </c>
      <c r="C150" s="1831">
        <v>808384</v>
      </c>
      <c r="D150" s="1057">
        <v>273472</v>
      </c>
      <c r="E150" s="2076">
        <v>93187</v>
      </c>
      <c r="F150" s="2076">
        <v>0</v>
      </c>
      <c r="G150" s="2076">
        <v>0</v>
      </c>
      <c r="H150" s="1796">
        <v>0</v>
      </c>
      <c r="I150" s="2077">
        <v>0</v>
      </c>
      <c r="J150" s="2076">
        <v>3012921</v>
      </c>
      <c r="K150" s="627"/>
      <c r="L150" s="820"/>
      <c r="M150" s="498"/>
      <c r="N150" s="1996"/>
    </row>
    <row r="151" spans="1:14" ht="13.5" hidden="1" customHeight="1" thickBot="1">
      <c r="A151" s="1588" t="s">
        <v>19</v>
      </c>
      <c r="B151" s="620">
        <v>233070777</v>
      </c>
      <c r="C151" s="1075">
        <v>245528564</v>
      </c>
      <c r="D151" s="1810">
        <v>275651203</v>
      </c>
      <c r="E151" s="2079">
        <v>240187794</v>
      </c>
      <c r="F151" s="2079">
        <v>89926099</v>
      </c>
      <c r="G151" s="2079">
        <v>33929544</v>
      </c>
      <c r="H151" s="620">
        <v>0</v>
      </c>
      <c r="I151" s="1870">
        <v>0</v>
      </c>
      <c r="J151" s="2079">
        <v>1120456855</v>
      </c>
      <c r="K151" s="627"/>
      <c r="L151" s="820"/>
      <c r="M151" s="498"/>
      <c r="N151" s="1996"/>
    </row>
    <row r="152" spans="1:14" ht="13.5" hidden="1" thickBot="1">
      <c r="A152" s="2083"/>
      <c r="B152" s="3562">
        <f t="shared" ref="B152:J152" si="80">SUM(B145:B151)</f>
        <v>419838320</v>
      </c>
      <c r="C152" s="3563">
        <f t="shared" si="80"/>
        <v>309236591</v>
      </c>
      <c r="D152" s="3564">
        <f t="shared" si="80"/>
        <v>330681532</v>
      </c>
      <c r="E152" s="3565">
        <f t="shared" si="80"/>
        <v>263233787</v>
      </c>
      <c r="F152" s="3565">
        <f t="shared" si="80"/>
        <v>93339453</v>
      </c>
      <c r="G152" s="3565">
        <f t="shared" si="80"/>
        <v>34646456</v>
      </c>
      <c r="H152" s="3562">
        <f>SUM(H145:H151)</f>
        <v>0</v>
      </c>
      <c r="I152" s="3566">
        <f>SUM(I145:I151)</f>
        <v>0</v>
      </c>
      <c r="J152" s="3567">
        <f t="shared" si="80"/>
        <v>1453139013</v>
      </c>
      <c r="K152" s="628"/>
      <c r="L152" s="820"/>
      <c r="M152" s="498"/>
      <c r="N152" s="1996"/>
    </row>
    <row r="153" spans="1:14" ht="17.25" hidden="1" customHeight="1" thickBot="1">
      <c r="A153" s="3556"/>
      <c r="B153" s="611" t="s">
        <v>517</v>
      </c>
      <c r="C153" s="3557" t="s">
        <v>163</v>
      </c>
      <c r="D153" s="3558" t="s">
        <v>164</v>
      </c>
      <c r="E153" s="3559" t="s">
        <v>202</v>
      </c>
      <c r="F153" s="3559" t="s">
        <v>203</v>
      </c>
      <c r="G153" s="3559" t="s">
        <v>201</v>
      </c>
      <c r="H153" s="1813"/>
      <c r="I153" s="3560"/>
      <c r="J153" s="3561" t="s">
        <v>43</v>
      </c>
      <c r="K153" s="820"/>
      <c r="L153" s="820"/>
      <c r="M153" s="498"/>
      <c r="N153" s="1996"/>
    </row>
    <row r="154" spans="1:14" ht="11.25" hidden="1" customHeight="1" thickBot="1">
      <c r="A154" s="2084"/>
      <c r="B154" s="630"/>
      <c r="C154" s="1080"/>
      <c r="D154" s="631"/>
      <c r="E154" s="629"/>
      <c r="F154" s="629"/>
      <c r="G154" s="629"/>
      <c r="H154" s="1827"/>
      <c r="I154" s="630"/>
      <c r="J154" s="629"/>
      <c r="K154" s="632"/>
      <c r="L154" s="820"/>
      <c r="M154" s="498"/>
      <c r="N154" s="1996"/>
    </row>
    <row r="155" spans="1:14" ht="18" hidden="1" customHeight="1" thickBot="1">
      <c r="A155" s="1780" t="s">
        <v>49</v>
      </c>
      <c r="B155" s="1800">
        <f t="shared" ref="B155:J155" si="81">+B109-B132</f>
        <v>0</v>
      </c>
      <c r="C155" s="1832">
        <f t="shared" si="81"/>
        <v>-27237404</v>
      </c>
      <c r="D155" s="1811">
        <f t="shared" si="81"/>
        <v>12283669</v>
      </c>
      <c r="E155" s="1778">
        <f t="shared" si="81"/>
        <v>32463312</v>
      </c>
      <c r="F155" s="1778">
        <f t="shared" si="81"/>
        <v>18528651</v>
      </c>
      <c r="G155" s="1778">
        <f t="shared" si="81"/>
        <v>-5721628</v>
      </c>
      <c r="H155" s="1800">
        <f t="shared" ref="H155:H163" si="82">+H109-H132</f>
        <v>83899</v>
      </c>
      <c r="I155" s="1778">
        <f t="shared" ref="I155" si="83">+I109-I132</f>
        <v>0</v>
      </c>
      <c r="J155" s="1779">
        <f t="shared" si="81"/>
        <v>30400499</v>
      </c>
      <c r="K155" s="633"/>
      <c r="L155" s="820"/>
      <c r="M155" s="498"/>
      <c r="N155" s="1996"/>
    </row>
    <row r="156" spans="1:14" hidden="1">
      <c r="A156" s="2085" t="s">
        <v>11</v>
      </c>
      <c r="B156" s="1801">
        <f t="shared" ref="B156:G156" si="84">+B110-B133</f>
        <v>0</v>
      </c>
      <c r="C156" s="1583">
        <f t="shared" si="84"/>
        <v>-5777594</v>
      </c>
      <c r="D156" s="1584">
        <f t="shared" si="84"/>
        <v>822159</v>
      </c>
      <c r="E156" s="1582">
        <f t="shared" si="84"/>
        <v>3266898</v>
      </c>
      <c r="F156" s="1582">
        <f t="shared" si="84"/>
        <v>971506</v>
      </c>
      <c r="G156" s="1582">
        <f t="shared" si="84"/>
        <v>-954270</v>
      </c>
      <c r="H156" s="1801">
        <f t="shared" si="82"/>
        <v>83899</v>
      </c>
      <c r="I156" s="1582">
        <f t="shared" ref="I156" si="85">+I110-I133</f>
        <v>0</v>
      </c>
      <c r="J156" s="1582">
        <f>+J110-J133</f>
        <v>-1587402</v>
      </c>
      <c r="K156" s="634"/>
      <c r="L156" s="820"/>
      <c r="M156" s="498"/>
      <c r="N156" s="1996"/>
    </row>
    <row r="157" spans="1:14" hidden="1">
      <c r="A157" s="2086" t="s">
        <v>47</v>
      </c>
      <c r="B157" s="1802">
        <f t="shared" ref="B157:J157" si="86">+B111-B134</f>
        <v>0</v>
      </c>
      <c r="C157" s="1833">
        <f t="shared" si="86"/>
        <v>-10559930</v>
      </c>
      <c r="D157" s="1058">
        <f t="shared" si="86"/>
        <v>-5632550</v>
      </c>
      <c r="E157" s="2087">
        <f t="shared" si="86"/>
        <v>10805000</v>
      </c>
      <c r="F157" s="2087">
        <f t="shared" si="86"/>
        <v>13802480</v>
      </c>
      <c r="G157" s="2087">
        <f t="shared" si="86"/>
        <v>0</v>
      </c>
      <c r="H157" s="1802">
        <f t="shared" si="82"/>
        <v>0</v>
      </c>
      <c r="I157" s="2087">
        <f t="shared" ref="I157" si="87">+I111-I134</f>
        <v>0</v>
      </c>
      <c r="J157" s="2087">
        <f t="shared" si="86"/>
        <v>8415000</v>
      </c>
      <c r="K157" s="634"/>
      <c r="L157" s="820"/>
      <c r="M157" s="498"/>
      <c r="N157" s="1996"/>
    </row>
    <row r="158" spans="1:14" hidden="1">
      <c r="A158" s="2086" t="s">
        <v>12</v>
      </c>
      <c r="B158" s="1802">
        <f t="shared" ref="B158:J158" si="88">+B112-B135</f>
        <v>0</v>
      </c>
      <c r="C158" s="1833">
        <f>+C112-C135</f>
        <v>41669</v>
      </c>
      <c r="D158" s="1058">
        <f t="shared" si="88"/>
        <v>276611</v>
      </c>
      <c r="E158" s="2087">
        <f t="shared" si="88"/>
        <v>283981</v>
      </c>
      <c r="F158" s="2087">
        <f t="shared" si="88"/>
        <v>103136</v>
      </c>
      <c r="G158" s="2087">
        <f t="shared" si="88"/>
        <v>0</v>
      </c>
      <c r="H158" s="1802">
        <f t="shared" si="82"/>
        <v>0</v>
      </c>
      <c r="I158" s="2087">
        <f t="shared" ref="I158" si="89">+I112-I135</f>
        <v>0</v>
      </c>
      <c r="J158" s="2088">
        <f t="shared" si="88"/>
        <v>705397</v>
      </c>
      <c r="K158" s="634"/>
      <c r="L158" s="820"/>
      <c r="M158" s="498"/>
      <c r="N158" s="1996"/>
    </row>
    <row r="159" spans="1:14" hidden="1">
      <c r="A159" s="2086" t="s">
        <v>14</v>
      </c>
      <c r="B159" s="1801">
        <f t="shared" ref="B159:J159" si="90">+B113-B136</f>
        <v>0</v>
      </c>
      <c r="C159" s="1833">
        <f t="shared" si="90"/>
        <v>163263</v>
      </c>
      <c r="D159" s="1058">
        <f t="shared" si="90"/>
        <v>8436393</v>
      </c>
      <c r="E159" s="2087">
        <f t="shared" si="90"/>
        <v>-68853</v>
      </c>
      <c r="F159" s="2087">
        <f t="shared" si="90"/>
        <v>-26507</v>
      </c>
      <c r="G159" s="2087">
        <f t="shared" si="90"/>
        <v>0</v>
      </c>
      <c r="H159" s="1802">
        <f t="shared" si="82"/>
        <v>0</v>
      </c>
      <c r="I159" s="2087">
        <f t="shared" ref="I159" si="91">+I113-I136</f>
        <v>0</v>
      </c>
      <c r="J159" s="2088">
        <f t="shared" si="90"/>
        <v>8504296</v>
      </c>
      <c r="K159" s="634"/>
      <c r="L159" s="820"/>
      <c r="M159" s="498"/>
      <c r="N159" s="1996"/>
    </row>
    <row r="160" spans="1:14" hidden="1">
      <c r="A160" s="2086" t="s">
        <v>48</v>
      </c>
      <c r="B160" s="1802">
        <f t="shared" ref="B160:J160" si="92">+B114-B137</f>
        <v>0</v>
      </c>
      <c r="C160" s="1833">
        <f t="shared" si="92"/>
        <v>0</v>
      </c>
      <c r="D160" s="1058">
        <f t="shared" si="92"/>
        <v>0</v>
      </c>
      <c r="E160" s="2087">
        <f t="shared" si="92"/>
        <v>0</v>
      </c>
      <c r="F160" s="2087">
        <f t="shared" si="92"/>
        <v>0</v>
      </c>
      <c r="G160" s="2087">
        <f t="shared" si="92"/>
        <v>0</v>
      </c>
      <c r="H160" s="1802">
        <f t="shared" si="82"/>
        <v>0</v>
      </c>
      <c r="I160" s="2087">
        <f t="shared" ref="I160" si="93">+I114-I137</f>
        <v>0</v>
      </c>
      <c r="J160" s="2087">
        <f t="shared" si="92"/>
        <v>0</v>
      </c>
      <c r="K160" s="634"/>
      <c r="L160" s="820"/>
      <c r="M160" s="498"/>
      <c r="N160" s="1996"/>
    </row>
    <row r="161" spans="1:16" hidden="1">
      <c r="A161" s="2086" t="s">
        <v>18</v>
      </c>
      <c r="B161" s="1802">
        <f t="shared" ref="B161:J161" si="94">+B115-B138</f>
        <v>0</v>
      </c>
      <c r="C161" s="1833">
        <f t="shared" si="94"/>
        <v>0</v>
      </c>
      <c r="D161" s="1058">
        <f t="shared" si="94"/>
        <v>0</v>
      </c>
      <c r="E161" s="2087">
        <f t="shared" si="94"/>
        <v>0</v>
      </c>
      <c r="F161" s="2087">
        <f t="shared" si="94"/>
        <v>0</v>
      </c>
      <c r="G161" s="2087">
        <f t="shared" si="94"/>
        <v>0</v>
      </c>
      <c r="H161" s="1802">
        <f t="shared" si="82"/>
        <v>0</v>
      </c>
      <c r="I161" s="2087">
        <f t="shared" ref="I161" si="95">+I115-I138</f>
        <v>0</v>
      </c>
      <c r="J161" s="2088">
        <f t="shared" si="94"/>
        <v>0</v>
      </c>
      <c r="K161" s="634"/>
      <c r="L161" s="820"/>
      <c r="M161" s="498"/>
      <c r="N161" s="1996"/>
    </row>
    <row r="162" spans="1:16" hidden="1">
      <c r="A162" s="2086" t="s">
        <v>16</v>
      </c>
      <c r="B162" s="1802">
        <f t="shared" ref="B162:J162" si="96">+B116-B139</f>
        <v>0</v>
      </c>
      <c r="C162" s="1833">
        <f t="shared" si="96"/>
        <v>-220902</v>
      </c>
      <c r="D162" s="1058">
        <f t="shared" si="96"/>
        <v>0</v>
      </c>
      <c r="E162" s="2087">
        <f t="shared" si="96"/>
        <v>220902</v>
      </c>
      <c r="F162" s="2087">
        <f t="shared" si="96"/>
        <v>0</v>
      </c>
      <c r="G162" s="2087">
        <f t="shared" si="96"/>
        <v>0</v>
      </c>
      <c r="H162" s="1802">
        <f t="shared" si="82"/>
        <v>0</v>
      </c>
      <c r="I162" s="2087">
        <f t="shared" ref="I162" si="97">+I116-I139</f>
        <v>0</v>
      </c>
      <c r="J162" s="2088">
        <f t="shared" si="96"/>
        <v>0</v>
      </c>
      <c r="K162" s="634"/>
      <c r="L162" s="820"/>
      <c r="M162" s="498"/>
      <c r="N162" s="1996"/>
    </row>
    <row r="163" spans="1:16" hidden="1">
      <c r="A163" s="2086" t="s">
        <v>19</v>
      </c>
      <c r="B163" s="1802">
        <f t="shared" ref="B163:J163" si="98">+B117-B140</f>
        <v>0</v>
      </c>
      <c r="C163" s="1833">
        <f t="shared" si="98"/>
        <v>-10883910</v>
      </c>
      <c r="D163" s="1058">
        <f t="shared" si="98"/>
        <v>8381056</v>
      </c>
      <c r="E163" s="2087">
        <f t="shared" si="98"/>
        <v>17955384</v>
      </c>
      <c r="F163" s="2087">
        <f t="shared" si="98"/>
        <v>3678036</v>
      </c>
      <c r="G163" s="2087">
        <f t="shared" si="98"/>
        <v>-4767358</v>
      </c>
      <c r="H163" s="1802">
        <f t="shared" si="82"/>
        <v>0</v>
      </c>
      <c r="I163" s="2087">
        <f t="shared" ref="I163" si="99">+I117-I140</f>
        <v>0</v>
      </c>
      <c r="J163" s="2088">
        <f t="shared" si="98"/>
        <v>14363208</v>
      </c>
      <c r="K163" s="634">
        <f>+J163-J173</f>
        <v>0</v>
      </c>
      <c r="L163" s="820"/>
      <c r="M163" s="498"/>
      <c r="N163" s="1996"/>
      <c r="P163" s="509">
        <f>+J163-J173</f>
        <v>0</v>
      </c>
    </row>
    <row r="164" spans="1:16" ht="15" hidden="1" customHeight="1" thickBot="1">
      <c r="A164" s="2089"/>
      <c r="B164" s="3552">
        <f t="shared" ref="B164:J164" si="100">SUM(B156:B163)</f>
        <v>0</v>
      </c>
      <c r="C164" s="3553">
        <f>SUM(C156:C163)</f>
        <v>-27237404</v>
      </c>
      <c r="D164" s="3554">
        <f t="shared" si="100"/>
        <v>12283669</v>
      </c>
      <c r="E164" s="3555">
        <f t="shared" si="100"/>
        <v>32463312</v>
      </c>
      <c r="F164" s="3555">
        <f t="shared" si="100"/>
        <v>18528651</v>
      </c>
      <c r="G164" s="3555">
        <f t="shared" si="100"/>
        <v>-5721628</v>
      </c>
      <c r="H164" s="3552">
        <f>SUM(H156:H163)</f>
        <v>83899</v>
      </c>
      <c r="I164" s="3555">
        <f t="shared" ref="I164" si="101">SUM(I156:I163)</f>
        <v>0</v>
      </c>
      <c r="J164" s="3555">
        <f t="shared" si="100"/>
        <v>30400499</v>
      </c>
      <c r="K164" s="635"/>
      <c r="L164" s="820"/>
      <c r="M164" s="498"/>
      <c r="N164" s="1996"/>
    </row>
    <row r="165" spans="1:16" ht="14.25" hidden="1" customHeight="1" thickBot="1">
      <c r="A165" s="2090" t="s">
        <v>39</v>
      </c>
      <c r="B165" s="1803">
        <f t="shared" ref="B165:J165" si="102">+B109-B132</f>
        <v>0</v>
      </c>
      <c r="C165" s="1081">
        <f>+C109-C132</f>
        <v>-27237404</v>
      </c>
      <c r="D165" s="636">
        <f>+D109-D132</f>
        <v>12283669</v>
      </c>
      <c r="E165" s="636">
        <f t="shared" si="102"/>
        <v>32463312</v>
      </c>
      <c r="F165" s="636">
        <f t="shared" si="102"/>
        <v>18528651</v>
      </c>
      <c r="G165" s="636">
        <f t="shared" si="102"/>
        <v>-5721628</v>
      </c>
      <c r="H165" s="1803">
        <f>+H109-H132</f>
        <v>83899</v>
      </c>
      <c r="I165" s="636">
        <f t="shared" ref="I165" si="103">+I109-I132</f>
        <v>0</v>
      </c>
      <c r="J165" s="636">
        <f t="shared" si="102"/>
        <v>30400499</v>
      </c>
      <c r="K165" s="636"/>
      <c r="L165" s="820"/>
      <c r="M165" s="498"/>
      <c r="N165" s="1996"/>
    </row>
    <row r="166" spans="1:16" ht="16.5" hidden="1" customHeight="1" thickBot="1">
      <c r="A166" s="1781" t="s">
        <v>50</v>
      </c>
      <c r="B166" s="1804">
        <f t="shared" ref="B166:G173" si="104">+B120-B144</f>
        <v>0</v>
      </c>
      <c r="C166" s="1082">
        <f>+C120-C144</f>
        <v>-13218714</v>
      </c>
      <c r="D166" s="638">
        <f t="shared" si="104"/>
        <v>14349070</v>
      </c>
      <c r="E166" s="637">
        <f t="shared" si="104"/>
        <v>6839752</v>
      </c>
      <c r="F166" s="637">
        <f t="shared" si="104"/>
        <v>3329954</v>
      </c>
      <c r="G166" s="637">
        <f t="shared" si="104"/>
        <v>0</v>
      </c>
      <c r="H166" s="1804">
        <f t="shared" ref="H166:H173" si="105">+H120-H144</f>
        <v>0</v>
      </c>
      <c r="I166" s="637">
        <f t="shared" ref="I166" si="106">+I120-I144</f>
        <v>0</v>
      </c>
      <c r="J166" s="1782">
        <f>SUM(J167:J173)</f>
        <v>23531504</v>
      </c>
      <c r="K166" s="639"/>
      <c r="L166" s="820"/>
      <c r="M166" s="498"/>
      <c r="N166" s="1996"/>
    </row>
    <row r="167" spans="1:16" ht="14.25" hidden="1" customHeight="1">
      <c r="A167" s="2085" t="s">
        <v>12</v>
      </c>
      <c r="B167" s="1801">
        <f>+B121-B145</f>
        <v>0</v>
      </c>
      <c r="C167" s="1583">
        <f t="shared" si="104"/>
        <v>41669</v>
      </c>
      <c r="D167" s="1584">
        <f t="shared" si="104"/>
        <v>276611</v>
      </c>
      <c r="E167" s="1582">
        <f t="shared" si="104"/>
        <v>283981</v>
      </c>
      <c r="F167" s="1582">
        <f t="shared" si="104"/>
        <v>103136</v>
      </c>
      <c r="G167" s="1582">
        <f t="shared" si="104"/>
        <v>0</v>
      </c>
      <c r="H167" s="1801">
        <f t="shared" si="105"/>
        <v>0</v>
      </c>
      <c r="I167" s="1582">
        <f t="shared" ref="I167" si="107">+I121-I145</f>
        <v>0</v>
      </c>
      <c r="J167" s="1592">
        <f t="shared" ref="J167:J173" si="108">+J121-J145</f>
        <v>705397</v>
      </c>
      <c r="K167" s="640"/>
      <c r="L167" s="820"/>
      <c r="M167" s="498"/>
      <c r="N167" s="1996"/>
    </row>
    <row r="168" spans="1:16" ht="14.25" hidden="1" customHeight="1" thickBot="1">
      <c r="A168" s="2086" t="s">
        <v>14</v>
      </c>
      <c r="B168" s="1802">
        <f>+B122-B146</f>
        <v>0</v>
      </c>
      <c r="C168" s="1833">
        <f t="shared" si="104"/>
        <v>219701</v>
      </c>
      <c r="D168" s="1058">
        <f t="shared" si="104"/>
        <v>8582346</v>
      </c>
      <c r="E168" s="2087">
        <f t="shared" si="104"/>
        <v>197417</v>
      </c>
      <c r="F168" s="2087">
        <f t="shared" si="104"/>
        <v>-495168</v>
      </c>
      <c r="G168" s="2087">
        <f t="shared" si="104"/>
        <v>0</v>
      </c>
      <c r="H168" s="1802">
        <f t="shared" si="105"/>
        <v>0</v>
      </c>
      <c r="I168" s="2087">
        <f t="shared" ref="I168" si="109">+I122-I146</f>
        <v>0</v>
      </c>
      <c r="J168" s="2091">
        <f t="shared" si="108"/>
        <v>8504296</v>
      </c>
      <c r="K168" s="640"/>
      <c r="L168" s="820"/>
      <c r="M168" s="648"/>
      <c r="N168" s="2065"/>
    </row>
    <row r="169" spans="1:16" ht="14.25" hidden="1" customHeight="1" thickBot="1">
      <c r="A169" s="2086" t="s">
        <v>52</v>
      </c>
      <c r="B169" s="1802">
        <f>+B123-B147</f>
        <v>0</v>
      </c>
      <c r="C169" s="1833">
        <f t="shared" si="104"/>
        <v>0</v>
      </c>
      <c r="D169" s="1058">
        <f t="shared" si="104"/>
        <v>0</v>
      </c>
      <c r="E169" s="2087">
        <f t="shared" si="104"/>
        <v>0</v>
      </c>
      <c r="F169" s="2087">
        <f t="shared" si="104"/>
        <v>0</v>
      </c>
      <c r="G169" s="2087">
        <f t="shared" si="104"/>
        <v>0</v>
      </c>
      <c r="H169" s="1802">
        <f t="shared" si="105"/>
        <v>0</v>
      </c>
      <c r="I169" s="2087">
        <f t="shared" ref="I169" si="110">+I123-I147</f>
        <v>0</v>
      </c>
      <c r="J169" s="2092">
        <f t="shared" si="108"/>
        <v>0</v>
      </c>
      <c r="K169" s="640"/>
      <c r="L169" s="820"/>
      <c r="M169" s="1329"/>
      <c r="N169" s="2093"/>
    </row>
    <row r="170" spans="1:16" ht="14.25" hidden="1" customHeight="1" thickBot="1">
      <c r="A170" s="2086" t="s">
        <v>11</v>
      </c>
      <c r="B170" s="1802">
        <f t="shared" si="104"/>
        <v>0</v>
      </c>
      <c r="C170" s="1833">
        <f t="shared" si="104"/>
        <v>-1193762</v>
      </c>
      <c r="D170" s="1058">
        <f t="shared" si="104"/>
        <v>903700</v>
      </c>
      <c r="E170" s="2087">
        <f t="shared" si="104"/>
        <v>104715</v>
      </c>
      <c r="F170" s="2087">
        <f t="shared" si="104"/>
        <v>143950</v>
      </c>
      <c r="G170" s="2087">
        <f t="shared" si="104"/>
        <v>0</v>
      </c>
      <c r="H170" s="1802">
        <f t="shared" si="105"/>
        <v>0</v>
      </c>
      <c r="I170" s="2087">
        <f t="shared" ref="I170" si="111">+I124-I148</f>
        <v>0</v>
      </c>
      <c r="J170" s="2092">
        <f t="shared" si="108"/>
        <v>-41397</v>
      </c>
      <c r="K170" s="640"/>
      <c r="L170" s="820"/>
      <c r="M170" s="1329"/>
      <c r="N170" s="2093"/>
    </row>
    <row r="171" spans="1:16" ht="14.25" hidden="1" customHeight="1" thickBot="1">
      <c r="A171" s="2086" t="s">
        <v>16</v>
      </c>
      <c r="B171" s="1802">
        <f t="shared" si="104"/>
        <v>0</v>
      </c>
      <c r="C171" s="1583">
        <f t="shared" si="104"/>
        <v>-220902</v>
      </c>
      <c r="D171" s="1584">
        <f t="shared" si="104"/>
        <v>0</v>
      </c>
      <c r="E171" s="1582">
        <f t="shared" si="104"/>
        <v>220902</v>
      </c>
      <c r="F171" s="1582">
        <f t="shared" si="104"/>
        <v>0</v>
      </c>
      <c r="G171" s="1582">
        <f t="shared" si="104"/>
        <v>0</v>
      </c>
      <c r="H171" s="1801">
        <f t="shared" si="105"/>
        <v>0</v>
      </c>
      <c r="I171" s="1582">
        <f t="shared" ref="I171" si="112">+I125-I149</f>
        <v>0</v>
      </c>
      <c r="J171" s="1592">
        <f t="shared" si="108"/>
        <v>0</v>
      </c>
      <c r="K171" s="1361"/>
      <c r="L171" s="820"/>
      <c r="M171" s="646"/>
      <c r="N171" s="2093"/>
    </row>
    <row r="172" spans="1:16" ht="14.25" hidden="1" customHeight="1" thickBot="1">
      <c r="A172" s="2086" t="s">
        <v>18</v>
      </c>
      <c r="B172" s="1802">
        <f t="shared" si="104"/>
        <v>0</v>
      </c>
      <c r="C172" s="1833">
        <f t="shared" si="104"/>
        <v>0</v>
      </c>
      <c r="D172" s="1058">
        <f t="shared" si="104"/>
        <v>0</v>
      </c>
      <c r="E172" s="2087">
        <f t="shared" si="104"/>
        <v>0</v>
      </c>
      <c r="F172" s="2087">
        <f t="shared" si="104"/>
        <v>0</v>
      </c>
      <c r="G172" s="2087">
        <f t="shared" si="104"/>
        <v>0</v>
      </c>
      <c r="H172" s="1802">
        <f t="shared" si="105"/>
        <v>0</v>
      </c>
      <c r="I172" s="2087">
        <f t="shared" ref="I172" si="113">+I126-I150</f>
        <v>0</v>
      </c>
      <c r="J172" s="2091">
        <f t="shared" si="108"/>
        <v>0</v>
      </c>
      <c r="K172" s="640"/>
      <c r="L172" s="820"/>
      <c r="M172" s="498"/>
      <c r="N172" s="2093"/>
    </row>
    <row r="173" spans="1:16" ht="14.25" hidden="1" customHeight="1" thickBot="1">
      <c r="A173" s="3570" t="s">
        <v>19</v>
      </c>
      <c r="B173" s="3571">
        <f t="shared" si="104"/>
        <v>0</v>
      </c>
      <c r="C173" s="3572">
        <f t="shared" si="104"/>
        <v>-12065420</v>
      </c>
      <c r="D173" s="3573">
        <f t="shared" si="104"/>
        <v>4586413</v>
      </c>
      <c r="E173" s="3574">
        <f t="shared" si="104"/>
        <v>6032737</v>
      </c>
      <c r="F173" s="3574">
        <f t="shared" si="104"/>
        <v>3578036</v>
      </c>
      <c r="G173" s="3574">
        <f t="shared" si="104"/>
        <v>0</v>
      </c>
      <c r="H173" s="3571">
        <f t="shared" si="105"/>
        <v>0</v>
      </c>
      <c r="I173" s="3574">
        <f t="shared" ref="I173" si="114">+I127-I151</f>
        <v>0</v>
      </c>
      <c r="J173" s="3575">
        <f t="shared" si="108"/>
        <v>14363208</v>
      </c>
      <c r="K173" s="640"/>
      <c r="L173" s="820"/>
      <c r="M173" s="498"/>
      <c r="N173" s="2093"/>
    </row>
    <row r="174" spans="1:16" ht="13.5" hidden="1" thickBot="1">
      <c r="A174" s="3576"/>
      <c r="B174" s="3577">
        <f t="shared" ref="B174:J174" si="115">SUM(B167:B173)</f>
        <v>0</v>
      </c>
      <c r="C174" s="3578">
        <f t="shared" si="115"/>
        <v>-13218714</v>
      </c>
      <c r="D174" s="3579">
        <f t="shared" si="115"/>
        <v>14349070</v>
      </c>
      <c r="E174" s="3579">
        <f t="shared" si="115"/>
        <v>6839752</v>
      </c>
      <c r="F174" s="3579">
        <f t="shared" si="115"/>
        <v>3329954</v>
      </c>
      <c r="G174" s="3579">
        <f t="shared" si="115"/>
        <v>0</v>
      </c>
      <c r="H174" s="3577">
        <f>SUM(H167:H173)</f>
        <v>0</v>
      </c>
      <c r="I174" s="3579">
        <f t="shared" ref="I174" si="116">SUM(I167:I173)</f>
        <v>0</v>
      </c>
      <c r="J174" s="3580">
        <f t="shared" si="115"/>
        <v>23531504</v>
      </c>
      <c r="K174" s="641"/>
      <c r="L174" s="820"/>
      <c r="M174" s="498"/>
      <c r="N174" s="2093"/>
    </row>
    <row r="175" spans="1:16" ht="2.25" hidden="1" customHeight="1" thickBot="1">
      <c r="A175" s="2074"/>
      <c r="B175" s="642"/>
      <c r="J175" s="498"/>
      <c r="K175" s="820"/>
      <c r="L175" s="820"/>
      <c r="M175" s="498"/>
      <c r="N175" s="2093"/>
    </row>
    <row r="176" spans="1:16" ht="13.5" hidden="1" thickBot="1">
      <c r="A176" s="2094" t="s">
        <v>39</v>
      </c>
      <c r="B176" s="644">
        <f t="shared" ref="B176:J176" si="117">+B120-B144</f>
        <v>0</v>
      </c>
      <c r="C176" s="643">
        <f t="shared" si="117"/>
        <v>-13218714</v>
      </c>
      <c r="D176" s="643">
        <f t="shared" si="117"/>
        <v>14349070</v>
      </c>
      <c r="E176" s="643">
        <f t="shared" si="117"/>
        <v>6839752</v>
      </c>
      <c r="F176" s="643">
        <f t="shared" si="117"/>
        <v>3329954</v>
      </c>
      <c r="G176" s="643">
        <f t="shared" si="117"/>
        <v>0</v>
      </c>
      <c r="H176" s="643">
        <f>+H120-H144</f>
        <v>0</v>
      </c>
      <c r="I176" s="643">
        <f t="shared" ref="I176" si="118">+I120-I144</f>
        <v>0</v>
      </c>
      <c r="J176" s="643">
        <f t="shared" si="117"/>
        <v>23531504</v>
      </c>
      <c r="K176" s="820"/>
      <c r="L176" s="820"/>
      <c r="M176" s="498"/>
      <c r="N176" s="2093"/>
    </row>
    <row r="177" spans="1:14" ht="14.25" hidden="1" customHeight="1" thickBot="1">
      <c r="A177" s="2074"/>
      <c r="B177" s="505">
        <f>+B176-B174</f>
        <v>0</v>
      </c>
      <c r="C177" s="505">
        <f t="shared" ref="C177:I177" si="119">+C176-C174</f>
        <v>0</v>
      </c>
      <c r="D177" s="505">
        <f t="shared" si="119"/>
        <v>0</v>
      </c>
      <c r="E177" s="505">
        <f t="shared" si="119"/>
        <v>0</v>
      </c>
      <c r="F177" s="505">
        <f t="shared" si="119"/>
        <v>0</v>
      </c>
      <c r="G177" s="505">
        <f t="shared" si="119"/>
        <v>0</v>
      </c>
      <c r="H177" s="505">
        <f>+H176-H174</f>
        <v>0</v>
      </c>
      <c r="I177" s="505">
        <f t="shared" si="119"/>
        <v>0</v>
      </c>
      <c r="J177" s="505">
        <f t="shared" ref="J177" si="120">+J176-J174</f>
        <v>0</v>
      </c>
      <c r="K177" s="820"/>
      <c r="L177" s="820"/>
      <c r="M177" s="498"/>
      <c r="N177" s="2093"/>
    </row>
    <row r="178" spans="1:14" ht="12" hidden="1" customHeight="1">
      <c r="A178" s="2074"/>
      <c r="J178" s="505"/>
      <c r="K178" s="820"/>
      <c r="L178" s="820"/>
      <c r="M178" s="498"/>
      <c r="N178" s="1995"/>
    </row>
    <row r="179" spans="1:14" hidden="1">
      <c r="A179" s="2074"/>
      <c r="J179" s="498"/>
      <c r="K179" s="820"/>
      <c r="L179" s="820"/>
      <c r="M179" s="498"/>
      <c r="N179" s="1996"/>
    </row>
    <row r="180" spans="1:14" hidden="1">
      <c r="A180" s="2074"/>
      <c r="J180" s="498"/>
      <c r="K180" s="820"/>
      <c r="L180" s="820"/>
      <c r="M180" s="498"/>
      <c r="N180" s="1996"/>
    </row>
    <row r="181" spans="1:14" hidden="1">
      <c r="A181" s="2074"/>
      <c r="J181" s="498"/>
      <c r="K181" s="820"/>
      <c r="L181" s="820"/>
      <c r="M181" s="498"/>
      <c r="N181" s="1996"/>
    </row>
    <row r="182" spans="1:14" hidden="1">
      <c r="A182" s="2074"/>
      <c r="J182" s="498"/>
      <c r="K182" s="820"/>
      <c r="L182" s="820"/>
      <c r="M182" s="498"/>
      <c r="N182" s="1996"/>
    </row>
    <row r="183" spans="1:14" ht="41.25" hidden="1" customHeight="1">
      <c r="A183" s="2074"/>
      <c r="J183" s="498"/>
      <c r="K183" s="820"/>
      <c r="L183" s="820"/>
      <c r="M183" s="498"/>
      <c r="N183" s="1996"/>
    </row>
    <row r="184" spans="1:14" hidden="1">
      <c r="A184" s="2074"/>
      <c r="J184" s="498"/>
      <c r="K184" s="820"/>
      <c r="L184" s="820"/>
      <c r="M184" s="498"/>
      <c r="N184" s="1996"/>
    </row>
    <row r="185" spans="1:14" hidden="1">
      <c r="A185" s="2074"/>
      <c r="J185" s="498"/>
      <c r="K185" s="820"/>
      <c r="L185" s="820"/>
      <c r="M185" s="498"/>
      <c r="N185" s="1996"/>
    </row>
    <row r="186" spans="1:14" hidden="1">
      <c r="A186" s="2074"/>
      <c r="J186" s="498"/>
      <c r="K186" s="820"/>
      <c r="L186" s="820"/>
      <c r="M186" s="498"/>
      <c r="N186" s="1996"/>
    </row>
    <row r="187" spans="1:14" hidden="1">
      <c r="A187" s="2074"/>
      <c r="J187" s="498"/>
      <c r="K187" s="820"/>
      <c r="L187" s="820"/>
      <c r="M187" s="498"/>
      <c r="N187" s="1996"/>
    </row>
    <row r="188" spans="1:14" hidden="1">
      <c r="A188" s="2074"/>
      <c r="J188" s="498"/>
      <c r="K188" s="820"/>
      <c r="L188" s="820"/>
      <c r="M188" s="498"/>
      <c r="N188" s="1996"/>
    </row>
    <row r="189" spans="1:14" hidden="1">
      <c r="A189" s="2074"/>
      <c r="J189" s="498"/>
      <c r="K189" s="820"/>
      <c r="L189" s="820"/>
      <c r="M189" s="498"/>
      <c r="N189" s="1996"/>
    </row>
    <row r="190" spans="1:14" hidden="1">
      <c r="A190" s="2074"/>
      <c r="J190" s="498"/>
      <c r="K190" s="820"/>
      <c r="L190" s="820"/>
      <c r="M190" s="498"/>
      <c r="N190" s="1996"/>
    </row>
    <row r="191" spans="1:14" hidden="1">
      <c r="A191" s="2074"/>
      <c r="J191" s="498"/>
      <c r="K191" s="820"/>
      <c r="L191" s="820"/>
      <c r="M191" s="498"/>
      <c r="N191" s="1996"/>
    </row>
    <row r="192" spans="1:14" hidden="1">
      <c r="A192" s="2074"/>
      <c r="J192" s="498"/>
      <c r="K192" s="820"/>
      <c r="L192" s="820"/>
      <c r="M192" s="498"/>
      <c r="N192" s="1996"/>
    </row>
    <row r="193" spans="1:14" hidden="1">
      <c r="A193" s="2074"/>
      <c r="J193" s="498"/>
      <c r="K193" s="820"/>
      <c r="L193" s="820"/>
      <c r="M193" s="498"/>
      <c r="N193" s="1996"/>
    </row>
    <row r="194" spans="1:14" hidden="1">
      <c r="A194" s="2074"/>
      <c r="J194" s="498"/>
      <c r="K194" s="820"/>
      <c r="L194" s="820"/>
      <c r="M194" s="498"/>
      <c r="N194" s="1996"/>
    </row>
    <row r="195" spans="1:14" hidden="1">
      <c r="A195" s="2074"/>
      <c r="J195" s="498"/>
      <c r="K195" s="820"/>
      <c r="L195" s="820"/>
      <c r="M195" s="498"/>
      <c r="N195" s="1996"/>
    </row>
    <row r="196" spans="1:14" hidden="1">
      <c r="A196" s="2074"/>
      <c r="J196" s="498"/>
      <c r="K196" s="820"/>
      <c r="L196" s="820"/>
      <c r="M196" s="498"/>
      <c r="N196" s="1996"/>
    </row>
    <row r="197" spans="1:14" hidden="1">
      <c r="A197" s="2074"/>
      <c r="J197" s="498"/>
      <c r="K197" s="820"/>
      <c r="L197" s="820"/>
      <c r="M197" s="498"/>
      <c r="N197" s="1996"/>
    </row>
    <row r="198" spans="1:14" hidden="1">
      <c r="A198" s="2074"/>
      <c r="J198" s="498"/>
      <c r="K198" s="820"/>
      <c r="L198" s="820"/>
      <c r="M198" s="498"/>
      <c r="N198" s="1996"/>
    </row>
    <row r="199" spans="1:14" hidden="1">
      <c r="A199" s="2074"/>
      <c r="J199" s="498"/>
      <c r="K199" s="820"/>
      <c r="L199" s="820"/>
      <c r="M199" s="498"/>
      <c r="N199" s="1996"/>
    </row>
    <row r="200" spans="1:14" hidden="1">
      <c r="A200" s="2074"/>
      <c r="J200" s="498"/>
      <c r="K200" s="820"/>
      <c r="L200" s="820"/>
      <c r="M200" s="498"/>
      <c r="N200" s="1996"/>
    </row>
    <row r="201" spans="1:14" hidden="1">
      <c r="A201" s="2074"/>
      <c r="J201" s="498"/>
      <c r="K201" s="820"/>
      <c r="L201" s="820"/>
      <c r="M201" s="498"/>
      <c r="N201" s="1996"/>
    </row>
    <row r="202" spans="1:14" hidden="1">
      <c r="A202" s="2074"/>
      <c r="J202" s="498"/>
      <c r="K202" s="820"/>
      <c r="L202" s="820"/>
      <c r="M202" s="498"/>
      <c r="N202" s="1996"/>
    </row>
    <row r="203" spans="1:14" hidden="1">
      <c r="A203" s="2074"/>
      <c r="J203" s="498"/>
      <c r="K203" s="820"/>
      <c r="L203" s="820"/>
      <c r="M203" s="498"/>
      <c r="N203" s="1996"/>
    </row>
    <row r="204" spans="1:14" hidden="1">
      <c r="A204" s="2074"/>
      <c r="J204" s="498"/>
      <c r="K204" s="820"/>
      <c r="L204" s="820"/>
      <c r="M204" s="498"/>
      <c r="N204" s="1996"/>
    </row>
    <row r="205" spans="1:14" hidden="1">
      <c r="A205" s="2074"/>
      <c r="J205" s="498"/>
      <c r="K205" s="820"/>
      <c r="L205" s="820"/>
      <c r="M205" s="498"/>
      <c r="N205" s="1996"/>
    </row>
    <row r="206" spans="1:14" hidden="1">
      <c r="A206" s="2074"/>
      <c r="J206" s="498"/>
      <c r="K206" s="820"/>
      <c r="L206" s="820"/>
      <c r="M206" s="498"/>
      <c r="N206" s="1996"/>
    </row>
    <row r="207" spans="1:14" hidden="1">
      <c r="A207" s="2074"/>
      <c r="J207" s="498"/>
      <c r="K207" s="820"/>
      <c r="L207" s="820"/>
      <c r="M207" s="498"/>
      <c r="N207" s="1996"/>
    </row>
    <row r="208" spans="1:14" hidden="1">
      <c r="A208" s="2074"/>
      <c r="J208" s="498"/>
      <c r="K208" s="820"/>
      <c r="L208" s="820"/>
      <c r="M208" s="498"/>
      <c r="N208" s="1996"/>
    </row>
    <row r="209" spans="1:14" hidden="1">
      <c r="A209" s="2074"/>
      <c r="J209" s="498"/>
      <c r="K209" s="820"/>
      <c r="L209" s="820"/>
      <c r="M209" s="498"/>
      <c r="N209" s="1996"/>
    </row>
    <row r="210" spans="1:14" hidden="1">
      <c r="A210" s="2074"/>
      <c r="J210" s="498"/>
      <c r="K210" s="820"/>
      <c r="L210" s="820"/>
      <c r="M210" s="498"/>
      <c r="N210" s="1996"/>
    </row>
    <row r="211" spans="1:14" hidden="1">
      <c r="A211" s="2074"/>
      <c r="J211" s="498"/>
      <c r="K211" s="820"/>
      <c r="L211" s="820"/>
      <c r="M211" s="498"/>
      <c r="N211" s="1996"/>
    </row>
    <row r="212" spans="1:14" ht="13.5" hidden="1" thickBot="1">
      <c r="A212" s="2074"/>
      <c r="J212" s="498"/>
      <c r="K212" s="820"/>
      <c r="L212" s="820"/>
      <c r="M212" s="498"/>
      <c r="N212" s="2065"/>
    </row>
    <row r="213" spans="1:14" ht="13.5" hidden="1" thickBot="1">
      <c r="A213" s="2074"/>
      <c r="J213" s="498"/>
      <c r="K213" s="820"/>
      <c r="L213" s="820"/>
      <c r="M213" s="498"/>
      <c r="N213" s="2093"/>
    </row>
    <row r="214" spans="1:14" ht="13.5" hidden="1" thickBot="1">
      <c r="A214" s="2074"/>
      <c r="J214" s="498"/>
      <c r="K214" s="820"/>
      <c r="L214" s="820"/>
      <c r="M214" s="498"/>
      <c r="N214" s="2093"/>
    </row>
    <row r="215" spans="1:14" ht="13.5" hidden="1" thickBot="1">
      <c r="A215" s="2074"/>
      <c r="J215" s="498"/>
      <c r="K215" s="820"/>
      <c r="L215" s="820"/>
      <c r="M215" s="498"/>
      <c r="N215" s="2093"/>
    </row>
    <row r="216" spans="1:14" ht="13.5" hidden="1" thickBot="1">
      <c r="A216" s="2074"/>
      <c r="J216" s="498"/>
      <c r="K216" s="820"/>
      <c r="L216" s="820"/>
      <c r="M216" s="498"/>
      <c r="N216" s="2093"/>
    </row>
    <row r="217" spans="1:14" ht="13.5" hidden="1" thickBot="1">
      <c r="A217" s="2074"/>
      <c r="J217" s="498"/>
      <c r="K217" s="820"/>
      <c r="L217" s="820"/>
      <c r="M217" s="498"/>
      <c r="N217" s="2093"/>
    </row>
    <row r="218" spans="1:14" ht="13.5" hidden="1" thickBot="1">
      <c r="A218" s="2074"/>
      <c r="J218" s="498"/>
      <c r="K218" s="820"/>
      <c r="L218" s="820"/>
      <c r="M218" s="498"/>
      <c r="N218" s="2093"/>
    </row>
    <row r="219" spans="1:14" ht="13.5" hidden="1" thickBot="1">
      <c r="A219" s="2074"/>
      <c r="J219" s="498"/>
      <c r="K219" s="820"/>
      <c r="L219" s="820"/>
      <c r="M219" s="498"/>
      <c r="N219" s="2093"/>
    </row>
    <row r="220" spans="1:14" ht="13.5" hidden="1" thickBot="1">
      <c r="A220" s="2074"/>
      <c r="J220" s="498"/>
      <c r="K220" s="820"/>
      <c r="L220" s="820"/>
      <c r="M220" s="498"/>
      <c r="N220" s="2093"/>
    </row>
    <row r="221" spans="1:14" ht="13.5" hidden="1" thickBot="1">
      <c r="A221" s="2074"/>
      <c r="J221" s="498"/>
      <c r="K221" s="820"/>
      <c r="L221" s="820"/>
      <c r="M221" s="498"/>
      <c r="N221" s="2093"/>
    </row>
    <row r="222" spans="1:14" ht="13.5" hidden="1" thickBot="1">
      <c r="A222" s="2074"/>
      <c r="J222" s="498"/>
      <c r="K222" s="820"/>
      <c r="L222" s="820"/>
      <c r="M222" s="498"/>
      <c r="N222" s="2093"/>
    </row>
    <row r="223" spans="1:14" ht="13.5" hidden="1" thickBot="1">
      <c r="A223" s="2074"/>
      <c r="J223" s="498"/>
      <c r="K223" s="820"/>
      <c r="L223" s="820"/>
      <c r="M223" s="498"/>
      <c r="N223" s="2093"/>
    </row>
    <row r="224" spans="1:14" ht="13.5" hidden="1" thickBot="1">
      <c r="A224" s="2074"/>
      <c r="J224" s="498"/>
      <c r="K224" s="820"/>
      <c r="L224" s="820"/>
      <c r="M224" s="498"/>
      <c r="N224" s="2093"/>
    </row>
    <row r="225" spans="1:14" ht="13.5" hidden="1" thickBot="1">
      <c r="A225" s="2074"/>
      <c r="J225" s="498"/>
      <c r="K225" s="820"/>
      <c r="L225" s="820"/>
      <c r="M225" s="498"/>
      <c r="N225" s="2093"/>
    </row>
    <row r="226" spans="1:14" hidden="1">
      <c r="A226" s="2074"/>
      <c r="J226" s="498"/>
      <c r="K226" s="820"/>
      <c r="L226" s="820"/>
      <c r="M226" s="498"/>
      <c r="N226" s="1995"/>
    </row>
    <row r="227" spans="1:14" hidden="1">
      <c r="A227" s="2074"/>
      <c r="J227" s="498"/>
      <c r="K227" s="820"/>
      <c r="L227" s="820"/>
      <c r="M227" s="498"/>
      <c r="N227" s="1996"/>
    </row>
    <row r="228" spans="1:14" hidden="1">
      <c r="A228" s="2074"/>
      <c r="J228" s="498"/>
      <c r="K228" s="820"/>
      <c r="L228" s="820"/>
      <c r="M228" s="498"/>
      <c r="N228" s="1996"/>
    </row>
    <row r="229" spans="1:14" hidden="1">
      <c r="A229" s="2074"/>
      <c r="J229" s="498"/>
      <c r="K229" s="820"/>
      <c r="L229" s="820"/>
      <c r="M229" s="498"/>
      <c r="N229" s="1996"/>
    </row>
    <row r="230" spans="1:14" hidden="1">
      <c r="A230" s="2074"/>
      <c r="J230" s="498"/>
      <c r="K230" s="820"/>
      <c r="L230" s="820"/>
      <c r="M230" s="498"/>
      <c r="N230" s="1996"/>
    </row>
    <row r="231" spans="1:14" hidden="1">
      <c r="A231" s="2074"/>
      <c r="J231" s="498"/>
      <c r="K231" s="820"/>
      <c r="L231" s="820"/>
      <c r="M231" s="498"/>
      <c r="N231" s="1996"/>
    </row>
    <row r="232" spans="1:14" hidden="1">
      <c r="A232" s="2074"/>
      <c r="J232" s="498"/>
      <c r="K232" s="820"/>
      <c r="L232" s="820"/>
      <c r="M232" s="498"/>
      <c r="N232" s="1996"/>
    </row>
    <row r="233" spans="1:14" hidden="1">
      <c r="A233" s="2074"/>
      <c r="J233" s="498"/>
      <c r="K233" s="820"/>
      <c r="L233" s="820"/>
      <c r="M233" s="498"/>
      <c r="N233" s="1996"/>
    </row>
    <row r="234" spans="1:14" hidden="1">
      <c r="A234" s="2074"/>
      <c r="J234" s="498"/>
      <c r="K234" s="820"/>
      <c r="L234" s="820"/>
      <c r="M234" s="498"/>
      <c r="N234" s="1996"/>
    </row>
    <row r="235" spans="1:14" hidden="1">
      <c r="A235" s="2074"/>
      <c r="J235" s="498"/>
      <c r="K235" s="820"/>
      <c r="L235" s="820"/>
      <c r="M235" s="498"/>
      <c r="N235" s="1996"/>
    </row>
    <row r="236" spans="1:14" hidden="1">
      <c r="A236" s="2074"/>
      <c r="J236" s="498"/>
      <c r="K236" s="820"/>
      <c r="L236" s="820"/>
      <c r="M236" s="498"/>
      <c r="N236" s="1996"/>
    </row>
    <row r="237" spans="1:14" hidden="1">
      <c r="A237" s="2074"/>
      <c r="J237" s="498"/>
      <c r="K237" s="820"/>
      <c r="L237" s="820"/>
      <c r="M237" s="498"/>
      <c r="N237" s="1996"/>
    </row>
    <row r="238" spans="1:14" hidden="1">
      <c r="A238" s="2074"/>
      <c r="J238" s="498"/>
      <c r="K238" s="820"/>
      <c r="L238" s="820"/>
      <c r="M238" s="498"/>
      <c r="N238" s="1996"/>
    </row>
    <row r="239" spans="1:14" hidden="1">
      <c r="A239" s="2074"/>
      <c r="J239" s="498"/>
      <c r="K239" s="820"/>
      <c r="L239" s="820"/>
      <c r="M239" s="498"/>
      <c r="N239" s="1996"/>
    </row>
    <row r="240" spans="1:14" hidden="1">
      <c r="A240" s="2074"/>
      <c r="J240" s="498"/>
      <c r="K240" s="820"/>
      <c r="L240" s="820"/>
      <c r="M240" s="498"/>
      <c r="N240" s="1996"/>
    </row>
    <row r="241" spans="1:14" hidden="1">
      <c r="A241" s="2074"/>
      <c r="J241" s="498"/>
      <c r="K241" s="820"/>
      <c r="L241" s="820"/>
      <c r="M241" s="498"/>
      <c r="N241" s="1996"/>
    </row>
    <row r="242" spans="1:14" hidden="1">
      <c r="A242" s="2074"/>
      <c r="J242" s="498"/>
      <c r="K242" s="820"/>
      <c r="L242" s="820"/>
      <c r="M242" s="498"/>
      <c r="N242" s="1996"/>
    </row>
    <row r="243" spans="1:14" hidden="1">
      <c r="A243" s="2074"/>
      <c r="J243" s="498"/>
      <c r="K243" s="820"/>
      <c r="L243" s="820"/>
      <c r="M243" s="498"/>
      <c r="N243" s="1996"/>
    </row>
    <row r="244" spans="1:14" hidden="1">
      <c r="A244" s="2074"/>
      <c r="J244" s="498"/>
      <c r="K244" s="820"/>
      <c r="L244" s="820"/>
      <c r="M244" s="498"/>
      <c r="N244" s="1996"/>
    </row>
    <row r="245" spans="1:14" hidden="1">
      <c r="A245" s="2074"/>
      <c r="J245" s="498"/>
      <c r="K245" s="820"/>
      <c r="L245" s="820"/>
      <c r="M245" s="498"/>
      <c r="N245" s="1996"/>
    </row>
    <row r="246" spans="1:14" hidden="1">
      <c r="A246" s="2074"/>
      <c r="J246" s="498"/>
      <c r="K246" s="820"/>
      <c r="L246" s="820"/>
      <c r="M246" s="498"/>
      <c r="N246" s="1996"/>
    </row>
    <row r="247" spans="1:14" hidden="1">
      <c r="A247" s="2074"/>
      <c r="J247" s="498"/>
      <c r="K247" s="820"/>
      <c r="L247" s="820"/>
      <c r="M247" s="498"/>
      <c r="N247" s="1996"/>
    </row>
    <row r="248" spans="1:14" hidden="1">
      <c r="A248" s="2074"/>
      <c r="J248" s="498"/>
      <c r="K248" s="820"/>
      <c r="L248" s="820"/>
      <c r="M248" s="498"/>
      <c r="N248" s="1996"/>
    </row>
    <row r="249" spans="1:14" hidden="1">
      <c r="A249" s="2074"/>
      <c r="J249" s="498"/>
      <c r="K249" s="820"/>
      <c r="L249" s="820"/>
      <c r="M249" s="498"/>
      <c r="N249" s="1996"/>
    </row>
    <row r="250" spans="1:14" hidden="1">
      <c r="A250" s="2074"/>
      <c r="J250" s="498"/>
      <c r="K250" s="820"/>
      <c r="L250" s="820"/>
      <c r="M250" s="498"/>
      <c r="N250" s="1996"/>
    </row>
    <row r="251" spans="1:14" hidden="1">
      <c r="A251" s="2074"/>
      <c r="J251" s="498"/>
      <c r="K251" s="820"/>
      <c r="L251" s="820"/>
      <c r="M251" s="498"/>
      <c r="N251" s="1996"/>
    </row>
    <row r="252" spans="1:14" hidden="1">
      <c r="A252" s="2074"/>
      <c r="J252" s="498"/>
      <c r="K252" s="820"/>
      <c r="L252" s="820"/>
      <c r="M252" s="498"/>
      <c r="N252" s="1996"/>
    </row>
    <row r="253" spans="1:14" hidden="1">
      <c r="A253" s="2074"/>
      <c r="J253" s="498"/>
      <c r="K253" s="820"/>
      <c r="L253" s="820"/>
      <c r="M253" s="498"/>
      <c r="N253" s="1996"/>
    </row>
    <row r="254" spans="1:14" hidden="1">
      <c r="A254" s="2074"/>
      <c r="J254" s="498"/>
      <c r="K254" s="820"/>
      <c r="L254" s="820"/>
      <c r="M254" s="498"/>
      <c r="N254" s="1996"/>
    </row>
    <row r="255" spans="1:14" hidden="1">
      <c r="A255" s="2074"/>
      <c r="J255" s="498"/>
      <c r="K255" s="820"/>
      <c r="L255" s="820"/>
      <c r="M255" s="498"/>
      <c r="N255" s="1996"/>
    </row>
    <row r="256" spans="1:14" hidden="1">
      <c r="A256" s="2074"/>
      <c r="J256" s="498"/>
      <c r="K256" s="820"/>
      <c r="L256" s="820"/>
      <c r="M256" s="498"/>
      <c r="N256" s="1996"/>
    </row>
    <row r="257" spans="1:14" hidden="1">
      <c r="A257" s="2074"/>
      <c r="J257" s="498"/>
      <c r="K257" s="820"/>
      <c r="L257" s="820"/>
      <c r="M257" s="498"/>
      <c r="N257" s="1996"/>
    </row>
    <row r="258" spans="1:14" hidden="1">
      <c r="A258" s="2074"/>
      <c r="J258" s="498"/>
      <c r="K258" s="820"/>
      <c r="L258" s="820"/>
      <c r="M258" s="498"/>
      <c r="N258" s="1996"/>
    </row>
    <row r="259" spans="1:14" hidden="1">
      <c r="A259" s="2074"/>
      <c r="J259" s="498"/>
      <c r="K259" s="820"/>
      <c r="L259" s="820"/>
      <c r="M259" s="498"/>
      <c r="N259" s="1996"/>
    </row>
    <row r="260" spans="1:14" hidden="1">
      <c r="A260" s="2074"/>
      <c r="J260" s="498"/>
      <c r="K260" s="820"/>
      <c r="L260" s="820"/>
      <c r="M260" s="498"/>
      <c r="N260" s="1996"/>
    </row>
    <row r="261" spans="1:14" hidden="1">
      <c r="A261" s="2074"/>
      <c r="J261" s="498"/>
      <c r="K261" s="820"/>
      <c r="L261" s="820"/>
      <c r="M261" s="498"/>
      <c r="N261" s="1996"/>
    </row>
    <row r="262" spans="1:14" hidden="1">
      <c r="A262" s="2074"/>
      <c r="J262" s="498"/>
      <c r="K262" s="820"/>
      <c r="L262" s="820"/>
      <c r="M262" s="498"/>
      <c r="N262" s="1996"/>
    </row>
    <row r="263" spans="1:14" hidden="1">
      <c r="A263" s="2074"/>
      <c r="J263" s="498"/>
      <c r="K263" s="820"/>
      <c r="L263" s="820"/>
      <c r="M263" s="498"/>
      <c r="N263" s="1996"/>
    </row>
    <row r="264" spans="1:14">
      <c r="A264" s="2074"/>
      <c r="J264" s="498"/>
      <c r="K264" s="820"/>
      <c r="L264" s="820"/>
      <c r="M264" s="498"/>
      <c r="N264" s="1996"/>
    </row>
    <row r="265" spans="1:14">
      <c r="A265" s="2074"/>
      <c r="J265" s="498"/>
      <c r="K265" s="820"/>
      <c r="L265" s="820"/>
      <c r="M265" s="498"/>
      <c r="N265" s="1996"/>
    </row>
    <row r="266" spans="1:14">
      <c r="A266" s="2074"/>
      <c r="J266" s="498"/>
      <c r="K266" s="820"/>
      <c r="L266" s="820"/>
      <c r="M266" s="498"/>
      <c r="N266" s="1996"/>
    </row>
    <row r="267" spans="1:14">
      <c r="A267" s="2074"/>
      <c r="J267" s="498"/>
      <c r="K267" s="820"/>
      <c r="L267" s="820"/>
      <c r="M267" s="498"/>
      <c r="N267" s="1996"/>
    </row>
    <row r="268" spans="1:14">
      <c r="A268" s="2074"/>
      <c r="J268" s="498"/>
      <c r="K268" s="820"/>
      <c r="L268" s="820"/>
      <c r="M268" s="498"/>
      <c r="N268" s="1996"/>
    </row>
    <row r="269" spans="1:14">
      <c r="A269" s="2074"/>
      <c r="J269" s="498"/>
      <c r="K269" s="820"/>
      <c r="L269" s="820"/>
      <c r="M269" s="498"/>
      <c r="N269" s="1996"/>
    </row>
    <row r="270" spans="1:14">
      <c r="A270" s="2074"/>
      <c r="J270" s="498"/>
      <c r="K270" s="820"/>
      <c r="L270" s="820"/>
      <c r="M270" s="498"/>
      <c r="N270" s="1996"/>
    </row>
    <row r="271" spans="1:14">
      <c r="A271" s="2074"/>
      <c r="J271" s="498"/>
      <c r="K271" s="820"/>
      <c r="L271" s="820"/>
      <c r="M271" s="498"/>
      <c r="N271" s="1996"/>
    </row>
    <row r="272" spans="1:14">
      <c r="A272" s="2074"/>
      <c r="J272" s="498"/>
      <c r="K272" s="820"/>
      <c r="L272" s="820"/>
      <c r="M272" s="498"/>
      <c r="N272" s="1996"/>
    </row>
    <row r="273" spans="1:14">
      <c r="A273" s="2074"/>
      <c r="J273" s="498"/>
      <c r="K273" s="820"/>
      <c r="L273" s="820"/>
      <c r="M273" s="498"/>
      <c r="N273" s="1996"/>
    </row>
    <row r="274" spans="1:14">
      <c r="A274" s="2074"/>
      <c r="J274" s="498"/>
      <c r="K274" s="820"/>
      <c r="L274" s="820"/>
      <c r="M274" s="498"/>
      <c r="N274" s="1996"/>
    </row>
    <row r="275" spans="1:14">
      <c r="A275" s="2074"/>
      <c r="J275" s="498"/>
      <c r="K275" s="820"/>
      <c r="L275" s="820"/>
      <c r="M275" s="498"/>
      <c r="N275" s="1996"/>
    </row>
    <row r="276" spans="1:14">
      <c r="A276" s="2074"/>
      <c r="J276" s="498"/>
      <c r="K276" s="820"/>
      <c r="L276" s="820"/>
      <c r="M276" s="498"/>
      <c r="N276" s="1996"/>
    </row>
    <row r="277" spans="1:14">
      <c r="A277" s="2074"/>
      <c r="J277" s="498"/>
      <c r="K277" s="820"/>
      <c r="L277" s="820"/>
      <c r="M277" s="498"/>
      <c r="N277" s="1996"/>
    </row>
    <row r="278" spans="1:14">
      <c r="A278" s="2074"/>
      <c r="J278" s="498"/>
      <c r="K278" s="820"/>
      <c r="L278" s="820"/>
      <c r="M278" s="498"/>
      <c r="N278" s="1996"/>
    </row>
    <row r="279" spans="1:14">
      <c r="A279" s="2074"/>
      <c r="J279" s="498"/>
      <c r="K279" s="820"/>
      <c r="L279" s="820"/>
      <c r="M279" s="498"/>
      <c r="N279" s="1996"/>
    </row>
    <row r="280" spans="1:14">
      <c r="A280" s="2074"/>
      <c r="J280" s="498"/>
      <c r="K280" s="820"/>
      <c r="L280" s="820"/>
      <c r="M280" s="498"/>
      <c r="N280" s="1996"/>
    </row>
    <row r="281" spans="1:14">
      <c r="A281" s="2074"/>
      <c r="J281" s="498"/>
      <c r="K281" s="820"/>
      <c r="L281" s="820"/>
      <c r="M281" s="498"/>
      <c r="N281" s="1996"/>
    </row>
    <row r="282" spans="1:14">
      <c r="A282" s="2074"/>
      <c r="J282" s="498"/>
      <c r="K282" s="820"/>
      <c r="L282" s="820"/>
      <c r="M282" s="498"/>
      <c r="N282" s="1996"/>
    </row>
    <row r="283" spans="1:14">
      <c r="A283" s="2074"/>
      <c r="J283" s="498"/>
      <c r="K283" s="820"/>
      <c r="L283" s="820"/>
      <c r="M283" s="498"/>
      <c r="N283" s="1996"/>
    </row>
    <row r="284" spans="1:14">
      <c r="A284" s="2074"/>
      <c r="J284" s="498"/>
      <c r="K284" s="820"/>
      <c r="L284" s="820"/>
      <c r="M284" s="498"/>
      <c r="N284" s="1996"/>
    </row>
    <row r="285" spans="1:14">
      <c r="A285" s="2074"/>
      <c r="J285" s="498"/>
      <c r="K285" s="820"/>
      <c r="L285" s="820"/>
      <c r="M285" s="498"/>
      <c r="N285" s="1996"/>
    </row>
    <row r="286" spans="1:14">
      <c r="A286" s="2074"/>
      <c r="J286" s="498"/>
      <c r="K286" s="820"/>
      <c r="L286" s="820"/>
      <c r="M286" s="498"/>
      <c r="N286" s="1996"/>
    </row>
    <row r="287" spans="1:14">
      <c r="A287" s="2074"/>
      <c r="J287" s="498"/>
      <c r="K287" s="820"/>
      <c r="L287" s="820"/>
      <c r="M287" s="498"/>
      <c r="N287" s="1996"/>
    </row>
    <row r="288" spans="1:14">
      <c r="A288" s="2074"/>
      <c r="J288" s="498"/>
      <c r="K288" s="820"/>
      <c r="L288" s="820"/>
      <c r="M288" s="498"/>
      <c r="N288" s="1996"/>
    </row>
    <row r="289" spans="1:14" ht="13.5" thickBot="1">
      <c r="A289" s="2095"/>
      <c r="B289" s="648"/>
      <c r="C289" s="648"/>
      <c r="D289" s="648"/>
      <c r="E289" s="648"/>
      <c r="F289" s="648"/>
      <c r="G289" s="648"/>
      <c r="H289" s="648"/>
      <c r="I289" s="648"/>
      <c r="J289" s="648"/>
      <c r="K289" s="328"/>
      <c r="L289" s="328"/>
      <c r="M289" s="648"/>
      <c r="N289" s="2065"/>
    </row>
    <row r="290" spans="1:14">
      <c r="A290" s="498"/>
      <c r="J290" s="498"/>
    </row>
    <row r="291" spans="1:14">
      <c r="A291" s="498"/>
      <c r="J291" s="498"/>
    </row>
    <row r="292" spans="1:14">
      <c r="A292" s="498"/>
      <c r="J292" s="498"/>
    </row>
    <row r="293" spans="1:14">
      <c r="A293" s="498"/>
      <c r="J293" s="498"/>
    </row>
    <row r="294" spans="1:14">
      <c r="A294" s="498"/>
      <c r="J294" s="498"/>
    </row>
    <row r="295" spans="1:14">
      <c r="A295" s="498"/>
      <c r="J295" s="498"/>
    </row>
    <row r="296" spans="1:14">
      <c r="A296" s="498"/>
      <c r="J296" s="498"/>
    </row>
    <row r="297" spans="1:14">
      <c r="A297" s="498"/>
      <c r="J297" s="498"/>
    </row>
    <row r="298" spans="1:14">
      <c r="A298" s="498"/>
      <c r="J298" s="498"/>
    </row>
    <row r="299" spans="1:14">
      <c r="A299" s="498"/>
      <c r="J299" s="498"/>
    </row>
    <row r="300" spans="1:14">
      <c r="A300" s="498"/>
      <c r="J300" s="498"/>
    </row>
    <row r="301" spans="1:14">
      <c r="A301" s="498"/>
      <c r="J301" s="498"/>
    </row>
    <row r="302" spans="1:14">
      <c r="A302" s="498"/>
      <c r="J302" s="498"/>
    </row>
    <row r="303" spans="1:14">
      <c r="A303" s="498"/>
      <c r="J303" s="498"/>
    </row>
    <row r="304" spans="1:14">
      <c r="A304" s="498"/>
      <c r="J304" s="498"/>
    </row>
    <row r="305" spans="1:10">
      <c r="A305" s="498"/>
      <c r="J305" s="498"/>
    </row>
    <row r="306" spans="1:10">
      <c r="A306" s="498"/>
      <c r="J306" s="498"/>
    </row>
    <row r="307" spans="1:10">
      <c r="A307" s="498"/>
      <c r="J307" s="498"/>
    </row>
    <row r="308" spans="1:10">
      <c r="A308" s="498"/>
      <c r="J308" s="498"/>
    </row>
    <row r="309" spans="1:10">
      <c r="A309" s="498"/>
      <c r="J309" s="498"/>
    </row>
    <row r="310" spans="1:10">
      <c r="A310" s="498"/>
      <c r="J310" s="498"/>
    </row>
    <row r="311" spans="1:10">
      <c r="A311" s="498"/>
      <c r="J311" s="498"/>
    </row>
    <row r="312" spans="1:10">
      <c r="A312" s="498"/>
      <c r="J312" s="498"/>
    </row>
    <row r="313" spans="1:10">
      <c r="A313" s="498"/>
      <c r="J313" s="498"/>
    </row>
    <row r="314" spans="1:10">
      <c r="A314" s="498"/>
      <c r="J314" s="498"/>
    </row>
    <row r="315" spans="1:10">
      <c r="A315" s="498"/>
      <c r="J315" s="498"/>
    </row>
    <row r="316" spans="1:10">
      <c r="A316" s="498"/>
      <c r="J316" s="498"/>
    </row>
    <row r="317" spans="1:10">
      <c r="A317" s="498"/>
      <c r="J317" s="498"/>
    </row>
    <row r="318" spans="1:10">
      <c r="A318" s="498"/>
      <c r="J318" s="498"/>
    </row>
    <row r="319" spans="1:10">
      <c r="A319" s="498"/>
      <c r="J319" s="498"/>
    </row>
    <row r="320" spans="1:10">
      <c r="A320" s="498"/>
      <c r="J320" s="498"/>
    </row>
    <row r="321" spans="1:10">
      <c r="A321" s="498"/>
      <c r="J321" s="498"/>
    </row>
    <row r="322" spans="1:10">
      <c r="A322" s="498"/>
      <c r="J322" s="498"/>
    </row>
    <row r="323" spans="1:10">
      <c r="A323" s="498"/>
      <c r="J323" s="498"/>
    </row>
    <row r="324" spans="1:10">
      <c r="A324" s="498"/>
      <c r="J324" s="498"/>
    </row>
    <row r="325" spans="1:10">
      <c r="A325" s="498"/>
      <c r="J325" s="498"/>
    </row>
    <row r="326" spans="1:10">
      <c r="A326" s="498"/>
      <c r="J326" s="498"/>
    </row>
    <row r="327" spans="1:10">
      <c r="A327" s="498"/>
      <c r="J327" s="498"/>
    </row>
    <row r="328" spans="1:10">
      <c r="A328" s="498"/>
      <c r="J328" s="498"/>
    </row>
    <row r="329" spans="1:10">
      <c r="A329" s="498"/>
      <c r="J329" s="498"/>
    </row>
    <row r="330" spans="1:10">
      <c r="A330" s="498"/>
      <c r="J330" s="498"/>
    </row>
    <row r="331" spans="1:10">
      <c r="A331" s="498"/>
      <c r="J331" s="498"/>
    </row>
    <row r="332" spans="1:10">
      <c r="A332" s="498"/>
      <c r="J332" s="498"/>
    </row>
    <row r="333" spans="1:10">
      <c r="A333" s="498"/>
      <c r="J333" s="498"/>
    </row>
    <row r="334" spans="1:10">
      <c r="A334" s="498"/>
      <c r="J334" s="498"/>
    </row>
    <row r="335" spans="1:10">
      <c r="A335" s="498"/>
      <c r="J335" s="498"/>
    </row>
    <row r="336" spans="1:10">
      <c r="A336" s="498"/>
      <c r="J336" s="498"/>
    </row>
    <row r="337" spans="1:12">
      <c r="A337" s="498"/>
      <c r="J337" s="498"/>
    </row>
    <row r="338" spans="1:12">
      <c r="A338" s="498"/>
      <c r="J338" s="498"/>
    </row>
    <row r="339" spans="1:12">
      <c r="A339" s="498"/>
      <c r="J339" s="498"/>
    </row>
    <row r="340" spans="1:12">
      <c r="A340" s="498"/>
      <c r="J340" s="498"/>
    </row>
    <row r="341" spans="1:12">
      <c r="A341" s="498"/>
      <c r="J341" s="498"/>
    </row>
    <row r="342" spans="1:12">
      <c r="A342" s="498"/>
      <c r="J342" s="498"/>
    </row>
    <row r="343" spans="1:12">
      <c r="A343" s="498"/>
      <c r="J343" s="498"/>
    </row>
    <row r="344" spans="1:12">
      <c r="A344" s="498"/>
      <c r="J344" s="498"/>
    </row>
    <row r="345" spans="1:12">
      <c r="A345" s="498"/>
      <c r="J345" s="498"/>
    </row>
    <row r="346" spans="1:12">
      <c r="A346" s="498"/>
      <c r="J346" s="498"/>
    </row>
    <row r="347" spans="1:12">
      <c r="A347" s="498"/>
      <c r="J347" s="498"/>
    </row>
    <row r="348" spans="1:12">
      <c r="A348" s="498"/>
      <c r="J348" s="498"/>
    </row>
    <row r="349" spans="1:12">
      <c r="A349" s="498"/>
      <c r="J349" s="498"/>
    </row>
    <row r="350" spans="1:12">
      <c r="A350" s="498"/>
      <c r="J350" s="498"/>
    </row>
    <row r="351" spans="1:12" ht="13.5" thickBot="1">
      <c r="A351" s="498"/>
      <c r="J351" s="498"/>
    </row>
    <row r="352" spans="1:12" ht="45">
      <c r="A352" s="645" t="s">
        <v>59</v>
      </c>
      <c r="B352" s="646"/>
      <c r="C352" s="646"/>
      <c r="D352" s="646"/>
      <c r="E352" s="646"/>
      <c r="F352" s="646"/>
      <c r="G352" s="646"/>
      <c r="H352" s="646"/>
      <c r="I352" s="646"/>
      <c r="J352" s="646"/>
      <c r="K352" s="647"/>
      <c r="L352" s="647"/>
    </row>
    <row r="353" spans="1:12">
      <c r="A353" s="498"/>
      <c r="J353" s="498"/>
      <c r="K353" s="820"/>
      <c r="L353" s="820"/>
    </row>
    <row r="354" spans="1:12">
      <c r="A354" s="498"/>
      <c r="J354" s="498"/>
      <c r="K354" s="820"/>
      <c r="L354" s="820"/>
    </row>
    <row r="355" spans="1:12">
      <c r="A355" s="498"/>
      <c r="J355" s="498"/>
      <c r="K355" s="820"/>
      <c r="L355" s="820"/>
    </row>
    <row r="356" spans="1:12">
      <c r="A356" s="498"/>
      <c r="J356" s="498"/>
      <c r="K356" s="820"/>
      <c r="L356" s="820"/>
    </row>
    <row r="357" spans="1:12">
      <c r="A357" s="498"/>
      <c r="J357" s="498"/>
      <c r="K357" s="820"/>
      <c r="L357" s="820"/>
    </row>
    <row r="358" spans="1:12">
      <c r="A358" s="498"/>
      <c r="J358" s="498"/>
      <c r="K358" s="820"/>
      <c r="L358" s="820"/>
    </row>
    <row r="359" spans="1:12">
      <c r="A359" s="498"/>
      <c r="J359" s="498"/>
      <c r="K359" s="820"/>
      <c r="L359" s="820"/>
    </row>
    <row r="360" spans="1:12">
      <c r="A360" s="498"/>
      <c r="J360" s="498"/>
      <c r="K360" s="820"/>
      <c r="L360" s="820"/>
    </row>
    <row r="361" spans="1:12">
      <c r="A361" s="498"/>
      <c r="J361" s="498"/>
      <c r="K361" s="820"/>
      <c r="L361" s="820"/>
    </row>
    <row r="362" spans="1:12">
      <c r="A362" s="498"/>
      <c r="J362" s="498"/>
      <c r="K362" s="820"/>
      <c r="L362" s="820"/>
    </row>
    <row r="363" spans="1:12" ht="13.5" thickBot="1">
      <c r="A363" s="648"/>
      <c r="B363" s="648"/>
      <c r="C363" s="648"/>
      <c r="D363" s="648"/>
      <c r="E363" s="648"/>
      <c r="F363" s="648"/>
      <c r="G363" s="648"/>
      <c r="H363" s="648"/>
      <c r="I363" s="648"/>
      <c r="J363" s="648"/>
      <c r="K363" s="328"/>
      <c r="L363" s="328"/>
    </row>
    <row r="364" spans="1:12">
      <c r="A364" s="498"/>
      <c r="J364" s="498"/>
    </row>
    <row r="365" spans="1:12" ht="13.5" thickBot="1">
      <c r="A365" s="648"/>
      <c r="J365" s="498"/>
    </row>
    <row r="366" spans="1:12" ht="13.5" thickBot="1">
      <c r="A366" s="1329"/>
      <c r="J366" s="498"/>
    </row>
    <row r="367" spans="1:12" ht="13.5" thickBot="1">
      <c r="A367" s="1329"/>
      <c r="J367" s="498"/>
    </row>
    <row r="368" spans="1:12" ht="13.5" thickBot="1">
      <c r="A368" s="1329"/>
      <c r="J368" s="498"/>
    </row>
    <row r="369" spans="1:14" ht="13.5" thickBot="1">
      <c r="A369" s="1329"/>
      <c r="J369" s="498"/>
    </row>
    <row r="370" spans="1:14" ht="13.5" thickBot="1">
      <c r="A370" s="1329"/>
      <c r="J370" s="498"/>
    </row>
    <row r="371" spans="1:14" ht="13.5" thickBot="1">
      <c r="A371" s="1329"/>
      <c r="J371" s="498"/>
      <c r="M371" s="648"/>
      <c r="N371" s="648"/>
    </row>
    <row r="372" spans="1:14" ht="13.5" thickBot="1">
      <c r="A372" s="1329"/>
      <c r="J372" s="498"/>
      <c r="M372" s="1329"/>
      <c r="N372" s="1329"/>
    </row>
    <row r="373" spans="1:14" ht="13.5" thickBot="1">
      <c r="A373" s="1329"/>
      <c r="C373" s="648"/>
      <c r="D373" s="648"/>
      <c r="E373" s="648"/>
      <c r="F373" s="648"/>
      <c r="G373" s="648"/>
      <c r="H373" s="648"/>
      <c r="I373" s="648"/>
      <c r="J373" s="648"/>
      <c r="K373" s="328"/>
      <c r="M373" s="1329"/>
      <c r="N373" s="1329"/>
    </row>
    <row r="374" spans="1:14" ht="13.5" thickBot="1">
      <c r="A374" s="1329"/>
      <c r="C374" s="646"/>
      <c r="D374" s="646"/>
      <c r="E374" s="646"/>
      <c r="F374" s="646"/>
      <c r="G374" s="646"/>
      <c r="H374" s="646"/>
      <c r="I374" s="646"/>
      <c r="J374" s="646"/>
      <c r="K374" s="647"/>
      <c r="M374" s="646"/>
      <c r="N374" s="1329"/>
    </row>
    <row r="375" spans="1:14" ht="13.5" thickBot="1">
      <c r="A375" s="1329"/>
      <c r="J375" s="498"/>
      <c r="N375" s="1329"/>
    </row>
    <row r="376" spans="1:14" ht="13.5" thickBot="1">
      <c r="A376" s="1329"/>
      <c r="J376" s="498"/>
      <c r="N376" s="1329"/>
    </row>
    <row r="377" spans="1:14" ht="13.5" thickBot="1">
      <c r="A377" s="1329"/>
      <c r="J377" s="498"/>
      <c r="N377" s="1329"/>
    </row>
    <row r="378" spans="1:14" ht="13.5" thickBot="1">
      <c r="A378" s="1329"/>
      <c r="J378" s="498"/>
      <c r="N378" s="1329"/>
    </row>
    <row r="379" spans="1:14" ht="13.5" thickBot="1">
      <c r="A379" s="1329"/>
      <c r="J379" s="498"/>
      <c r="N379" s="646"/>
    </row>
    <row r="380" spans="1:14" ht="13.5" thickBot="1">
      <c r="A380" s="1329"/>
      <c r="J380" s="498"/>
    </row>
    <row r="381" spans="1:14" ht="13.5" thickBot="1">
      <c r="A381" s="1329"/>
      <c r="J381" s="498"/>
    </row>
    <row r="382" spans="1:14">
      <c r="A382" s="646"/>
      <c r="J382" s="498"/>
    </row>
    <row r="383" spans="1:14">
      <c r="A383" s="498"/>
      <c r="J383" s="498"/>
    </row>
    <row r="384" spans="1:14">
      <c r="A384" s="498"/>
      <c r="J384" s="498"/>
    </row>
    <row r="385" spans="1:10">
      <c r="A385" s="498"/>
      <c r="J385" s="498"/>
    </row>
    <row r="386" spans="1:10">
      <c r="A386" s="498"/>
      <c r="J386" s="498"/>
    </row>
    <row r="387" spans="1:10">
      <c r="A387" s="498"/>
      <c r="J387" s="498"/>
    </row>
    <row r="388" spans="1:10">
      <c r="A388" s="498"/>
      <c r="J388" s="498"/>
    </row>
    <row r="389" spans="1:10">
      <c r="A389" s="498"/>
      <c r="J389" s="498"/>
    </row>
    <row r="390" spans="1:10">
      <c r="A390" s="498"/>
      <c r="J390" s="498"/>
    </row>
    <row r="391" spans="1:10">
      <c r="A391" s="498"/>
      <c r="J391" s="498"/>
    </row>
    <row r="392" spans="1:10">
      <c r="A392" s="498"/>
      <c r="J392" s="498"/>
    </row>
    <row r="393" spans="1:10">
      <c r="A393" s="498"/>
      <c r="J393" s="498"/>
    </row>
    <row r="394" spans="1:10">
      <c r="A394" s="498"/>
      <c r="J394" s="498"/>
    </row>
    <row r="395" spans="1:10">
      <c r="A395" s="498"/>
      <c r="J395" s="498"/>
    </row>
    <row r="396" spans="1:10">
      <c r="A396" s="498"/>
      <c r="J396" s="498"/>
    </row>
    <row r="397" spans="1:10">
      <c r="A397" s="498"/>
      <c r="J397" s="498"/>
    </row>
    <row r="398" spans="1:10">
      <c r="A398" s="498"/>
      <c r="J398" s="498"/>
    </row>
    <row r="399" spans="1:10">
      <c r="A399" s="498"/>
      <c r="J399" s="498"/>
    </row>
    <row r="400" spans="1:10">
      <c r="A400" s="498"/>
      <c r="J400" s="498"/>
    </row>
    <row r="401" spans="1:10">
      <c r="A401" s="498"/>
      <c r="J401" s="498"/>
    </row>
    <row r="402" spans="1:10">
      <c r="A402" s="498"/>
      <c r="J402" s="498"/>
    </row>
    <row r="403" spans="1:10">
      <c r="A403" s="498"/>
      <c r="J403" s="498"/>
    </row>
    <row r="404" spans="1:10">
      <c r="A404" s="498"/>
      <c r="J404" s="498"/>
    </row>
    <row r="405" spans="1:10">
      <c r="A405" s="498"/>
      <c r="J405" s="498"/>
    </row>
    <row r="406" spans="1:10">
      <c r="A406" s="498"/>
      <c r="J406" s="498"/>
    </row>
    <row r="407" spans="1:10">
      <c r="A407" s="498"/>
      <c r="J407" s="498"/>
    </row>
    <row r="408" spans="1:10">
      <c r="A408" s="498"/>
      <c r="J408" s="498"/>
    </row>
    <row r="409" spans="1:10">
      <c r="A409" s="498"/>
      <c r="J409" s="498"/>
    </row>
    <row r="410" spans="1:10">
      <c r="A410" s="498"/>
      <c r="J410" s="498"/>
    </row>
    <row r="411" spans="1:10">
      <c r="A411" s="498"/>
      <c r="J411" s="498"/>
    </row>
    <row r="412" spans="1:10">
      <c r="A412" s="498"/>
      <c r="J412" s="498"/>
    </row>
    <row r="413" spans="1:10">
      <c r="A413" s="498"/>
      <c r="J413" s="498"/>
    </row>
    <row r="414" spans="1:10">
      <c r="A414" s="498"/>
      <c r="J414" s="498"/>
    </row>
    <row r="415" spans="1:10">
      <c r="A415" s="498"/>
      <c r="J415" s="498"/>
    </row>
    <row r="416" spans="1:10">
      <c r="A416" s="498"/>
      <c r="J416" s="498"/>
    </row>
    <row r="417" spans="1:10">
      <c r="A417" s="498"/>
      <c r="J417" s="498"/>
    </row>
    <row r="418" spans="1:10">
      <c r="A418" s="498"/>
      <c r="J418" s="498"/>
    </row>
    <row r="419" spans="1:10">
      <c r="A419" s="498"/>
      <c r="J419" s="498"/>
    </row>
    <row r="420" spans="1:10">
      <c r="A420" s="498"/>
      <c r="J420" s="498"/>
    </row>
    <row r="421" spans="1:10">
      <c r="A421" s="498"/>
      <c r="J421" s="498"/>
    </row>
    <row r="422" spans="1:10">
      <c r="A422" s="498"/>
      <c r="J422" s="498"/>
    </row>
    <row r="423" spans="1:10">
      <c r="A423" s="498"/>
      <c r="J423" s="498"/>
    </row>
    <row r="424" spans="1:10">
      <c r="A424" s="498"/>
      <c r="J424" s="498"/>
    </row>
    <row r="425" spans="1:10">
      <c r="A425" s="498"/>
      <c r="J425" s="498"/>
    </row>
    <row r="426" spans="1:10">
      <c r="A426" s="498"/>
      <c r="J426" s="498"/>
    </row>
    <row r="427" spans="1:10">
      <c r="A427" s="498"/>
      <c r="J427" s="498"/>
    </row>
    <row r="428" spans="1:10">
      <c r="A428" s="498"/>
      <c r="J428" s="498"/>
    </row>
    <row r="429" spans="1:10">
      <c r="A429" s="498"/>
      <c r="J429" s="498"/>
    </row>
    <row r="430" spans="1:10">
      <c r="A430" s="498"/>
      <c r="J430" s="498"/>
    </row>
    <row r="431" spans="1:10">
      <c r="A431" s="498"/>
      <c r="J431" s="498"/>
    </row>
    <row r="432" spans="1:10">
      <c r="A432" s="498"/>
      <c r="J432" s="498"/>
    </row>
    <row r="433" spans="1:10">
      <c r="A433" s="498"/>
      <c r="J433" s="498"/>
    </row>
    <row r="434" spans="1:10">
      <c r="A434" s="498"/>
      <c r="J434" s="498"/>
    </row>
    <row r="435" spans="1:10">
      <c r="A435" s="498"/>
      <c r="J435" s="498"/>
    </row>
    <row r="436" spans="1:10">
      <c r="A436" s="498"/>
      <c r="J436" s="498"/>
    </row>
    <row r="437" spans="1:10">
      <c r="A437" s="498"/>
      <c r="J437" s="498"/>
    </row>
    <row r="438" spans="1:10">
      <c r="A438" s="498"/>
      <c r="J438" s="498"/>
    </row>
    <row r="439" spans="1:10">
      <c r="A439" s="498"/>
      <c r="J439" s="498"/>
    </row>
    <row r="440" spans="1:10">
      <c r="A440" s="498"/>
      <c r="J440" s="498"/>
    </row>
    <row r="441" spans="1:10">
      <c r="A441" s="498"/>
      <c r="J441" s="498"/>
    </row>
    <row r="442" spans="1:10">
      <c r="A442" s="498"/>
      <c r="J442" s="498"/>
    </row>
    <row r="443" spans="1:10">
      <c r="A443" s="498"/>
      <c r="J443" s="498"/>
    </row>
    <row r="444" spans="1:10">
      <c r="A444" s="498"/>
      <c r="J444" s="498"/>
    </row>
    <row r="445" spans="1:10">
      <c r="A445" s="498"/>
      <c r="J445" s="498"/>
    </row>
    <row r="446" spans="1:10">
      <c r="A446" s="498"/>
      <c r="J446" s="498"/>
    </row>
    <row r="447" spans="1:10">
      <c r="A447" s="498"/>
      <c r="J447" s="498"/>
    </row>
    <row r="448" spans="1:10">
      <c r="A448" s="498"/>
      <c r="J448" s="498"/>
    </row>
    <row r="449" spans="1:10">
      <c r="A449" s="498"/>
      <c r="J449" s="498"/>
    </row>
    <row r="450" spans="1:10">
      <c r="A450" s="498"/>
      <c r="J450" s="498"/>
    </row>
    <row r="451" spans="1:10">
      <c r="A451" s="498"/>
      <c r="J451" s="498"/>
    </row>
    <row r="452" spans="1:10">
      <c r="A452" s="498"/>
      <c r="J452" s="498"/>
    </row>
    <row r="453" spans="1:10">
      <c r="A453" s="498"/>
      <c r="J453" s="498"/>
    </row>
    <row r="454" spans="1:10">
      <c r="A454" s="498"/>
      <c r="J454" s="498"/>
    </row>
    <row r="455" spans="1:10">
      <c r="A455" s="498"/>
      <c r="J455" s="498"/>
    </row>
    <row r="456" spans="1:10">
      <c r="A456" s="498"/>
      <c r="J456" s="498"/>
    </row>
    <row r="457" spans="1:10">
      <c r="A457" s="498"/>
      <c r="J457" s="498"/>
    </row>
    <row r="458" spans="1:10">
      <c r="A458" s="498"/>
      <c r="J458" s="498"/>
    </row>
    <row r="459" spans="1:10">
      <c r="A459" s="498"/>
      <c r="J459" s="498"/>
    </row>
    <row r="460" spans="1:10">
      <c r="A460" s="498"/>
      <c r="J460" s="498"/>
    </row>
    <row r="461" spans="1:10">
      <c r="A461" s="498"/>
      <c r="J461" s="498"/>
    </row>
    <row r="462" spans="1:10">
      <c r="A462" s="498"/>
      <c r="J462" s="498"/>
    </row>
    <row r="463" spans="1:10">
      <c r="A463" s="498"/>
      <c r="J463" s="498"/>
    </row>
    <row r="464" spans="1:10">
      <c r="A464" s="498"/>
      <c r="J464" s="498"/>
    </row>
    <row r="465" spans="1:14">
      <c r="A465" s="498"/>
      <c r="J465" s="498"/>
    </row>
    <row r="466" spans="1:14">
      <c r="A466" s="498"/>
      <c r="J466" s="498"/>
    </row>
    <row r="467" spans="1:14">
      <c r="A467" s="498"/>
      <c r="J467" s="498"/>
    </row>
    <row r="468" spans="1:14">
      <c r="A468" s="498"/>
      <c r="J468" s="498"/>
    </row>
    <row r="469" spans="1:14">
      <c r="A469" s="498"/>
      <c r="J469" s="498"/>
    </row>
    <row r="470" spans="1:14">
      <c r="A470" s="498"/>
      <c r="J470" s="498"/>
    </row>
    <row r="471" spans="1:14">
      <c r="A471" s="498"/>
      <c r="J471" s="498"/>
    </row>
    <row r="472" spans="1:14">
      <c r="A472" s="498"/>
      <c r="J472" s="498"/>
    </row>
    <row r="473" spans="1:14">
      <c r="A473" s="498"/>
      <c r="J473" s="498"/>
    </row>
    <row r="474" spans="1:14">
      <c r="A474" s="498"/>
      <c r="J474" s="498"/>
    </row>
    <row r="475" spans="1:14">
      <c r="A475" s="498"/>
      <c r="J475" s="498"/>
    </row>
    <row r="476" spans="1:14">
      <c r="A476" s="498"/>
      <c r="J476" s="498"/>
    </row>
    <row r="477" spans="1:14">
      <c r="A477" s="498"/>
      <c r="J477" s="498"/>
    </row>
    <row r="478" spans="1:14">
      <c r="A478" s="498"/>
      <c r="J478" s="498"/>
    </row>
    <row r="479" spans="1:14">
      <c r="A479" s="498"/>
      <c r="J479" s="498"/>
    </row>
    <row r="480" spans="1:14" ht="13.5" thickBot="1">
      <c r="A480" s="498"/>
      <c r="J480" s="498"/>
      <c r="N480" s="648"/>
    </row>
    <row r="481" spans="1:14" ht="13.5" thickBot="1">
      <c r="A481" s="498"/>
      <c r="J481" s="498"/>
      <c r="N481" s="1329"/>
    </row>
    <row r="482" spans="1:14" ht="13.5" thickBot="1">
      <c r="A482" s="498"/>
      <c r="J482" s="498"/>
      <c r="N482" s="1329"/>
    </row>
    <row r="483" spans="1:14" ht="13.5" thickBot="1">
      <c r="A483" s="498"/>
      <c r="J483" s="498"/>
      <c r="N483" s="1329"/>
    </row>
    <row r="484" spans="1:14" ht="13.5" thickBot="1">
      <c r="A484" s="498"/>
      <c r="J484" s="498"/>
      <c r="M484" s="648"/>
      <c r="N484" s="1329"/>
    </row>
    <row r="485" spans="1:14" ht="13.5" thickBot="1">
      <c r="A485" s="498"/>
      <c r="J485" s="498"/>
      <c r="M485" s="1329"/>
      <c r="N485" s="1329"/>
    </row>
    <row r="486" spans="1:14" ht="13.5" thickBot="1">
      <c r="A486" s="498"/>
      <c r="J486" s="498"/>
      <c r="M486" s="1329"/>
      <c r="N486" s="1329"/>
    </row>
    <row r="487" spans="1:14" ht="13.5" thickBot="1">
      <c r="A487" s="498"/>
      <c r="J487" s="498"/>
      <c r="M487" s="1329"/>
      <c r="N487" s="1329"/>
    </row>
    <row r="488" spans="1:14" ht="13.5" thickBot="1">
      <c r="A488" s="498"/>
      <c r="J488" s="498"/>
      <c r="M488" s="1329"/>
      <c r="N488" s="1329"/>
    </row>
    <row r="489" spans="1:14" ht="13.5" thickBot="1">
      <c r="A489" s="648"/>
      <c r="B489" s="648"/>
      <c r="C489" s="648"/>
      <c r="D489" s="648"/>
      <c r="E489" s="648"/>
      <c r="F489" s="648"/>
      <c r="G489" s="648"/>
      <c r="H489" s="648"/>
      <c r="I489" s="648"/>
      <c r="J489" s="648"/>
      <c r="K489" s="328"/>
      <c r="M489" s="1329"/>
      <c r="N489" s="1329"/>
    </row>
    <row r="490" spans="1:14" ht="13.5" thickBot="1">
      <c r="A490" s="1329"/>
      <c r="B490" s="646"/>
      <c r="C490" s="646"/>
      <c r="D490" s="646"/>
      <c r="E490" s="646"/>
      <c r="F490" s="646"/>
      <c r="G490" s="646"/>
      <c r="H490" s="646"/>
      <c r="I490" s="646"/>
      <c r="J490" s="646"/>
      <c r="K490" s="647"/>
      <c r="M490" s="646"/>
      <c r="N490" s="1329"/>
    </row>
    <row r="491" spans="1:14" ht="13.5" thickBot="1">
      <c r="A491" s="1329"/>
      <c r="J491" s="498"/>
      <c r="N491" s="1329"/>
    </row>
    <row r="492" spans="1:14" ht="13.5" thickBot="1">
      <c r="A492" s="1329"/>
      <c r="J492" s="498"/>
      <c r="N492" s="1329"/>
    </row>
    <row r="493" spans="1:14" ht="13.5" thickBot="1">
      <c r="A493" s="1329"/>
      <c r="J493" s="498"/>
      <c r="N493" s="1329"/>
    </row>
    <row r="494" spans="1:14" ht="13.5" thickBot="1">
      <c r="A494" s="1329"/>
      <c r="J494" s="498"/>
      <c r="N494" s="1329"/>
    </row>
    <row r="495" spans="1:14" ht="13.5" thickBot="1">
      <c r="A495" s="1329"/>
      <c r="J495" s="498"/>
      <c r="N495" s="1329"/>
    </row>
    <row r="496" spans="1:14" ht="13.5" thickBot="1">
      <c r="A496" s="1329"/>
      <c r="J496" s="498"/>
      <c r="N496" s="1329"/>
    </row>
    <row r="497" spans="1:14">
      <c r="A497" s="646"/>
      <c r="J497" s="498"/>
      <c r="N497" s="646"/>
    </row>
    <row r="498" spans="1:14">
      <c r="A498" s="498"/>
      <c r="J498" s="498"/>
    </row>
    <row r="499" spans="1:14">
      <c r="A499" s="498"/>
      <c r="J499" s="498"/>
    </row>
    <row r="500" spans="1:14">
      <c r="A500" s="498"/>
      <c r="J500" s="498"/>
    </row>
    <row r="501" spans="1:14">
      <c r="A501" s="498"/>
      <c r="J501" s="498"/>
    </row>
    <row r="502" spans="1:14">
      <c r="A502" s="498"/>
      <c r="J502" s="498"/>
    </row>
    <row r="503" spans="1:14">
      <c r="A503" s="498"/>
      <c r="J503" s="498"/>
    </row>
    <row r="504" spans="1:14">
      <c r="A504" s="498"/>
      <c r="J504" s="498"/>
    </row>
    <row r="505" spans="1:14">
      <c r="A505" s="498"/>
      <c r="J505" s="498"/>
    </row>
    <row r="506" spans="1:14">
      <c r="A506" s="498"/>
      <c r="J506" s="498"/>
    </row>
    <row r="507" spans="1:14">
      <c r="A507" s="498"/>
      <c r="J507" s="498"/>
    </row>
    <row r="508" spans="1:14">
      <c r="A508" s="498"/>
      <c r="J508" s="498"/>
    </row>
    <row r="509" spans="1:14">
      <c r="A509" s="498"/>
      <c r="J509" s="498"/>
    </row>
    <row r="510" spans="1:14">
      <c r="A510" s="498"/>
      <c r="J510" s="498"/>
    </row>
    <row r="511" spans="1:14">
      <c r="A511" s="498"/>
      <c r="J511" s="498"/>
    </row>
    <row r="512" spans="1:14">
      <c r="A512" s="498"/>
      <c r="J512" s="498"/>
    </row>
    <row r="513" spans="1:10">
      <c r="A513" s="498"/>
      <c r="J513" s="498"/>
    </row>
    <row r="514" spans="1:10">
      <c r="A514" s="498"/>
      <c r="J514" s="498"/>
    </row>
    <row r="515" spans="1:10">
      <c r="A515" s="498"/>
      <c r="J515" s="498"/>
    </row>
    <row r="516" spans="1:10">
      <c r="A516" s="498"/>
      <c r="J516" s="498"/>
    </row>
    <row r="517" spans="1:10">
      <c r="A517" s="498"/>
      <c r="J517" s="498"/>
    </row>
    <row r="518" spans="1:10">
      <c r="A518" s="498"/>
      <c r="J518" s="498"/>
    </row>
    <row r="519" spans="1:10">
      <c r="A519" s="498"/>
      <c r="J519" s="498"/>
    </row>
    <row r="520" spans="1:10">
      <c r="A520" s="498"/>
      <c r="J520" s="498"/>
    </row>
    <row r="521" spans="1:10">
      <c r="A521" s="498"/>
      <c r="J521" s="498"/>
    </row>
    <row r="522" spans="1:10">
      <c r="A522" s="498"/>
      <c r="J522" s="498"/>
    </row>
    <row r="523" spans="1:10">
      <c r="A523" s="498"/>
      <c r="J523" s="498"/>
    </row>
    <row r="524" spans="1:10">
      <c r="A524" s="498"/>
      <c r="J524" s="498"/>
    </row>
    <row r="525" spans="1:10">
      <c r="A525" s="498"/>
      <c r="J525" s="498"/>
    </row>
    <row r="526" spans="1:10">
      <c r="A526" s="498"/>
      <c r="J526" s="498"/>
    </row>
    <row r="527" spans="1:10">
      <c r="A527" s="498"/>
      <c r="J527" s="498"/>
    </row>
    <row r="528" spans="1:10">
      <c r="A528" s="498"/>
      <c r="J528" s="498"/>
    </row>
    <row r="529" spans="1:10">
      <c r="A529" s="498"/>
      <c r="J529" s="498"/>
    </row>
    <row r="530" spans="1:10">
      <c r="A530" s="498"/>
      <c r="J530" s="498"/>
    </row>
    <row r="531" spans="1:10">
      <c r="A531" s="498"/>
      <c r="J531" s="498"/>
    </row>
    <row r="532" spans="1:10">
      <c r="A532" s="498"/>
      <c r="J532" s="498"/>
    </row>
    <row r="533" spans="1:10">
      <c r="A533" s="498"/>
      <c r="J533" s="498"/>
    </row>
    <row r="534" spans="1:10">
      <c r="A534" s="498"/>
      <c r="J534" s="498"/>
    </row>
    <row r="535" spans="1:10">
      <c r="A535" s="498"/>
      <c r="J535" s="498"/>
    </row>
    <row r="536" spans="1:10">
      <c r="A536" s="498"/>
      <c r="J536" s="498"/>
    </row>
    <row r="537" spans="1:10">
      <c r="A537" s="498"/>
      <c r="J537" s="498"/>
    </row>
    <row r="538" spans="1:10">
      <c r="A538" s="498"/>
      <c r="J538" s="498"/>
    </row>
    <row r="539" spans="1:10">
      <c r="A539" s="498"/>
      <c r="J539" s="498"/>
    </row>
    <row r="540" spans="1:10">
      <c r="A540" s="498"/>
      <c r="J540" s="498"/>
    </row>
    <row r="541" spans="1:10">
      <c r="A541" s="498"/>
      <c r="J541" s="498"/>
    </row>
    <row r="542" spans="1:10">
      <c r="A542" s="498"/>
      <c r="J542" s="498"/>
    </row>
    <row r="543" spans="1:10">
      <c r="A543" s="498"/>
      <c r="J543" s="498"/>
    </row>
    <row r="544" spans="1:10">
      <c r="A544" s="498"/>
      <c r="J544" s="498"/>
    </row>
    <row r="545" spans="1:10">
      <c r="A545" s="498"/>
      <c r="J545" s="498"/>
    </row>
    <row r="546" spans="1:10">
      <c r="A546" s="498"/>
      <c r="J546" s="498"/>
    </row>
    <row r="547" spans="1:10">
      <c r="A547" s="498"/>
      <c r="J547" s="498"/>
    </row>
    <row r="548" spans="1:10">
      <c r="A548" s="498"/>
      <c r="J548" s="498"/>
    </row>
    <row r="549" spans="1:10">
      <c r="A549" s="498"/>
      <c r="J549" s="498"/>
    </row>
    <row r="550" spans="1:10">
      <c r="A550" s="498"/>
      <c r="J550" s="498"/>
    </row>
    <row r="551" spans="1:10">
      <c r="A551" s="498"/>
      <c r="J551" s="498"/>
    </row>
    <row r="552" spans="1:10">
      <c r="A552" s="498"/>
      <c r="J552" s="498"/>
    </row>
    <row r="553" spans="1:10">
      <c r="A553" s="498"/>
      <c r="J553" s="498"/>
    </row>
    <row r="554" spans="1:10">
      <c r="A554" s="498"/>
      <c r="J554" s="498"/>
    </row>
    <row r="555" spans="1:10">
      <c r="A555" s="498"/>
      <c r="J555" s="498"/>
    </row>
    <row r="556" spans="1:10">
      <c r="A556" s="498"/>
      <c r="J556" s="498"/>
    </row>
    <row r="557" spans="1:10">
      <c r="A557" s="498"/>
      <c r="J557" s="498"/>
    </row>
    <row r="558" spans="1:10">
      <c r="A558" s="498"/>
      <c r="J558" s="498"/>
    </row>
    <row r="559" spans="1:10">
      <c r="A559" s="498"/>
      <c r="J559" s="498"/>
    </row>
    <row r="560" spans="1:10">
      <c r="A560" s="498"/>
      <c r="J560" s="498"/>
    </row>
    <row r="561" spans="1:10">
      <c r="A561" s="498"/>
      <c r="J561" s="498"/>
    </row>
    <row r="562" spans="1:10">
      <c r="A562" s="498"/>
      <c r="J562" s="498"/>
    </row>
    <row r="563" spans="1:10">
      <c r="A563" s="498"/>
      <c r="J563" s="498"/>
    </row>
    <row r="564" spans="1:10">
      <c r="A564" s="498"/>
      <c r="J564" s="498"/>
    </row>
    <row r="565" spans="1:10">
      <c r="A565" s="498"/>
      <c r="J565" s="498"/>
    </row>
    <row r="566" spans="1:10">
      <c r="A566" s="498"/>
      <c r="J566" s="498"/>
    </row>
    <row r="567" spans="1:10">
      <c r="A567" s="498"/>
      <c r="J567" s="498"/>
    </row>
    <row r="568" spans="1:10">
      <c r="A568" s="498"/>
      <c r="J568" s="498"/>
    </row>
    <row r="569" spans="1:10">
      <c r="A569" s="498"/>
      <c r="J569" s="498"/>
    </row>
    <row r="570" spans="1:10">
      <c r="A570" s="498"/>
      <c r="J570" s="498"/>
    </row>
    <row r="571" spans="1:10">
      <c r="A571" s="498"/>
      <c r="J571" s="498"/>
    </row>
    <row r="572" spans="1:10">
      <c r="A572" s="498"/>
      <c r="J572" s="498"/>
    </row>
    <row r="573" spans="1:10">
      <c r="A573" s="498"/>
      <c r="J573" s="498"/>
    </row>
    <row r="574" spans="1:10">
      <c r="A574" s="498"/>
      <c r="J574" s="498"/>
    </row>
    <row r="575" spans="1:10">
      <c r="A575" s="498"/>
      <c r="J575" s="498"/>
    </row>
    <row r="576" spans="1:10">
      <c r="A576" s="498"/>
      <c r="J576" s="498"/>
    </row>
    <row r="577" spans="1:10">
      <c r="A577" s="498"/>
      <c r="J577" s="498"/>
    </row>
    <row r="578" spans="1:10">
      <c r="A578" s="498"/>
      <c r="J578" s="498"/>
    </row>
    <row r="579" spans="1:10">
      <c r="A579" s="498"/>
      <c r="J579" s="498"/>
    </row>
    <row r="580" spans="1:10">
      <c r="A580" s="498"/>
      <c r="J580" s="498"/>
    </row>
    <row r="581" spans="1:10">
      <c r="A581" s="498"/>
      <c r="J581" s="498"/>
    </row>
    <row r="582" spans="1:10">
      <c r="A582" s="498"/>
      <c r="J582" s="498"/>
    </row>
    <row r="583" spans="1:10">
      <c r="A583" s="498"/>
      <c r="J583" s="498"/>
    </row>
    <row r="584" spans="1:10">
      <c r="A584" s="498"/>
      <c r="J584" s="498"/>
    </row>
    <row r="585" spans="1:10">
      <c r="A585" s="498"/>
      <c r="J585" s="498"/>
    </row>
    <row r="586" spans="1:10">
      <c r="A586" s="498"/>
      <c r="J586" s="498"/>
    </row>
    <row r="587" spans="1:10">
      <c r="A587" s="498"/>
      <c r="J587" s="498"/>
    </row>
    <row r="588" spans="1:10">
      <c r="A588" s="498"/>
      <c r="J588" s="498"/>
    </row>
    <row r="589" spans="1:10">
      <c r="A589" s="498"/>
      <c r="J589" s="498"/>
    </row>
    <row r="590" spans="1:10">
      <c r="A590" s="498"/>
      <c r="J590" s="498"/>
    </row>
    <row r="591" spans="1:10">
      <c r="A591" s="498"/>
      <c r="J591" s="498"/>
    </row>
    <row r="592" spans="1:10">
      <c r="A592" s="498"/>
      <c r="J592" s="498"/>
    </row>
    <row r="593" spans="1:10">
      <c r="A593" s="498"/>
      <c r="J593" s="498"/>
    </row>
    <row r="594" spans="1:10">
      <c r="A594" s="498"/>
      <c r="J594" s="498"/>
    </row>
    <row r="595" spans="1:10">
      <c r="A595" s="498"/>
      <c r="J595" s="498"/>
    </row>
    <row r="596" spans="1:10">
      <c r="A596" s="498"/>
      <c r="J596" s="498"/>
    </row>
    <row r="597" spans="1:10">
      <c r="A597" s="498"/>
      <c r="J597" s="498"/>
    </row>
    <row r="598" spans="1:10">
      <c r="A598" s="498"/>
      <c r="J598" s="498"/>
    </row>
    <row r="599" spans="1:10">
      <c r="A599" s="498"/>
      <c r="J599" s="498"/>
    </row>
    <row r="600" spans="1:10">
      <c r="A600" s="498"/>
      <c r="J600" s="498"/>
    </row>
    <row r="601" spans="1:10">
      <c r="A601" s="498"/>
      <c r="J601" s="498"/>
    </row>
    <row r="602" spans="1:10">
      <c r="A602" s="498"/>
      <c r="J602" s="498"/>
    </row>
    <row r="603" spans="1:10">
      <c r="A603" s="498"/>
      <c r="J603" s="498"/>
    </row>
    <row r="604" spans="1:10">
      <c r="A604" s="498"/>
      <c r="J604" s="498"/>
    </row>
    <row r="605" spans="1:10">
      <c r="A605" s="498"/>
      <c r="J605" s="498"/>
    </row>
    <row r="606" spans="1:10">
      <c r="A606" s="498"/>
      <c r="J606" s="498"/>
    </row>
    <row r="607" spans="1:10">
      <c r="A607" s="498"/>
      <c r="J607" s="498"/>
    </row>
    <row r="608" spans="1:10">
      <c r="A608" s="498"/>
      <c r="J608" s="498"/>
    </row>
    <row r="609" spans="1:10">
      <c r="A609" s="498"/>
      <c r="J609" s="498"/>
    </row>
    <row r="610" spans="1:10">
      <c r="A610" s="498"/>
      <c r="J610" s="498"/>
    </row>
    <row r="611" spans="1:10">
      <c r="A611" s="498"/>
      <c r="J611" s="498"/>
    </row>
    <row r="612" spans="1:10">
      <c r="A612" s="498"/>
      <c r="J612" s="498"/>
    </row>
    <row r="613" spans="1:10">
      <c r="A613" s="498"/>
      <c r="J613" s="498"/>
    </row>
    <row r="614" spans="1:10">
      <c r="A614" s="498"/>
      <c r="J614" s="498"/>
    </row>
    <row r="615" spans="1:10">
      <c r="A615" s="498"/>
      <c r="J615" s="498"/>
    </row>
    <row r="616" spans="1:10">
      <c r="A616" s="498"/>
      <c r="J616" s="498"/>
    </row>
    <row r="617" spans="1:10">
      <c r="A617" s="498"/>
      <c r="J617" s="498"/>
    </row>
    <row r="618" spans="1:10">
      <c r="A618" s="498"/>
      <c r="J618" s="498"/>
    </row>
    <row r="619" spans="1:10">
      <c r="A619" s="498"/>
      <c r="J619" s="498"/>
    </row>
    <row r="620" spans="1:10">
      <c r="A620" s="498"/>
      <c r="J620" s="498"/>
    </row>
    <row r="621" spans="1:10">
      <c r="A621" s="498"/>
      <c r="J621" s="498"/>
    </row>
    <row r="622" spans="1:10">
      <c r="A622" s="498"/>
      <c r="J622" s="498"/>
    </row>
    <row r="623" spans="1:10">
      <c r="A623" s="498"/>
      <c r="J623" s="498"/>
    </row>
    <row r="624" spans="1:10">
      <c r="A624" s="498"/>
      <c r="J624" s="498"/>
    </row>
    <row r="625" spans="1:10">
      <c r="A625" s="498"/>
      <c r="J625" s="498"/>
    </row>
    <row r="626" spans="1:10">
      <c r="A626" s="498"/>
      <c r="J626" s="498"/>
    </row>
    <row r="627" spans="1:10">
      <c r="A627" s="498"/>
      <c r="J627" s="498"/>
    </row>
    <row r="628" spans="1:10">
      <c r="A628" s="498"/>
      <c r="J628" s="498"/>
    </row>
    <row r="629" spans="1:10">
      <c r="A629" s="498"/>
      <c r="J629" s="498"/>
    </row>
    <row r="630" spans="1:10">
      <c r="A630" s="498"/>
      <c r="J630" s="498"/>
    </row>
    <row r="631" spans="1:10">
      <c r="A631" s="498"/>
      <c r="J631" s="498"/>
    </row>
    <row r="632" spans="1:10">
      <c r="A632" s="498"/>
      <c r="J632" s="498"/>
    </row>
    <row r="633" spans="1:10">
      <c r="A633" s="498"/>
      <c r="J633" s="498"/>
    </row>
    <row r="634" spans="1:10">
      <c r="A634" s="498"/>
      <c r="J634" s="498"/>
    </row>
    <row r="635" spans="1:10">
      <c r="A635" s="498"/>
      <c r="J635" s="498"/>
    </row>
    <row r="636" spans="1:10">
      <c r="A636" s="498"/>
      <c r="J636" s="498"/>
    </row>
    <row r="637" spans="1:10">
      <c r="A637" s="498"/>
      <c r="J637" s="498"/>
    </row>
    <row r="638" spans="1:10">
      <c r="A638" s="498"/>
      <c r="J638" s="498"/>
    </row>
    <row r="639" spans="1:10">
      <c r="A639" s="498"/>
      <c r="J639" s="498"/>
    </row>
    <row r="640" spans="1:10">
      <c r="A640" s="498"/>
      <c r="J640" s="498"/>
    </row>
    <row r="641" spans="1:10">
      <c r="A641" s="498"/>
      <c r="J641" s="498"/>
    </row>
    <row r="642" spans="1:10">
      <c r="A642" s="498"/>
      <c r="J642" s="498"/>
    </row>
    <row r="643" spans="1:10">
      <c r="A643" s="498"/>
      <c r="J643" s="498"/>
    </row>
    <row r="644" spans="1:10">
      <c r="A644" s="498"/>
      <c r="J644" s="498"/>
    </row>
    <row r="645" spans="1:10">
      <c r="A645" s="498"/>
      <c r="J645" s="498"/>
    </row>
    <row r="646" spans="1:10">
      <c r="A646" s="498"/>
      <c r="J646" s="498"/>
    </row>
    <row r="647" spans="1:10">
      <c r="A647" s="498"/>
      <c r="J647" s="498"/>
    </row>
    <row r="648" spans="1:10">
      <c r="A648" s="498"/>
      <c r="J648" s="498"/>
    </row>
    <row r="649" spans="1:10">
      <c r="A649" s="498"/>
      <c r="J649" s="498"/>
    </row>
    <row r="650" spans="1:10">
      <c r="A650" s="498"/>
      <c r="J650" s="498"/>
    </row>
    <row r="651" spans="1:10">
      <c r="A651" s="498"/>
      <c r="J651" s="498"/>
    </row>
    <row r="652" spans="1:10">
      <c r="A652" s="498"/>
      <c r="J652" s="498"/>
    </row>
    <row r="653" spans="1:10">
      <c r="A653" s="498"/>
      <c r="J653" s="498"/>
    </row>
    <row r="654" spans="1:10">
      <c r="A654" s="498"/>
      <c r="J654" s="498"/>
    </row>
    <row r="655" spans="1:10">
      <c r="A655" s="498"/>
      <c r="J655" s="498"/>
    </row>
    <row r="656" spans="1:10">
      <c r="A656" s="498"/>
      <c r="J656" s="498"/>
    </row>
    <row r="657" spans="1:10">
      <c r="A657" s="498"/>
      <c r="J657" s="498"/>
    </row>
    <row r="658" spans="1:10">
      <c r="A658" s="498"/>
      <c r="J658" s="498"/>
    </row>
    <row r="659" spans="1:10">
      <c r="A659" s="498"/>
      <c r="J659" s="498"/>
    </row>
    <row r="660" spans="1:10">
      <c r="A660" s="498"/>
      <c r="J660" s="498"/>
    </row>
    <row r="661" spans="1:10">
      <c r="A661" s="498"/>
      <c r="J661" s="498"/>
    </row>
    <row r="662" spans="1:10">
      <c r="A662" s="498"/>
      <c r="J662" s="498"/>
    </row>
    <row r="663" spans="1:10">
      <c r="A663" s="498"/>
      <c r="J663" s="498"/>
    </row>
    <row r="664" spans="1:10">
      <c r="A664" s="498"/>
      <c r="J664" s="498"/>
    </row>
    <row r="665" spans="1:10">
      <c r="A665" s="498"/>
      <c r="J665" s="498"/>
    </row>
    <row r="666" spans="1:10">
      <c r="A666" s="498"/>
      <c r="J666" s="498"/>
    </row>
    <row r="667" spans="1:10">
      <c r="A667" s="498"/>
      <c r="J667" s="498"/>
    </row>
    <row r="668" spans="1:10">
      <c r="A668" s="498"/>
      <c r="J668" s="498"/>
    </row>
    <row r="669" spans="1:10">
      <c r="A669" s="498"/>
      <c r="J669" s="498"/>
    </row>
    <row r="670" spans="1:10">
      <c r="A670" s="498"/>
      <c r="J670" s="498"/>
    </row>
    <row r="671" spans="1:10">
      <c r="A671" s="498"/>
      <c r="J671" s="498"/>
    </row>
    <row r="672" spans="1:10">
      <c r="A672" s="498"/>
      <c r="J672" s="498"/>
    </row>
    <row r="673" spans="1:10">
      <c r="A673" s="498"/>
      <c r="J673" s="498"/>
    </row>
    <row r="674" spans="1:10">
      <c r="A674" s="498"/>
      <c r="J674" s="498"/>
    </row>
    <row r="675" spans="1:10">
      <c r="A675" s="498"/>
      <c r="J675" s="498"/>
    </row>
    <row r="676" spans="1:10">
      <c r="A676" s="498"/>
      <c r="J676" s="498"/>
    </row>
    <row r="677" spans="1:10">
      <c r="A677" s="498"/>
      <c r="J677" s="498"/>
    </row>
    <row r="678" spans="1:10">
      <c r="A678" s="498"/>
      <c r="J678" s="498"/>
    </row>
    <row r="679" spans="1:10">
      <c r="A679" s="498"/>
      <c r="J679" s="498"/>
    </row>
    <row r="680" spans="1:10">
      <c r="A680" s="498"/>
      <c r="J680" s="498"/>
    </row>
    <row r="681" spans="1:10">
      <c r="A681" s="498"/>
      <c r="J681" s="498"/>
    </row>
    <row r="682" spans="1:10">
      <c r="A682" s="498"/>
      <c r="J682" s="498"/>
    </row>
    <row r="683" spans="1:10">
      <c r="A683" s="498"/>
      <c r="J683" s="498"/>
    </row>
    <row r="684" spans="1:10">
      <c r="A684" s="498"/>
      <c r="J684" s="498"/>
    </row>
    <row r="685" spans="1:10">
      <c r="A685" s="498"/>
      <c r="J685" s="498"/>
    </row>
    <row r="686" spans="1:10">
      <c r="A686" s="498"/>
      <c r="J686" s="498"/>
    </row>
    <row r="687" spans="1:10">
      <c r="A687" s="498"/>
      <c r="J687" s="498"/>
    </row>
    <row r="688" spans="1:10">
      <c r="A688" s="498"/>
      <c r="J688" s="498"/>
    </row>
    <row r="689" spans="1:10">
      <c r="A689" s="498"/>
      <c r="J689" s="498"/>
    </row>
    <row r="690" spans="1:10">
      <c r="A690" s="498"/>
      <c r="J690" s="498"/>
    </row>
    <row r="691" spans="1:10">
      <c r="A691" s="498"/>
      <c r="J691" s="498"/>
    </row>
    <row r="692" spans="1:10">
      <c r="A692" s="498"/>
      <c r="J692" s="498"/>
    </row>
    <row r="693" spans="1:10">
      <c r="A693" s="498"/>
      <c r="J693" s="498"/>
    </row>
    <row r="694" spans="1:10">
      <c r="A694" s="498"/>
      <c r="J694" s="498"/>
    </row>
    <row r="695" spans="1:10">
      <c r="A695" s="498"/>
      <c r="J695" s="498"/>
    </row>
    <row r="696" spans="1:10">
      <c r="A696" s="498"/>
      <c r="J696" s="498"/>
    </row>
    <row r="697" spans="1:10">
      <c r="A697" s="498"/>
      <c r="J697" s="498"/>
    </row>
    <row r="698" spans="1:10">
      <c r="A698" s="498"/>
      <c r="J698" s="498"/>
    </row>
    <row r="699" spans="1:10">
      <c r="A699" s="498"/>
      <c r="J699" s="498"/>
    </row>
    <row r="700" spans="1:10">
      <c r="A700" s="498"/>
      <c r="J700" s="498"/>
    </row>
    <row r="701" spans="1:10">
      <c r="A701" s="498"/>
      <c r="J701" s="498"/>
    </row>
    <row r="702" spans="1:10">
      <c r="A702" s="498"/>
      <c r="J702" s="498"/>
    </row>
    <row r="703" spans="1:10">
      <c r="A703" s="498"/>
      <c r="J703" s="498"/>
    </row>
    <row r="704" spans="1:10">
      <c r="A704" s="498"/>
      <c r="J704" s="498"/>
    </row>
    <row r="705" spans="1:10">
      <c r="A705" s="498"/>
      <c r="J705" s="498"/>
    </row>
    <row r="706" spans="1:10">
      <c r="A706" s="498"/>
      <c r="J706" s="498"/>
    </row>
    <row r="707" spans="1:10">
      <c r="A707" s="498"/>
      <c r="J707" s="498"/>
    </row>
    <row r="708" spans="1:10">
      <c r="A708" s="498"/>
      <c r="J708" s="498"/>
    </row>
    <row r="709" spans="1:10">
      <c r="A709" s="498"/>
      <c r="J709" s="498"/>
    </row>
    <row r="710" spans="1:10">
      <c r="A710" s="498"/>
      <c r="J710" s="498"/>
    </row>
    <row r="711" spans="1:10">
      <c r="A711" s="498"/>
      <c r="J711" s="498"/>
    </row>
    <row r="712" spans="1:10">
      <c r="A712" s="498"/>
      <c r="J712" s="498"/>
    </row>
    <row r="713" spans="1:10">
      <c r="A713" s="498"/>
      <c r="J713" s="498"/>
    </row>
    <row r="714" spans="1:10">
      <c r="A714" s="498"/>
      <c r="J714" s="498"/>
    </row>
    <row r="715" spans="1:10">
      <c r="A715" s="498"/>
      <c r="J715" s="498"/>
    </row>
    <row r="716" spans="1:10">
      <c r="A716" s="498"/>
      <c r="J716" s="498"/>
    </row>
    <row r="717" spans="1:10">
      <c r="A717" s="498"/>
      <c r="J717" s="498"/>
    </row>
    <row r="718" spans="1:10">
      <c r="A718" s="498"/>
      <c r="J718" s="498"/>
    </row>
    <row r="719" spans="1:10">
      <c r="A719" s="498"/>
      <c r="J719" s="498"/>
    </row>
    <row r="720" spans="1:10">
      <c r="A720" s="498"/>
      <c r="J720" s="498"/>
    </row>
    <row r="721" spans="1:10">
      <c r="A721" s="498"/>
      <c r="J721" s="498"/>
    </row>
    <row r="722" spans="1:10">
      <c r="A722" s="498"/>
      <c r="J722" s="498"/>
    </row>
    <row r="723" spans="1:10">
      <c r="A723" s="498"/>
      <c r="J723" s="498"/>
    </row>
    <row r="724" spans="1:10">
      <c r="A724" s="498"/>
      <c r="J724" s="498"/>
    </row>
    <row r="725" spans="1:10">
      <c r="A725" s="498"/>
      <c r="J725" s="498"/>
    </row>
    <row r="726" spans="1:10">
      <c r="A726" s="498"/>
      <c r="J726" s="498"/>
    </row>
    <row r="727" spans="1:10">
      <c r="A727" s="498"/>
      <c r="J727" s="498"/>
    </row>
    <row r="728" spans="1:10">
      <c r="A728" s="498"/>
      <c r="J728" s="498"/>
    </row>
    <row r="729" spans="1:10">
      <c r="A729" s="498"/>
      <c r="J729" s="498"/>
    </row>
    <row r="730" spans="1:10">
      <c r="A730" s="498"/>
      <c r="J730" s="498"/>
    </row>
    <row r="731" spans="1:10">
      <c r="A731" s="498"/>
      <c r="J731" s="498"/>
    </row>
    <row r="732" spans="1:10">
      <c r="A732" s="498"/>
      <c r="J732" s="498"/>
    </row>
    <row r="733" spans="1:10">
      <c r="A733" s="498"/>
      <c r="J733" s="498"/>
    </row>
    <row r="734" spans="1:10">
      <c r="A734" s="498"/>
      <c r="J734" s="498"/>
    </row>
    <row r="735" spans="1:10">
      <c r="A735" s="498"/>
      <c r="J735" s="498"/>
    </row>
    <row r="736" spans="1:10">
      <c r="A736" s="498"/>
      <c r="J736" s="498"/>
    </row>
    <row r="737" spans="1:10">
      <c r="A737" s="498"/>
      <c r="J737" s="498"/>
    </row>
    <row r="738" spans="1:10">
      <c r="A738" s="498"/>
      <c r="J738" s="498"/>
    </row>
    <row r="739" spans="1:10">
      <c r="A739" s="498"/>
      <c r="J739" s="498"/>
    </row>
    <row r="740" spans="1:10">
      <c r="A740" s="498"/>
      <c r="J740" s="498"/>
    </row>
    <row r="741" spans="1:10">
      <c r="A741" s="498"/>
      <c r="J741" s="498"/>
    </row>
    <row r="742" spans="1:10">
      <c r="A742" s="498"/>
      <c r="J742" s="498"/>
    </row>
    <row r="743" spans="1:10">
      <c r="A743" s="498"/>
      <c r="J743" s="498"/>
    </row>
    <row r="744" spans="1:10">
      <c r="A744" s="498"/>
      <c r="J744" s="498"/>
    </row>
    <row r="745" spans="1:10">
      <c r="A745" s="498"/>
      <c r="J745" s="498"/>
    </row>
    <row r="746" spans="1:10">
      <c r="A746" s="498"/>
      <c r="J746" s="498"/>
    </row>
    <row r="747" spans="1:10">
      <c r="A747" s="498"/>
      <c r="J747" s="498"/>
    </row>
    <row r="748" spans="1:10">
      <c r="A748" s="498"/>
      <c r="J748" s="498"/>
    </row>
    <row r="749" spans="1:10">
      <c r="A749" s="498"/>
      <c r="J749" s="498"/>
    </row>
    <row r="750" spans="1:10">
      <c r="A750" s="498"/>
      <c r="J750" s="498"/>
    </row>
    <row r="751" spans="1:10">
      <c r="A751" s="498"/>
      <c r="J751" s="498"/>
    </row>
    <row r="752" spans="1:10">
      <c r="A752" s="498"/>
      <c r="J752" s="498"/>
    </row>
    <row r="753" spans="1:10">
      <c r="A753" s="498"/>
      <c r="J753" s="498"/>
    </row>
    <row r="754" spans="1:10">
      <c r="A754" s="498"/>
      <c r="J754" s="498"/>
    </row>
    <row r="755" spans="1:10">
      <c r="A755" s="498"/>
      <c r="J755" s="498"/>
    </row>
    <row r="756" spans="1:10">
      <c r="A756" s="498"/>
      <c r="J756" s="498"/>
    </row>
    <row r="757" spans="1:10">
      <c r="A757" s="498"/>
      <c r="J757" s="498"/>
    </row>
    <row r="758" spans="1:10">
      <c r="A758" s="498"/>
      <c r="J758" s="498"/>
    </row>
    <row r="759" spans="1:10">
      <c r="A759" s="498"/>
      <c r="J759" s="498"/>
    </row>
    <row r="760" spans="1:10">
      <c r="A760" s="498"/>
      <c r="J760" s="498"/>
    </row>
    <row r="761" spans="1:10">
      <c r="A761" s="498"/>
      <c r="J761" s="498"/>
    </row>
    <row r="762" spans="1:10">
      <c r="A762" s="498"/>
      <c r="J762" s="498"/>
    </row>
    <row r="763" spans="1:10">
      <c r="A763" s="498"/>
      <c r="J763" s="498"/>
    </row>
    <row r="764" spans="1:10">
      <c r="A764" s="498"/>
      <c r="J764" s="498"/>
    </row>
    <row r="765" spans="1:10">
      <c r="A765" s="498"/>
      <c r="J765" s="498"/>
    </row>
    <row r="766" spans="1:10">
      <c r="A766" s="498"/>
      <c r="J766" s="498"/>
    </row>
    <row r="767" spans="1:10">
      <c r="A767" s="498"/>
      <c r="J767" s="498"/>
    </row>
    <row r="768" spans="1:10">
      <c r="A768" s="498"/>
      <c r="J768" s="498"/>
    </row>
    <row r="769" spans="1:10">
      <c r="A769" s="498"/>
      <c r="J769" s="498"/>
    </row>
    <row r="770" spans="1:10">
      <c r="A770" s="498"/>
      <c r="J770" s="498"/>
    </row>
    <row r="771" spans="1:10">
      <c r="A771" s="498"/>
      <c r="J771" s="498"/>
    </row>
    <row r="772" spans="1:10">
      <c r="A772" s="498"/>
      <c r="J772" s="498"/>
    </row>
    <row r="773" spans="1:10">
      <c r="A773" s="498"/>
      <c r="J773" s="498"/>
    </row>
    <row r="774" spans="1:10">
      <c r="A774" s="498"/>
      <c r="J774" s="498"/>
    </row>
    <row r="775" spans="1:10">
      <c r="A775" s="498"/>
      <c r="J775" s="498"/>
    </row>
    <row r="776" spans="1:10">
      <c r="A776" s="498"/>
      <c r="J776" s="498"/>
    </row>
    <row r="777" spans="1:10">
      <c r="A777" s="498"/>
      <c r="J777" s="498"/>
    </row>
    <row r="778" spans="1:10">
      <c r="A778" s="498"/>
      <c r="J778" s="498"/>
    </row>
    <row r="779" spans="1:10">
      <c r="A779" s="498"/>
      <c r="J779" s="498"/>
    </row>
    <row r="780" spans="1:10">
      <c r="A780" s="498"/>
      <c r="J780" s="498"/>
    </row>
    <row r="781" spans="1:10">
      <c r="A781" s="498"/>
      <c r="J781" s="498"/>
    </row>
    <row r="782" spans="1:10">
      <c r="A782" s="498"/>
      <c r="J782" s="498"/>
    </row>
    <row r="783" spans="1:10">
      <c r="A783" s="498"/>
      <c r="J783" s="498"/>
    </row>
    <row r="784" spans="1:10">
      <c r="A784" s="498"/>
      <c r="J784" s="498"/>
    </row>
    <row r="785" spans="1:10">
      <c r="A785" s="498"/>
      <c r="J785" s="498"/>
    </row>
    <row r="786" spans="1:10">
      <c r="A786" s="498"/>
      <c r="J786" s="498"/>
    </row>
    <row r="787" spans="1:10">
      <c r="A787" s="498"/>
      <c r="J787" s="498"/>
    </row>
    <row r="788" spans="1:10">
      <c r="A788" s="498"/>
      <c r="J788" s="498"/>
    </row>
    <row r="789" spans="1:10">
      <c r="A789" s="498"/>
      <c r="J789" s="498"/>
    </row>
    <row r="790" spans="1:10">
      <c r="A790" s="498"/>
      <c r="J790" s="498"/>
    </row>
    <row r="791" spans="1:10">
      <c r="A791" s="498"/>
      <c r="J791" s="498"/>
    </row>
    <row r="792" spans="1:10">
      <c r="A792" s="498"/>
      <c r="J792" s="498"/>
    </row>
    <row r="793" spans="1:10">
      <c r="A793" s="498"/>
      <c r="J793" s="498"/>
    </row>
    <row r="794" spans="1:10">
      <c r="A794" s="498"/>
      <c r="J794" s="498"/>
    </row>
    <row r="795" spans="1:10">
      <c r="A795" s="498"/>
      <c r="J795" s="498"/>
    </row>
    <row r="796" spans="1:10">
      <c r="A796" s="498"/>
      <c r="J796" s="498"/>
    </row>
    <row r="797" spans="1:10">
      <c r="A797" s="498"/>
      <c r="J797" s="498"/>
    </row>
    <row r="798" spans="1:10">
      <c r="A798" s="498"/>
      <c r="J798" s="498"/>
    </row>
    <row r="799" spans="1:10">
      <c r="A799" s="498"/>
      <c r="J799" s="498"/>
    </row>
    <row r="800" spans="1:10">
      <c r="A800" s="498"/>
      <c r="J800" s="498"/>
    </row>
    <row r="801" spans="1:10">
      <c r="A801" s="498"/>
      <c r="J801" s="498"/>
    </row>
    <row r="802" spans="1:10">
      <c r="A802" s="498"/>
      <c r="J802" s="498"/>
    </row>
    <row r="803" spans="1:10">
      <c r="A803" s="498"/>
      <c r="J803" s="498"/>
    </row>
    <row r="804" spans="1:10">
      <c r="A804" s="498"/>
      <c r="J804" s="498"/>
    </row>
    <row r="805" spans="1:10">
      <c r="A805" s="498"/>
      <c r="J805" s="498"/>
    </row>
    <row r="806" spans="1:10">
      <c r="A806" s="498"/>
      <c r="J806" s="498"/>
    </row>
    <row r="807" spans="1:10">
      <c r="A807" s="498"/>
      <c r="J807" s="498"/>
    </row>
    <row r="808" spans="1:10">
      <c r="A808" s="498"/>
      <c r="J808" s="498"/>
    </row>
    <row r="809" spans="1:10">
      <c r="A809" s="498"/>
      <c r="J809" s="498"/>
    </row>
    <row r="810" spans="1:10">
      <c r="A810" s="498"/>
      <c r="J810" s="498"/>
    </row>
    <row r="811" spans="1:10">
      <c r="A811" s="498"/>
      <c r="J811" s="498"/>
    </row>
    <row r="812" spans="1:10">
      <c r="A812" s="498"/>
      <c r="J812" s="498"/>
    </row>
    <row r="813" spans="1:10">
      <c r="A813" s="498"/>
      <c r="J813" s="498"/>
    </row>
    <row r="814" spans="1:10">
      <c r="A814" s="498"/>
      <c r="J814" s="498"/>
    </row>
    <row r="815" spans="1:10">
      <c r="A815" s="498"/>
      <c r="J815" s="498"/>
    </row>
    <row r="816" spans="1:10">
      <c r="A816" s="498"/>
      <c r="J816" s="498"/>
    </row>
    <row r="817" spans="1:10">
      <c r="A817" s="498"/>
      <c r="J817" s="498"/>
    </row>
    <row r="818" spans="1:10">
      <c r="A818" s="498"/>
      <c r="J818" s="498"/>
    </row>
    <row r="819" spans="1:10">
      <c r="A819" s="498"/>
      <c r="J819" s="498"/>
    </row>
    <row r="820" spans="1:10">
      <c r="A820" s="498"/>
      <c r="J820" s="498"/>
    </row>
    <row r="821" spans="1:10">
      <c r="A821" s="498"/>
      <c r="J821" s="498"/>
    </row>
    <row r="822" spans="1:10">
      <c r="A822" s="498"/>
      <c r="J822" s="498"/>
    </row>
    <row r="823" spans="1:10">
      <c r="A823" s="498"/>
      <c r="J823" s="498"/>
    </row>
    <row r="824" spans="1:10">
      <c r="A824" s="498"/>
      <c r="J824" s="498"/>
    </row>
    <row r="825" spans="1:10">
      <c r="A825" s="498"/>
      <c r="J825" s="498"/>
    </row>
    <row r="826" spans="1:10">
      <c r="A826" s="498"/>
      <c r="J826" s="498"/>
    </row>
    <row r="827" spans="1:10">
      <c r="A827" s="498"/>
      <c r="J827" s="498"/>
    </row>
    <row r="828" spans="1:10">
      <c r="A828" s="498"/>
      <c r="J828" s="498"/>
    </row>
    <row r="829" spans="1:10">
      <c r="A829" s="498"/>
      <c r="J829" s="498"/>
    </row>
    <row r="830" spans="1:10">
      <c r="A830" s="498"/>
      <c r="J830" s="498"/>
    </row>
    <row r="831" spans="1:10">
      <c r="A831" s="498"/>
      <c r="J831" s="498"/>
    </row>
    <row r="832" spans="1:10">
      <c r="A832" s="498"/>
      <c r="J832" s="498"/>
    </row>
    <row r="833" spans="1:10">
      <c r="A833" s="498"/>
      <c r="J833" s="498"/>
    </row>
    <row r="834" spans="1:10">
      <c r="A834" s="498"/>
      <c r="J834" s="498"/>
    </row>
    <row r="835" spans="1:10">
      <c r="A835" s="498"/>
      <c r="J835" s="498"/>
    </row>
    <row r="836" spans="1:10">
      <c r="A836" s="498"/>
      <c r="J836" s="498"/>
    </row>
    <row r="837" spans="1:10">
      <c r="A837" s="498"/>
      <c r="J837" s="498"/>
    </row>
    <row r="838" spans="1:10">
      <c r="A838" s="498"/>
      <c r="J838" s="498"/>
    </row>
    <row r="839" spans="1:10">
      <c r="A839" s="498"/>
      <c r="J839" s="498"/>
    </row>
    <row r="840" spans="1:10">
      <c r="A840" s="498"/>
      <c r="J840" s="498"/>
    </row>
    <row r="841" spans="1:10">
      <c r="A841" s="498"/>
      <c r="J841" s="498"/>
    </row>
    <row r="842" spans="1:10">
      <c r="A842" s="498"/>
      <c r="J842" s="498"/>
    </row>
    <row r="843" spans="1:10">
      <c r="A843" s="498"/>
      <c r="J843" s="498"/>
    </row>
    <row r="844" spans="1:10">
      <c r="A844" s="498"/>
      <c r="J844" s="498"/>
    </row>
    <row r="845" spans="1:10">
      <c r="A845" s="498"/>
      <c r="J845" s="498"/>
    </row>
    <row r="846" spans="1:10">
      <c r="A846" s="498"/>
      <c r="J846" s="498"/>
    </row>
    <row r="847" spans="1:10">
      <c r="A847" s="498"/>
      <c r="J847" s="498"/>
    </row>
    <row r="848" spans="1:10">
      <c r="A848" s="498"/>
      <c r="J848" s="498"/>
    </row>
    <row r="849" spans="1:10">
      <c r="A849" s="498"/>
      <c r="J849" s="498"/>
    </row>
    <row r="850" spans="1:10">
      <c r="A850" s="498"/>
      <c r="J850" s="498"/>
    </row>
    <row r="851" spans="1:10">
      <c r="A851" s="498"/>
      <c r="J851" s="498"/>
    </row>
    <row r="852" spans="1:10">
      <c r="A852" s="498"/>
      <c r="J852" s="498"/>
    </row>
    <row r="853" spans="1:10">
      <c r="A853" s="498"/>
      <c r="J853" s="498"/>
    </row>
    <row r="854" spans="1:10">
      <c r="A854" s="498"/>
      <c r="J854" s="498"/>
    </row>
    <row r="855" spans="1:10">
      <c r="A855" s="498"/>
      <c r="J855" s="498"/>
    </row>
    <row r="856" spans="1:10">
      <c r="A856" s="498"/>
      <c r="J856" s="498"/>
    </row>
    <row r="857" spans="1:10">
      <c r="A857" s="498"/>
      <c r="J857" s="498"/>
    </row>
    <row r="858" spans="1:10">
      <c r="A858" s="498"/>
      <c r="J858" s="498"/>
    </row>
    <row r="859" spans="1:10">
      <c r="A859" s="498"/>
      <c r="J859" s="498"/>
    </row>
    <row r="860" spans="1:10">
      <c r="A860" s="498"/>
      <c r="J860" s="498"/>
    </row>
    <row r="861" spans="1:10">
      <c r="A861" s="498"/>
      <c r="J861" s="498"/>
    </row>
    <row r="862" spans="1:10">
      <c r="A862" s="498"/>
      <c r="J862" s="498"/>
    </row>
    <row r="863" spans="1:10">
      <c r="A863" s="498"/>
      <c r="J863" s="498"/>
    </row>
    <row r="864" spans="1:10">
      <c r="A864" s="498"/>
      <c r="J864" s="498"/>
    </row>
    <row r="865" spans="1:10">
      <c r="A865" s="498"/>
      <c r="J865" s="498"/>
    </row>
    <row r="866" spans="1:10">
      <c r="A866" s="498"/>
      <c r="J866" s="498"/>
    </row>
    <row r="867" spans="1:10">
      <c r="A867" s="498"/>
      <c r="J867" s="498"/>
    </row>
    <row r="868" spans="1:10">
      <c r="A868" s="498"/>
      <c r="J868" s="498"/>
    </row>
    <row r="869" spans="1:10">
      <c r="A869" s="498"/>
      <c r="J869" s="498"/>
    </row>
    <row r="870" spans="1:10">
      <c r="A870" s="498"/>
      <c r="J870" s="498"/>
    </row>
    <row r="871" spans="1:10">
      <c r="A871" s="498"/>
      <c r="J871" s="498"/>
    </row>
    <row r="872" spans="1:10">
      <c r="A872" s="498"/>
      <c r="J872" s="498"/>
    </row>
    <row r="873" spans="1:10">
      <c r="A873" s="498"/>
      <c r="J873" s="498"/>
    </row>
    <row r="874" spans="1:10">
      <c r="A874" s="498"/>
      <c r="J874" s="498"/>
    </row>
    <row r="875" spans="1:10">
      <c r="A875" s="498"/>
      <c r="J875" s="498"/>
    </row>
    <row r="876" spans="1:10">
      <c r="A876" s="498"/>
      <c r="J876" s="498"/>
    </row>
    <row r="877" spans="1:10">
      <c r="A877" s="498"/>
      <c r="J877" s="498"/>
    </row>
    <row r="878" spans="1:10">
      <c r="A878" s="498"/>
      <c r="J878" s="498"/>
    </row>
    <row r="879" spans="1:10">
      <c r="A879" s="498"/>
      <c r="J879" s="498"/>
    </row>
    <row r="880" spans="1:10">
      <c r="A880" s="498"/>
      <c r="J880" s="498"/>
    </row>
    <row r="881" spans="1:10">
      <c r="A881" s="498"/>
      <c r="J881" s="498"/>
    </row>
    <row r="882" spans="1:10">
      <c r="A882" s="498"/>
      <c r="J882" s="498"/>
    </row>
    <row r="883" spans="1:10">
      <c r="A883" s="498"/>
      <c r="J883" s="498"/>
    </row>
    <row r="884" spans="1:10">
      <c r="A884" s="498"/>
      <c r="J884" s="498"/>
    </row>
    <row r="885" spans="1:10">
      <c r="A885" s="498"/>
      <c r="J885" s="498"/>
    </row>
    <row r="886" spans="1:10">
      <c r="A886" s="498"/>
      <c r="J886" s="498"/>
    </row>
    <row r="887" spans="1:10">
      <c r="A887" s="498"/>
      <c r="J887" s="498"/>
    </row>
    <row r="888" spans="1:10">
      <c r="A888" s="498"/>
      <c r="J888" s="498"/>
    </row>
    <row r="889" spans="1:10">
      <c r="A889" s="498"/>
      <c r="J889" s="498"/>
    </row>
    <row r="890" spans="1:10">
      <c r="A890" s="498"/>
      <c r="J890" s="498"/>
    </row>
    <row r="891" spans="1:10">
      <c r="A891" s="498"/>
      <c r="J891" s="498"/>
    </row>
    <row r="892" spans="1:10">
      <c r="A892" s="498"/>
      <c r="J892" s="498"/>
    </row>
    <row r="893" spans="1:10">
      <c r="A893" s="498"/>
      <c r="J893" s="498"/>
    </row>
    <row r="894" spans="1:10">
      <c r="A894" s="498"/>
      <c r="J894" s="498"/>
    </row>
    <row r="895" spans="1:10">
      <c r="A895" s="498"/>
      <c r="J895" s="498"/>
    </row>
    <row r="896" spans="1:10">
      <c r="A896" s="498"/>
      <c r="J896" s="498"/>
    </row>
    <row r="897" spans="1:10">
      <c r="A897" s="498"/>
      <c r="J897" s="498"/>
    </row>
    <row r="898" spans="1:10">
      <c r="A898" s="498"/>
      <c r="J898" s="498"/>
    </row>
    <row r="899" spans="1:10">
      <c r="A899" s="498"/>
      <c r="J899" s="498"/>
    </row>
    <row r="900" spans="1:10">
      <c r="A900" s="498"/>
      <c r="J900" s="498"/>
    </row>
    <row r="901" spans="1:10">
      <c r="A901" s="498"/>
      <c r="J901" s="498"/>
    </row>
    <row r="902" spans="1:10">
      <c r="A902" s="498"/>
      <c r="J902" s="498"/>
    </row>
    <row r="903" spans="1:10">
      <c r="A903" s="498"/>
      <c r="J903" s="498"/>
    </row>
    <row r="904" spans="1:10">
      <c r="A904" s="498"/>
      <c r="J904" s="498"/>
    </row>
    <row r="905" spans="1:10">
      <c r="A905" s="498"/>
      <c r="J905" s="498"/>
    </row>
    <row r="906" spans="1:10">
      <c r="A906" s="498"/>
      <c r="J906" s="498"/>
    </row>
    <row r="907" spans="1:10">
      <c r="A907" s="498"/>
      <c r="J907" s="498"/>
    </row>
    <row r="908" spans="1:10">
      <c r="A908" s="498"/>
      <c r="J908" s="498"/>
    </row>
    <row r="909" spans="1:10">
      <c r="A909" s="498"/>
      <c r="J909" s="498"/>
    </row>
    <row r="910" spans="1:10">
      <c r="A910" s="498"/>
      <c r="J910" s="498"/>
    </row>
    <row r="911" spans="1:10">
      <c r="A911" s="498"/>
      <c r="J911" s="498"/>
    </row>
    <row r="912" spans="1:10">
      <c r="A912" s="498"/>
      <c r="J912" s="498"/>
    </row>
    <row r="913" spans="1:10">
      <c r="A913" s="498"/>
      <c r="J913" s="498"/>
    </row>
    <row r="914" spans="1:10">
      <c r="A914" s="498"/>
      <c r="J914" s="498"/>
    </row>
    <row r="915" spans="1:10">
      <c r="A915" s="498"/>
      <c r="J915" s="498"/>
    </row>
    <row r="916" spans="1:10">
      <c r="A916" s="498"/>
      <c r="J916" s="498"/>
    </row>
    <row r="917" spans="1:10">
      <c r="A917" s="498"/>
      <c r="J917" s="498"/>
    </row>
    <row r="918" spans="1:10">
      <c r="A918" s="498"/>
      <c r="J918" s="498"/>
    </row>
    <row r="919" spans="1:10">
      <c r="A919" s="498"/>
      <c r="J919" s="498"/>
    </row>
    <row r="920" spans="1:10">
      <c r="A920" s="498"/>
      <c r="J920" s="498"/>
    </row>
    <row r="921" spans="1:10">
      <c r="A921" s="498"/>
      <c r="J921" s="498"/>
    </row>
    <row r="922" spans="1:10">
      <c r="A922" s="498"/>
      <c r="J922" s="498"/>
    </row>
    <row r="923" spans="1:10">
      <c r="A923" s="498"/>
      <c r="J923" s="498"/>
    </row>
    <row r="924" spans="1:10">
      <c r="A924" s="498"/>
      <c r="J924" s="498"/>
    </row>
    <row r="925" spans="1:10">
      <c r="A925" s="498"/>
      <c r="J925" s="498"/>
    </row>
    <row r="926" spans="1:10">
      <c r="A926" s="498"/>
      <c r="J926" s="498"/>
    </row>
    <row r="927" spans="1:10">
      <c r="A927" s="498"/>
      <c r="J927" s="498"/>
    </row>
    <row r="928" spans="1:10">
      <c r="A928" s="498"/>
      <c r="J928" s="498"/>
    </row>
    <row r="929" spans="1:10">
      <c r="A929" s="498"/>
      <c r="J929" s="498"/>
    </row>
    <row r="930" spans="1:10">
      <c r="A930" s="498"/>
      <c r="J930" s="498"/>
    </row>
    <row r="931" spans="1:10">
      <c r="A931" s="498"/>
      <c r="J931" s="498"/>
    </row>
    <row r="932" spans="1:10">
      <c r="A932" s="498"/>
      <c r="J932" s="498"/>
    </row>
    <row r="933" spans="1:10">
      <c r="A933" s="498"/>
      <c r="J933" s="498"/>
    </row>
    <row r="934" spans="1:10">
      <c r="A934" s="498"/>
      <c r="J934" s="498"/>
    </row>
    <row r="935" spans="1:10">
      <c r="A935" s="498"/>
      <c r="J935" s="498"/>
    </row>
    <row r="936" spans="1:10">
      <c r="A936" s="498"/>
      <c r="J936" s="498"/>
    </row>
    <row r="937" spans="1:10">
      <c r="A937" s="498"/>
      <c r="J937" s="498"/>
    </row>
    <row r="938" spans="1:10">
      <c r="A938" s="498"/>
      <c r="J938" s="498"/>
    </row>
    <row r="939" spans="1:10">
      <c r="A939" s="498"/>
      <c r="J939" s="498"/>
    </row>
    <row r="940" spans="1:10">
      <c r="A940" s="498"/>
      <c r="J940" s="498"/>
    </row>
    <row r="941" spans="1:10">
      <c r="A941" s="498"/>
      <c r="J941" s="498"/>
    </row>
    <row r="942" spans="1:10">
      <c r="A942" s="498"/>
      <c r="J942" s="498"/>
    </row>
    <row r="943" spans="1:10">
      <c r="A943" s="498"/>
      <c r="J943" s="498"/>
    </row>
    <row r="944" spans="1:10">
      <c r="A944" s="498"/>
      <c r="J944" s="498"/>
    </row>
    <row r="945" spans="1:10">
      <c r="A945" s="498"/>
      <c r="J945" s="498"/>
    </row>
    <row r="946" spans="1:10">
      <c r="A946" s="498"/>
      <c r="J946" s="498"/>
    </row>
    <row r="947" spans="1:10">
      <c r="A947" s="498"/>
      <c r="J947" s="498"/>
    </row>
    <row r="948" spans="1:10">
      <c r="A948" s="498"/>
      <c r="J948" s="498"/>
    </row>
    <row r="949" spans="1:10">
      <c r="A949" s="498"/>
      <c r="J949" s="498"/>
    </row>
    <row r="950" spans="1:10">
      <c r="A950" s="498"/>
      <c r="J950" s="498"/>
    </row>
    <row r="951" spans="1:10">
      <c r="A951" s="498"/>
      <c r="J951" s="498"/>
    </row>
    <row r="952" spans="1:10">
      <c r="A952" s="498"/>
      <c r="J952" s="498"/>
    </row>
    <row r="953" spans="1:10">
      <c r="A953" s="498"/>
      <c r="J953" s="498"/>
    </row>
    <row r="954" spans="1:10">
      <c r="A954" s="498"/>
      <c r="J954" s="498"/>
    </row>
    <row r="955" spans="1:10">
      <c r="A955" s="498"/>
      <c r="J955" s="498"/>
    </row>
    <row r="956" spans="1:10">
      <c r="A956" s="498"/>
      <c r="J956" s="498"/>
    </row>
    <row r="957" spans="1:10">
      <c r="A957" s="498"/>
      <c r="J957" s="498"/>
    </row>
    <row r="958" spans="1:10">
      <c r="A958" s="498"/>
      <c r="J958" s="498"/>
    </row>
    <row r="959" spans="1:10">
      <c r="A959" s="498"/>
      <c r="J959" s="498"/>
    </row>
    <row r="960" spans="1:10">
      <c r="A960" s="498"/>
      <c r="J960" s="498"/>
    </row>
    <row r="961" spans="1:10">
      <c r="A961" s="498"/>
      <c r="J961" s="498"/>
    </row>
    <row r="962" spans="1:10">
      <c r="A962" s="498"/>
      <c r="J962" s="498"/>
    </row>
    <row r="963" spans="1:10">
      <c r="A963" s="498"/>
      <c r="J963" s="498"/>
    </row>
    <row r="964" spans="1:10">
      <c r="A964" s="498"/>
      <c r="J964" s="498"/>
    </row>
    <row r="965" spans="1:10">
      <c r="A965" s="498"/>
      <c r="J965" s="498"/>
    </row>
    <row r="966" spans="1:10">
      <c r="A966" s="498"/>
      <c r="J966" s="498"/>
    </row>
    <row r="967" spans="1:10">
      <c r="A967" s="498"/>
      <c r="J967" s="498"/>
    </row>
    <row r="968" spans="1:10">
      <c r="A968" s="498"/>
      <c r="J968" s="498"/>
    </row>
    <row r="969" spans="1:10">
      <c r="A969" s="498"/>
      <c r="J969" s="498"/>
    </row>
    <row r="970" spans="1:10">
      <c r="A970" s="498"/>
      <c r="J970" s="498"/>
    </row>
    <row r="971" spans="1:10">
      <c r="A971" s="498"/>
      <c r="J971" s="498"/>
    </row>
    <row r="972" spans="1:10">
      <c r="A972" s="498"/>
      <c r="J972" s="498"/>
    </row>
    <row r="973" spans="1:10">
      <c r="A973" s="498"/>
      <c r="J973" s="498"/>
    </row>
    <row r="974" spans="1:10">
      <c r="A974" s="498"/>
      <c r="J974" s="498"/>
    </row>
    <row r="975" spans="1:10">
      <c r="A975" s="498"/>
      <c r="J975" s="498"/>
    </row>
    <row r="976" spans="1:10">
      <c r="A976" s="498"/>
      <c r="J976" s="498"/>
    </row>
    <row r="977" spans="1:10">
      <c r="A977" s="498"/>
      <c r="J977" s="498"/>
    </row>
    <row r="978" spans="1:10">
      <c r="A978" s="498"/>
      <c r="J978" s="498"/>
    </row>
    <row r="979" spans="1:10">
      <c r="A979" s="498"/>
      <c r="J979" s="498"/>
    </row>
    <row r="980" spans="1:10">
      <c r="A980" s="498"/>
      <c r="J980" s="498"/>
    </row>
    <row r="981" spans="1:10">
      <c r="A981" s="498"/>
      <c r="J981" s="498"/>
    </row>
    <row r="982" spans="1:10">
      <c r="A982" s="498"/>
      <c r="J982" s="498"/>
    </row>
    <row r="983" spans="1:10">
      <c r="A983" s="498"/>
      <c r="J983" s="498"/>
    </row>
    <row r="984" spans="1:10">
      <c r="A984" s="498"/>
      <c r="J984" s="498"/>
    </row>
    <row r="985" spans="1:10">
      <c r="A985" s="498"/>
      <c r="J985" s="498"/>
    </row>
    <row r="986" spans="1:10">
      <c r="A986" s="498"/>
      <c r="J986" s="498"/>
    </row>
    <row r="987" spans="1:10">
      <c r="A987" s="498"/>
      <c r="J987" s="498"/>
    </row>
    <row r="988" spans="1:10">
      <c r="A988" s="498"/>
      <c r="J988" s="498"/>
    </row>
    <row r="989" spans="1:10">
      <c r="A989" s="498"/>
      <c r="J989" s="498"/>
    </row>
    <row r="990" spans="1:10">
      <c r="A990" s="498"/>
      <c r="J990" s="498"/>
    </row>
    <row r="991" spans="1:10">
      <c r="A991" s="498"/>
      <c r="J991" s="498"/>
    </row>
    <row r="992" spans="1:10">
      <c r="A992" s="498"/>
      <c r="J992" s="498"/>
    </row>
    <row r="993" spans="1:10">
      <c r="A993" s="498"/>
      <c r="J993" s="498"/>
    </row>
    <row r="994" spans="1:10">
      <c r="A994" s="498"/>
      <c r="J994" s="498"/>
    </row>
    <row r="995" spans="1:10">
      <c r="A995" s="498"/>
      <c r="J995" s="498"/>
    </row>
    <row r="996" spans="1:10">
      <c r="A996" s="498"/>
      <c r="J996" s="498"/>
    </row>
    <row r="997" spans="1:10">
      <c r="A997" s="498"/>
      <c r="J997" s="498"/>
    </row>
    <row r="998" spans="1:10">
      <c r="A998" s="498"/>
      <c r="J998" s="498"/>
    </row>
    <row r="999" spans="1:10">
      <c r="A999" s="498"/>
      <c r="J999" s="498"/>
    </row>
    <row r="1000" spans="1:10">
      <c r="A1000" s="498"/>
      <c r="J1000" s="498"/>
    </row>
    <row r="1001" spans="1:10">
      <c r="A1001" s="498"/>
      <c r="J1001" s="498"/>
    </row>
    <row r="1002" spans="1:10">
      <c r="A1002" s="498"/>
      <c r="J1002" s="498"/>
    </row>
    <row r="1003" spans="1:10">
      <c r="A1003" s="498"/>
      <c r="J1003" s="498"/>
    </row>
    <row r="1004" spans="1:10">
      <c r="A1004" s="498"/>
      <c r="J1004" s="498"/>
    </row>
    <row r="1005" spans="1:10">
      <c r="A1005" s="498"/>
      <c r="J1005" s="498"/>
    </row>
    <row r="1006" spans="1:10">
      <c r="A1006" s="498"/>
      <c r="J1006" s="498"/>
    </row>
    <row r="1007" spans="1:10">
      <c r="A1007" s="498"/>
      <c r="J1007" s="498"/>
    </row>
  </sheetData>
  <mergeCells count="20">
    <mergeCell ref="M11:N11"/>
    <mergeCell ref="K8:K10"/>
    <mergeCell ref="K27:K35"/>
    <mergeCell ref="K44:K46"/>
    <mergeCell ref="K63:K71"/>
    <mergeCell ref="C44:G45"/>
    <mergeCell ref="A108:A109"/>
    <mergeCell ref="A131:A132"/>
    <mergeCell ref="A5:J5"/>
    <mergeCell ref="A7:J7"/>
    <mergeCell ref="J8:J10"/>
    <mergeCell ref="B8:B9"/>
    <mergeCell ref="A43:J43"/>
    <mergeCell ref="J44:J46"/>
    <mergeCell ref="B44:B45"/>
    <mergeCell ref="I8:I10"/>
    <mergeCell ref="I44:I46"/>
    <mergeCell ref="C8:G9"/>
    <mergeCell ref="H44:H45"/>
    <mergeCell ref="H8:H10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8" firstPageNumber="17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65"/>
  <sheetViews>
    <sheetView showGridLines="0" view="pageBreakPreview" zoomScale="110" zoomScaleSheetLayoutView="110" workbookViewId="0">
      <pane xSplit="3" ySplit="6" topLeftCell="F61" activePane="bottomRight" state="frozen"/>
      <selection activeCell="I83" sqref="I83"/>
      <selection pane="topRight" activeCell="I83" sqref="I83"/>
      <selection pane="bottomLeft" activeCell="I83" sqref="I83"/>
      <selection pane="bottomRight" activeCell="I135" sqref="I135:I149"/>
    </sheetView>
  </sheetViews>
  <sheetFormatPr defaultRowHeight="11.25"/>
  <cols>
    <col min="1" max="1" width="2.85546875" style="412" customWidth="1"/>
    <col min="2" max="2" width="61" style="316" customWidth="1"/>
    <col min="3" max="3" width="10.5703125" style="316" customWidth="1"/>
    <col min="4" max="4" width="14.85546875" style="316" customWidth="1"/>
    <col min="5" max="5" width="13.28515625" style="316" customWidth="1"/>
    <col min="6" max="10" width="13" style="316" customWidth="1"/>
    <col min="11" max="12" width="9.28515625" style="316" hidden="1" customWidth="1"/>
    <col min="13" max="13" width="11.42578125" style="316" customWidth="1"/>
    <col min="14" max="14" width="15.28515625" style="445" customWidth="1"/>
    <col min="15" max="15" width="11.85546875" style="316" hidden="1" customWidth="1"/>
    <col min="16" max="17" width="0" style="316" hidden="1" customWidth="1"/>
    <col min="18" max="250" width="9.140625" style="316"/>
    <col min="251" max="251" width="2.85546875" style="316" customWidth="1"/>
    <col min="252" max="252" width="50.7109375" style="316" customWidth="1"/>
    <col min="253" max="253" width="9.42578125" style="316" customWidth="1"/>
    <col min="254" max="254" width="11.85546875" style="316" customWidth="1"/>
    <col min="255" max="255" width="8.42578125" style="316" bestFit="1" customWidth="1"/>
    <col min="256" max="258" width="0" style="316" hidden="1" customWidth="1"/>
    <col min="259" max="259" width="6" style="316" bestFit="1" customWidth="1"/>
    <col min="260" max="260" width="9.5703125" style="316" customWidth="1"/>
    <col min="261" max="261" width="9.85546875" style="316" customWidth="1"/>
    <col min="262" max="262" width="9.7109375" style="316" customWidth="1"/>
    <col min="263" max="263" width="9.5703125" style="316" customWidth="1"/>
    <col min="264" max="264" width="9.85546875" style="316" customWidth="1"/>
    <col min="265" max="265" width="6.5703125" style="316" customWidth="1"/>
    <col min="266" max="266" width="6" style="316" bestFit="1" customWidth="1"/>
    <col min="267" max="267" width="6.28515625" style="316" customWidth="1"/>
    <col min="268" max="268" width="11.7109375" style="316" customWidth="1"/>
    <col min="269" max="269" width="0" style="316" hidden="1" customWidth="1"/>
    <col min="270" max="270" width="14.5703125" style="316" customWidth="1"/>
    <col min="271" max="271" width="11.85546875" style="316" customWidth="1"/>
    <col min="272" max="506" width="9.140625" style="316"/>
    <col min="507" max="507" width="2.85546875" style="316" customWidth="1"/>
    <col min="508" max="508" width="50.7109375" style="316" customWidth="1"/>
    <col min="509" max="509" width="9.42578125" style="316" customWidth="1"/>
    <col min="510" max="510" width="11.85546875" style="316" customWidth="1"/>
    <col min="511" max="511" width="8.42578125" style="316" bestFit="1" customWidth="1"/>
    <col min="512" max="514" width="0" style="316" hidden="1" customWidth="1"/>
    <col min="515" max="515" width="6" style="316" bestFit="1" customWidth="1"/>
    <col min="516" max="516" width="9.5703125" style="316" customWidth="1"/>
    <col min="517" max="517" width="9.85546875" style="316" customWidth="1"/>
    <col min="518" max="518" width="9.7109375" style="316" customWidth="1"/>
    <col min="519" max="519" width="9.5703125" style="316" customWidth="1"/>
    <col min="520" max="520" width="9.85546875" style="316" customWidth="1"/>
    <col min="521" max="521" width="6.5703125" style="316" customWidth="1"/>
    <col min="522" max="522" width="6" style="316" bestFit="1" customWidth="1"/>
    <col min="523" max="523" width="6.28515625" style="316" customWidth="1"/>
    <col min="524" max="524" width="11.7109375" style="316" customWidth="1"/>
    <col min="525" max="525" width="0" style="316" hidden="1" customWidth="1"/>
    <col min="526" max="526" width="14.5703125" style="316" customWidth="1"/>
    <col min="527" max="527" width="11.85546875" style="316" customWidth="1"/>
    <col min="528" max="762" width="9.140625" style="316"/>
    <col min="763" max="763" width="2.85546875" style="316" customWidth="1"/>
    <col min="764" max="764" width="50.7109375" style="316" customWidth="1"/>
    <col min="765" max="765" width="9.42578125" style="316" customWidth="1"/>
    <col min="766" max="766" width="11.85546875" style="316" customWidth="1"/>
    <col min="767" max="767" width="8.42578125" style="316" bestFit="1" customWidth="1"/>
    <col min="768" max="770" width="0" style="316" hidden="1" customWidth="1"/>
    <col min="771" max="771" width="6" style="316" bestFit="1" customWidth="1"/>
    <col min="772" max="772" width="9.5703125" style="316" customWidth="1"/>
    <col min="773" max="773" width="9.85546875" style="316" customWidth="1"/>
    <col min="774" max="774" width="9.7109375" style="316" customWidth="1"/>
    <col min="775" max="775" width="9.5703125" style="316" customWidth="1"/>
    <col min="776" max="776" width="9.85546875" style="316" customWidth="1"/>
    <col min="777" max="777" width="6.5703125" style="316" customWidth="1"/>
    <col min="778" max="778" width="6" style="316" bestFit="1" customWidth="1"/>
    <col min="779" max="779" width="6.28515625" style="316" customWidth="1"/>
    <col min="780" max="780" width="11.7109375" style="316" customWidth="1"/>
    <col min="781" max="781" width="0" style="316" hidden="1" customWidth="1"/>
    <col min="782" max="782" width="14.5703125" style="316" customWidth="1"/>
    <col min="783" max="783" width="11.85546875" style="316" customWidth="1"/>
    <col min="784" max="1018" width="9.140625" style="316"/>
    <col min="1019" max="1019" width="2.85546875" style="316" customWidth="1"/>
    <col min="1020" max="1020" width="50.7109375" style="316" customWidth="1"/>
    <col min="1021" max="1021" width="9.42578125" style="316" customWidth="1"/>
    <col min="1022" max="1022" width="11.85546875" style="316" customWidth="1"/>
    <col min="1023" max="1023" width="8.42578125" style="316" bestFit="1" customWidth="1"/>
    <col min="1024" max="1026" width="0" style="316" hidden="1" customWidth="1"/>
    <col min="1027" max="1027" width="6" style="316" bestFit="1" customWidth="1"/>
    <col min="1028" max="1028" width="9.5703125" style="316" customWidth="1"/>
    <col min="1029" max="1029" width="9.85546875" style="316" customWidth="1"/>
    <col min="1030" max="1030" width="9.7109375" style="316" customWidth="1"/>
    <col min="1031" max="1031" width="9.5703125" style="316" customWidth="1"/>
    <col min="1032" max="1032" width="9.85546875" style="316" customWidth="1"/>
    <col min="1033" max="1033" width="6.5703125" style="316" customWidth="1"/>
    <col min="1034" max="1034" width="6" style="316" bestFit="1" customWidth="1"/>
    <col min="1035" max="1035" width="6.28515625" style="316" customWidth="1"/>
    <col min="1036" max="1036" width="11.7109375" style="316" customWidth="1"/>
    <col min="1037" max="1037" width="0" style="316" hidden="1" customWidth="1"/>
    <col min="1038" max="1038" width="14.5703125" style="316" customWidth="1"/>
    <col min="1039" max="1039" width="11.85546875" style="316" customWidth="1"/>
    <col min="1040" max="1274" width="9.140625" style="316"/>
    <col min="1275" max="1275" width="2.85546875" style="316" customWidth="1"/>
    <col min="1276" max="1276" width="50.7109375" style="316" customWidth="1"/>
    <col min="1277" max="1277" width="9.42578125" style="316" customWidth="1"/>
    <col min="1278" max="1278" width="11.85546875" style="316" customWidth="1"/>
    <col min="1279" max="1279" width="8.42578125" style="316" bestFit="1" customWidth="1"/>
    <col min="1280" max="1282" width="0" style="316" hidden="1" customWidth="1"/>
    <col min="1283" max="1283" width="6" style="316" bestFit="1" customWidth="1"/>
    <col min="1284" max="1284" width="9.5703125" style="316" customWidth="1"/>
    <col min="1285" max="1285" width="9.85546875" style="316" customWidth="1"/>
    <col min="1286" max="1286" width="9.7109375" style="316" customWidth="1"/>
    <col min="1287" max="1287" width="9.5703125" style="316" customWidth="1"/>
    <col min="1288" max="1288" width="9.85546875" style="316" customWidth="1"/>
    <col min="1289" max="1289" width="6.5703125" style="316" customWidth="1"/>
    <col min="1290" max="1290" width="6" style="316" bestFit="1" customWidth="1"/>
    <col min="1291" max="1291" width="6.28515625" style="316" customWidth="1"/>
    <col min="1292" max="1292" width="11.7109375" style="316" customWidth="1"/>
    <col min="1293" max="1293" width="0" style="316" hidden="1" customWidth="1"/>
    <col min="1294" max="1294" width="14.5703125" style="316" customWidth="1"/>
    <col min="1295" max="1295" width="11.85546875" style="316" customWidth="1"/>
    <col min="1296" max="1530" width="9.140625" style="316"/>
    <col min="1531" max="1531" width="2.85546875" style="316" customWidth="1"/>
    <col min="1532" max="1532" width="50.7109375" style="316" customWidth="1"/>
    <col min="1533" max="1533" width="9.42578125" style="316" customWidth="1"/>
    <col min="1534" max="1534" width="11.85546875" style="316" customWidth="1"/>
    <col min="1535" max="1535" width="8.42578125" style="316" bestFit="1" customWidth="1"/>
    <col min="1536" max="1538" width="0" style="316" hidden="1" customWidth="1"/>
    <col min="1539" max="1539" width="6" style="316" bestFit="1" customWidth="1"/>
    <col min="1540" max="1540" width="9.5703125" style="316" customWidth="1"/>
    <col min="1541" max="1541" width="9.85546875" style="316" customWidth="1"/>
    <col min="1542" max="1542" width="9.7109375" style="316" customWidth="1"/>
    <col min="1543" max="1543" width="9.5703125" style="316" customWidth="1"/>
    <col min="1544" max="1544" width="9.85546875" style="316" customWidth="1"/>
    <col min="1545" max="1545" width="6.5703125" style="316" customWidth="1"/>
    <col min="1546" max="1546" width="6" style="316" bestFit="1" customWidth="1"/>
    <col min="1547" max="1547" width="6.28515625" style="316" customWidth="1"/>
    <col min="1548" max="1548" width="11.7109375" style="316" customWidth="1"/>
    <col min="1549" max="1549" width="0" style="316" hidden="1" customWidth="1"/>
    <col min="1550" max="1550" width="14.5703125" style="316" customWidth="1"/>
    <col min="1551" max="1551" width="11.85546875" style="316" customWidth="1"/>
    <col min="1552" max="1786" width="9.140625" style="316"/>
    <col min="1787" max="1787" width="2.85546875" style="316" customWidth="1"/>
    <col min="1788" max="1788" width="50.7109375" style="316" customWidth="1"/>
    <col min="1789" max="1789" width="9.42578125" style="316" customWidth="1"/>
    <col min="1790" max="1790" width="11.85546875" style="316" customWidth="1"/>
    <col min="1791" max="1791" width="8.42578125" style="316" bestFit="1" customWidth="1"/>
    <col min="1792" max="1794" width="0" style="316" hidden="1" customWidth="1"/>
    <col min="1795" max="1795" width="6" style="316" bestFit="1" customWidth="1"/>
    <col min="1796" max="1796" width="9.5703125" style="316" customWidth="1"/>
    <col min="1797" max="1797" width="9.85546875" style="316" customWidth="1"/>
    <col min="1798" max="1798" width="9.7109375" style="316" customWidth="1"/>
    <col min="1799" max="1799" width="9.5703125" style="316" customWidth="1"/>
    <col min="1800" max="1800" width="9.85546875" style="316" customWidth="1"/>
    <col min="1801" max="1801" width="6.5703125" style="316" customWidth="1"/>
    <col min="1802" max="1802" width="6" style="316" bestFit="1" customWidth="1"/>
    <col min="1803" max="1803" width="6.28515625" style="316" customWidth="1"/>
    <col min="1804" max="1804" width="11.7109375" style="316" customWidth="1"/>
    <col min="1805" max="1805" width="0" style="316" hidden="1" customWidth="1"/>
    <col min="1806" max="1806" width="14.5703125" style="316" customWidth="1"/>
    <col min="1807" max="1807" width="11.85546875" style="316" customWidth="1"/>
    <col min="1808" max="2042" width="9.140625" style="316"/>
    <col min="2043" max="2043" width="2.85546875" style="316" customWidth="1"/>
    <col min="2044" max="2044" width="50.7109375" style="316" customWidth="1"/>
    <col min="2045" max="2045" width="9.42578125" style="316" customWidth="1"/>
    <col min="2046" max="2046" width="11.85546875" style="316" customWidth="1"/>
    <col min="2047" max="2047" width="8.42578125" style="316" bestFit="1" customWidth="1"/>
    <col min="2048" max="2050" width="0" style="316" hidden="1" customWidth="1"/>
    <col min="2051" max="2051" width="6" style="316" bestFit="1" customWidth="1"/>
    <col min="2052" max="2052" width="9.5703125" style="316" customWidth="1"/>
    <col min="2053" max="2053" width="9.85546875" style="316" customWidth="1"/>
    <col min="2054" max="2054" width="9.7109375" style="316" customWidth="1"/>
    <col min="2055" max="2055" width="9.5703125" style="316" customWidth="1"/>
    <col min="2056" max="2056" width="9.85546875" style="316" customWidth="1"/>
    <col min="2057" max="2057" width="6.5703125" style="316" customWidth="1"/>
    <col min="2058" max="2058" width="6" style="316" bestFit="1" customWidth="1"/>
    <col min="2059" max="2059" width="6.28515625" style="316" customWidth="1"/>
    <col min="2060" max="2060" width="11.7109375" style="316" customWidth="1"/>
    <col min="2061" max="2061" width="0" style="316" hidden="1" customWidth="1"/>
    <col min="2062" max="2062" width="14.5703125" style="316" customWidth="1"/>
    <col min="2063" max="2063" width="11.85546875" style="316" customWidth="1"/>
    <col min="2064" max="2298" width="9.140625" style="316"/>
    <col min="2299" max="2299" width="2.85546875" style="316" customWidth="1"/>
    <col min="2300" max="2300" width="50.7109375" style="316" customWidth="1"/>
    <col min="2301" max="2301" width="9.42578125" style="316" customWidth="1"/>
    <col min="2302" max="2302" width="11.85546875" style="316" customWidth="1"/>
    <col min="2303" max="2303" width="8.42578125" style="316" bestFit="1" customWidth="1"/>
    <col min="2304" max="2306" width="0" style="316" hidden="1" customWidth="1"/>
    <col min="2307" max="2307" width="6" style="316" bestFit="1" customWidth="1"/>
    <col min="2308" max="2308" width="9.5703125" style="316" customWidth="1"/>
    <col min="2309" max="2309" width="9.85546875" style="316" customWidth="1"/>
    <col min="2310" max="2310" width="9.7109375" style="316" customWidth="1"/>
    <col min="2311" max="2311" width="9.5703125" style="316" customWidth="1"/>
    <col min="2312" max="2312" width="9.85546875" style="316" customWidth="1"/>
    <col min="2313" max="2313" width="6.5703125" style="316" customWidth="1"/>
    <col min="2314" max="2314" width="6" style="316" bestFit="1" customWidth="1"/>
    <col min="2315" max="2315" width="6.28515625" style="316" customWidth="1"/>
    <col min="2316" max="2316" width="11.7109375" style="316" customWidth="1"/>
    <col min="2317" max="2317" width="0" style="316" hidden="1" customWidth="1"/>
    <col min="2318" max="2318" width="14.5703125" style="316" customWidth="1"/>
    <col min="2319" max="2319" width="11.85546875" style="316" customWidth="1"/>
    <col min="2320" max="2554" width="9.140625" style="316"/>
    <col min="2555" max="2555" width="2.85546875" style="316" customWidth="1"/>
    <col min="2556" max="2556" width="50.7109375" style="316" customWidth="1"/>
    <col min="2557" max="2557" width="9.42578125" style="316" customWidth="1"/>
    <col min="2558" max="2558" width="11.85546875" style="316" customWidth="1"/>
    <col min="2559" max="2559" width="8.42578125" style="316" bestFit="1" customWidth="1"/>
    <col min="2560" max="2562" width="0" style="316" hidden="1" customWidth="1"/>
    <col min="2563" max="2563" width="6" style="316" bestFit="1" customWidth="1"/>
    <col min="2564" max="2564" width="9.5703125" style="316" customWidth="1"/>
    <col min="2565" max="2565" width="9.85546875" style="316" customWidth="1"/>
    <col min="2566" max="2566" width="9.7109375" style="316" customWidth="1"/>
    <col min="2567" max="2567" width="9.5703125" style="316" customWidth="1"/>
    <col min="2568" max="2568" width="9.85546875" style="316" customWidth="1"/>
    <col min="2569" max="2569" width="6.5703125" style="316" customWidth="1"/>
    <col min="2570" max="2570" width="6" style="316" bestFit="1" customWidth="1"/>
    <col min="2571" max="2571" width="6.28515625" style="316" customWidth="1"/>
    <col min="2572" max="2572" width="11.7109375" style="316" customWidth="1"/>
    <col min="2573" max="2573" width="0" style="316" hidden="1" customWidth="1"/>
    <col min="2574" max="2574" width="14.5703125" style="316" customWidth="1"/>
    <col min="2575" max="2575" width="11.85546875" style="316" customWidth="1"/>
    <col min="2576" max="2810" width="9.140625" style="316"/>
    <col min="2811" max="2811" width="2.85546875" style="316" customWidth="1"/>
    <col min="2812" max="2812" width="50.7109375" style="316" customWidth="1"/>
    <col min="2813" max="2813" width="9.42578125" style="316" customWidth="1"/>
    <col min="2814" max="2814" width="11.85546875" style="316" customWidth="1"/>
    <col min="2815" max="2815" width="8.42578125" style="316" bestFit="1" customWidth="1"/>
    <col min="2816" max="2818" width="0" style="316" hidden="1" customWidth="1"/>
    <col min="2819" max="2819" width="6" style="316" bestFit="1" customWidth="1"/>
    <col min="2820" max="2820" width="9.5703125" style="316" customWidth="1"/>
    <col min="2821" max="2821" width="9.85546875" style="316" customWidth="1"/>
    <col min="2822" max="2822" width="9.7109375" style="316" customWidth="1"/>
    <col min="2823" max="2823" width="9.5703125" style="316" customWidth="1"/>
    <col min="2824" max="2824" width="9.85546875" style="316" customWidth="1"/>
    <col min="2825" max="2825" width="6.5703125" style="316" customWidth="1"/>
    <col min="2826" max="2826" width="6" style="316" bestFit="1" customWidth="1"/>
    <col min="2827" max="2827" width="6.28515625" style="316" customWidth="1"/>
    <col min="2828" max="2828" width="11.7109375" style="316" customWidth="1"/>
    <col min="2829" max="2829" width="0" style="316" hidden="1" customWidth="1"/>
    <col min="2830" max="2830" width="14.5703125" style="316" customWidth="1"/>
    <col min="2831" max="2831" width="11.85546875" style="316" customWidth="1"/>
    <col min="2832" max="3066" width="9.140625" style="316"/>
    <col min="3067" max="3067" width="2.85546875" style="316" customWidth="1"/>
    <col min="3068" max="3068" width="50.7109375" style="316" customWidth="1"/>
    <col min="3069" max="3069" width="9.42578125" style="316" customWidth="1"/>
    <col min="3070" max="3070" width="11.85546875" style="316" customWidth="1"/>
    <col min="3071" max="3071" width="8.42578125" style="316" bestFit="1" customWidth="1"/>
    <col min="3072" max="3074" width="0" style="316" hidden="1" customWidth="1"/>
    <col min="3075" max="3075" width="6" style="316" bestFit="1" customWidth="1"/>
    <col min="3076" max="3076" width="9.5703125" style="316" customWidth="1"/>
    <col min="3077" max="3077" width="9.85546875" style="316" customWidth="1"/>
    <col min="3078" max="3078" width="9.7109375" style="316" customWidth="1"/>
    <col min="3079" max="3079" width="9.5703125" style="316" customWidth="1"/>
    <col min="3080" max="3080" width="9.85546875" style="316" customWidth="1"/>
    <col min="3081" max="3081" width="6.5703125" style="316" customWidth="1"/>
    <col min="3082" max="3082" width="6" style="316" bestFit="1" customWidth="1"/>
    <col min="3083" max="3083" width="6.28515625" style="316" customWidth="1"/>
    <col min="3084" max="3084" width="11.7109375" style="316" customWidth="1"/>
    <col min="3085" max="3085" width="0" style="316" hidden="1" customWidth="1"/>
    <col min="3086" max="3086" width="14.5703125" style="316" customWidth="1"/>
    <col min="3087" max="3087" width="11.85546875" style="316" customWidth="1"/>
    <col min="3088" max="3322" width="9.140625" style="316"/>
    <col min="3323" max="3323" width="2.85546875" style="316" customWidth="1"/>
    <col min="3324" max="3324" width="50.7109375" style="316" customWidth="1"/>
    <col min="3325" max="3325" width="9.42578125" style="316" customWidth="1"/>
    <col min="3326" max="3326" width="11.85546875" style="316" customWidth="1"/>
    <col min="3327" max="3327" width="8.42578125" style="316" bestFit="1" customWidth="1"/>
    <col min="3328" max="3330" width="0" style="316" hidden="1" customWidth="1"/>
    <col min="3331" max="3331" width="6" style="316" bestFit="1" customWidth="1"/>
    <col min="3332" max="3332" width="9.5703125" style="316" customWidth="1"/>
    <col min="3333" max="3333" width="9.85546875" style="316" customWidth="1"/>
    <col min="3334" max="3334" width="9.7109375" style="316" customWidth="1"/>
    <col min="3335" max="3335" width="9.5703125" style="316" customWidth="1"/>
    <col min="3336" max="3336" width="9.85546875" style="316" customWidth="1"/>
    <col min="3337" max="3337" width="6.5703125" style="316" customWidth="1"/>
    <col min="3338" max="3338" width="6" style="316" bestFit="1" customWidth="1"/>
    <col min="3339" max="3339" width="6.28515625" style="316" customWidth="1"/>
    <col min="3340" max="3340" width="11.7109375" style="316" customWidth="1"/>
    <col min="3341" max="3341" width="0" style="316" hidden="1" customWidth="1"/>
    <col min="3342" max="3342" width="14.5703125" style="316" customWidth="1"/>
    <col min="3343" max="3343" width="11.85546875" style="316" customWidth="1"/>
    <col min="3344" max="3578" width="9.140625" style="316"/>
    <col min="3579" max="3579" width="2.85546875" style="316" customWidth="1"/>
    <col min="3580" max="3580" width="50.7109375" style="316" customWidth="1"/>
    <col min="3581" max="3581" width="9.42578125" style="316" customWidth="1"/>
    <col min="3582" max="3582" width="11.85546875" style="316" customWidth="1"/>
    <col min="3583" max="3583" width="8.42578125" style="316" bestFit="1" customWidth="1"/>
    <col min="3584" max="3586" width="0" style="316" hidden="1" customWidth="1"/>
    <col min="3587" max="3587" width="6" style="316" bestFit="1" customWidth="1"/>
    <col min="3588" max="3588" width="9.5703125" style="316" customWidth="1"/>
    <col min="3589" max="3589" width="9.85546875" style="316" customWidth="1"/>
    <col min="3590" max="3590" width="9.7109375" style="316" customWidth="1"/>
    <col min="3591" max="3591" width="9.5703125" style="316" customWidth="1"/>
    <col min="3592" max="3592" width="9.85546875" style="316" customWidth="1"/>
    <col min="3593" max="3593" width="6.5703125" style="316" customWidth="1"/>
    <col min="3594" max="3594" width="6" style="316" bestFit="1" customWidth="1"/>
    <col min="3595" max="3595" width="6.28515625" style="316" customWidth="1"/>
    <col min="3596" max="3596" width="11.7109375" style="316" customWidth="1"/>
    <col min="3597" max="3597" width="0" style="316" hidden="1" customWidth="1"/>
    <col min="3598" max="3598" width="14.5703125" style="316" customWidth="1"/>
    <col min="3599" max="3599" width="11.85546875" style="316" customWidth="1"/>
    <col min="3600" max="3834" width="9.140625" style="316"/>
    <col min="3835" max="3835" width="2.85546875" style="316" customWidth="1"/>
    <col min="3836" max="3836" width="50.7109375" style="316" customWidth="1"/>
    <col min="3837" max="3837" width="9.42578125" style="316" customWidth="1"/>
    <col min="3838" max="3838" width="11.85546875" style="316" customWidth="1"/>
    <col min="3839" max="3839" width="8.42578125" style="316" bestFit="1" customWidth="1"/>
    <col min="3840" max="3842" width="0" style="316" hidden="1" customWidth="1"/>
    <col min="3843" max="3843" width="6" style="316" bestFit="1" customWidth="1"/>
    <col min="3844" max="3844" width="9.5703125" style="316" customWidth="1"/>
    <col min="3845" max="3845" width="9.85546875" style="316" customWidth="1"/>
    <col min="3846" max="3846" width="9.7109375" style="316" customWidth="1"/>
    <col min="3847" max="3847" width="9.5703125" style="316" customWidth="1"/>
    <col min="3848" max="3848" width="9.85546875" style="316" customWidth="1"/>
    <col min="3849" max="3849" width="6.5703125" style="316" customWidth="1"/>
    <col min="3850" max="3850" width="6" style="316" bestFit="1" customWidth="1"/>
    <col min="3851" max="3851" width="6.28515625" style="316" customWidth="1"/>
    <col min="3852" max="3852" width="11.7109375" style="316" customWidth="1"/>
    <col min="3853" max="3853" width="0" style="316" hidden="1" customWidth="1"/>
    <col min="3854" max="3854" width="14.5703125" style="316" customWidth="1"/>
    <col min="3855" max="3855" width="11.85546875" style="316" customWidth="1"/>
    <col min="3856" max="4090" width="9.140625" style="316"/>
    <col min="4091" max="4091" width="2.85546875" style="316" customWidth="1"/>
    <col min="4092" max="4092" width="50.7109375" style="316" customWidth="1"/>
    <col min="4093" max="4093" width="9.42578125" style="316" customWidth="1"/>
    <col min="4094" max="4094" width="11.85546875" style="316" customWidth="1"/>
    <col min="4095" max="4095" width="8.42578125" style="316" bestFit="1" customWidth="1"/>
    <col min="4096" max="4098" width="0" style="316" hidden="1" customWidth="1"/>
    <col min="4099" max="4099" width="6" style="316" bestFit="1" customWidth="1"/>
    <col min="4100" max="4100" width="9.5703125" style="316" customWidth="1"/>
    <col min="4101" max="4101" width="9.85546875" style="316" customWidth="1"/>
    <col min="4102" max="4102" width="9.7109375" style="316" customWidth="1"/>
    <col min="4103" max="4103" width="9.5703125" style="316" customWidth="1"/>
    <col min="4104" max="4104" width="9.85546875" style="316" customWidth="1"/>
    <col min="4105" max="4105" width="6.5703125" style="316" customWidth="1"/>
    <col min="4106" max="4106" width="6" style="316" bestFit="1" customWidth="1"/>
    <col min="4107" max="4107" width="6.28515625" style="316" customWidth="1"/>
    <col min="4108" max="4108" width="11.7109375" style="316" customWidth="1"/>
    <col min="4109" max="4109" width="0" style="316" hidden="1" customWidth="1"/>
    <col min="4110" max="4110" width="14.5703125" style="316" customWidth="1"/>
    <col min="4111" max="4111" width="11.85546875" style="316" customWidth="1"/>
    <col min="4112" max="4346" width="9.140625" style="316"/>
    <col min="4347" max="4347" width="2.85546875" style="316" customWidth="1"/>
    <col min="4348" max="4348" width="50.7109375" style="316" customWidth="1"/>
    <col min="4349" max="4349" width="9.42578125" style="316" customWidth="1"/>
    <col min="4350" max="4350" width="11.85546875" style="316" customWidth="1"/>
    <col min="4351" max="4351" width="8.42578125" style="316" bestFit="1" customWidth="1"/>
    <col min="4352" max="4354" width="0" style="316" hidden="1" customWidth="1"/>
    <col min="4355" max="4355" width="6" style="316" bestFit="1" customWidth="1"/>
    <col min="4356" max="4356" width="9.5703125" style="316" customWidth="1"/>
    <col min="4357" max="4357" width="9.85546875" style="316" customWidth="1"/>
    <col min="4358" max="4358" width="9.7109375" style="316" customWidth="1"/>
    <col min="4359" max="4359" width="9.5703125" style="316" customWidth="1"/>
    <col min="4360" max="4360" width="9.85546875" style="316" customWidth="1"/>
    <col min="4361" max="4361" width="6.5703125" style="316" customWidth="1"/>
    <col min="4362" max="4362" width="6" style="316" bestFit="1" customWidth="1"/>
    <col min="4363" max="4363" width="6.28515625" style="316" customWidth="1"/>
    <col min="4364" max="4364" width="11.7109375" style="316" customWidth="1"/>
    <col min="4365" max="4365" width="0" style="316" hidden="1" customWidth="1"/>
    <col min="4366" max="4366" width="14.5703125" style="316" customWidth="1"/>
    <col min="4367" max="4367" width="11.85546875" style="316" customWidth="1"/>
    <col min="4368" max="4602" width="9.140625" style="316"/>
    <col min="4603" max="4603" width="2.85546875" style="316" customWidth="1"/>
    <col min="4604" max="4604" width="50.7109375" style="316" customWidth="1"/>
    <col min="4605" max="4605" width="9.42578125" style="316" customWidth="1"/>
    <col min="4606" max="4606" width="11.85546875" style="316" customWidth="1"/>
    <col min="4607" max="4607" width="8.42578125" style="316" bestFit="1" customWidth="1"/>
    <col min="4608" max="4610" width="0" style="316" hidden="1" customWidth="1"/>
    <col min="4611" max="4611" width="6" style="316" bestFit="1" customWidth="1"/>
    <col min="4612" max="4612" width="9.5703125" style="316" customWidth="1"/>
    <col min="4613" max="4613" width="9.85546875" style="316" customWidth="1"/>
    <col min="4614" max="4614" width="9.7109375" style="316" customWidth="1"/>
    <col min="4615" max="4615" width="9.5703125" style="316" customWidth="1"/>
    <col min="4616" max="4616" width="9.85546875" style="316" customWidth="1"/>
    <col min="4617" max="4617" width="6.5703125" style="316" customWidth="1"/>
    <col min="4618" max="4618" width="6" style="316" bestFit="1" customWidth="1"/>
    <col min="4619" max="4619" width="6.28515625" style="316" customWidth="1"/>
    <col min="4620" max="4620" width="11.7109375" style="316" customWidth="1"/>
    <col min="4621" max="4621" width="0" style="316" hidden="1" customWidth="1"/>
    <col min="4622" max="4622" width="14.5703125" style="316" customWidth="1"/>
    <col min="4623" max="4623" width="11.85546875" style="316" customWidth="1"/>
    <col min="4624" max="4858" width="9.140625" style="316"/>
    <col min="4859" max="4859" width="2.85546875" style="316" customWidth="1"/>
    <col min="4860" max="4860" width="50.7109375" style="316" customWidth="1"/>
    <col min="4861" max="4861" width="9.42578125" style="316" customWidth="1"/>
    <col min="4862" max="4862" width="11.85546875" style="316" customWidth="1"/>
    <col min="4863" max="4863" width="8.42578125" style="316" bestFit="1" customWidth="1"/>
    <col min="4864" max="4866" width="0" style="316" hidden="1" customWidth="1"/>
    <col min="4867" max="4867" width="6" style="316" bestFit="1" customWidth="1"/>
    <col min="4868" max="4868" width="9.5703125" style="316" customWidth="1"/>
    <col min="4869" max="4869" width="9.85546875" style="316" customWidth="1"/>
    <col min="4870" max="4870" width="9.7109375" style="316" customWidth="1"/>
    <col min="4871" max="4871" width="9.5703125" style="316" customWidth="1"/>
    <col min="4872" max="4872" width="9.85546875" style="316" customWidth="1"/>
    <col min="4873" max="4873" width="6.5703125" style="316" customWidth="1"/>
    <col min="4874" max="4874" width="6" style="316" bestFit="1" customWidth="1"/>
    <col min="4875" max="4875" width="6.28515625" style="316" customWidth="1"/>
    <col min="4876" max="4876" width="11.7109375" style="316" customWidth="1"/>
    <col min="4877" max="4877" width="0" style="316" hidden="1" customWidth="1"/>
    <col min="4878" max="4878" width="14.5703125" style="316" customWidth="1"/>
    <col min="4879" max="4879" width="11.85546875" style="316" customWidth="1"/>
    <col min="4880" max="5114" width="9.140625" style="316"/>
    <col min="5115" max="5115" width="2.85546875" style="316" customWidth="1"/>
    <col min="5116" max="5116" width="50.7109375" style="316" customWidth="1"/>
    <col min="5117" max="5117" width="9.42578125" style="316" customWidth="1"/>
    <col min="5118" max="5118" width="11.85546875" style="316" customWidth="1"/>
    <col min="5119" max="5119" width="8.42578125" style="316" bestFit="1" customWidth="1"/>
    <col min="5120" max="5122" width="0" style="316" hidden="1" customWidth="1"/>
    <col min="5123" max="5123" width="6" style="316" bestFit="1" customWidth="1"/>
    <col min="5124" max="5124" width="9.5703125" style="316" customWidth="1"/>
    <col min="5125" max="5125" width="9.85546875" style="316" customWidth="1"/>
    <col min="5126" max="5126" width="9.7109375" style="316" customWidth="1"/>
    <col min="5127" max="5127" width="9.5703125" style="316" customWidth="1"/>
    <col min="5128" max="5128" width="9.85546875" style="316" customWidth="1"/>
    <col min="5129" max="5129" width="6.5703125" style="316" customWidth="1"/>
    <col min="5130" max="5130" width="6" style="316" bestFit="1" customWidth="1"/>
    <col min="5131" max="5131" width="6.28515625" style="316" customWidth="1"/>
    <col min="5132" max="5132" width="11.7109375" style="316" customWidth="1"/>
    <col min="5133" max="5133" width="0" style="316" hidden="1" customWidth="1"/>
    <col min="5134" max="5134" width="14.5703125" style="316" customWidth="1"/>
    <col min="5135" max="5135" width="11.85546875" style="316" customWidth="1"/>
    <col min="5136" max="5370" width="9.140625" style="316"/>
    <col min="5371" max="5371" width="2.85546875" style="316" customWidth="1"/>
    <col min="5372" max="5372" width="50.7109375" style="316" customWidth="1"/>
    <col min="5373" max="5373" width="9.42578125" style="316" customWidth="1"/>
    <col min="5374" max="5374" width="11.85546875" style="316" customWidth="1"/>
    <col min="5375" max="5375" width="8.42578125" style="316" bestFit="1" customWidth="1"/>
    <col min="5376" max="5378" width="0" style="316" hidden="1" customWidth="1"/>
    <col min="5379" max="5379" width="6" style="316" bestFit="1" customWidth="1"/>
    <col min="5380" max="5380" width="9.5703125" style="316" customWidth="1"/>
    <col min="5381" max="5381" width="9.85546875" style="316" customWidth="1"/>
    <col min="5382" max="5382" width="9.7109375" style="316" customWidth="1"/>
    <col min="5383" max="5383" width="9.5703125" style="316" customWidth="1"/>
    <col min="5384" max="5384" width="9.85546875" style="316" customWidth="1"/>
    <col min="5385" max="5385" width="6.5703125" style="316" customWidth="1"/>
    <col min="5386" max="5386" width="6" style="316" bestFit="1" customWidth="1"/>
    <col min="5387" max="5387" width="6.28515625" style="316" customWidth="1"/>
    <col min="5388" max="5388" width="11.7109375" style="316" customWidth="1"/>
    <col min="5389" max="5389" width="0" style="316" hidden="1" customWidth="1"/>
    <col min="5390" max="5390" width="14.5703125" style="316" customWidth="1"/>
    <col min="5391" max="5391" width="11.85546875" style="316" customWidth="1"/>
    <col min="5392" max="5626" width="9.140625" style="316"/>
    <col min="5627" max="5627" width="2.85546875" style="316" customWidth="1"/>
    <col min="5628" max="5628" width="50.7109375" style="316" customWidth="1"/>
    <col min="5629" max="5629" width="9.42578125" style="316" customWidth="1"/>
    <col min="5630" max="5630" width="11.85546875" style="316" customWidth="1"/>
    <col min="5631" max="5631" width="8.42578125" style="316" bestFit="1" customWidth="1"/>
    <col min="5632" max="5634" width="0" style="316" hidden="1" customWidth="1"/>
    <col min="5635" max="5635" width="6" style="316" bestFit="1" customWidth="1"/>
    <col min="5636" max="5636" width="9.5703125" style="316" customWidth="1"/>
    <col min="5637" max="5637" width="9.85546875" style="316" customWidth="1"/>
    <col min="5638" max="5638" width="9.7109375" style="316" customWidth="1"/>
    <col min="5639" max="5639" width="9.5703125" style="316" customWidth="1"/>
    <col min="5640" max="5640" width="9.85546875" style="316" customWidth="1"/>
    <col min="5641" max="5641" width="6.5703125" style="316" customWidth="1"/>
    <col min="5642" max="5642" width="6" style="316" bestFit="1" customWidth="1"/>
    <col min="5643" max="5643" width="6.28515625" style="316" customWidth="1"/>
    <col min="5644" max="5644" width="11.7109375" style="316" customWidth="1"/>
    <col min="5645" max="5645" width="0" style="316" hidden="1" customWidth="1"/>
    <col min="5646" max="5646" width="14.5703125" style="316" customWidth="1"/>
    <col min="5647" max="5647" width="11.85546875" style="316" customWidth="1"/>
    <col min="5648" max="5882" width="9.140625" style="316"/>
    <col min="5883" max="5883" width="2.85546875" style="316" customWidth="1"/>
    <col min="5884" max="5884" width="50.7109375" style="316" customWidth="1"/>
    <col min="5885" max="5885" width="9.42578125" style="316" customWidth="1"/>
    <col min="5886" max="5886" width="11.85546875" style="316" customWidth="1"/>
    <col min="5887" max="5887" width="8.42578125" style="316" bestFit="1" customWidth="1"/>
    <col min="5888" max="5890" width="0" style="316" hidden="1" customWidth="1"/>
    <col min="5891" max="5891" width="6" style="316" bestFit="1" customWidth="1"/>
    <col min="5892" max="5892" width="9.5703125" style="316" customWidth="1"/>
    <col min="5893" max="5893" width="9.85546875" style="316" customWidth="1"/>
    <col min="5894" max="5894" width="9.7109375" style="316" customWidth="1"/>
    <col min="5895" max="5895" width="9.5703125" style="316" customWidth="1"/>
    <col min="5896" max="5896" width="9.85546875" style="316" customWidth="1"/>
    <col min="5897" max="5897" width="6.5703125" style="316" customWidth="1"/>
    <col min="5898" max="5898" width="6" style="316" bestFit="1" customWidth="1"/>
    <col min="5899" max="5899" width="6.28515625" style="316" customWidth="1"/>
    <col min="5900" max="5900" width="11.7109375" style="316" customWidth="1"/>
    <col min="5901" max="5901" width="0" style="316" hidden="1" customWidth="1"/>
    <col min="5902" max="5902" width="14.5703125" style="316" customWidth="1"/>
    <col min="5903" max="5903" width="11.85546875" style="316" customWidth="1"/>
    <col min="5904" max="6138" width="9.140625" style="316"/>
    <col min="6139" max="6139" width="2.85546875" style="316" customWidth="1"/>
    <col min="6140" max="6140" width="50.7109375" style="316" customWidth="1"/>
    <col min="6141" max="6141" width="9.42578125" style="316" customWidth="1"/>
    <col min="6142" max="6142" width="11.85546875" style="316" customWidth="1"/>
    <col min="6143" max="6143" width="8.42578125" style="316" bestFit="1" customWidth="1"/>
    <col min="6144" max="6146" width="0" style="316" hidden="1" customWidth="1"/>
    <col min="6147" max="6147" width="6" style="316" bestFit="1" customWidth="1"/>
    <col min="6148" max="6148" width="9.5703125" style="316" customWidth="1"/>
    <col min="6149" max="6149" width="9.85546875" style="316" customWidth="1"/>
    <col min="6150" max="6150" width="9.7109375" style="316" customWidth="1"/>
    <col min="6151" max="6151" width="9.5703125" style="316" customWidth="1"/>
    <col min="6152" max="6152" width="9.85546875" style="316" customWidth="1"/>
    <col min="6153" max="6153" width="6.5703125" style="316" customWidth="1"/>
    <col min="6154" max="6154" width="6" style="316" bestFit="1" customWidth="1"/>
    <col min="6155" max="6155" width="6.28515625" style="316" customWidth="1"/>
    <col min="6156" max="6156" width="11.7109375" style="316" customWidth="1"/>
    <col min="6157" max="6157" width="0" style="316" hidden="1" customWidth="1"/>
    <col min="6158" max="6158" width="14.5703125" style="316" customWidth="1"/>
    <col min="6159" max="6159" width="11.85546875" style="316" customWidth="1"/>
    <col min="6160" max="6394" width="9.140625" style="316"/>
    <col min="6395" max="6395" width="2.85546875" style="316" customWidth="1"/>
    <col min="6396" max="6396" width="50.7109375" style="316" customWidth="1"/>
    <col min="6397" max="6397" width="9.42578125" style="316" customWidth="1"/>
    <col min="6398" max="6398" width="11.85546875" style="316" customWidth="1"/>
    <col min="6399" max="6399" width="8.42578125" style="316" bestFit="1" customWidth="1"/>
    <col min="6400" max="6402" width="0" style="316" hidden="1" customWidth="1"/>
    <col min="6403" max="6403" width="6" style="316" bestFit="1" customWidth="1"/>
    <col min="6404" max="6404" width="9.5703125" style="316" customWidth="1"/>
    <col min="6405" max="6405" width="9.85546875" style="316" customWidth="1"/>
    <col min="6406" max="6406" width="9.7109375" style="316" customWidth="1"/>
    <col min="6407" max="6407" width="9.5703125" style="316" customWidth="1"/>
    <col min="6408" max="6408" width="9.85546875" style="316" customWidth="1"/>
    <col min="6409" max="6409" width="6.5703125" style="316" customWidth="1"/>
    <col min="6410" max="6410" width="6" style="316" bestFit="1" customWidth="1"/>
    <col min="6411" max="6411" width="6.28515625" style="316" customWidth="1"/>
    <col min="6412" max="6412" width="11.7109375" style="316" customWidth="1"/>
    <col min="6413" max="6413" width="0" style="316" hidden="1" customWidth="1"/>
    <col min="6414" max="6414" width="14.5703125" style="316" customWidth="1"/>
    <col min="6415" max="6415" width="11.85546875" style="316" customWidth="1"/>
    <col min="6416" max="6650" width="9.140625" style="316"/>
    <col min="6651" max="6651" width="2.85546875" style="316" customWidth="1"/>
    <col min="6652" max="6652" width="50.7109375" style="316" customWidth="1"/>
    <col min="6653" max="6653" width="9.42578125" style="316" customWidth="1"/>
    <col min="6654" max="6654" width="11.85546875" style="316" customWidth="1"/>
    <col min="6655" max="6655" width="8.42578125" style="316" bestFit="1" customWidth="1"/>
    <col min="6656" max="6658" width="0" style="316" hidden="1" customWidth="1"/>
    <col min="6659" max="6659" width="6" style="316" bestFit="1" customWidth="1"/>
    <col min="6660" max="6660" width="9.5703125" style="316" customWidth="1"/>
    <col min="6661" max="6661" width="9.85546875" style="316" customWidth="1"/>
    <col min="6662" max="6662" width="9.7109375" style="316" customWidth="1"/>
    <col min="6663" max="6663" width="9.5703125" style="316" customWidth="1"/>
    <col min="6664" max="6664" width="9.85546875" style="316" customWidth="1"/>
    <col min="6665" max="6665" width="6.5703125" style="316" customWidth="1"/>
    <col min="6666" max="6666" width="6" style="316" bestFit="1" customWidth="1"/>
    <col min="6667" max="6667" width="6.28515625" style="316" customWidth="1"/>
    <col min="6668" max="6668" width="11.7109375" style="316" customWidth="1"/>
    <col min="6669" max="6669" width="0" style="316" hidden="1" customWidth="1"/>
    <col min="6670" max="6670" width="14.5703125" style="316" customWidth="1"/>
    <col min="6671" max="6671" width="11.85546875" style="316" customWidth="1"/>
    <col min="6672" max="6906" width="9.140625" style="316"/>
    <col min="6907" max="6907" width="2.85546875" style="316" customWidth="1"/>
    <col min="6908" max="6908" width="50.7109375" style="316" customWidth="1"/>
    <col min="6909" max="6909" width="9.42578125" style="316" customWidth="1"/>
    <col min="6910" max="6910" width="11.85546875" style="316" customWidth="1"/>
    <col min="6911" max="6911" width="8.42578125" style="316" bestFit="1" customWidth="1"/>
    <col min="6912" max="6914" width="0" style="316" hidden="1" customWidth="1"/>
    <col min="6915" max="6915" width="6" style="316" bestFit="1" customWidth="1"/>
    <col min="6916" max="6916" width="9.5703125" style="316" customWidth="1"/>
    <col min="6917" max="6917" width="9.85546875" style="316" customWidth="1"/>
    <col min="6918" max="6918" width="9.7109375" style="316" customWidth="1"/>
    <col min="6919" max="6919" width="9.5703125" style="316" customWidth="1"/>
    <col min="6920" max="6920" width="9.85546875" style="316" customWidth="1"/>
    <col min="6921" max="6921" width="6.5703125" style="316" customWidth="1"/>
    <col min="6922" max="6922" width="6" style="316" bestFit="1" customWidth="1"/>
    <col min="6923" max="6923" width="6.28515625" style="316" customWidth="1"/>
    <col min="6924" max="6924" width="11.7109375" style="316" customWidth="1"/>
    <col min="6925" max="6925" width="0" style="316" hidden="1" customWidth="1"/>
    <col min="6926" max="6926" width="14.5703125" style="316" customWidth="1"/>
    <col min="6927" max="6927" width="11.85546875" style="316" customWidth="1"/>
    <col min="6928" max="7162" width="9.140625" style="316"/>
    <col min="7163" max="7163" width="2.85546875" style="316" customWidth="1"/>
    <col min="7164" max="7164" width="50.7109375" style="316" customWidth="1"/>
    <col min="7165" max="7165" width="9.42578125" style="316" customWidth="1"/>
    <col min="7166" max="7166" width="11.85546875" style="316" customWidth="1"/>
    <col min="7167" max="7167" width="8.42578125" style="316" bestFit="1" customWidth="1"/>
    <col min="7168" max="7170" width="0" style="316" hidden="1" customWidth="1"/>
    <col min="7171" max="7171" width="6" style="316" bestFit="1" customWidth="1"/>
    <col min="7172" max="7172" width="9.5703125" style="316" customWidth="1"/>
    <col min="7173" max="7173" width="9.85546875" style="316" customWidth="1"/>
    <col min="7174" max="7174" width="9.7109375" style="316" customWidth="1"/>
    <col min="7175" max="7175" width="9.5703125" style="316" customWidth="1"/>
    <col min="7176" max="7176" width="9.85546875" style="316" customWidth="1"/>
    <col min="7177" max="7177" width="6.5703125" style="316" customWidth="1"/>
    <col min="7178" max="7178" width="6" style="316" bestFit="1" customWidth="1"/>
    <col min="7179" max="7179" width="6.28515625" style="316" customWidth="1"/>
    <col min="7180" max="7180" width="11.7109375" style="316" customWidth="1"/>
    <col min="7181" max="7181" width="0" style="316" hidden="1" customWidth="1"/>
    <col min="7182" max="7182" width="14.5703125" style="316" customWidth="1"/>
    <col min="7183" max="7183" width="11.85546875" style="316" customWidth="1"/>
    <col min="7184" max="7418" width="9.140625" style="316"/>
    <col min="7419" max="7419" width="2.85546875" style="316" customWidth="1"/>
    <col min="7420" max="7420" width="50.7109375" style="316" customWidth="1"/>
    <col min="7421" max="7421" width="9.42578125" style="316" customWidth="1"/>
    <col min="7422" max="7422" width="11.85546875" style="316" customWidth="1"/>
    <col min="7423" max="7423" width="8.42578125" style="316" bestFit="1" customWidth="1"/>
    <col min="7424" max="7426" width="0" style="316" hidden="1" customWidth="1"/>
    <col min="7427" max="7427" width="6" style="316" bestFit="1" customWidth="1"/>
    <col min="7428" max="7428" width="9.5703125" style="316" customWidth="1"/>
    <col min="7429" max="7429" width="9.85546875" style="316" customWidth="1"/>
    <col min="7430" max="7430" width="9.7109375" style="316" customWidth="1"/>
    <col min="7431" max="7431" width="9.5703125" style="316" customWidth="1"/>
    <col min="7432" max="7432" width="9.85546875" style="316" customWidth="1"/>
    <col min="7433" max="7433" width="6.5703125" style="316" customWidth="1"/>
    <col min="7434" max="7434" width="6" style="316" bestFit="1" customWidth="1"/>
    <col min="7435" max="7435" width="6.28515625" style="316" customWidth="1"/>
    <col min="7436" max="7436" width="11.7109375" style="316" customWidth="1"/>
    <col min="7437" max="7437" width="0" style="316" hidden="1" customWidth="1"/>
    <col min="7438" max="7438" width="14.5703125" style="316" customWidth="1"/>
    <col min="7439" max="7439" width="11.85546875" style="316" customWidth="1"/>
    <col min="7440" max="7674" width="9.140625" style="316"/>
    <col min="7675" max="7675" width="2.85546875" style="316" customWidth="1"/>
    <col min="7676" max="7676" width="50.7109375" style="316" customWidth="1"/>
    <col min="7677" max="7677" width="9.42578125" style="316" customWidth="1"/>
    <col min="7678" max="7678" width="11.85546875" style="316" customWidth="1"/>
    <col min="7679" max="7679" width="8.42578125" style="316" bestFit="1" customWidth="1"/>
    <col min="7680" max="7682" width="0" style="316" hidden="1" customWidth="1"/>
    <col min="7683" max="7683" width="6" style="316" bestFit="1" customWidth="1"/>
    <col min="7684" max="7684" width="9.5703125" style="316" customWidth="1"/>
    <col min="7685" max="7685" width="9.85546875" style="316" customWidth="1"/>
    <col min="7686" max="7686" width="9.7109375" style="316" customWidth="1"/>
    <col min="7687" max="7687" width="9.5703125" style="316" customWidth="1"/>
    <col min="7688" max="7688" width="9.85546875" style="316" customWidth="1"/>
    <col min="7689" max="7689" width="6.5703125" style="316" customWidth="1"/>
    <col min="7690" max="7690" width="6" style="316" bestFit="1" customWidth="1"/>
    <col min="7691" max="7691" width="6.28515625" style="316" customWidth="1"/>
    <col min="7692" max="7692" width="11.7109375" style="316" customWidth="1"/>
    <col min="7693" max="7693" width="0" style="316" hidden="1" customWidth="1"/>
    <col min="7694" max="7694" width="14.5703125" style="316" customWidth="1"/>
    <col min="7695" max="7695" width="11.85546875" style="316" customWidth="1"/>
    <col min="7696" max="7930" width="9.140625" style="316"/>
    <col min="7931" max="7931" width="2.85546875" style="316" customWidth="1"/>
    <col min="7932" max="7932" width="50.7109375" style="316" customWidth="1"/>
    <col min="7933" max="7933" width="9.42578125" style="316" customWidth="1"/>
    <col min="7934" max="7934" width="11.85546875" style="316" customWidth="1"/>
    <col min="7935" max="7935" width="8.42578125" style="316" bestFit="1" customWidth="1"/>
    <col min="7936" max="7938" width="0" style="316" hidden="1" customWidth="1"/>
    <col min="7939" max="7939" width="6" style="316" bestFit="1" customWidth="1"/>
    <col min="7940" max="7940" width="9.5703125" style="316" customWidth="1"/>
    <col min="7941" max="7941" width="9.85546875" style="316" customWidth="1"/>
    <col min="7942" max="7942" width="9.7109375" style="316" customWidth="1"/>
    <col min="7943" max="7943" width="9.5703125" style="316" customWidth="1"/>
    <col min="7944" max="7944" width="9.85546875" style="316" customWidth="1"/>
    <col min="7945" max="7945" width="6.5703125" style="316" customWidth="1"/>
    <col min="7946" max="7946" width="6" style="316" bestFit="1" customWidth="1"/>
    <col min="7947" max="7947" width="6.28515625" style="316" customWidth="1"/>
    <col min="7948" max="7948" width="11.7109375" style="316" customWidth="1"/>
    <col min="7949" max="7949" width="0" style="316" hidden="1" customWidth="1"/>
    <col min="7950" max="7950" width="14.5703125" style="316" customWidth="1"/>
    <col min="7951" max="7951" width="11.85546875" style="316" customWidth="1"/>
    <col min="7952" max="8186" width="9.140625" style="316"/>
    <col min="8187" max="8187" width="2.85546875" style="316" customWidth="1"/>
    <col min="8188" max="8188" width="50.7109375" style="316" customWidth="1"/>
    <col min="8189" max="8189" width="9.42578125" style="316" customWidth="1"/>
    <col min="8190" max="8190" width="11.85546875" style="316" customWidth="1"/>
    <col min="8191" max="8191" width="8.42578125" style="316" bestFit="1" customWidth="1"/>
    <col min="8192" max="8194" width="0" style="316" hidden="1" customWidth="1"/>
    <col min="8195" max="8195" width="6" style="316" bestFit="1" customWidth="1"/>
    <col min="8196" max="8196" width="9.5703125" style="316" customWidth="1"/>
    <col min="8197" max="8197" width="9.85546875" style="316" customWidth="1"/>
    <col min="8198" max="8198" width="9.7109375" style="316" customWidth="1"/>
    <col min="8199" max="8199" width="9.5703125" style="316" customWidth="1"/>
    <col min="8200" max="8200" width="9.85546875" style="316" customWidth="1"/>
    <col min="8201" max="8201" width="6.5703125" style="316" customWidth="1"/>
    <col min="8202" max="8202" width="6" style="316" bestFit="1" customWidth="1"/>
    <col min="8203" max="8203" width="6.28515625" style="316" customWidth="1"/>
    <col min="8204" max="8204" width="11.7109375" style="316" customWidth="1"/>
    <col min="8205" max="8205" width="0" style="316" hidden="1" customWidth="1"/>
    <col min="8206" max="8206" width="14.5703125" style="316" customWidth="1"/>
    <col min="8207" max="8207" width="11.85546875" style="316" customWidth="1"/>
    <col min="8208" max="8442" width="9.140625" style="316"/>
    <col min="8443" max="8443" width="2.85546875" style="316" customWidth="1"/>
    <col min="8444" max="8444" width="50.7109375" style="316" customWidth="1"/>
    <col min="8445" max="8445" width="9.42578125" style="316" customWidth="1"/>
    <col min="8446" max="8446" width="11.85546875" style="316" customWidth="1"/>
    <col min="8447" max="8447" width="8.42578125" style="316" bestFit="1" customWidth="1"/>
    <col min="8448" max="8450" width="0" style="316" hidden="1" customWidth="1"/>
    <col min="8451" max="8451" width="6" style="316" bestFit="1" customWidth="1"/>
    <col min="8452" max="8452" width="9.5703125" style="316" customWidth="1"/>
    <col min="8453" max="8453" width="9.85546875" style="316" customWidth="1"/>
    <col min="8454" max="8454" width="9.7109375" style="316" customWidth="1"/>
    <col min="8455" max="8455" width="9.5703125" style="316" customWidth="1"/>
    <col min="8456" max="8456" width="9.85546875" style="316" customWidth="1"/>
    <col min="8457" max="8457" width="6.5703125" style="316" customWidth="1"/>
    <col min="8458" max="8458" width="6" style="316" bestFit="1" customWidth="1"/>
    <col min="8459" max="8459" width="6.28515625" style="316" customWidth="1"/>
    <col min="8460" max="8460" width="11.7109375" style="316" customWidth="1"/>
    <col min="8461" max="8461" width="0" style="316" hidden="1" customWidth="1"/>
    <col min="8462" max="8462" width="14.5703125" style="316" customWidth="1"/>
    <col min="8463" max="8463" width="11.85546875" style="316" customWidth="1"/>
    <col min="8464" max="8698" width="9.140625" style="316"/>
    <col min="8699" max="8699" width="2.85546875" style="316" customWidth="1"/>
    <col min="8700" max="8700" width="50.7109375" style="316" customWidth="1"/>
    <col min="8701" max="8701" width="9.42578125" style="316" customWidth="1"/>
    <col min="8702" max="8702" width="11.85546875" style="316" customWidth="1"/>
    <col min="8703" max="8703" width="8.42578125" style="316" bestFit="1" customWidth="1"/>
    <col min="8704" max="8706" width="0" style="316" hidden="1" customWidth="1"/>
    <col min="8707" max="8707" width="6" style="316" bestFit="1" customWidth="1"/>
    <col min="8708" max="8708" width="9.5703125" style="316" customWidth="1"/>
    <col min="8709" max="8709" width="9.85546875" style="316" customWidth="1"/>
    <col min="8710" max="8710" width="9.7109375" style="316" customWidth="1"/>
    <col min="8711" max="8711" width="9.5703125" style="316" customWidth="1"/>
    <col min="8712" max="8712" width="9.85546875" style="316" customWidth="1"/>
    <col min="8713" max="8713" width="6.5703125" style="316" customWidth="1"/>
    <col min="8714" max="8714" width="6" style="316" bestFit="1" customWidth="1"/>
    <col min="8715" max="8715" width="6.28515625" style="316" customWidth="1"/>
    <col min="8716" max="8716" width="11.7109375" style="316" customWidth="1"/>
    <col min="8717" max="8717" width="0" style="316" hidden="1" customWidth="1"/>
    <col min="8718" max="8718" width="14.5703125" style="316" customWidth="1"/>
    <col min="8719" max="8719" width="11.85546875" style="316" customWidth="1"/>
    <col min="8720" max="8954" width="9.140625" style="316"/>
    <col min="8955" max="8955" width="2.85546875" style="316" customWidth="1"/>
    <col min="8956" max="8956" width="50.7109375" style="316" customWidth="1"/>
    <col min="8957" max="8957" width="9.42578125" style="316" customWidth="1"/>
    <col min="8958" max="8958" width="11.85546875" style="316" customWidth="1"/>
    <col min="8959" max="8959" width="8.42578125" style="316" bestFit="1" customWidth="1"/>
    <col min="8960" max="8962" width="0" style="316" hidden="1" customWidth="1"/>
    <col min="8963" max="8963" width="6" style="316" bestFit="1" customWidth="1"/>
    <col min="8964" max="8964" width="9.5703125" style="316" customWidth="1"/>
    <col min="8965" max="8965" width="9.85546875" style="316" customWidth="1"/>
    <col min="8966" max="8966" width="9.7109375" style="316" customWidth="1"/>
    <col min="8967" max="8967" width="9.5703125" style="316" customWidth="1"/>
    <col min="8968" max="8968" width="9.85546875" style="316" customWidth="1"/>
    <col min="8969" max="8969" width="6.5703125" style="316" customWidth="1"/>
    <col min="8970" max="8970" width="6" style="316" bestFit="1" customWidth="1"/>
    <col min="8971" max="8971" width="6.28515625" style="316" customWidth="1"/>
    <col min="8972" max="8972" width="11.7109375" style="316" customWidth="1"/>
    <col min="8973" max="8973" width="0" style="316" hidden="1" customWidth="1"/>
    <col min="8974" max="8974" width="14.5703125" style="316" customWidth="1"/>
    <col min="8975" max="8975" width="11.85546875" style="316" customWidth="1"/>
    <col min="8976" max="9210" width="9.140625" style="316"/>
    <col min="9211" max="9211" width="2.85546875" style="316" customWidth="1"/>
    <col min="9212" max="9212" width="50.7109375" style="316" customWidth="1"/>
    <col min="9213" max="9213" width="9.42578125" style="316" customWidth="1"/>
    <col min="9214" max="9214" width="11.85546875" style="316" customWidth="1"/>
    <col min="9215" max="9215" width="8.42578125" style="316" bestFit="1" customWidth="1"/>
    <col min="9216" max="9218" width="0" style="316" hidden="1" customWidth="1"/>
    <col min="9219" max="9219" width="6" style="316" bestFit="1" customWidth="1"/>
    <col min="9220" max="9220" width="9.5703125" style="316" customWidth="1"/>
    <col min="9221" max="9221" width="9.85546875" style="316" customWidth="1"/>
    <col min="9222" max="9222" width="9.7109375" style="316" customWidth="1"/>
    <col min="9223" max="9223" width="9.5703125" style="316" customWidth="1"/>
    <col min="9224" max="9224" width="9.85546875" style="316" customWidth="1"/>
    <col min="9225" max="9225" width="6.5703125" style="316" customWidth="1"/>
    <col min="9226" max="9226" width="6" style="316" bestFit="1" customWidth="1"/>
    <col min="9227" max="9227" width="6.28515625" style="316" customWidth="1"/>
    <col min="9228" max="9228" width="11.7109375" style="316" customWidth="1"/>
    <col min="9229" max="9229" width="0" style="316" hidden="1" customWidth="1"/>
    <col min="9230" max="9230" width="14.5703125" style="316" customWidth="1"/>
    <col min="9231" max="9231" width="11.85546875" style="316" customWidth="1"/>
    <col min="9232" max="9466" width="9.140625" style="316"/>
    <col min="9467" max="9467" width="2.85546875" style="316" customWidth="1"/>
    <col min="9468" max="9468" width="50.7109375" style="316" customWidth="1"/>
    <col min="9469" max="9469" width="9.42578125" style="316" customWidth="1"/>
    <col min="9470" max="9470" width="11.85546875" style="316" customWidth="1"/>
    <col min="9471" max="9471" width="8.42578125" style="316" bestFit="1" customWidth="1"/>
    <col min="9472" max="9474" width="0" style="316" hidden="1" customWidth="1"/>
    <col min="9475" max="9475" width="6" style="316" bestFit="1" customWidth="1"/>
    <col min="9476" max="9476" width="9.5703125" style="316" customWidth="1"/>
    <col min="9477" max="9477" width="9.85546875" style="316" customWidth="1"/>
    <col min="9478" max="9478" width="9.7109375" style="316" customWidth="1"/>
    <col min="9479" max="9479" width="9.5703125" style="316" customWidth="1"/>
    <col min="9480" max="9480" width="9.85546875" style="316" customWidth="1"/>
    <col min="9481" max="9481" width="6.5703125" style="316" customWidth="1"/>
    <col min="9482" max="9482" width="6" style="316" bestFit="1" customWidth="1"/>
    <col min="9483" max="9483" width="6.28515625" style="316" customWidth="1"/>
    <col min="9484" max="9484" width="11.7109375" style="316" customWidth="1"/>
    <col min="9485" max="9485" width="0" style="316" hidden="1" customWidth="1"/>
    <col min="9486" max="9486" width="14.5703125" style="316" customWidth="1"/>
    <col min="9487" max="9487" width="11.85546875" style="316" customWidth="1"/>
    <col min="9488" max="9722" width="9.140625" style="316"/>
    <col min="9723" max="9723" width="2.85546875" style="316" customWidth="1"/>
    <col min="9724" max="9724" width="50.7109375" style="316" customWidth="1"/>
    <col min="9725" max="9725" width="9.42578125" style="316" customWidth="1"/>
    <col min="9726" max="9726" width="11.85546875" style="316" customWidth="1"/>
    <col min="9727" max="9727" width="8.42578125" style="316" bestFit="1" customWidth="1"/>
    <col min="9728" max="9730" width="0" style="316" hidden="1" customWidth="1"/>
    <col min="9731" max="9731" width="6" style="316" bestFit="1" customWidth="1"/>
    <col min="9732" max="9732" width="9.5703125" style="316" customWidth="1"/>
    <col min="9733" max="9733" width="9.85546875" style="316" customWidth="1"/>
    <col min="9734" max="9734" width="9.7109375" style="316" customWidth="1"/>
    <col min="9735" max="9735" width="9.5703125" style="316" customWidth="1"/>
    <col min="9736" max="9736" width="9.85546875" style="316" customWidth="1"/>
    <col min="9737" max="9737" width="6.5703125" style="316" customWidth="1"/>
    <col min="9738" max="9738" width="6" style="316" bestFit="1" customWidth="1"/>
    <col min="9739" max="9739" width="6.28515625" style="316" customWidth="1"/>
    <col min="9740" max="9740" width="11.7109375" style="316" customWidth="1"/>
    <col min="9741" max="9741" width="0" style="316" hidden="1" customWidth="1"/>
    <col min="9742" max="9742" width="14.5703125" style="316" customWidth="1"/>
    <col min="9743" max="9743" width="11.85546875" style="316" customWidth="1"/>
    <col min="9744" max="9978" width="9.140625" style="316"/>
    <col min="9979" max="9979" width="2.85546875" style="316" customWidth="1"/>
    <col min="9980" max="9980" width="50.7109375" style="316" customWidth="1"/>
    <col min="9981" max="9981" width="9.42578125" style="316" customWidth="1"/>
    <col min="9982" max="9982" width="11.85546875" style="316" customWidth="1"/>
    <col min="9983" max="9983" width="8.42578125" style="316" bestFit="1" customWidth="1"/>
    <col min="9984" max="9986" width="0" style="316" hidden="1" customWidth="1"/>
    <col min="9987" max="9987" width="6" style="316" bestFit="1" customWidth="1"/>
    <col min="9988" max="9988" width="9.5703125" style="316" customWidth="1"/>
    <col min="9989" max="9989" width="9.85546875" style="316" customWidth="1"/>
    <col min="9990" max="9990" width="9.7109375" style="316" customWidth="1"/>
    <col min="9991" max="9991" width="9.5703125" style="316" customWidth="1"/>
    <col min="9992" max="9992" width="9.85546875" style="316" customWidth="1"/>
    <col min="9993" max="9993" width="6.5703125" style="316" customWidth="1"/>
    <col min="9994" max="9994" width="6" style="316" bestFit="1" customWidth="1"/>
    <col min="9995" max="9995" width="6.28515625" style="316" customWidth="1"/>
    <col min="9996" max="9996" width="11.7109375" style="316" customWidth="1"/>
    <col min="9997" max="9997" width="0" style="316" hidden="1" customWidth="1"/>
    <col min="9998" max="9998" width="14.5703125" style="316" customWidth="1"/>
    <col min="9999" max="9999" width="11.85546875" style="316" customWidth="1"/>
    <col min="10000" max="10234" width="9.140625" style="316"/>
    <col min="10235" max="10235" width="2.85546875" style="316" customWidth="1"/>
    <col min="10236" max="10236" width="50.7109375" style="316" customWidth="1"/>
    <col min="10237" max="10237" width="9.42578125" style="316" customWidth="1"/>
    <col min="10238" max="10238" width="11.85546875" style="316" customWidth="1"/>
    <col min="10239" max="10239" width="8.42578125" style="316" bestFit="1" customWidth="1"/>
    <col min="10240" max="10242" width="0" style="316" hidden="1" customWidth="1"/>
    <col min="10243" max="10243" width="6" style="316" bestFit="1" customWidth="1"/>
    <col min="10244" max="10244" width="9.5703125" style="316" customWidth="1"/>
    <col min="10245" max="10245" width="9.85546875" style="316" customWidth="1"/>
    <col min="10246" max="10246" width="9.7109375" style="316" customWidth="1"/>
    <col min="10247" max="10247" width="9.5703125" style="316" customWidth="1"/>
    <col min="10248" max="10248" width="9.85546875" style="316" customWidth="1"/>
    <col min="10249" max="10249" width="6.5703125" style="316" customWidth="1"/>
    <col min="10250" max="10250" width="6" style="316" bestFit="1" customWidth="1"/>
    <col min="10251" max="10251" width="6.28515625" style="316" customWidth="1"/>
    <col min="10252" max="10252" width="11.7109375" style="316" customWidth="1"/>
    <col min="10253" max="10253" width="0" style="316" hidden="1" customWidth="1"/>
    <col min="10254" max="10254" width="14.5703125" style="316" customWidth="1"/>
    <col min="10255" max="10255" width="11.85546875" style="316" customWidth="1"/>
    <col min="10256" max="10490" width="9.140625" style="316"/>
    <col min="10491" max="10491" width="2.85546875" style="316" customWidth="1"/>
    <col min="10492" max="10492" width="50.7109375" style="316" customWidth="1"/>
    <col min="10493" max="10493" width="9.42578125" style="316" customWidth="1"/>
    <col min="10494" max="10494" width="11.85546875" style="316" customWidth="1"/>
    <col min="10495" max="10495" width="8.42578125" style="316" bestFit="1" customWidth="1"/>
    <col min="10496" max="10498" width="0" style="316" hidden="1" customWidth="1"/>
    <col min="10499" max="10499" width="6" style="316" bestFit="1" customWidth="1"/>
    <col min="10500" max="10500" width="9.5703125" style="316" customWidth="1"/>
    <col min="10501" max="10501" width="9.85546875" style="316" customWidth="1"/>
    <col min="10502" max="10502" width="9.7109375" style="316" customWidth="1"/>
    <col min="10503" max="10503" width="9.5703125" style="316" customWidth="1"/>
    <col min="10504" max="10504" width="9.85546875" style="316" customWidth="1"/>
    <col min="10505" max="10505" width="6.5703125" style="316" customWidth="1"/>
    <col min="10506" max="10506" width="6" style="316" bestFit="1" customWidth="1"/>
    <col min="10507" max="10507" width="6.28515625" style="316" customWidth="1"/>
    <col min="10508" max="10508" width="11.7109375" style="316" customWidth="1"/>
    <col min="10509" max="10509" width="0" style="316" hidden="1" customWidth="1"/>
    <col min="10510" max="10510" width="14.5703125" style="316" customWidth="1"/>
    <col min="10511" max="10511" width="11.85546875" style="316" customWidth="1"/>
    <col min="10512" max="10746" width="9.140625" style="316"/>
    <col min="10747" max="10747" width="2.85546875" style="316" customWidth="1"/>
    <col min="10748" max="10748" width="50.7109375" style="316" customWidth="1"/>
    <col min="10749" max="10749" width="9.42578125" style="316" customWidth="1"/>
    <col min="10750" max="10750" width="11.85546875" style="316" customWidth="1"/>
    <col min="10751" max="10751" width="8.42578125" style="316" bestFit="1" customWidth="1"/>
    <col min="10752" max="10754" width="0" style="316" hidden="1" customWidth="1"/>
    <col min="10755" max="10755" width="6" style="316" bestFit="1" customWidth="1"/>
    <col min="10756" max="10756" width="9.5703125" style="316" customWidth="1"/>
    <col min="10757" max="10757" width="9.85546875" style="316" customWidth="1"/>
    <col min="10758" max="10758" width="9.7109375" style="316" customWidth="1"/>
    <col min="10759" max="10759" width="9.5703125" style="316" customWidth="1"/>
    <col min="10760" max="10760" width="9.85546875" style="316" customWidth="1"/>
    <col min="10761" max="10761" width="6.5703125" style="316" customWidth="1"/>
    <col min="10762" max="10762" width="6" style="316" bestFit="1" customWidth="1"/>
    <col min="10763" max="10763" width="6.28515625" style="316" customWidth="1"/>
    <col min="10764" max="10764" width="11.7109375" style="316" customWidth="1"/>
    <col min="10765" max="10765" width="0" style="316" hidden="1" customWidth="1"/>
    <col min="10766" max="10766" width="14.5703125" style="316" customWidth="1"/>
    <col min="10767" max="10767" width="11.85546875" style="316" customWidth="1"/>
    <col min="10768" max="11002" width="9.140625" style="316"/>
    <col min="11003" max="11003" width="2.85546875" style="316" customWidth="1"/>
    <col min="11004" max="11004" width="50.7109375" style="316" customWidth="1"/>
    <col min="11005" max="11005" width="9.42578125" style="316" customWidth="1"/>
    <col min="11006" max="11006" width="11.85546875" style="316" customWidth="1"/>
    <col min="11007" max="11007" width="8.42578125" style="316" bestFit="1" customWidth="1"/>
    <col min="11008" max="11010" width="0" style="316" hidden="1" customWidth="1"/>
    <col min="11011" max="11011" width="6" style="316" bestFit="1" customWidth="1"/>
    <col min="11012" max="11012" width="9.5703125" style="316" customWidth="1"/>
    <col min="11013" max="11013" width="9.85546875" style="316" customWidth="1"/>
    <col min="11014" max="11014" width="9.7109375" style="316" customWidth="1"/>
    <col min="11015" max="11015" width="9.5703125" style="316" customWidth="1"/>
    <col min="11016" max="11016" width="9.85546875" style="316" customWidth="1"/>
    <col min="11017" max="11017" width="6.5703125" style="316" customWidth="1"/>
    <col min="11018" max="11018" width="6" style="316" bestFit="1" customWidth="1"/>
    <col min="11019" max="11019" width="6.28515625" style="316" customWidth="1"/>
    <col min="11020" max="11020" width="11.7109375" style="316" customWidth="1"/>
    <col min="11021" max="11021" width="0" style="316" hidden="1" customWidth="1"/>
    <col min="11022" max="11022" width="14.5703125" style="316" customWidth="1"/>
    <col min="11023" max="11023" width="11.85546875" style="316" customWidth="1"/>
    <col min="11024" max="11258" width="9.140625" style="316"/>
    <col min="11259" max="11259" width="2.85546875" style="316" customWidth="1"/>
    <col min="11260" max="11260" width="50.7109375" style="316" customWidth="1"/>
    <col min="11261" max="11261" width="9.42578125" style="316" customWidth="1"/>
    <col min="11262" max="11262" width="11.85546875" style="316" customWidth="1"/>
    <col min="11263" max="11263" width="8.42578125" style="316" bestFit="1" customWidth="1"/>
    <col min="11264" max="11266" width="0" style="316" hidden="1" customWidth="1"/>
    <col min="11267" max="11267" width="6" style="316" bestFit="1" customWidth="1"/>
    <col min="11268" max="11268" width="9.5703125" style="316" customWidth="1"/>
    <col min="11269" max="11269" width="9.85546875" style="316" customWidth="1"/>
    <col min="11270" max="11270" width="9.7109375" style="316" customWidth="1"/>
    <col min="11271" max="11271" width="9.5703125" style="316" customWidth="1"/>
    <col min="11272" max="11272" width="9.85546875" style="316" customWidth="1"/>
    <col min="11273" max="11273" width="6.5703125" style="316" customWidth="1"/>
    <col min="11274" max="11274" width="6" style="316" bestFit="1" customWidth="1"/>
    <col min="11275" max="11275" width="6.28515625" style="316" customWidth="1"/>
    <col min="11276" max="11276" width="11.7109375" style="316" customWidth="1"/>
    <col min="11277" max="11277" width="0" style="316" hidden="1" customWidth="1"/>
    <col min="11278" max="11278" width="14.5703125" style="316" customWidth="1"/>
    <col min="11279" max="11279" width="11.85546875" style="316" customWidth="1"/>
    <col min="11280" max="11514" width="9.140625" style="316"/>
    <col min="11515" max="11515" width="2.85546875" style="316" customWidth="1"/>
    <col min="11516" max="11516" width="50.7109375" style="316" customWidth="1"/>
    <col min="11517" max="11517" width="9.42578125" style="316" customWidth="1"/>
    <col min="11518" max="11518" width="11.85546875" style="316" customWidth="1"/>
    <col min="11519" max="11519" width="8.42578125" style="316" bestFit="1" customWidth="1"/>
    <col min="11520" max="11522" width="0" style="316" hidden="1" customWidth="1"/>
    <col min="11523" max="11523" width="6" style="316" bestFit="1" customWidth="1"/>
    <col min="11524" max="11524" width="9.5703125" style="316" customWidth="1"/>
    <col min="11525" max="11525" width="9.85546875" style="316" customWidth="1"/>
    <col min="11526" max="11526" width="9.7109375" style="316" customWidth="1"/>
    <col min="11527" max="11527" width="9.5703125" style="316" customWidth="1"/>
    <col min="11528" max="11528" width="9.85546875" style="316" customWidth="1"/>
    <col min="11529" max="11529" width="6.5703125" style="316" customWidth="1"/>
    <col min="11530" max="11530" width="6" style="316" bestFit="1" customWidth="1"/>
    <col min="11531" max="11531" width="6.28515625" style="316" customWidth="1"/>
    <col min="11532" max="11532" width="11.7109375" style="316" customWidth="1"/>
    <col min="11533" max="11533" width="0" style="316" hidden="1" customWidth="1"/>
    <col min="11534" max="11534" width="14.5703125" style="316" customWidth="1"/>
    <col min="11535" max="11535" width="11.85546875" style="316" customWidth="1"/>
    <col min="11536" max="11770" width="9.140625" style="316"/>
    <col min="11771" max="11771" width="2.85546875" style="316" customWidth="1"/>
    <col min="11772" max="11772" width="50.7109375" style="316" customWidth="1"/>
    <col min="11773" max="11773" width="9.42578125" style="316" customWidth="1"/>
    <col min="11774" max="11774" width="11.85546875" style="316" customWidth="1"/>
    <col min="11775" max="11775" width="8.42578125" style="316" bestFit="1" customWidth="1"/>
    <col min="11776" max="11778" width="0" style="316" hidden="1" customWidth="1"/>
    <col min="11779" max="11779" width="6" style="316" bestFit="1" customWidth="1"/>
    <col min="11780" max="11780" width="9.5703125" style="316" customWidth="1"/>
    <col min="11781" max="11781" width="9.85546875" style="316" customWidth="1"/>
    <col min="11782" max="11782" width="9.7109375" style="316" customWidth="1"/>
    <col min="11783" max="11783" width="9.5703125" style="316" customWidth="1"/>
    <col min="11784" max="11784" width="9.85546875" style="316" customWidth="1"/>
    <col min="11785" max="11785" width="6.5703125" style="316" customWidth="1"/>
    <col min="11786" max="11786" width="6" style="316" bestFit="1" customWidth="1"/>
    <col min="11787" max="11787" width="6.28515625" style="316" customWidth="1"/>
    <col min="11788" max="11788" width="11.7109375" style="316" customWidth="1"/>
    <col min="11789" max="11789" width="0" style="316" hidden="1" customWidth="1"/>
    <col min="11790" max="11790" width="14.5703125" style="316" customWidth="1"/>
    <col min="11791" max="11791" width="11.85546875" style="316" customWidth="1"/>
    <col min="11792" max="12026" width="9.140625" style="316"/>
    <col min="12027" max="12027" width="2.85546875" style="316" customWidth="1"/>
    <col min="12028" max="12028" width="50.7109375" style="316" customWidth="1"/>
    <col min="12029" max="12029" width="9.42578125" style="316" customWidth="1"/>
    <col min="12030" max="12030" width="11.85546875" style="316" customWidth="1"/>
    <col min="12031" max="12031" width="8.42578125" style="316" bestFit="1" customWidth="1"/>
    <col min="12032" max="12034" width="0" style="316" hidden="1" customWidth="1"/>
    <col min="12035" max="12035" width="6" style="316" bestFit="1" customWidth="1"/>
    <col min="12036" max="12036" width="9.5703125" style="316" customWidth="1"/>
    <col min="12037" max="12037" width="9.85546875" style="316" customWidth="1"/>
    <col min="12038" max="12038" width="9.7109375" style="316" customWidth="1"/>
    <col min="12039" max="12039" width="9.5703125" style="316" customWidth="1"/>
    <col min="12040" max="12040" width="9.85546875" style="316" customWidth="1"/>
    <col min="12041" max="12041" width="6.5703125" style="316" customWidth="1"/>
    <col min="12042" max="12042" width="6" style="316" bestFit="1" customWidth="1"/>
    <col min="12043" max="12043" width="6.28515625" style="316" customWidth="1"/>
    <col min="12044" max="12044" width="11.7109375" style="316" customWidth="1"/>
    <col min="12045" max="12045" width="0" style="316" hidden="1" customWidth="1"/>
    <col min="12046" max="12046" width="14.5703125" style="316" customWidth="1"/>
    <col min="12047" max="12047" width="11.85546875" style="316" customWidth="1"/>
    <col min="12048" max="12282" width="9.140625" style="316"/>
    <col min="12283" max="12283" width="2.85546875" style="316" customWidth="1"/>
    <col min="12284" max="12284" width="50.7109375" style="316" customWidth="1"/>
    <col min="12285" max="12285" width="9.42578125" style="316" customWidth="1"/>
    <col min="12286" max="12286" width="11.85546875" style="316" customWidth="1"/>
    <col min="12287" max="12287" width="8.42578125" style="316" bestFit="1" customWidth="1"/>
    <col min="12288" max="12290" width="0" style="316" hidden="1" customWidth="1"/>
    <col min="12291" max="12291" width="6" style="316" bestFit="1" customWidth="1"/>
    <col min="12292" max="12292" width="9.5703125" style="316" customWidth="1"/>
    <col min="12293" max="12293" width="9.85546875" style="316" customWidth="1"/>
    <col min="12294" max="12294" width="9.7109375" style="316" customWidth="1"/>
    <col min="12295" max="12295" width="9.5703125" style="316" customWidth="1"/>
    <col min="12296" max="12296" width="9.85546875" style="316" customWidth="1"/>
    <col min="12297" max="12297" width="6.5703125" style="316" customWidth="1"/>
    <col min="12298" max="12298" width="6" style="316" bestFit="1" customWidth="1"/>
    <col min="12299" max="12299" width="6.28515625" style="316" customWidth="1"/>
    <col min="12300" max="12300" width="11.7109375" style="316" customWidth="1"/>
    <col min="12301" max="12301" width="0" style="316" hidden="1" customWidth="1"/>
    <col min="12302" max="12302" width="14.5703125" style="316" customWidth="1"/>
    <col min="12303" max="12303" width="11.85546875" style="316" customWidth="1"/>
    <col min="12304" max="12538" width="9.140625" style="316"/>
    <col min="12539" max="12539" width="2.85546875" style="316" customWidth="1"/>
    <col min="12540" max="12540" width="50.7109375" style="316" customWidth="1"/>
    <col min="12541" max="12541" width="9.42578125" style="316" customWidth="1"/>
    <col min="12542" max="12542" width="11.85546875" style="316" customWidth="1"/>
    <col min="12543" max="12543" width="8.42578125" style="316" bestFit="1" customWidth="1"/>
    <col min="12544" max="12546" width="0" style="316" hidden="1" customWidth="1"/>
    <col min="12547" max="12547" width="6" style="316" bestFit="1" customWidth="1"/>
    <col min="12548" max="12548" width="9.5703125" style="316" customWidth="1"/>
    <col min="12549" max="12549" width="9.85546875" style="316" customWidth="1"/>
    <col min="12550" max="12550" width="9.7109375" style="316" customWidth="1"/>
    <col min="12551" max="12551" width="9.5703125" style="316" customWidth="1"/>
    <col min="12552" max="12552" width="9.85546875" style="316" customWidth="1"/>
    <col min="12553" max="12553" width="6.5703125" style="316" customWidth="1"/>
    <col min="12554" max="12554" width="6" style="316" bestFit="1" customWidth="1"/>
    <col min="12555" max="12555" width="6.28515625" style="316" customWidth="1"/>
    <col min="12556" max="12556" width="11.7109375" style="316" customWidth="1"/>
    <col min="12557" max="12557" width="0" style="316" hidden="1" customWidth="1"/>
    <col min="12558" max="12558" width="14.5703125" style="316" customWidth="1"/>
    <col min="12559" max="12559" width="11.85546875" style="316" customWidth="1"/>
    <col min="12560" max="12794" width="9.140625" style="316"/>
    <col min="12795" max="12795" width="2.85546875" style="316" customWidth="1"/>
    <col min="12796" max="12796" width="50.7109375" style="316" customWidth="1"/>
    <col min="12797" max="12797" width="9.42578125" style="316" customWidth="1"/>
    <col min="12798" max="12798" width="11.85546875" style="316" customWidth="1"/>
    <col min="12799" max="12799" width="8.42578125" style="316" bestFit="1" customWidth="1"/>
    <col min="12800" max="12802" width="0" style="316" hidden="1" customWidth="1"/>
    <col min="12803" max="12803" width="6" style="316" bestFit="1" customWidth="1"/>
    <col min="12804" max="12804" width="9.5703125" style="316" customWidth="1"/>
    <col min="12805" max="12805" width="9.85546875" style="316" customWidth="1"/>
    <col min="12806" max="12806" width="9.7109375" style="316" customWidth="1"/>
    <col min="12807" max="12807" width="9.5703125" style="316" customWidth="1"/>
    <col min="12808" max="12808" width="9.85546875" style="316" customWidth="1"/>
    <col min="12809" max="12809" width="6.5703125" style="316" customWidth="1"/>
    <col min="12810" max="12810" width="6" style="316" bestFit="1" customWidth="1"/>
    <col min="12811" max="12811" width="6.28515625" style="316" customWidth="1"/>
    <col min="12812" max="12812" width="11.7109375" style="316" customWidth="1"/>
    <col min="12813" max="12813" width="0" style="316" hidden="1" customWidth="1"/>
    <col min="12814" max="12814" width="14.5703125" style="316" customWidth="1"/>
    <col min="12815" max="12815" width="11.85546875" style="316" customWidth="1"/>
    <col min="12816" max="13050" width="9.140625" style="316"/>
    <col min="13051" max="13051" width="2.85546875" style="316" customWidth="1"/>
    <col min="13052" max="13052" width="50.7109375" style="316" customWidth="1"/>
    <col min="13053" max="13053" width="9.42578125" style="316" customWidth="1"/>
    <col min="13054" max="13054" width="11.85546875" style="316" customWidth="1"/>
    <col min="13055" max="13055" width="8.42578125" style="316" bestFit="1" customWidth="1"/>
    <col min="13056" max="13058" width="0" style="316" hidden="1" customWidth="1"/>
    <col min="13059" max="13059" width="6" style="316" bestFit="1" customWidth="1"/>
    <col min="13060" max="13060" width="9.5703125" style="316" customWidth="1"/>
    <col min="13061" max="13061" width="9.85546875" style="316" customWidth="1"/>
    <col min="13062" max="13062" width="9.7109375" style="316" customWidth="1"/>
    <col min="13063" max="13063" width="9.5703125" style="316" customWidth="1"/>
    <col min="13064" max="13064" width="9.85546875" style="316" customWidth="1"/>
    <col min="13065" max="13065" width="6.5703125" style="316" customWidth="1"/>
    <col min="13066" max="13066" width="6" style="316" bestFit="1" customWidth="1"/>
    <col min="13067" max="13067" width="6.28515625" style="316" customWidth="1"/>
    <col min="13068" max="13068" width="11.7109375" style="316" customWidth="1"/>
    <col min="13069" max="13069" width="0" style="316" hidden="1" customWidth="1"/>
    <col min="13070" max="13070" width="14.5703125" style="316" customWidth="1"/>
    <col min="13071" max="13071" width="11.85546875" style="316" customWidth="1"/>
    <col min="13072" max="13306" width="9.140625" style="316"/>
    <col min="13307" max="13307" width="2.85546875" style="316" customWidth="1"/>
    <col min="13308" max="13308" width="50.7109375" style="316" customWidth="1"/>
    <col min="13309" max="13309" width="9.42578125" style="316" customWidth="1"/>
    <col min="13310" max="13310" width="11.85546875" style="316" customWidth="1"/>
    <col min="13311" max="13311" width="8.42578125" style="316" bestFit="1" customWidth="1"/>
    <col min="13312" max="13314" width="0" style="316" hidden="1" customWidth="1"/>
    <col min="13315" max="13315" width="6" style="316" bestFit="1" customWidth="1"/>
    <col min="13316" max="13316" width="9.5703125" style="316" customWidth="1"/>
    <col min="13317" max="13317" width="9.85546875" style="316" customWidth="1"/>
    <col min="13318" max="13318" width="9.7109375" style="316" customWidth="1"/>
    <col min="13319" max="13319" width="9.5703125" style="316" customWidth="1"/>
    <col min="13320" max="13320" width="9.85546875" style="316" customWidth="1"/>
    <col min="13321" max="13321" width="6.5703125" style="316" customWidth="1"/>
    <col min="13322" max="13322" width="6" style="316" bestFit="1" customWidth="1"/>
    <col min="13323" max="13323" width="6.28515625" style="316" customWidth="1"/>
    <col min="13324" max="13324" width="11.7109375" style="316" customWidth="1"/>
    <col min="13325" max="13325" width="0" style="316" hidden="1" customWidth="1"/>
    <col min="13326" max="13326" width="14.5703125" style="316" customWidth="1"/>
    <col min="13327" max="13327" width="11.85546875" style="316" customWidth="1"/>
    <col min="13328" max="13562" width="9.140625" style="316"/>
    <col min="13563" max="13563" width="2.85546875" style="316" customWidth="1"/>
    <col min="13564" max="13564" width="50.7109375" style="316" customWidth="1"/>
    <col min="13565" max="13565" width="9.42578125" style="316" customWidth="1"/>
    <col min="13566" max="13566" width="11.85546875" style="316" customWidth="1"/>
    <col min="13567" max="13567" width="8.42578125" style="316" bestFit="1" customWidth="1"/>
    <col min="13568" max="13570" width="0" style="316" hidden="1" customWidth="1"/>
    <col min="13571" max="13571" width="6" style="316" bestFit="1" customWidth="1"/>
    <col min="13572" max="13572" width="9.5703125" style="316" customWidth="1"/>
    <col min="13573" max="13573" width="9.85546875" style="316" customWidth="1"/>
    <col min="13574" max="13574" width="9.7109375" style="316" customWidth="1"/>
    <col min="13575" max="13575" width="9.5703125" style="316" customWidth="1"/>
    <col min="13576" max="13576" width="9.85546875" style="316" customWidth="1"/>
    <col min="13577" max="13577" width="6.5703125" style="316" customWidth="1"/>
    <col min="13578" max="13578" width="6" style="316" bestFit="1" customWidth="1"/>
    <col min="13579" max="13579" width="6.28515625" style="316" customWidth="1"/>
    <col min="13580" max="13580" width="11.7109375" style="316" customWidth="1"/>
    <col min="13581" max="13581" width="0" style="316" hidden="1" customWidth="1"/>
    <col min="13582" max="13582" width="14.5703125" style="316" customWidth="1"/>
    <col min="13583" max="13583" width="11.85546875" style="316" customWidth="1"/>
    <col min="13584" max="13818" width="9.140625" style="316"/>
    <col min="13819" max="13819" width="2.85546875" style="316" customWidth="1"/>
    <col min="13820" max="13820" width="50.7109375" style="316" customWidth="1"/>
    <col min="13821" max="13821" width="9.42578125" style="316" customWidth="1"/>
    <col min="13822" max="13822" width="11.85546875" style="316" customWidth="1"/>
    <col min="13823" max="13823" width="8.42578125" style="316" bestFit="1" customWidth="1"/>
    <col min="13824" max="13826" width="0" style="316" hidden="1" customWidth="1"/>
    <col min="13827" max="13827" width="6" style="316" bestFit="1" customWidth="1"/>
    <col min="13828" max="13828" width="9.5703125" style="316" customWidth="1"/>
    <col min="13829" max="13829" width="9.85546875" style="316" customWidth="1"/>
    <col min="13830" max="13830" width="9.7109375" style="316" customWidth="1"/>
    <col min="13831" max="13831" width="9.5703125" style="316" customWidth="1"/>
    <col min="13832" max="13832" width="9.85546875" style="316" customWidth="1"/>
    <col min="13833" max="13833" width="6.5703125" style="316" customWidth="1"/>
    <col min="13834" max="13834" width="6" style="316" bestFit="1" customWidth="1"/>
    <col min="13835" max="13835" width="6.28515625" style="316" customWidth="1"/>
    <col min="13836" max="13836" width="11.7109375" style="316" customWidth="1"/>
    <col min="13837" max="13837" width="0" style="316" hidden="1" customWidth="1"/>
    <col min="13838" max="13838" width="14.5703125" style="316" customWidth="1"/>
    <col min="13839" max="13839" width="11.85546875" style="316" customWidth="1"/>
    <col min="13840" max="14074" width="9.140625" style="316"/>
    <col min="14075" max="14075" width="2.85546875" style="316" customWidth="1"/>
    <col min="14076" max="14076" width="50.7109375" style="316" customWidth="1"/>
    <col min="14077" max="14077" width="9.42578125" style="316" customWidth="1"/>
    <col min="14078" max="14078" width="11.85546875" style="316" customWidth="1"/>
    <col min="14079" max="14079" width="8.42578125" style="316" bestFit="1" customWidth="1"/>
    <col min="14080" max="14082" width="0" style="316" hidden="1" customWidth="1"/>
    <col min="14083" max="14083" width="6" style="316" bestFit="1" customWidth="1"/>
    <col min="14084" max="14084" width="9.5703125" style="316" customWidth="1"/>
    <col min="14085" max="14085" width="9.85546875" style="316" customWidth="1"/>
    <col min="14086" max="14086" width="9.7109375" style="316" customWidth="1"/>
    <col min="14087" max="14087" width="9.5703125" style="316" customWidth="1"/>
    <col min="14088" max="14088" width="9.85546875" style="316" customWidth="1"/>
    <col min="14089" max="14089" width="6.5703125" style="316" customWidth="1"/>
    <col min="14090" max="14090" width="6" style="316" bestFit="1" customWidth="1"/>
    <col min="14091" max="14091" width="6.28515625" style="316" customWidth="1"/>
    <col min="14092" max="14092" width="11.7109375" style="316" customWidth="1"/>
    <col min="14093" max="14093" width="0" style="316" hidden="1" customWidth="1"/>
    <col min="14094" max="14094" width="14.5703125" style="316" customWidth="1"/>
    <col min="14095" max="14095" width="11.85546875" style="316" customWidth="1"/>
    <col min="14096" max="14330" width="9.140625" style="316"/>
    <col min="14331" max="14331" width="2.85546875" style="316" customWidth="1"/>
    <col min="14332" max="14332" width="50.7109375" style="316" customWidth="1"/>
    <col min="14333" max="14333" width="9.42578125" style="316" customWidth="1"/>
    <col min="14334" max="14334" width="11.85546875" style="316" customWidth="1"/>
    <col min="14335" max="14335" width="8.42578125" style="316" bestFit="1" customWidth="1"/>
    <col min="14336" max="14338" width="0" style="316" hidden="1" customWidth="1"/>
    <col min="14339" max="14339" width="6" style="316" bestFit="1" customWidth="1"/>
    <col min="14340" max="14340" width="9.5703125" style="316" customWidth="1"/>
    <col min="14341" max="14341" width="9.85546875" style="316" customWidth="1"/>
    <col min="14342" max="14342" width="9.7109375" style="316" customWidth="1"/>
    <col min="14343" max="14343" width="9.5703125" style="316" customWidth="1"/>
    <col min="14344" max="14344" width="9.85546875" style="316" customWidth="1"/>
    <col min="14345" max="14345" width="6.5703125" style="316" customWidth="1"/>
    <col min="14346" max="14346" width="6" style="316" bestFit="1" customWidth="1"/>
    <col min="14347" max="14347" width="6.28515625" style="316" customWidth="1"/>
    <col min="14348" max="14348" width="11.7109375" style="316" customWidth="1"/>
    <col min="14349" max="14349" width="0" style="316" hidden="1" customWidth="1"/>
    <col min="14350" max="14350" width="14.5703125" style="316" customWidth="1"/>
    <col min="14351" max="14351" width="11.85546875" style="316" customWidth="1"/>
    <col min="14352" max="14586" width="9.140625" style="316"/>
    <col min="14587" max="14587" width="2.85546875" style="316" customWidth="1"/>
    <col min="14588" max="14588" width="50.7109375" style="316" customWidth="1"/>
    <col min="14589" max="14589" width="9.42578125" style="316" customWidth="1"/>
    <col min="14590" max="14590" width="11.85546875" style="316" customWidth="1"/>
    <col min="14591" max="14591" width="8.42578125" style="316" bestFit="1" customWidth="1"/>
    <col min="14592" max="14594" width="0" style="316" hidden="1" customWidth="1"/>
    <col min="14595" max="14595" width="6" style="316" bestFit="1" customWidth="1"/>
    <col min="14596" max="14596" width="9.5703125" style="316" customWidth="1"/>
    <col min="14597" max="14597" width="9.85546875" style="316" customWidth="1"/>
    <col min="14598" max="14598" width="9.7109375" style="316" customWidth="1"/>
    <col min="14599" max="14599" width="9.5703125" style="316" customWidth="1"/>
    <col min="14600" max="14600" width="9.85546875" style="316" customWidth="1"/>
    <col min="14601" max="14601" width="6.5703125" style="316" customWidth="1"/>
    <col min="14602" max="14602" width="6" style="316" bestFit="1" customWidth="1"/>
    <col min="14603" max="14603" width="6.28515625" style="316" customWidth="1"/>
    <col min="14604" max="14604" width="11.7109375" style="316" customWidth="1"/>
    <col min="14605" max="14605" width="0" style="316" hidden="1" customWidth="1"/>
    <col min="14606" max="14606" width="14.5703125" style="316" customWidth="1"/>
    <col min="14607" max="14607" width="11.85546875" style="316" customWidth="1"/>
    <col min="14608" max="14842" width="9.140625" style="316"/>
    <col min="14843" max="14843" width="2.85546875" style="316" customWidth="1"/>
    <col min="14844" max="14844" width="50.7109375" style="316" customWidth="1"/>
    <col min="14845" max="14845" width="9.42578125" style="316" customWidth="1"/>
    <col min="14846" max="14846" width="11.85546875" style="316" customWidth="1"/>
    <col min="14847" max="14847" width="8.42578125" style="316" bestFit="1" customWidth="1"/>
    <col min="14848" max="14850" width="0" style="316" hidden="1" customWidth="1"/>
    <col min="14851" max="14851" width="6" style="316" bestFit="1" customWidth="1"/>
    <col min="14852" max="14852" width="9.5703125" style="316" customWidth="1"/>
    <col min="14853" max="14853" width="9.85546875" style="316" customWidth="1"/>
    <col min="14854" max="14854" width="9.7109375" style="316" customWidth="1"/>
    <col min="14855" max="14855" width="9.5703125" style="316" customWidth="1"/>
    <col min="14856" max="14856" width="9.85546875" style="316" customWidth="1"/>
    <col min="14857" max="14857" width="6.5703125" style="316" customWidth="1"/>
    <col min="14858" max="14858" width="6" style="316" bestFit="1" customWidth="1"/>
    <col min="14859" max="14859" width="6.28515625" style="316" customWidth="1"/>
    <col min="14860" max="14860" width="11.7109375" style="316" customWidth="1"/>
    <col min="14861" max="14861" width="0" style="316" hidden="1" customWidth="1"/>
    <col min="14862" max="14862" width="14.5703125" style="316" customWidth="1"/>
    <col min="14863" max="14863" width="11.85546875" style="316" customWidth="1"/>
    <col min="14864" max="15098" width="9.140625" style="316"/>
    <col min="15099" max="15099" width="2.85546875" style="316" customWidth="1"/>
    <col min="15100" max="15100" width="50.7109375" style="316" customWidth="1"/>
    <col min="15101" max="15101" width="9.42578125" style="316" customWidth="1"/>
    <col min="15102" max="15102" width="11.85546875" style="316" customWidth="1"/>
    <col min="15103" max="15103" width="8.42578125" style="316" bestFit="1" customWidth="1"/>
    <col min="15104" max="15106" width="0" style="316" hidden="1" customWidth="1"/>
    <col min="15107" max="15107" width="6" style="316" bestFit="1" customWidth="1"/>
    <col min="15108" max="15108" width="9.5703125" style="316" customWidth="1"/>
    <col min="15109" max="15109" width="9.85546875" style="316" customWidth="1"/>
    <col min="15110" max="15110" width="9.7109375" style="316" customWidth="1"/>
    <col min="15111" max="15111" width="9.5703125" style="316" customWidth="1"/>
    <col min="15112" max="15112" width="9.85546875" style="316" customWidth="1"/>
    <col min="15113" max="15113" width="6.5703125" style="316" customWidth="1"/>
    <col min="15114" max="15114" width="6" style="316" bestFit="1" customWidth="1"/>
    <col min="15115" max="15115" width="6.28515625" style="316" customWidth="1"/>
    <col min="15116" max="15116" width="11.7109375" style="316" customWidth="1"/>
    <col min="15117" max="15117" width="0" style="316" hidden="1" customWidth="1"/>
    <col min="15118" max="15118" width="14.5703125" style="316" customWidth="1"/>
    <col min="15119" max="15119" width="11.85546875" style="316" customWidth="1"/>
    <col min="15120" max="15354" width="9.140625" style="316"/>
    <col min="15355" max="15355" width="2.85546875" style="316" customWidth="1"/>
    <col min="15356" max="15356" width="50.7109375" style="316" customWidth="1"/>
    <col min="15357" max="15357" width="9.42578125" style="316" customWidth="1"/>
    <col min="15358" max="15358" width="11.85546875" style="316" customWidth="1"/>
    <col min="15359" max="15359" width="8.42578125" style="316" bestFit="1" customWidth="1"/>
    <col min="15360" max="15362" width="0" style="316" hidden="1" customWidth="1"/>
    <col min="15363" max="15363" width="6" style="316" bestFit="1" customWidth="1"/>
    <col min="15364" max="15364" width="9.5703125" style="316" customWidth="1"/>
    <col min="15365" max="15365" width="9.85546875" style="316" customWidth="1"/>
    <col min="15366" max="15366" width="9.7109375" style="316" customWidth="1"/>
    <col min="15367" max="15367" width="9.5703125" style="316" customWidth="1"/>
    <col min="15368" max="15368" width="9.85546875" style="316" customWidth="1"/>
    <col min="15369" max="15369" width="6.5703125" style="316" customWidth="1"/>
    <col min="15370" max="15370" width="6" style="316" bestFit="1" customWidth="1"/>
    <col min="15371" max="15371" width="6.28515625" style="316" customWidth="1"/>
    <col min="15372" max="15372" width="11.7109375" style="316" customWidth="1"/>
    <col min="15373" max="15373" width="0" style="316" hidden="1" customWidth="1"/>
    <col min="15374" max="15374" width="14.5703125" style="316" customWidth="1"/>
    <col min="15375" max="15375" width="11.85546875" style="316" customWidth="1"/>
    <col min="15376" max="15610" width="9.140625" style="316"/>
    <col min="15611" max="15611" width="2.85546875" style="316" customWidth="1"/>
    <col min="15612" max="15612" width="50.7109375" style="316" customWidth="1"/>
    <col min="15613" max="15613" width="9.42578125" style="316" customWidth="1"/>
    <col min="15614" max="15614" width="11.85546875" style="316" customWidth="1"/>
    <col min="15615" max="15615" width="8.42578125" style="316" bestFit="1" customWidth="1"/>
    <col min="15616" max="15618" width="0" style="316" hidden="1" customWidth="1"/>
    <col min="15619" max="15619" width="6" style="316" bestFit="1" customWidth="1"/>
    <col min="15620" max="15620" width="9.5703125" style="316" customWidth="1"/>
    <col min="15621" max="15621" width="9.85546875" style="316" customWidth="1"/>
    <col min="15622" max="15622" width="9.7109375" style="316" customWidth="1"/>
    <col min="15623" max="15623" width="9.5703125" style="316" customWidth="1"/>
    <col min="15624" max="15624" width="9.85546875" style="316" customWidth="1"/>
    <col min="15625" max="15625" width="6.5703125" style="316" customWidth="1"/>
    <col min="15626" max="15626" width="6" style="316" bestFit="1" customWidth="1"/>
    <col min="15627" max="15627" width="6.28515625" style="316" customWidth="1"/>
    <col min="15628" max="15628" width="11.7109375" style="316" customWidth="1"/>
    <col min="15629" max="15629" width="0" style="316" hidden="1" customWidth="1"/>
    <col min="15630" max="15630" width="14.5703125" style="316" customWidth="1"/>
    <col min="15631" max="15631" width="11.85546875" style="316" customWidth="1"/>
    <col min="15632" max="15866" width="9.140625" style="316"/>
    <col min="15867" max="15867" width="2.85546875" style="316" customWidth="1"/>
    <col min="15868" max="15868" width="50.7109375" style="316" customWidth="1"/>
    <col min="15869" max="15869" width="9.42578125" style="316" customWidth="1"/>
    <col min="15870" max="15870" width="11.85546875" style="316" customWidth="1"/>
    <col min="15871" max="15871" width="8.42578125" style="316" bestFit="1" customWidth="1"/>
    <col min="15872" max="15874" width="0" style="316" hidden="1" customWidth="1"/>
    <col min="15875" max="15875" width="6" style="316" bestFit="1" customWidth="1"/>
    <col min="15876" max="15876" width="9.5703125" style="316" customWidth="1"/>
    <col min="15877" max="15877" width="9.85546875" style="316" customWidth="1"/>
    <col min="15878" max="15878" width="9.7109375" style="316" customWidth="1"/>
    <col min="15879" max="15879" width="9.5703125" style="316" customWidth="1"/>
    <col min="15880" max="15880" width="9.85546875" style="316" customWidth="1"/>
    <col min="15881" max="15881" width="6.5703125" style="316" customWidth="1"/>
    <col min="15882" max="15882" width="6" style="316" bestFit="1" customWidth="1"/>
    <col min="15883" max="15883" width="6.28515625" style="316" customWidth="1"/>
    <col min="15884" max="15884" width="11.7109375" style="316" customWidth="1"/>
    <col min="15885" max="15885" width="0" style="316" hidden="1" customWidth="1"/>
    <col min="15886" max="15886" width="14.5703125" style="316" customWidth="1"/>
    <col min="15887" max="15887" width="11.85546875" style="316" customWidth="1"/>
    <col min="15888" max="16122" width="9.140625" style="316"/>
    <col min="16123" max="16123" width="2.85546875" style="316" customWidth="1"/>
    <col min="16124" max="16124" width="50.7109375" style="316" customWidth="1"/>
    <col min="16125" max="16125" width="9.42578125" style="316" customWidth="1"/>
    <col min="16126" max="16126" width="11.85546875" style="316" customWidth="1"/>
    <col min="16127" max="16127" width="8.42578125" style="316" bestFit="1" customWidth="1"/>
    <col min="16128" max="16130" width="0" style="316" hidden="1" customWidth="1"/>
    <col min="16131" max="16131" width="6" style="316" bestFit="1" customWidth="1"/>
    <col min="16132" max="16132" width="9.5703125" style="316" customWidth="1"/>
    <col min="16133" max="16133" width="9.85546875" style="316" customWidth="1"/>
    <col min="16134" max="16134" width="9.7109375" style="316" customWidth="1"/>
    <col min="16135" max="16135" width="9.5703125" style="316" customWidth="1"/>
    <col min="16136" max="16136" width="9.85546875" style="316" customWidth="1"/>
    <col min="16137" max="16137" width="6.5703125" style="316" customWidth="1"/>
    <col min="16138" max="16138" width="6" style="316" bestFit="1" customWidth="1"/>
    <col min="16139" max="16139" width="6.28515625" style="316" customWidth="1"/>
    <col min="16140" max="16140" width="11.7109375" style="316" customWidth="1"/>
    <col min="16141" max="16141" width="0" style="316" hidden="1" customWidth="1"/>
    <col min="16142" max="16142" width="14.5703125" style="316" customWidth="1"/>
    <col min="16143" max="16143" width="11.85546875" style="316" customWidth="1"/>
    <col min="16144" max="16384" width="9.140625" style="316"/>
  </cols>
  <sheetData>
    <row r="1" spans="1:15" ht="15" customHeight="1">
      <c r="I1" s="413" t="s">
        <v>332</v>
      </c>
      <c r="M1" s="303"/>
      <c r="N1" s="304"/>
    </row>
    <row r="2" spans="1:15" ht="4.5" customHeight="1">
      <c r="M2" s="303"/>
      <c r="N2" s="304"/>
    </row>
    <row r="3" spans="1:15" ht="36" customHeight="1" thickBot="1">
      <c r="A3" s="4646" t="s">
        <v>160</v>
      </c>
      <c r="B3" s="4646"/>
      <c r="C3" s="4646"/>
      <c r="D3" s="4646"/>
      <c r="E3" s="4646"/>
      <c r="F3" s="4646"/>
      <c r="G3" s="4646"/>
      <c r="H3" s="4646"/>
      <c r="I3" s="4646"/>
      <c r="J3" s="4646"/>
      <c r="K3" s="4646"/>
      <c r="L3" s="4646"/>
      <c r="M3" s="4646"/>
      <c r="N3" s="4646"/>
    </row>
    <row r="4" spans="1:15" ht="51.75" customHeight="1">
      <c r="A4" s="414"/>
      <c r="B4" s="4647" t="s">
        <v>64</v>
      </c>
      <c r="C4" s="3964" t="s">
        <v>60</v>
      </c>
      <c r="D4" s="4372" t="s">
        <v>104</v>
      </c>
      <c r="E4" s="1684" t="s">
        <v>208</v>
      </c>
      <c r="F4" s="3985" t="s">
        <v>447</v>
      </c>
      <c r="G4" s="3986"/>
      <c r="H4" s="3986"/>
      <c r="I4" s="3986"/>
      <c r="J4" s="3987"/>
      <c r="K4" s="4137">
        <v>2024</v>
      </c>
      <c r="L4" s="4135">
        <v>2025</v>
      </c>
      <c r="M4" s="4456" t="s">
        <v>445</v>
      </c>
      <c r="N4" s="4374" t="s">
        <v>62</v>
      </c>
    </row>
    <row r="5" spans="1:15" ht="18.75" customHeight="1" thickBot="1">
      <c r="A5" s="415"/>
      <c r="B5" s="4648"/>
      <c r="C5" s="4649"/>
      <c r="D5" s="4549"/>
      <c r="E5" s="2562" t="s">
        <v>517</v>
      </c>
      <c r="F5" s="1678" t="s">
        <v>163</v>
      </c>
      <c r="G5" s="1678" t="s">
        <v>164</v>
      </c>
      <c r="H5" s="1678" t="s">
        <v>202</v>
      </c>
      <c r="I5" s="1678" t="s">
        <v>203</v>
      </c>
      <c r="J5" s="1678" t="s">
        <v>201</v>
      </c>
      <c r="K5" s="4595"/>
      <c r="L5" s="4136"/>
      <c r="M5" s="4650"/>
      <c r="N5" s="4448"/>
    </row>
    <row r="6" spans="1:15" ht="12" customHeight="1" thickBot="1">
      <c r="A6" s="490">
        <v>1</v>
      </c>
      <c r="B6" s="1680">
        <v>2</v>
      </c>
      <c r="C6" s="765" t="s">
        <v>105</v>
      </c>
      <c r="D6" s="765" t="s">
        <v>106</v>
      </c>
      <c r="E6" s="492">
        <v>5</v>
      </c>
      <c r="F6" s="492">
        <v>6</v>
      </c>
      <c r="G6" s="492">
        <v>7</v>
      </c>
      <c r="H6" s="492">
        <v>8</v>
      </c>
      <c r="I6" s="492">
        <v>9</v>
      </c>
      <c r="J6" s="492">
        <v>10</v>
      </c>
      <c r="K6" s="492"/>
      <c r="L6" s="492"/>
      <c r="M6" s="493">
        <v>11</v>
      </c>
      <c r="N6" s="494">
        <v>12</v>
      </c>
    </row>
    <row r="7" spans="1:15" s="417" customFormat="1" ht="15.75" customHeight="1">
      <c r="A7" s="4629"/>
      <c r="B7" s="123" t="s">
        <v>65</v>
      </c>
      <c r="C7" s="104"/>
      <c r="D7" s="466">
        <f>+D8+D9</f>
        <v>58096533</v>
      </c>
      <c r="E7" s="105">
        <f t="shared" ref="E7" si="0">+E8+E9</f>
        <v>1882373</v>
      </c>
      <c r="F7" s="105">
        <f t="shared" ref="F7:M7" si="1">+F8+F9</f>
        <v>265199</v>
      </c>
      <c r="G7" s="105">
        <f t="shared" si="1"/>
        <v>18543826</v>
      </c>
      <c r="H7" s="105">
        <f t="shared" si="1"/>
        <v>36268780</v>
      </c>
      <c r="I7" s="105">
        <f t="shared" si="1"/>
        <v>1136355</v>
      </c>
      <c r="J7" s="2666">
        <f t="shared" si="1"/>
        <v>0</v>
      </c>
      <c r="K7" s="105">
        <f>+K8+K9</f>
        <v>0</v>
      </c>
      <c r="L7" s="105">
        <f t="shared" ref="L7" si="2">+L8+L9</f>
        <v>0</v>
      </c>
      <c r="M7" s="52">
        <f t="shared" si="1"/>
        <v>56214160</v>
      </c>
      <c r="N7" s="391"/>
      <c r="O7" s="416">
        <f>D7-D10</f>
        <v>0</v>
      </c>
    </row>
    <row r="8" spans="1:15" s="417" customFormat="1" ht="13.5" customHeight="1">
      <c r="A8" s="4630"/>
      <c r="B8" s="117" t="s">
        <v>66</v>
      </c>
      <c r="C8" s="107"/>
      <c r="D8" s="463">
        <f>+D28+D37+D46+D89</f>
        <v>39461808</v>
      </c>
      <c r="E8" s="463">
        <f t="shared" ref="E8:J8" si="3">+E28+E37+E46+E89</f>
        <v>1878038</v>
      </c>
      <c r="F8" s="463">
        <f t="shared" si="3"/>
        <v>194104</v>
      </c>
      <c r="G8" s="463">
        <f t="shared" si="3"/>
        <v>11371852</v>
      </c>
      <c r="H8" s="463">
        <f t="shared" si="3"/>
        <v>25481459</v>
      </c>
      <c r="I8" s="463">
        <f t="shared" si="3"/>
        <v>536355</v>
      </c>
      <c r="J8" s="2667">
        <f t="shared" si="3"/>
        <v>0</v>
      </c>
      <c r="K8" s="108">
        <f>+K28+K37+K46</f>
        <v>0</v>
      </c>
      <c r="L8" s="108">
        <f>+L28+L37+L46</f>
        <v>0</v>
      </c>
      <c r="M8" s="305">
        <f>SUM(F8:J8)</f>
        <v>37583770</v>
      </c>
      <c r="N8" s="391"/>
    </row>
    <row r="9" spans="1:15" s="417" customFormat="1" ht="13.5" customHeight="1" thickBot="1">
      <c r="A9" s="4630"/>
      <c r="B9" s="418" t="s">
        <v>8</v>
      </c>
      <c r="C9" s="419"/>
      <c r="D9" s="467">
        <f>D75+D64</f>
        <v>18634725</v>
      </c>
      <c r="E9" s="420">
        <f t="shared" ref="E9:J9" si="4">E75+E64</f>
        <v>4335</v>
      </c>
      <c r="F9" s="420">
        <f t="shared" si="4"/>
        <v>71095</v>
      </c>
      <c r="G9" s="420">
        <f t="shared" si="4"/>
        <v>7171974</v>
      </c>
      <c r="H9" s="420">
        <f t="shared" si="4"/>
        <v>10787321</v>
      </c>
      <c r="I9" s="420">
        <f t="shared" si="4"/>
        <v>600000</v>
      </c>
      <c r="J9" s="2668">
        <f t="shared" si="4"/>
        <v>0</v>
      </c>
      <c r="K9" s="420">
        <f>K75+K64</f>
        <v>0</v>
      </c>
      <c r="L9" s="420">
        <f>L75+L64</f>
        <v>0</v>
      </c>
      <c r="M9" s="54">
        <f>SUM(F9:J9)</f>
        <v>18630390</v>
      </c>
      <c r="N9" s="391"/>
    </row>
    <row r="10" spans="1:15" ht="12.75" customHeight="1">
      <c r="A10" s="4630"/>
      <c r="B10" s="41" t="s">
        <v>9</v>
      </c>
      <c r="C10" s="40"/>
      <c r="D10" s="45">
        <f>D11+D16</f>
        <v>58096533</v>
      </c>
      <c r="E10" s="45">
        <f t="shared" ref="E10" si="5">E11+E16</f>
        <v>1882373</v>
      </c>
      <c r="F10" s="45">
        <f t="shared" ref="F10:J10" si="6">F11+F16</f>
        <v>265199</v>
      </c>
      <c r="G10" s="45">
        <f t="shared" si="6"/>
        <v>18543826</v>
      </c>
      <c r="H10" s="45">
        <f t="shared" si="6"/>
        <v>36268780</v>
      </c>
      <c r="I10" s="45">
        <f t="shared" si="6"/>
        <v>1136355</v>
      </c>
      <c r="J10" s="2669">
        <f t="shared" si="6"/>
        <v>0</v>
      </c>
      <c r="K10" s="45">
        <f>K11+K16</f>
        <v>0</v>
      </c>
      <c r="L10" s="45">
        <f>L11+L16</f>
        <v>0</v>
      </c>
      <c r="M10" s="253">
        <f>+M11+M16</f>
        <v>56214160</v>
      </c>
      <c r="N10" s="393"/>
    </row>
    <row r="11" spans="1:15" ht="13.5" customHeight="1">
      <c r="A11" s="4630"/>
      <c r="B11" s="421" t="s">
        <v>22</v>
      </c>
      <c r="C11" s="422"/>
      <c r="D11" s="423">
        <f>+D12+D13+D15+D14</f>
        <v>8754214</v>
      </c>
      <c r="E11" s="423">
        <f t="shared" ref="E11:J11" si="7">+E12+E13+E15+E14</f>
        <v>301533</v>
      </c>
      <c r="F11" s="423">
        <f t="shared" si="7"/>
        <v>51373</v>
      </c>
      <c r="G11" s="423">
        <f t="shared" si="7"/>
        <v>2790540</v>
      </c>
      <c r="H11" s="423">
        <f t="shared" si="7"/>
        <v>5440315</v>
      </c>
      <c r="I11" s="423">
        <f t="shared" si="7"/>
        <v>170453</v>
      </c>
      <c r="J11" s="2670">
        <f t="shared" si="7"/>
        <v>0</v>
      </c>
      <c r="K11" s="423">
        <f>+K12+K13+K15</f>
        <v>0</v>
      </c>
      <c r="L11" s="423">
        <f>+L12+L13+L15</f>
        <v>0</v>
      </c>
      <c r="M11" s="424">
        <f>+M12+M13+M15</f>
        <v>8452681</v>
      </c>
      <c r="N11" s="394"/>
    </row>
    <row r="12" spans="1:15" ht="12.75" customHeight="1">
      <c r="A12" s="4630"/>
      <c r="B12" s="425" t="s">
        <v>11</v>
      </c>
      <c r="C12" s="426"/>
      <c r="D12" s="313">
        <f>D30+D39+D52+D77+D91</f>
        <v>3067137</v>
      </c>
      <c r="E12" s="313">
        <f t="shared" ref="E12:J12" si="8">E30+E39+E52+E77+E91</f>
        <v>252537</v>
      </c>
      <c r="F12" s="313">
        <f t="shared" si="8"/>
        <v>15620</v>
      </c>
      <c r="G12" s="313">
        <f t="shared" si="8"/>
        <v>928725</v>
      </c>
      <c r="H12" s="313">
        <f t="shared" si="8"/>
        <v>1813438</v>
      </c>
      <c r="I12" s="313">
        <f t="shared" si="8"/>
        <v>56817</v>
      </c>
      <c r="J12" s="2671">
        <f t="shared" si="8"/>
        <v>0</v>
      </c>
      <c r="K12" s="313">
        <f>K30+K39+K52+K77+K91</f>
        <v>0</v>
      </c>
      <c r="L12" s="313">
        <f>L30+L39+L52+L77+L91</f>
        <v>0</v>
      </c>
      <c r="M12" s="300">
        <f>SUM(F12:J12)</f>
        <v>2814600</v>
      </c>
      <c r="N12" s="394"/>
    </row>
    <row r="13" spans="1:15" ht="12.75" customHeight="1">
      <c r="A13" s="4630"/>
      <c r="B13" s="425" t="s">
        <v>12</v>
      </c>
      <c r="C13" s="426"/>
      <c r="D13" s="427">
        <f>+D48+D66</f>
        <v>99397</v>
      </c>
      <c r="E13" s="427">
        <f>+E48+E66</f>
        <v>48996</v>
      </c>
      <c r="F13" s="427">
        <f t="shared" ref="F13:G13" si="9">+F48+F66</f>
        <v>28406</v>
      </c>
      <c r="G13" s="427">
        <f t="shared" si="9"/>
        <v>21995</v>
      </c>
      <c r="H13" s="2672">
        <f t="shared" ref="H13:J13" si="10">+H48</f>
        <v>0</v>
      </c>
      <c r="I13" s="2672">
        <f t="shared" si="10"/>
        <v>0</v>
      </c>
      <c r="J13" s="2672">
        <f t="shared" si="10"/>
        <v>0</v>
      </c>
      <c r="K13" s="427">
        <f>+K48+K66</f>
        <v>0</v>
      </c>
      <c r="L13" s="427">
        <f>+L48+L66</f>
        <v>0</v>
      </c>
      <c r="M13" s="300">
        <f>SUM(F13:J13)</f>
        <v>50401</v>
      </c>
      <c r="N13" s="394"/>
    </row>
    <row r="14" spans="1:15" ht="12.75" hidden="1" customHeight="1">
      <c r="A14" s="4630"/>
      <c r="B14" s="1994" t="s">
        <v>14</v>
      </c>
      <c r="C14" s="1568"/>
      <c r="D14" s="1569">
        <f>D78+D95</f>
        <v>0</v>
      </c>
      <c r="E14" s="2673">
        <f t="shared" ref="E14:J14" si="11">E78+E95</f>
        <v>0</v>
      </c>
      <c r="F14" s="1569">
        <f t="shared" si="11"/>
        <v>0</v>
      </c>
      <c r="G14" s="1569">
        <f t="shared" si="11"/>
        <v>0</v>
      </c>
      <c r="H14" s="1569">
        <f t="shared" si="11"/>
        <v>0</v>
      </c>
      <c r="I14" s="1569">
        <f t="shared" si="11"/>
        <v>0</v>
      </c>
      <c r="J14" s="2673">
        <f t="shared" si="11"/>
        <v>0</v>
      </c>
      <c r="K14" s="1569">
        <f>K78+K95</f>
        <v>0</v>
      </c>
      <c r="L14" s="1569"/>
      <c r="M14" s="300">
        <f>SUM(F14:J14)</f>
        <v>0</v>
      </c>
      <c r="N14" s="394"/>
    </row>
    <row r="15" spans="1:15" ht="12.75" customHeight="1">
      <c r="A15" s="4630"/>
      <c r="B15" s="425" t="s">
        <v>16</v>
      </c>
      <c r="C15" s="1568"/>
      <c r="D15" s="1569">
        <f>D79+D99</f>
        <v>5587680</v>
      </c>
      <c r="E15" s="2673">
        <f t="shared" ref="E15:J15" si="12">E79+E99</f>
        <v>0</v>
      </c>
      <c r="F15" s="1569">
        <f t="shared" si="12"/>
        <v>7347</v>
      </c>
      <c r="G15" s="1569">
        <f t="shared" si="12"/>
        <v>1839820</v>
      </c>
      <c r="H15" s="1569">
        <f t="shared" si="12"/>
        <v>3626877</v>
      </c>
      <c r="I15" s="1569">
        <f t="shared" si="12"/>
        <v>113636</v>
      </c>
      <c r="J15" s="2673">
        <f t="shared" si="12"/>
        <v>0</v>
      </c>
      <c r="K15" s="1569">
        <f>K79+K99</f>
        <v>0</v>
      </c>
      <c r="L15" s="1569">
        <f>L79+L99</f>
        <v>0</v>
      </c>
      <c r="M15" s="300">
        <f>SUM(F15:J15)</f>
        <v>5587680</v>
      </c>
      <c r="N15" s="394"/>
    </row>
    <row r="16" spans="1:15" ht="13.5" customHeight="1">
      <c r="A16" s="4630"/>
      <c r="B16" s="428" t="s">
        <v>17</v>
      </c>
      <c r="C16" s="429"/>
      <c r="D16" s="423">
        <f>+D17+D18</f>
        <v>49342319</v>
      </c>
      <c r="E16" s="423">
        <f t="shared" ref="E16" si="13">+E17+E18</f>
        <v>1580840</v>
      </c>
      <c r="F16" s="423">
        <f t="shared" ref="F16:J16" si="14">+F17+F18</f>
        <v>213826</v>
      </c>
      <c r="G16" s="423">
        <f t="shared" si="14"/>
        <v>15753286</v>
      </c>
      <c r="H16" s="423">
        <f t="shared" si="14"/>
        <v>30828465</v>
      </c>
      <c r="I16" s="423">
        <f t="shared" si="14"/>
        <v>965902</v>
      </c>
      <c r="J16" s="2670">
        <f t="shared" si="14"/>
        <v>0</v>
      </c>
      <c r="K16" s="423">
        <f>+K17+K18</f>
        <v>0</v>
      </c>
      <c r="L16" s="423">
        <f>+L17+L18</f>
        <v>0</v>
      </c>
      <c r="M16" s="299">
        <f>+M17+M18</f>
        <v>47761479</v>
      </c>
      <c r="N16" s="394"/>
    </row>
    <row r="17" spans="1:16" ht="13.5" customHeight="1">
      <c r="A17" s="4630"/>
      <c r="B17" s="425" t="s">
        <v>19</v>
      </c>
      <c r="C17" s="430"/>
      <c r="D17" s="306">
        <f>+D81+D104</f>
        <v>47495272</v>
      </c>
      <c r="E17" s="2674">
        <f t="shared" ref="E17:J17" si="15">+E81+E104</f>
        <v>0</v>
      </c>
      <c r="F17" s="306">
        <f t="shared" si="15"/>
        <v>62429</v>
      </c>
      <c r="G17" s="306">
        <f t="shared" si="15"/>
        <v>15638476</v>
      </c>
      <c r="H17" s="306">
        <f t="shared" si="15"/>
        <v>30828465</v>
      </c>
      <c r="I17" s="306">
        <f t="shared" si="15"/>
        <v>965902</v>
      </c>
      <c r="J17" s="2674">
        <f t="shared" si="15"/>
        <v>0</v>
      </c>
      <c r="K17" s="306"/>
      <c r="L17" s="306"/>
      <c r="M17" s="300">
        <f>SUM(F17:J17)</f>
        <v>47495272</v>
      </c>
      <c r="N17" s="394"/>
    </row>
    <row r="18" spans="1:16" ht="12.75" customHeight="1">
      <c r="A18" s="4630"/>
      <c r="B18" s="307" t="s">
        <v>18</v>
      </c>
      <c r="C18" s="430"/>
      <c r="D18" s="306">
        <f>+D32+D41+D54+D68</f>
        <v>1847047</v>
      </c>
      <c r="E18" s="306">
        <f t="shared" ref="E18:J18" si="16">+E32+E41+E54+E68</f>
        <v>1580840</v>
      </c>
      <c r="F18" s="306">
        <f t="shared" si="16"/>
        <v>151397</v>
      </c>
      <c r="G18" s="306">
        <f t="shared" si="16"/>
        <v>114810</v>
      </c>
      <c r="H18" s="2674">
        <f t="shared" si="16"/>
        <v>0</v>
      </c>
      <c r="I18" s="2674">
        <f t="shared" si="16"/>
        <v>0</v>
      </c>
      <c r="J18" s="2674">
        <f t="shared" si="16"/>
        <v>0</v>
      </c>
      <c r="K18" s="306">
        <f>+K32+K41+K54+K68+K81+K104</f>
        <v>0</v>
      </c>
      <c r="L18" s="306">
        <f>+L32+L41+L54+L68+L81+L104</f>
        <v>0</v>
      </c>
      <c r="M18" s="300">
        <f>SUM(F18:J18)</f>
        <v>266207</v>
      </c>
      <c r="N18" s="394"/>
    </row>
    <row r="19" spans="1:16" ht="12.75" customHeight="1">
      <c r="A19" s="4630"/>
      <c r="B19" s="37" t="s">
        <v>20</v>
      </c>
      <c r="C19" s="260"/>
      <c r="D19" s="308">
        <f>D24+D20</f>
        <v>55029396</v>
      </c>
      <c r="E19" s="308">
        <f t="shared" ref="E19:J19" si="17">E24+E20</f>
        <v>1115950</v>
      </c>
      <c r="F19" s="308">
        <f t="shared" si="17"/>
        <v>684314</v>
      </c>
      <c r="G19" s="308">
        <f t="shared" si="17"/>
        <v>17620168</v>
      </c>
      <c r="H19" s="308">
        <f t="shared" si="17"/>
        <v>34529426</v>
      </c>
      <c r="I19" s="308">
        <f t="shared" si="17"/>
        <v>1079538</v>
      </c>
      <c r="J19" s="2675">
        <f t="shared" si="17"/>
        <v>0</v>
      </c>
      <c r="K19" s="308">
        <f>K24+K20</f>
        <v>0</v>
      </c>
      <c r="L19" s="308">
        <f>L24+L20</f>
        <v>0</v>
      </c>
      <c r="M19" s="4613" t="s">
        <v>51</v>
      </c>
      <c r="N19" s="314"/>
      <c r="O19" s="315"/>
    </row>
    <row r="20" spans="1:16" ht="12.75" customHeight="1">
      <c r="A20" s="4630"/>
      <c r="B20" s="309" t="s">
        <v>11</v>
      </c>
      <c r="C20" s="310"/>
      <c r="D20" s="311">
        <f>+D21+D23+D22</f>
        <v>5687077</v>
      </c>
      <c r="E20" s="311">
        <f t="shared" ref="E20:J20" si="18">+E21+E23+E22</f>
        <v>38014</v>
      </c>
      <c r="F20" s="311">
        <f t="shared" si="18"/>
        <v>26230</v>
      </c>
      <c r="G20" s="311">
        <f t="shared" si="18"/>
        <v>1866303</v>
      </c>
      <c r="H20" s="311">
        <f t="shared" si="18"/>
        <v>3642894</v>
      </c>
      <c r="I20" s="311">
        <f t="shared" si="18"/>
        <v>113636</v>
      </c>
      <c r="J20" s="2676">
        <f t="shared" si="18"/>
        <v>0</v>
      </c>
      <c r="K20" s="311">
        <f>+K21+K23+K22</f>
        <v>0</v>
      </c>
      <c r="L20" s="311">
        <f>+L21+L23</f>
        <v>0</v>
      </c>
      <c r="M20" s="3881"/>
      <c r="N20" s="314"/>
      <c r="O20" s="315"/>
    </row>
    <row r="21" spans="1:16" ht="12.75" customHeight="1">
      <c r="A21" s="4630"/>
      <c r="B21" s="312" t="s">
        <v>12</v>
      </c>
      <c r="C21" s="310"/>
      <c r="D21" s="313">
        <f>+D60+D71</f>
        <v>99397</v>
      </c>
      <c r="E21" s="313">
        <f>+E60+E71</f>
        <v>38014</v>
      </c>
      <c r="F21" s="313">
        <f t="shared" ref="F21:H21" si="19">+F60+F71</f>
        <v>18883</v>
      </c>
      <c r="G21" s="313">
        <f t="shared" si="19"/>
        <v>26483</v>
      </c>
      <c r="H21" s="313">
        <f t="shared" si="19"/>
        <v>16017</v>
      </c>
      <c r="I21" s="2671">
        <f t="shared" ref="I21:J21" si="20">+I60</f>
        <v>0</v>
      </c>
      <c r="J21" s="2671">
        <f t="shared" si="20"/>
        <v>0</v>
      </c>
      <c r="K21" s="313">
        <f>+K60+K71</f>
        <v>0</v>
      </c>
      <c r="L21" s="313">
        <f>+L60+L71</f>
        <v>0</v>
      </c>
      <c r="M21" s="3881"/>
      <c r="N21" s="314"/>
      <c r="O21" s="315">
        <f>D13-D21</f>
        <v>0</v>
      </c>
    </row>
    <row r="22" spans="1:16" ht="12.75" hidden="1" customHeight="1">
      <c r="A22" s="4630"/>
      <c r="B22" s="2511" t="s">
        <v>14</v>
      </c>
      <c r="C22" s="317"/>
      <c r="D22" s="2512">
        <f>D84+D110</f>
        <v>0</v>
      </c>
      <c r="E22" s="2677">
        <f t="shared" ref="E22:J22" si="21">E84+E110</f>
        <v>0</v>
      </c>
      <c r="F22" s="2677">
        <f t="shared" si="21"/>
        <v>0</v>
      </c>
      <c r="G22" s="2512">
        <f t="shared" si="21"/>
        <v>0</v>
      </c>
      <c r="H22" s="2512">
        <f t="shared" si="21"/>
        <v>0</v>
      </c>
      <c r="I22" s="2512">
        <f t="shared" si="21"/>
        <v>0</v>
      </c>
      <c r="J22" s="2677">
        <f t="shared" si="21"/>
        <v>0</v>
      </c>
      <c r="K22" s="2512">
        <f>K84+K110</f>
        <v>0</v>
      </c>
      <c r="L22" s="2512"/>
      <c r="M22" s="3881"/>
      <c r="N22" s="314"/>
      <c r="O22" s="315"/>
    </row>
    <row r="23" spans="1:16" ht="12.75" customHeight="1">
      <c r="A23" s="4630"/>
      <c r="B23" s="425" t="s">
        <v>16</v>
      </c>
      <c r="C23" s="317"/>
      <c r="D23" s="313">
        <f>D85+D111</f>
        <v>5587680</v>
      </c>
      <c r="E23" s="2671">
        <f t="shared" ref="E23:J23" si="22">E85+E111</f>
        <v>0</v>
      </c>
      <c r="F23" s="313">
        <f t="shared" si="22"/>
        <v>7347</v>
      </c>
      <c r="G23" s="313">
        <f t="shared" si="22"/>
        <v>1839820</v>
      </c>
      <c r="H23" s="313">
        <f t="shared" si="22"/>
        <v>3626877</v>
      </c>
      <c r="I23" s="313">
        <f t="shared" si="22"/>
        <v>113636</v>
      </c>
      <c r="J23" s="2671">
        <f t="shared" si="22"/>
        <v>0</v>
      </c>
      <c r="K23" s="313">
        <f>K85+K111</f>
        <v>0</v>
      </c>
      <c r="L23" s="313">
        <f>L85+L111</f>
        <v>0</v>
      </c>
      <c r="M23" s="3881"/>
      <c r="N23" s="314"/>
      <c r="O23" s="315"/>
    </row>
    <row r="24" spans="1:16" ht="12.75" customHeight="1">
      <c r="A24" s="4630"/>
      <c r="B24" s="85" t="s">
        <v>17</v>
      </c>
      <c r="C24" s="317"/>
      <c r="D24" s="318">
        <f>+D25+D26</f>
        <v>49342319</v>
      </c>
      <c r="E24" s="318">
        <f t="shared" ref="E24" si="23">+E25+E26</f>
        <v>1077936</v>
      </c>
      <c r="F24" s="318">
        <f t="shared" ref="F24:J24" si="24">+F25+F26</f>
        <v>658084</v>
      </c>
      <c r="G24" s="318">
        <f t="shared" si="24"/>
        <v>15753865</v>
      </c>
      <c r="H24" s="318">
        <f t="shared" si="24"/>
        <v>30886532</v>
      </c>
      <c r="I24" s="318">
        <f t="shared" si="24"/>
        <v>965902</v>
      </c>
      <c r="J24" s="2678">
        <f t="shared" si="24"/>
        <v>0</v>
      </c>
      <c r="K24" s="318">
        <f>+K25+K26</f>
        <v>0</v>
      </c>
      <c r="L24" s="318">
        <f>+L25+L26</f>
        <v>0</v>
      </c>
      <c r="M24" s="3881"/>
      <c r="N24" s="314"/>
    </row>
    <row r="25" spans="1:16" ht="15" customHeight="1">
      <c r="A25" s="4630"/>
      <c r="B25" s="312" t="s">
        <v>19</v>
      </c>
      <c r="C25" s="310"/>
      <c r="D25" s="313">
        <f>+D87+D113</f>
        <v>47495272</v>
      </c>
      <c r="E25" s="2671">
        <f t="shared" ref="E25:J25" si="25">+E87+E113</f>
        <v>0</v>
      </c>
      <c r="F25" s="313">
        <f t="shared" si="25"/>
        <v>62429</v>
      </c>
      <c r="G25" s="313">
        <f t="shared" si="25"/>
        <v>15638476</v>
      </c>
      <c r="H25" s="313">
        <f t="shared" si="25"/>
        <v>30828465</v>
      </c>
      <c r="I25" s="313">
        <f t="shared" si="25"/>
        <v>965902</v>
      </c>
      <c r="J25" s="2671">
        <f t="shared" si="25"/>
        <v>0</v>
      </c>
      <c r="K25" s="313"/>
      <c r="L25" s="313"/>
      <c r="M25" s="3881"/>
      <c r="N25" s="314"/>
      <c r="O25" s="315"/>
    </row>
    <row r="26" spans="1:16" ht="13.5" customHeight="1" thickBot="1">
      <c r="A26" s="4630"/>
      <c r="B26" s="2106" t="s">
        <v>18</v>
      </c>
      <c r="C26" s="431"/>
      <c r="D26" s="313">
        <f>+D35+D44+D62+D73</f>
        <v>1847047</v>
      </c>
      <c r="E26" s="313">
        <f t="shared" ref="E26:J26" si="26">+E35+E44+E62+E73</f>
        <v>1077936</v>
      </c>
      <c r="F26" s="313">
        <f t="shared" si="26"/>
        <v>595655</v>
      </c>
      <c r="G26" s="313">
        <f t="shared" si="26"/>
        <v>115389</v>
      </c>
      <c r="H26" s="313">
        <f t="shared" si="26"/>
        <v>58067</v>
      </c>
      <c r="I26" s="2671">
        <f t="shared" si="26"/>
        <v>0</v>
      </c>
      <c r="J26" s="2671">
        <f t="shared" si="26"/>
        <v>0</v>
      </c>
      <c r="K26" s="313">
        <f>+K35+K44+K62+K73+K113</f>
        <v>0</v>
      </c>
      <c r="L26" s="313">
        <f>+L35+L44+L62+L73+L87+L113</f>
        <v>0</v>
      </c>
      <c r="M26" s="3882"/>
      <c r="N26" s="432"/>
      <c r="O26" s="315">
        <f>D18-D26</f>
        <v>0</v>
      </c>
    </row>
    <row r="27" spans="1:16" ht="26.25" customHeight="1">
      <c r="A27" s="4614" t="s">
        <v>53</v>
      </c>
      <c r="B27" s="319" t="s">
        <v>374</v>
      </c>
      <c r="C27" s="320" t="s">
        <v>97</v>
      </c>
      <c r="D27" s="433"/>
      <c r="E27" s="1494"/>
      <c r="F27" s="1495"/>
      <c r="G27" s="1495"/>
      <c r="H27" s="1495"/>
      <c r="I27" s="1495"/>
      <c r="J27" s="1496"/>
      <c r="K27" s="1495"/>
      <c r="L27" s="1495"/>
      <c r="M27" s="434"/>
      <c r="N27" s="4607" t="s">
        <v>257</v>
      </c>
    </row>
    <row r="28" spans="1:16" ht="12">
      <c r="A28" s="4615"/>
      <c r="B28" s="248" t="s">
        <v>9</v>
      </c>
      <c r="C28" s="260"/>
      <c r="D28" s="254">
        <f t="shared" ref="D28" si="27">+D29+D31</f>
        <v>944055</v>
      </c>
      <c r="E28" s="254">
        <f t="shared" ref="E28" si="28">+E29+E31</f>
        <v>909525</v>
      </c>
      <c r="F28" s="254">
        <f t="shared" ref="F28:J28" si="29">+F29+F31</f>
        <v>34530</v>
      </c>
      <c r="G28" s="2679">
        <f t="shared" si="29"/>
        <v>0</v>
      </c>
      <c r="H28" s="2679">
        <f t="shared" si="29"/>
        <v>0</v>
      </c>
      <c r="I28" s="2679">
        <f t="shared" si="29"/>
        <v>0</v>
      </c>
      <c r="J28" s="2679">
        <f t="shared" si="29"/>
        <v>0</v>
      </c>
      <c r="K28" s="254">
        <f>+K29+K31</f>
        <v>0</v>
      </c>
      <c r="L28" s="254">
        <f>+L29+L31</f>
        <v>0</v>
      </c>
      <c r="M28" s="253">
        <f>+M29+M31</f>
        <v>34530</v>
      </c>
      <c r="N28" s="4608"/>
      <c r="O28" s="315"/>
      <c r="P28" s="315"/>
    </row>
    <row r="29" spans="1:16" ht="13.5" customHeight="1">
      <c r="A29" s="4615"/>
      <c r="B29" s="435" t="s">
        <v>22</v>
      </c>
      <c r="C29" s="3930" t="s">
        <v>213</v>
      </c>
      <c r="D29" s="321">
        <f>+D30</f>
        <v>141607</v>
      </c>
      <c r="E29" s="1260">
        <f t="shared" ref="E29:J29" si="30">+E30</f>
        <v>136426</v>
      </c>
      <c r="F29" s="1261">
        <f t="shared" si="30"/>
        <v>5181</v>
      </c>
      <c r="G29" s="2680">
        <f t="shared" si="30"/>
        <v>0</v>
      </c>
      <c r="H29" s="2680">
        <f t="shared" si="30"/>
        <v>0</v>
      </c>
      <c r="I29" s="2680">
        <f t="shared" si="30"/>
        <v>0</v>
      </c>
      <c r="J29" s="2680">
        <f t="shared" si="30"/>
        <v>0</v>
      </c>
      <c r="K29" s="1261">
        <f>+K30</f>
        <v>0</v>
      </c>
      <c r="L29" s="1261">
        <f>+L30</f>
        <v>0</v>
      </c>
      <c r="M29" s="1262">
        <f>+M30</f>
        <v>5181</v>
      </c>
      <c r="N29" s="4609"/>
    </row>
    <row r="30" spans="1:16" ht="13.5" customHeight="1">
      <c r="A30" s="4615"/>
      <c r="B30" s="436" t="s">
        <v>11</v>
      </c>
      <c r="C30" s="4611"/>
      <c r="D30" s="124">
        <f>E30+L30+K30+F30+G30+H30+I30+J30</f>
        <v>141607</v>
      </c>
      <c r="E30" s="142">
        <f>27744+49876+58806</f>
        <v>136426</v>
      </c>
      <c r="F30" s="251">
        <f>5126+55</f>
        <v>5181</v>
      </c>
      <c r="G30" s="2681">
        <v>0</v>
      </c>
      <c r="H30" s="2681">
        <v>0</v>
      </c>
      <c r="I30" s="2681">
        <v>0</v>
      </c>
      <c r="J30" s="2681">
        <v>0</v>
      </c>
      <c r="K30" s="251"/>
      <c r="L30" s="251"/>
      <c r="M30" s="300">
        <f>SUM(F30:J30)</f>
        <v>5181</v>
      </c>
      <c r="N30" s="4609"/>
    </row>
    <row r="31" spans="1:16" ht="13.5" customHeight="1">
      <c r="A31" s="4615"/>
      <c r="B31" s="437" t="s">
        <v>17</v>
      </c>
      <c r="C31" s="4611"/>
      <c r="D31" s="322">
        <f t="shared" ref="D31:M31" si="31">+D32</f>
        <v>802448</v>
      </c>
      <c r="E31" s="321">
        <f t="shared" si="31"/>
        <v>773099</v>
      </c>
      <c r="F31" s="323">
        <f>+F32</f>
        <v>29349</v>
      </c>
      <c r="G31" s="2682">
        <f t="shared" ref="G31:J31" si="32">+G32</f>
        <v>0</v>
      </c>
      <c r="H31" s="2682">
        <f t="shared" si="32"/>
        <v>0</v>
      </c>
      <c r="I31" s="2682">
        <f t="shared" si="32"/>
        <v>0</v>
      </c>
      <c r="J31" s="2682">
        <f t="shared" si="32"/>
        <v>0</v>
      </c>
      <c r="K31" s="323">
        <f>+K32</f>
        <v>0</v>
      </c>
      <c r="L31" s="323">
        <f>+L32</f>
        <v>0</v>
      </c>
      <c r="M31" s="299">
        <f t="shared" si="31"/>
        <v>29349</v>
      </c>
      <c r="N31" s="4609"/>
    </row>
    <row r="32" spans="1:16" ht="13.5" customHeight="1">
      <c r="A32" s="4615"/>
      <c r="B32" s="348" t="s">
        <v>18</v>
      </c>
      <c r="C32" s="4611"/>
      <c r="D32" s="124">
        <f>E32+L32+K32+F32+G32+H32+I32+J32</f>
        <v>802448</v>
      </c>
      <c r="E32" s="142">
        <f>157219+282642+333238</f>
        <v>773099</v>
      </c>
      <c r="F32" s="301">
        <f>29045+304</f>
        <v>29349</v>
      </c>
      <c r="G32" s="2683">
        <v>0</v>
      </c>
      <c r="H32" s="2683">
        <v>0</v>
      </c>
      <c r="I32" s="2683">
        <v>0</v>
      </c>
      <c r="J32" s="2683">
        <v>0</v>
      </c>
      <c r="K32" s="1263"/>
      <c r="L32" s="1263"/>
      <c r="M32" s="300">
        <f>SUM(F32:J32)</f>
        <v>29349</v>
      </c>
      <c r="N32" s="4609"/>
    </row>
    <row r="33" spans="1:18" ht="12">
      <c r="A33" s="4615"/>
      <c r="B33" s="248" t="s">
        <v>20</v>
      </c>
      <c r="C33" s="260"/>
      <c r="D33" s="439">
        <f>+D34</f>
        <v>802448</v>
      </c>
      <c r="E33" s="439">
        <f t="shared" ref="E33:J34" si="33">+E34</f>
        <v>501524</v>
      </c>
      <c r="F33" s="439">
        <f t="shared" si="33"/>
        <v>300924</v>
      </c>
      <c r="G33" s="2684">
        <f t="shared" si="33"/>
        <v>0</v>
      </c>
      <c r="H33" s="2684">
        <f t="shared" si="33"/>
        <v>0</v>
      </c>
      <c r="I33" s="2684">
        <f t="shared" si="33"/>
        <v>0</v>
      </c>
      <c r="J33" s="2684">
        <f t="shared" si="33"/>
        <v>0</v>
      </c>
      <c r="K33" s="439">
        <f>+K34</f>
        <v>0</v>
      </c>
      <c r="L33" s="439">
        <f>+L34</f>
        <v>0</v>
      </c>
      <c r="M33" s="4613" t="s">
        <v>51</v>
      </c>
      <c r="N33" s="4609"/>
      <c r="O33" s="315">
        <f>D33-'[2]Tab.6I - Planow. przestrz.'!$D$32</f>
        <v>-14135</v>
      </c>
    </row>
    <row r="34" spans="1:18" ht="13.5" customHeight="1">
      <c r="A34" s="4615"/>
      <c r="B34" s="437" t="s">
        <v>17</v>
      </c>
      <c r="C34" s="3931" t="s">
        <v>213</v>
      </c>
      <c r="D34" s="322">
        <f>+D35</f>
        <v>802448</v>
      </c>
      <c r="E34" s="322">
        <f t="shared" si="33"/>
        <v>501524</v>
      </c>
      <c r="F34" s="322">
        <f t="shared" si="33"/>
        <v>300924</v>
      </c>
      <c r="G34" s="2685">
        <f t="shared" si="33"/>
        <v>0</v>
      </c>
      <c r="H34" s="2685">
        <f t="shared" si="33"/>
        <v>0</v>
      </c>
      <c r="I34" s="2685">
        <f t="shared" si="33"/>
        <v>0</v>
      </c>
      <c r="J34" s="2685">
        <f t="shared" si="33"/>
        <v>0</v>
      </c>
      <c r="K34" s="322">
        <f>+K35</f>
        <v>0</v>
      </c>
      <c r="L34" s="322">
        <f>+L35</f>
        <v>0</v>
      </c>
      <c r="M34" s="3881"/>
      <c r="N34" s="4609"/>
      <c r="O34" s="315">
        <f>+D35-D32</f>
        <v>0</v>
      </c>
    </row>
    <row r="35" spans="1:18" ht="12.75" thickBot="1">
      <c r="A35" s="4616"/>
      <c r="B35" s="348" t="s">
        <v>18</v>
      </c>
      <c r="C35" s="4612"/>
      <c r="D35" s="124">
        <f>E35+L35+K35+F35+G35+H35+I35+J35</f>
        <v>802448</v>
      </c>
      <c r="E35" s="1264">
        <f>159401+23865+318258</f>
        <v>501524</v>
      </c>
      <c r="F35" s="1264">
        <f>301472-6999+6451</f>
        <v>300924</v>
      </c>
      <c r="G35" s="2686">
        <f>29045-2182+3-16866-10000</f>
        <v>0</v>
      </c>
      <c r="H35" s="2686">
        <v>0</v>
      </c>
      <c r="I35" s="2686">
        <v>0</v>
      </c>
      <c r="J35" s="2686">
        <v>0</v>
      </c>
      <c r="K35" s="1264"/>
      <c r="L35" s="1264"/>
      <c r="M35" s="3882"/>
      <c r="N35" s="4610"/>
    </row>
    <row r="36" spans="1:18" ht="35.25" customHeight="1">
      <c r="A36" s="4614" t="s">
        <v>54</v>
      </c>
      <c r="B36" s="319" t="s">
        <v>375</v>
      </c>
      <c r="C36" s="320" t="s">
        <v>97</v>
      </c>
      <c r="D36" s="433"/>
      <c r="E36" s="1494"/>
      <c r="F36" s="1495"/>
      <c r="G36" s="1495"/>
      <c r="H36" s="1495"/>
      <c r="I36" s="1495"/>
      <c r="J36" s="1496"/>
      <c r="K36" s="1495"/>
      <c r="L36" s="1495"/>
      <c r="M36" s="1265"/>
      <c r="N36" s="4607" t="s">
        <v>257</v>
      </c>
    </row>
    <row r="37" spans="1:18" ht="12.75" customHeight="1">
      <c r="A37" s="4615"/>
      <c r="B37" s="1266" t="s">
        <v>9</v>
      </c>
      <c r="C37" s="1419"/>
      <c r="D37" s="798">
        <f t="shared" ref="D37:G37" si="34">+D38+D40</f>
        <v>876994</v>
      </c>
      <c r="E37" s="834">
        <f t="shared" ref="E37" si="35">+E38+E40</f>
        <v>776384</v>
      </c>
      <c r="F37" s="834">
        <f t="shared" si="34"/>
        <v>43185</v>
      </c>
      <c r="G37" s="834">
        <f t="shared" si="34"/>
        <v>57425</v>
      </c>
      <c r="H37" s="2687">
        <f t="shared" ref="H37:J37" si="36">+H38+H40</f>
        <v>0</v>
      </c>
      <c r="I37" s="2687">
        <f t="shared" si="36"/>
        <v>0</v>
      </c>
      <c r="J37" s="2687">
        <f t="shared" si="36"/>
        <v>0</v>
      </c>
      <c r="K37" s="834">
        <f>+K38+K40</f>
        <v>0</v>
      </c>
      <c r="L37" s="834">
        <f>+L38+L40</f>
        <v>0</v>
      </c>
      <c r="M37" s="799">
        <f>+M38+M40</f>
        <v>100610</v>
      </c>
      <c r="N37" s="4608"/>
      <c r="O37" s="315"/>
      <c r="P37" s="315"/>
      <c r="Q37" s="315"/>
      <c r="R37" s="315"/>
    </row>
    <row r="38" spans="1:18" ht="12" customHeight="1">
      <c r="A38" s="4615"/>
      <c r="B38" s="814" t="s">
        <v>22</v>
      </c>
      <c r="C38" s="3859" t="s">
        <v>213</v>
      </c>
      <c r="D38" s="816">
        <f>+D39</f>
        <v>130588</v>
      </c>
      <c r="E38" s="2451">
        <f t="shared" ref="E38:J38" si="37">+E39</f>
        <v>115629</v>
      </c>
      <c r="F38" s="2452">
        <f t="shared" si="37"/>
        <v>6345</v>
      </c>
      <c r="G38" s="2452">
        <f t="shared" si="37"/>
        <v>8614</v>
      </c>
      <c r="H38" s="2688">
        <f t="shared" si="37"/>
        <v>0</v>
      </c>
      <c r="I38" s="2688">
        <f t="shared" si="37"/>
        <v>0</v>
      </c>
      <c r="J38" s="2688">
        <f t="shared" si="37"/>
        <v>0</v>
      </c>
      <c r="K38" s="2452">
        <f>+K39</f>
        <v>0</v>
      </c>
      <c r="L38" s="2452">
        <f>+L39</f>
        <v>0</v>
      </c>
      <c r="M38" s="802">
        <f>+M39</f>
        <v>14959</v>
      </c>
      <c r="N38" s="4609"/>
    </row>
    <row r="39" spans="1:18" ht="12">
      <c r="A39" s="4615"/>
      <c r="B39" s="818" t="s">
        <v>11</v>
      </c>
      <c r="C39" s="4611"/>
      <c r="D39" s="766">
        <f>E39+L39+K39+F39+G39+H39+I39+J39</f>
        <v>130588</v>
      </c>
      <c r="E39" s="787">
        <f>23893+48565+43171</f>
        <v>115629</v>
      </c>
      <c r="F39" s="812">
        <f>6231+114</f>
        <v>6345</v>
      </c>
      <c r="G39" s="812">
        <v>8614</v>
      </c>
      <c r="H39" s="2689">
        <v>0</v>
      </c>
      <c r="I39" s="2689">
        <v>0</v>
      </c>
      <c r="J39" s="2689">
        <v>0</v>
      </c>
      <c r="K39" s="812"/>
      <c r="L39" s="812"/>
      <c r="M39" s="813">
        <f>SUM(F39:J39)</f>
        <v>14959</v>
      </c>
      <c r="N39" s="4609"/>
    </row>
    <row r="40" spans="1:18" ht="12">
      <c r="A40" s="4615"/>
      <c r="B40" s="1253" t="s">
        <v>17</v>
      </c>
      <c r="C40" s="4611"/>
      <c r="D40" s="2114">
        <f t="shared" ref="D40:M40" si="38">+D41</f>
        <v>746406</v>
      </c>
      <c r="E40" s="1033">
        <f t="shared" si="38"/>
        <v>660755</v>
      </c>
      <c r="F40" s="2453">
        <f t="shared" si="38"/>
        <v>36840</v>
      </c>
      <c r="G40" s="2453">
        <f t="shared" si="38"/>
        <v>48811</v>
      </c>
      <c r="H40" s="2690">
        <f t="shared" si="38"/>
        <v>0</v>
      </c>
      <c r="I40" s="2690">
        <f t="shared" si="38"/>
        <v>0</v>
      </c>
      <c r="J40" s="2690">
        <f t="shared" si="38"/>
        <v>0</v>
      </c>
      <c r="K40" s="2453">
        <f>+K41</f>
        <v>0</v>
      </c>
      <c r="L40" s="2453">
        <f>+L41</f>
        <v>0</v>
      </c>
      <c r="M40" s="802">
        <f t="shared" si="38"/>
        <v>85651</v>
      </c>
      <c r="N40" s="4609"/>
    </row>
    <row r="41" spans="1:18" ht="12">
      <c r="A41" s="4615"/>
      <c r="B41" s="1531" t="s">
        <v>18</v>
      </c>
      <c r="C41" s="4611"/>
      <c r="D41" s="766">
        <f>E41+L41+K41+F41+G41+H41+I41+J41</f>
        <v>746406</v>
      </c>
      <c r="E41" s="787">
        <f>140919+275202+244634</f>
        <v>660755</v>
      </c>
      <c r="F41" s="804">
        <f>35307+1533</f>
        <v>36840</v>
      </c>
      <c r="G41" s="804">
        <v>48811</v>
      </c>
      <c r="H41" s="1049">
        <v>0</v>
      </c>
      <c r="I41" s="1049">
        <v>0</v>
      </c>
      <c r="J41" s="1049">
        <v>0</v>
      </c>
      <c r="K41" s="804"/>
      <c r="L41" s="804"/>
      <c r="M41" s="813">
        <f>SUM(F41:J41)</f>
        <v>85651</v>
      </c>
      <c r="N41" s="4609"/>
    </row>
    <row r="42" spans="1:18" ht="12">
      <c r="A42" s="4615"/>
      <c r="B42" s="1195" t="s">
        <v>20</v>
      </c>
      <c r="C42" s="1419"/>
      <c r="D42" s="798">
        <f>+D43</f>
        <v>746406</v>
      </c>
      <c r="E42" s="798">
        <f t="shared" ref="E42:G42" si="39">+E43</f>
        <v>462372</v>
      </c>
      <c r="F42" s="798">
        <f t="shared" si="39"/>
        <v>238090</v>
      </c>
      <c r="G42" s="798">
        <f t="shared" si="39"/>
        <v>35944</v>
      </c>
      <c r="H42" s="798">
        <f t="shared" ref="E42:J43" si="40">+H43</f>
        <v>10000</v>
      </c>
      <c r="I42" s="808">
        <f t="shared" si="40"/>
        <v>0</v>
      </c>
      <c r="J42" s="808">
        <f t="shared" si="40"/>
        <v>0</v>
      </c>
      <c r="K42" s="798">
        <f>+K43</f>
        <v>0</v>
      </c>
      <c r="L42" s="798">
        <f>+L43</f>
        <v>0</v>
      </c>
      <c r="M42" s="3883" t="s">
        <v>51</v>
      </c>
      <c r="N42" s="4609"/>
      <c r="O42" s="315">
        <f>D42-'[2]Tab.6I - Planow. przestrz.'!$D$41</f>
        <v>-15187</v>
      </c>
    </row>
    <row r="43" spans="1:18" ht="12" customHeight="1">
      <c r="A43" s="4615"/>
      <c r="B43" s="1253" t="s">
        <v>17</v>
      </c>
      <c r="C43" s="3946" t="s">
        <v>213</v>
      </c>
      <c r="D43" s="2114">
        <f>+D44</f>
        <v>746406</v>
      </c>
      <c r="E43" s="2115">
        <f t="shared" si="40"/>
        <v>462372</v>
      </c>
      <c r="F43" s="2115">
        <f t="shared" si="40"/>
        <v>238090</v>
      </c>
      <c r="G43" s="2115">
        <f t="shared" si="40"/>
        <v>35944</v>
      </c>
      <c r="H43" s="2115">
        <f t="shared" si="40"/>
        <v>10000</v>
      </c>
      <c r="I43" s="2691">
        <f t="shared" si="40"/>
        <v>0</v>
      </c>
      <c r="J43" s="2691">
        <f t="shared" si="40"/>
        <v>0</v>
      </c>
      <c r="K43" s="2115">
        <f>+K44</f>
        <v>0</v>
      </c>
      <c r="L43" s="2115">
        <f>+L44</f>
        <v>0</v>
      </c>
      <c r="M43" s="3881"/>
      <c r="N43" s="4609"/>
    </row>
    <row r="44" spans="1:18" ht="13.5" thickBot="1">
      <c r="A44" s="4616"/>
      <c r="B44" s="473" t="s">
        <v>18</v>
      </c>
      <c r="C44" s="4612"/>
      <c r="D44" s="1142">
        <f>E44+L44+K44+F44+G44+H44+I44+J44</f>
        <v>746406</v>
      </c>
      <c r="E44" s="1014">
        <f>133538+72981+255853</f>
        <v>462372</v>
      </c>
      <c r="F44" s="1014">
        <f>248412-10322</f>
        <v>238090</v>
      </c>
      <c r="G44" s="1014">
        <f>35307-25307+25944</f>
        <v>35944</v>
      </c>
      <c r="H44" s="1014">
        <f>48811-1459-37352</f>
        <v>10000</v>
      </c>
      <c r="I44" s="2692">
        <v>0</v>
      </c>
      <c r="J44" s="2692">
        <v>0</v>
      </c>
      <c r="K44" s="1014"/>
      <c r="L44" s="1014"/>
      <c r="M44" s="3882"/>
      <c r="N44" s="4610"/>
      <c r="O44" s="315">
        <f>+D44-D41</f>
        <v>0</v>
      </c>
    </row>
    <row r="45" spans="1:18" s="3613" customFormat="1" ht="28.5" customHeight="1">
      <c r="A45" s="4626" t="s">
        <v>55</v>
      </c>
      <c r="B45" s="235" t="s">
        <v>322</v>
      </c>
      <c r="C45" s="460" t="s">
        <v>97</v>
      </c>
      <c r="D45" s="2454"/>
      <c r="E45" s="2503"/>
      <c r="F45" s="2504"/>
      <c r="G45" s="2504"/>
      <c r="H45" s="2504"/>
      <c r="I45" s="2504"/>
      <c r="J45" s="2505"/>
      <c r="K45" s="2504"/>
      <c r="L45" s="2504"/>
      <c r="M45" s="2506"/>
      <c r="N45" s="39"/>
    </row>
    <row r="46" spans="1:18" s="3613" customFormat="1" ht="12.75">
      <c r="A46" s="4627"/>
      <c r="B46" s="1266" t="s">
        <v>9</v>
      </c>
      <c r="C46" s="797"/>
      <c r="D46" s="1267">
        <f>+D47+D53</f>
        <v>394357</v>
      </c>
      <c r="E46" s="1267">
        <f t="shared" ref="E46" si="41">+E47+E53</f>
        <v>192129</v>
      </c>
      <c r="F46" s="834">
        <f t="shared" ref="F46:G46" si="42">+F47+F53</f>
        <v>114034</v>
      </c>
      <c r="G46" s="834">
        <f t="shared" si="42"/>
        <v>88194</v>
      </c>
      <c r="H46" s="2693">
        <f t="shared" ref="H46:J46" si="43">+H47+H53</f>
        <v>0</v>
      </c>
      <c r="I46" s="2693">
        <f t="shared" si="43"/>
        <v>0</v>
      </c>
      <c r="J46" s="2693">
        <f t="shared" si="43"/>
        <v>0</v>
      </c>
      <c r="K46" s="834">
        <f>+K47+K53</f>
        <v>0</v>
      </c>
      <c r="L46" s="834">
        <f>+L47+L53</f>
        <v>0</v>
      </c>
      <c r="M46" s="2477">
        <f>+M47+M53</f>
        <v>202228</v>
      </c>
      <c r="N46" s="3915" t="s">
        <v>499</v>
      </c>
      <c r="O46" s="440"/>
    </row>
    <row r="47" spans="1:18" s="3613" customFormat="1" ht="12.75">
      <c r="A47" s="4627"/>
      <c r="B47" s="435" t="s">
        <v>22</v>
      </c>
      <c r="C47" s="3859" t="s">
        <v>134</v>
      </c>
      <c r="D47" s="2107">
        <f>+D48+D52</f>
        <v>99415</v>
      </c>
      <c r="E47" s="2107">
        <f>+E48+E52</f>
        <v>48394</v>
      </c>
      <c r="F47" s="2108">
        <f t="shared" ref="F47:G47" si="44">+F48+F52</f>
        <v>28826</v>
      </c>
      <c r="G47" s="2108">
        <f t="shared" si="44"/>
        <v>22195</v>
      </c>
      <c r="H47" s="2694">
        <f t="shared" ref="H47:J47" si="45">+H48+H52</f>
        <v>0</v>
      </c>
      <c r="I47" s="2694">
        <f t="shared" si="45"/>
        <v>0</v>
      </c>
      <c r="J47" s="2694">
        <f t="shared" si="45"/>
        <v>0</v>
      </c>
      <c r="K47" s="2108">
        <f>+K48+K52</f>
        <v>0</v>
      </c>
      <c r="L47" s="2108">
        <f>+L48+L52</f>
        <v>0</v>
      </c>
      <c r="M47" s="2478">
        <f>+M48+M52</f>
        <v>51021</v>
      </c>
      <c r="N47" s="3915"/>
    </row>
    <row r="48" spans="1:18" s="3613" customFormat="1" ht="10.5" customHeight="1">
      <c r="A48" s="4627"/>
      <c r="B48" s="1268" t="s">
        <v>12</v>
      </c>
      <c r="C48" s="3908"/>
      <c r="D48" s="766">
        <f>E48+L48+K48+F48+G48+H48+I48+J48</f>
        <v>98313</v>
      </c>
      <c r="E48" s="787">
        <f>+E50+E51</f>
        <v>47912</v>
      </c>
      <c r="F48" s="2109">
        <f t="shared" ref="F48:G48" si="46">+F50+F51</f>
        <v>28406</v>
      </c>
      <c r="G48" s="2109">
        <f t="shared" si="46"/>
        <v>21995</v>
      </c>
      <c r="H48" s="2695">
        <v>0</v>
      </c>
      <c r="I48" s="2695">
        <v>0</v>
      </c>
      <c r="J48" s="2695">
        <v>0</v>
      </c>
      <c r="K48" s="2109">
        <f>+K50+K51</f>
        <v>0</v>
      </c>
      <c r="L48" s="2109">
        <f>+L50+L51</f>
        <v>0</v>
      </c>
      <c r="M48" s="300">
        <f>SUM(F48:J48)</f>
        <v>50401</v>
      </c>
      <c r="N48" s="3915"/>
      <c r="O48" s="440">
        <f>D48-D60</f>
        <v>0</v>
      </c>
    </row>
    <row r="49" spans="1:15" s="3613" customFormat="1" ht="12.75" hidden="1" customHeight="1">
      <c r="A49" s="4627"/>
      <c r="B49" s="2479" t="s">
        <v>135</v>
      </c>
      <c r="C49" s="3908"/>
      <c r="D49" s="766">
        <f>E49+L49+K49+F49+G49+H49+I49+J49</f>
        <v>0</v>
      </c>
      <c r="E49" s="787"/>
      <c r="F49" s="812"/>
      <c r="G49" s="812"/>
      <c r="H49" s="2696"/>
      <c r="I49" s="2696"/>
      <c r="J49" s="2696"/>
      <c r="K49" s="812"/>
      <c r="L49" s="812"/>
      <c r="M49" s="813"/>
      <c r="N49" s="3915"/>
      <c r="O49" s="440"/>
    </row>
    <row r="50" spans="1:15" s="3613" customFormat="1" ht="12.75" hidden="1" customHeight="1">
      <c r="A50" s="4627"/>
      <c r="B50" s="2479" t="s">
        <v>237</v>
      </c>
      <c r="C50" s="3908"/>
      <c r="D50" s="766">
        <f>E50+L50+K50+F50+G50+H50+I50+J50</f>
        <v>59778</v>
      </c>
      <c r="E50" s="787">
        <f>15556+8649+8595</f>
        <v>32800</v>
      </c>
      <c r="F50" s="2110">
        <f>8057+671+1501+214+1417</f>
        <v>11860</v>
      </c>
      <c r="G50" s="2110">
        <f>8057+671+1501+214+1415+3260</f>
        <v>15118</v>
      </c>
      <c r="H50" s="2696"/>
      <c r="I50" s="2696"/>
      <c r="J50" s="2696"/>
      <c r="K50" s="2772"/>
      <c r="L50" s="2110"/>
      <c r="M50" s="2480">
        <f>SUM(F50:G50)</f>
        <v>26978</v>
      </c>
      <c r="N50" s="3915"/>
      <c r="O50" s="440"/>
    </row>
    <row r="51" spans="1:15" s="3613" customFormat="1" ht="12.75" hidden="1" customHeight="1">
      <c r="A51" s="4627"/>
      <c r="B51" s="2479" t="s">
        <v>494</v>
      </c>
      <c r="C51" s="3908"/>
      <c r="D51" s="766">
        <f>E51+L51+K51+F51+G51+H51+I51+J51</f>
        <v>38535</v>
      </c>
      <c r="E51" s="787">
        <f>6510-111+5000+3713</f>
        <v>15112</v>
      </c>
      <c r="F51" s="2110">
        <f>512+979+979+1250+2407+750+9669</f>
        <v>16546</v>
      </c>
      <c r="G51" s="2110">
        <f>512+979+979+1250+2407+750</f>
        <v>6877</v>
      </c>
      <c r="H51" s="2696"/>
      <c r="I51" s="2696"/>
      <c r="J51" s="2696"/>
      <c r="K51" s="2772"/>
      <c r="L51" s="2111"/>
      <c r="M51" s="2480">
        <f>SUM(F51:G51)</f>
        <v>23423</v>
      </c>
      <c r="N51" s="3915"/>
      <c r="O51" s="440"/>
    </row>
    <row r="52" spans="1:15" s="3613" customFormat="1" ht="12.75">
      <c r="A52" s="4627"/>
      <c r="B52" s="848" t="s">
        <v>11</v>
      </c>
      <c r="C52" s="3908"/>
      <c r="D52" s="766">
        <f>E52+L52+K52+F52+G52+H52+I52+J52</f>
        <v>1102</v>
      </c>
      <c r="E52" s="787">
        <f>222+134+126</f>
        <v>482</v>
      </c>
      <c r="F52" s="812">
        <f>200+220</f>
        <v>420</v>
      </c>
      <c r="G52" s="812">
        <v>200</v>
      </c>
      <c r="H52" s="2696">
        <v>0</v>
      </c>
      <c r="I52" s="2696">
        <v>0</v>
      </c>
      <c r="J52" s="2696">
        <v>0</v>
      </c>
      <c r="K52" s="812"/>
      <c r="L52" s="812"/>
      <c r="M52" s="300">
        <f>SUM(F52:J52)</f>
        <v>620</v>
      </c>
      <c r="N52" s="3915"/>
    </row>
    <row r="53" spans="1:15" s="3613" customFormat="1" ht="13.5" customHeight="1">
      <c r="A53" s="4627"/>
      <c r="B53" s="1253" t="s">
        <v>17</v>
      </c>
      <c r="C53" s="3908"/>
      <c r="D53" s="801">
        <f>+D54</f>
        <v>294942</v>
      </c>
      <c r="E53" s="801">
        <f t="shared" ref="E53" si="47">+E54</f>
        <v>143735</v>
      </c>
      <c r="F53" s="807">
        <f t="shared" ref="F53:J53" si="48">+F54</f>
        <v>85208</v>
      </c>
      <c r="G53" s="807">
        <f t="shared" si="48"/>
        <v>65999</v>
      </c>
      <c r="H53" s="1047">
        <f t="shared" si="48"/>
        <v>0</v>
      </c>
      <c r="I53" s="1047">
        <f t="shared" si="48"/>
        <v>0</v>
      </c>
      <c r="J53" s="1047">
        <f t="shared" si="48"/>
        <v>0</v>
      </c>
      <c r="K53" s="807">
        <f>+K54</f>
        <v>0</v>
      </c>
      <c r="L53" s="807">
        <f>+L54</f>
        <v>0</v>
      </c>
      <c r="M53" s="849">
        <f>+M54</f>
        <v>151207</v>
      </c>
      <c r="N53" s="3915"/>
    </row>
    <row r="54" spans="1:15" s="3613" customFormat="1" ht="12.75">
      <c r="A54" s="4627"/>
      <c r="B54" s="2481" t="s">
        <v>18</v>
      </c>
      <c r="C54" s="3920"/>
      <c r="D54" s="766">
        <f>E54+L54+K54+F54+G54+H54+I54+J54</f>
        <v>294942</v>
      </c>
      <c r="E54" s="787">
        <f>+E56+E57</f>
        <v>143735</v>
      </c>
      <c r="F54" s="2112">
        <f>SUM(F56:F57)</f>
        <v>85208</v>
      </c>
      <c r="G54" s="2112">
        <f>SUM(G56:G57)</f>
        <v>65999</v>
      </c>
      <c r="H54" s="1672">
        <v>0</v>
      </c>
      <c r="I54" s="1672">
        <v>0</v>
      </c>
      <c r="J54" s="1672">
        <v>0</v>
      </c>
      <c r="K54" s="2112">
        <f>SUM(K56:K57)</f>
        <v>0</v>
      </c>
      <c r="L54" s="2112">
        <f>SUM(L56:L57)</f>
        <v>0</v>
      </c>
      <c r="M54" s="300">
        <f>SUM(F54:J54)</f>
        <v>151207</v>
      </c>
      <c r="N54" s="3915"/>
      <c r="O54" s="440">
        <f>D54-D62</f>
        <v>0</v>
      </c>
    </row>
    <row r="55" spans="1:15" s="1270" customFormat="1" ht="13.5" hidden="1" customHeight="1">
      <c r="A55" s="4627"/>
      <c r="B55" s="2479" t="s">
        <v>135</v>
      </c>
      <c r="C55" s="2482"/>
      <c r="D55" s="2483"/>
      <c r="E55" s="2113"/>
      <c r="F55" s="2113"/>
      <c r="G55" s="2113"/>
      <c r="H55" s="2113"/>
      <c r="I55" s="2113"/>
      <c r="J55" s="2113"/>
      <c r="K55" s="2113"/>
      <c r="L55" s="2113"/>
      <c r="M55" s="2484"/>
      <c r="N55" s="1248"/>
      <c r="O55" s="1269"/>
    </row>
    <row r="56" spans="1:15" s="1270" customFormat="1" ht="13.5" hidden="1" customHeight="1">
      <c r="A56" s="4627"/>
      <c r="B56" s="2479" t="s">
        <v>237</v>
      </c>
      <c r="C56" s="2482"/>
      <c r="D56" s="766">
        <f>E56+L56+K56+F56+G56+H56+I56+J56</f>
        <v>179344</v>
      </c>
      <c r="E56" s="2113">
        <f>46667+25948+25781</f>
        <v>98396</v>
      </c>
      <c r="F56" s="2113">
        <f>24172+2014+4502+642+4247</f>
        <v>35577</v>
      </c>
      <c r="G56" s="2113">
        <f>24172+2014+4502+642+4246+9795</f>
        <v>45371</v>
      </c>
      <c r="H56" s="2113"/>
      <c r="I56" s="2113"/>
      <c r="J56" s="2113"/>
      <c r="K56" s="2113"/>
      <c r="L56" s="2113"/>
      <c r="M56" s="2480">
        <f>SUM(F56:G56)</f>
        <v>80948</v>
      </c>
      <c r="N56" s="1248"/>
      <c r="O56" s="1269"/>
    </row>
    <row r="57" spans="1:15" s="1270" customFormat="1" ht="13.5" hidden="1" customHeight="1">
      <c r="A57" s="4627"/>
      <c r="B57" s="2479" t="s">
        <v>494</v>
      </c>
      <c r="C57" s="2482"/>
      <c r="D57" s="766">
        <f>E57+L57+K57+F57+G57+H57+I57+J57</f>
        <v>115598</v>
      </c>
      <c r="E57" s="2113">
        <f>19532-333+15001+11139</f>
        <v>45339</v>
      </c>
      <c r="F57" s="2113">
        <f>1537+2936+2936+3750+7219+2250+29003</f>
        <v>49631</v>
      </c>
      <c r="G57" s="2113">
        <f>1537+2936+2936+3750+7219+2250</f>
        <v>20628</v>
      </c>
      <c r="H57" s="2113"/>
      <c r="I57" s="2113"/>
      <c r="J57" s="2113"/>
      <c r="K57" s="2113"/>
      <c r="L57" s="2113"/>
      <c r="M57" s="2480">
        <f>SUM(F57:G57)</f>
        <v>70259</v>
      </c>
      <c r="N57" s="1248"/>
      <c r="O57" s="1269"/>
    </row>
    <row r="58" spans="1:15" s="3613" customFormat="1" ht="12.75">
      <c r="A58" s="4627"/>
      <c r="B58" s="246" t="s">
        <v>20</v>
      </c>
      <c r="C58" s="797"/>
      <c r="D58" s="798">
        <f>+D59+D61</f>
        <v>393255</v>
      </c>
      <c r="E58" s="798">
        <f t="shared" ref="E58" si="49">+E59+E61</f>
        <v>147719</v>
      </c>
      <c r="F58" s="798">
        <f t="shared" ref="F58:H58" si="50">+F59+F61</f>
        <v>75524</v>
      </c>
      <c r="G58" s="798">
        <f t="shared" si="50"/>
        <v>105928</v>
      </c>
      <c r="H58" s="798">
        <f t="shared" si="50"/>
        <v>64084</v>
      </c>
      <c r="I58" s="808">
        <f t="shared" ref="I58:J58" si="51">+I59+I61</f>
        <v>0</v>
      </c>
      <c r="J58" s="808">
        <f t="shared" si="51"/>
        <v>0</v>
      </c>
      <c r="K58" s="798">
        <f>+K59+K61</f>
        <v>0</v>
      </c>
      <c r="L58" s="798">
        <f>+L59+L61</f>
        <v>0</v>
      </c>
      <c r="M58" s="3883" t="s">
        <v>51</v>
      </c>
      <c r="N58" s="3919" t="s">
        <v>495</v>
      </c>
      <c r="O58" s="440">
        <f>D58-'[2]Tab.6I - Planow. przestrz.'!$D$57</f>
        <v>0</v>
      </c>
    </row>
    <row r="59" spans="1:15" s="3613" customFormat="1" ht="13.5" customHeight="1">
      <c r="A59" s="4627"/>
      <c r="B59" s="343" t="s">
        <v>22</v>
      </c>
      <c r="C59" s="3946" t="s">
        <v>134</v>
      </c>
      <c r="D59" s="2114">
        <f>+D60</f>
        <v>98313</v>
      </c>
      <c r="E59" s="2115">
        <f t="shared" ref="E59:J59" si="52">+E60</f>
        <v>36930</v>
      </c>
      <c r="F59" s="2115">
        <f t="shared" si="52"/>
        <v>18883</v>
      </c>
      <c r="G59" s="2115">
        <f t="shared" si="52"/>
        <v>26483</v>
      </c>
      <c r="H59" s="2115">
        <f t="shared" si="52"/>
        <v>16017</v>
      </c>
      <c r="I59" s="2691">
        <f t="shared" si="52"/>
        <v>0</v>
      </c>
      <c r="J59" s="2691">
        <f t="shared" si="52"/>
        <v>0</v>
      </c>
      <c r="K59" s="2115">
        <f>+K60</f>
        <v>0</v>
      </c>
      <c r="L59" s="2115">
        <f>+L60</f>
        <v>0</v>
      </c>
      <c r="M59" s="3881"/>
      <c r="N59" s="3915"/>
    </row>
    <row r="60" spans="1:15" s="3613" customFormat="1" ht="12.75">
      <c r="A60" s="4627"/>
      <c r="B60" s="1268" t="s">
        <v>12</v>
      </c>
      <c r="C60" s="3932"/>
      <c r="D60" s="789">
        <f>E60+L60+K60+F60+G60+H60+I60+J60</f>
        <v>98313</v>
      </c>
      <c r="E60" s="787">
        <f>28409-5297+13818</f>
        <v>36930</v>
      </c>
      <c r="F60" s="787">
        <f>17319+6294-4730</f>
        <v>18883</v>
      </c>
      <c r="G60" s="787">
        <f>17320+1415+7748</f>
        <v>26483</v>
      </c>
      <c r="H60" s="787">
        <f>12990+1061+1966</f>
        <v>16017</v>
      </c>
      <c r="I60" s="2697">
        <v>0</v>
      </c>
      <c r="J60" s="2697">
        <v>0</v>
      </c>
      <c r="K60" s="787"/>
      <c r="L60" s="787"/>
      <c r="M60" s="3881"/>
      <c r="N60" s="3915"/>
    </row>
    <row r="61" spans="1:15" s="3613" customFormat="1" ht="12.75">
      <c r="A61" s="4627"/>
      <c r="B61" s="1271" t="s">
        <v>17</v>
      </c>
      <c r="C61" s="3932"/>
      <c r="D61" s="2116">
        <f t="shared" ref="D61:J61" si="53">+D62</f>
        <v>294942</v>
      </c>
      <c r="E61" s="2116">
        <f t="shared" si="53"/>
        <v>110789</v>
      </c>
      <c r="F61" s="2116">
        <f t="shared" si="53"/>
        <v>56641</v>
      </c>
      <c r="G61" s="2116">
        <f t="shared" si="53"/>
        <v>79445</v>
      </c>
      <c r="H61" s="2116">
        <f t="shared" si="53"/>
        <v>48067</v>
      </c>
      <c r="I61" s="2698">
        <f t="shared" si="53"/>
        <v>0</v>
      </c>
      <c r="J61" s="2698">
        <f t="shared" si="53"/>
        <v>0</v>
      </c>
      <c r="K61" s="2116">
        <f>+K62</f>
        <v>0</v>
      </c>
      <c r="L61" s="2116">
        <f>+L62</f>
        <v>0</v>
      </c>
      <c r="M61" s="3881"/>
      <c r="N61" s="3915"/>
    </row>
    <row r="62" spans="1:15" s="3613" customFormat="1" ht="13.5" thickBot="1">
      <c r="A62" s="4628"/>
      <c r="B62" s="441" t="s">
        <v>18</v>
      </c>
      <c r="C62" s="4488"/>
      <c r="D62" s="464">
        <f>E62+L62+K62+F62+G62+H62+I62+J62</f>
        <v>294942</v>
      </c>
      <c r="E62" s="244">
        <f>85229-15894+41454</f>
        <v>110789</v>
      </c>
      <c r="F62" s="244">
        <f>51959+18879-14197</f>
        <v>56641</v>
      </c>
      <c r="G62" s="244">
        <f>51958+4249+23238</f>
        <v>79445</v>
      </c>
      <c r="H62" s="244">
        <f>38968+3185+5914</f>
        <v>48067</v>
      </c>
      <c r="I62" s="2699">
        <v>0</v>
      </c>
      <c r="J62" s="2699">
        <v>0</v>
      </c>
      <c r="K62" s="244"/>
      <c r="L62" s="244"/>
      <c r="M62" s="3882"/>
      <c r="N62" s="3948"/>
    </row>
    <row r="63" spans="1:15" s="3613" customFormat="1" ht="27.75" customHeight="1">
      <c r="A63" s="4633" t="s">
        <v>56</v>
      </c>
      <c r="B63" s="32" t="s">
        <v>349</v>
      </c>
      <c r="C63" s="25" t="s">
        <v>70</v>
      </c>
      <c r="D63" s="1493"/>
      <c r="E63" s="1477"/>
      <c r="F63" s="1477"/>
      <c r="G63" s="1477"/>
      <c r="H63" s="1477"/>
      <c r="I63" s="1477"/>
      <c r="J63" s="21"/>
      <c r="K63" s="1477"/>
      <c r="L63" s="1477"/>
      <c r="M63" s="22"/>
      <c r="N63" s="39"/>
    </row>
    <row r="64" spans="1:15" s="3613" customFormat="1" ht="14.25" customHeight="1" thickBot="1">
      <c r="A64" s="4628"/>
      <c r="B64" s="339" t="s">
        <v>9</v>
      </c>
      <c r="C64" s="386"/>
      <c r="D64" s="369">
        <f>+D65+D67</f>
        <v>4335</v>
      </c>
      <c r="E64" s="369">
        <f>+E65+E67</f>
        <v>4335</v>
      </c>
      <c r="F64" s="1272">
        <v>0</v>
      </c>
      <c r="G64" s="1272">
        <v>0</v>
      </c>
      <c r="H64" s="1272">
        <v>0</v>
      </c>
      <c r="I64" s="1272">
        <v>0</v>
      </c>
      <c r="J64" s="1272">
        <v>0</v>
      </c>
      <c r="K64" s="375">
        <v>0</v>
      </c>
      <c r="L64" s="369">
        <f>+L65+L67</f>
        <v>0</v>
      </c>
      <c r="M64" s="2700">
        <f>+M65+M67</f>
        <v>0</v>
      </c>
      <c r="N64" s="3915" t="s">
        <v>495</v>
      </c>
      <c r="O64" s="440" t="s">
        <v>313</v>
      </c>
    </row>
    <row r="65" spans="1:16" s="3613" customFormat="1" ht="13.5" customHeight="1" thickBot="1">
      <c r="A65" s="4628"/>
      <c r="B65" s="435" t="s">
        <v>22</v>
      </c>
      <c r="C65" s="3930" t="s">
        <v>134</v>
      </c>
      <c r="D65" s="1273">
        <f>+D66</f>
        <v>1084</v>
      </c>
      <c r="E65" s="1273">
        <f>+E66</f>
        <v>1084</v>
      </c>
      <c r="F65" s="723">
        <v>0</v>
      </c>
      <c r="G65" s="723">
        <v>0</v>
      </c>
      <c r="H65" s="723">
        <v>0</v>
      </c>
      <c r="I65" s="723">
        <v>0</v>
      </c>
      <c r="J65" s="723">
        <v>0</v>
      </c>
      <c r="K65" s="2773">
        <v>0</v>
      </c>
      <c r="L65" s="1273">
        <f>+L66</f>
        <v>0</v>
      </c>
      <c r="M65" s="2701">
        <f>+M66</f>
        <v>0</v>
      </c>
      <c r="N65" s="3915"/>
      <c r="O65" s="3613" t="s">
        <v>314</v>
      </c>
      <c r="P65" s="440"/>
    </row>
    <row r="66" spans="1:16" s="3613" customFormat="1" ht="13.5" customHeight="1" thickBot="1">
      <c r="A66" s="4628"/>
      <c r="B66" s="1268" t="s">
        <v>12</v>
      </c>
      <c r="C66" s="3908"/>
      <c r="D66" s="710">
        <f>E66+L66+K66+F66+G66+H66+I66+J66</f>
        <v>1084</v>
      </c>
      <c r="E66" s="372">
        <f>1889-805</f>
        <v>1084</v>
      </c>
      <c r="F66" s="723">
        <v>0</v>
      </c>
      <c r="G66" s="723">
        <v>0</v>
      </c>
      <c r="H66" s="723">
        <v>0</v>
      </c>
      <c r="I66" s="723">
        <v>0</v>
      </c>
      <c r="J66" s="723">
        <v>0</v>
      </c>
      <c r="K66" s="2773">
        <v>0</v>
      </c>
      <c r="L66" s="372"/>
      <c r="M66" s="2702">
        <f>SUM(F66:J66)</f>
        <v>0</v>
      </c>
      <c r="N66" s="3915"/>
    </row>
    <row r="67" spans="1:16" s="709" customFormat="1" ht="13.5" thickBot="1">
      <c r="A67" s="4634"/>
      <c r="B67" s="347" t="s">
        <v>17</v>
      </c>
      <c r="C67" s="3908"/>
      <c r="D67" s="370">
        <f>+D68</f>
        <v>3251</v>
      </c>
      <c r="E67" s="370">
        <f>+E68</f>
        <v>3251</v>
      </c>
      <c r="F67" s="723">
        <v>0</v>
      </c>
      <c r="G67" s="723">
        <v>0</v>
      </c>
      <c r="H67" s="723">
        <v>0</v>
      </c>
      <c r="I67" s="723">
        <v>0</v>
      </c>
      <c r="J67" s="723">
        <v>0</v>
      </c>
      <c r="K67" s="2774">
        <v>0</v>
      </c>
      <c r="L67" s="370">
        <f>+L68</f>
        <v>0</v>
      </c>
      <c r="M67" s="2703">
        <f>+M68</f>
        <v>0</v>
      </c>
      <c r="N67" s="3915"/>
      <c r="O67" s="708"/>
    </row>
    <row r="68" spans="1:16" s="3613" customFormat="1" ht="13.5" thickBot="1">
      <c r="A68" s="4628"/>
      <c r="B68" s="438" t="s">
        <v>18</v>
      </c>
      <c r="C68" s="3920"/>
      <c r="D68" s="710">
        <f>E68+L68+K68+F68+G68+H68+I68+J68</f>
        <v>3251</v>
      </c>
      <c r="E68" s="1274">
        <f>5672-2421</f>
        <v>3251</v>
      </c>
      <c r="F68" s="346">
        <v>0</v>
      </c>
      <c r="G68" s="346">
        <v>0</v>
      </c>
      <c r="H68" s="346">
        <v>0</v>
      </c>
      <c r="I68" s="346">
        <v>0</v>
      </c>
      <c r="J68" s="346">
        <v>0</v>
      </c>
      <c r="K68" s="2775">
        <v>0</v>
      </c>
      <c r="L68" s="1274"/>
      <c r="M68" s="2702">
        <f>SUM(F68:J68)</f>
        <v>0</v>
      </c>
      <c r="N68" s="3915"/>
      <c r="O68" s="440"/>
    </row>
    <row r="69" spans="1:16" s="3613" customFormat="1" ht="13.5" thickBot="1">
      <c r="A69" s="4628"/>
      <c r="B69" s="246" t="s">
        <v>20</v>
      </c>
      <c r="C69" s="386"/>
      <c r="D69" s="368">
        <f>+D70+D72</f>
        <v>4335</v>
      </c>
      <c r="E69" s="368">
        <f>+E70+E72</f>
        <v>4335</v>
      </c>
      <c r="F69" s="387">
        <v>0</v>
      </c>
      <c r="G69" s="387">
        <v>0</v>
      </c>
      <c r="H69" s="387">
        <v>0</v>
      </c>
      <c r="I69" s="387">
        <v>0</v>
      </c>
      <c r="J69" s="387">
        <v>0</v>
      </c>
      <c r="K69" s="368">
        <f>+K70+K72</f>
        <v>0</v>
      </c>
      <c r="L69" s="387">
        <v>0</v>
      </c>
      <c r="M69" s="4635" t="s">
        <v>51</v>
      </c>
      <c r="N69" s="3919" t="s">
        <v>495</v>
      </c>
      <c r="O69" s="440">
        <f>D69-'[2]Tab.6I - Planow. przestrz.'!$D$68</f>
        <v>0</v>
      </c>
    </row>
    <row r="70" spans="1:16" s="709" customFormat="1" ht="12.75" customHeight="1" thickBot="1">
      <c r="A70" s="4634"/>
      <c r="B70" s="343" t="s">
        <v>22</v>
      </c>
      <c r="C70" s="3930" t="s">
        <v>134</v>
      </c>
      <c r="D70" s="379">
        <f>+D71</f>
        <v>1084</v>
      </c>
      <c r="E70" s="379">
        <f>+E71</f>
        <v>1084</v>
      </c>
      <c r="F70" s="723">
        <v>0</v>
      </c>
      <c r="G70" s="723">
        <v>0</v>
      </c>
      <c r="H70" s="723">
        <v>0</v>
      </c>
      <c r="I70" s="723">
        <v>0</v>
      </c>
      <c r="J70" s="723">
        <v>0</v>
      </c>
      <c r="K70" s="379">
        <f>+K71</f>
        <v>0</v>
      </c>
      <c r="L70" s="1275">
        <v>0</v>
      </c>
      <c r="M70" s="3855"/>
      <c r="N70" s="3915"/>
      <c r="O70" s="708"/>
    </row>
    <row r="71" spans="1:16" s="3613" customFormat="1" ht="13.5" customHeight="1" thickBot="1">
      <c r="A71" s="4628"/>
      <c r="B71" s="1268" t="s">
        <v>12</v>
      </c>
      <c r="C71" s="3908"/>
      <c r="D71" s="710">
        <f>E71+L71+K71+F71+G71+H71+I71+J71</f>
        <v>1084</v>
      </c>
      <c r="E71" s="372">
        <f>1889-805</f>
        <v>1084</v>
      </c>
      <c r="F71" s="346">
        <v>0</v>
      </c>
      <c r="G71" s="346">
        <v>0</v>
      </c>
      <c r="H71" s="346">
        <v>0</v>
      </c>
      <c r="I71" s="346">
        <v>0</v>
      </c>
      <c r="J71" s="346">
        <v>0</v>
      </c>
      <c r="K71" s="372"/>
      <c r="L71" s="470">
        <v>0</v>
      </c>
      <c r="M71" s="3855"/>
      <c r="N71" s="3915"/>
    </row>
    <row r="72" spans="1:16" s="3613" customFormat="1" ht="13.5" customHeight="1" thickBot="1">
      <c r="A72" s="4628"/>
      <c r="B72" s="1271" t="s">
        <v>17</v>
      </c>
      <c r="C72" s="3908"/>
      <c r="D72" s="469">
        <f>+D73</f>
        <v>3251</v>
      </c>
      <c r="E72" s="469">
        <f>+E73</f>
        <v>3251</v>
      </c>
      <c r="F72" s="471">
        <v>0</v>
      </c>
      <c r="G72" s="471">
        <v>0</v>
      </c>
      <c r="H72" s="471">
        <v>0</v>
      </c>
      <c r="I72" s="471">
        <v>0</v>
      </c>
      <c r="J72" s="471">
        <v>0</v>
      </c>
      <c r="K72" s="469">
        <f>+K73</f>
        <v>0</v>
      </c>
      <c r="L72" s="475">
        <v>0</v>
      </c>
      <c r="M72" s="3855"/>
      <c r="N72" s="3915"/>
    </row>
    <row r="73" spans="1:16" s="3613" customFormat="1" ht="13.5" customHeight="1" thickBot="1">
      <c r="A73" s="4628"/>
      <c r="B73" s="441" t="s">
        <v>18</v>
      </c>
      <c r="C73" s="3909"/>
      <c r="D73" s="710">
        <f>E73+L73+K73+F73+G73+H73+I73+J73</f>
        <v>3251</v>
      </c>
      <c r="E73" s="1274">
        <f>5672-2421</f>
        <v>3251</v>
      </c>
      <c r="F73" s="346">
        <v>0</v>
      </c>
      <c r="G73" s="346">
        <v>0</v>
      </c>
      <c r="H73" s="346">
        <v>0</v>
      </c>
      <c r="I73" s="346">
        <v>0</v>
      </c>
      <c r="J73" s="346">
        <v>0</v>
      </c>
      <c r="K73" s="1274"/>
      <c r="L73" s="1276">
        <v>0</v>
      </c>
      <c r="M73" s="3856"/>
      <c r="N73" s="3948"/>
      <c r="O73" s="440"/>
    </row>
    <row r="74" spans="1:16" ht="38.25" customHeight="1">
      <c r="A74" s="4614" t="s">
        <v>57</v>
      </c>
      <c r="B74" s="319" t="s">
        <v>512</v>
      </c>
      <c r="C74" s="320" t="s">
        <v>70</v>
      </c>
      <c r="D74" s="1493"/>
      <c r="E74" s="1477"/>
      <c r="F74" s="1477"/>
      <c r="G74" s="1477"/>
      <c r="H74" s="1477"/>
      <c r="I74" s="1477"/>
      <c r="J74" s="21"/>
      <c r="K74" s="1477"/>
      <c r="L74" s="1477"/>
      <c r="M74" s="22"/>
      <c r="N74" s="3789"/>
    </row>
    <row r="75" spans="1:16" ht="15.75" customHeight="1">
      <c r="A75" s="4620"/>
      <c r="B75" s="1266" t="s">
        <v>9</v>
      </c>
      <c r="C75" s="1419"/>
      <c r="D75" s="834">
        <f>+D76+D80</f>
        <v>18630390</v>
      </c>
      <c r="E75" s="2147">
        <f>+E76+E80</f>
        <v>0</v>
      </c>
      <c r="F75" s="834">
        <f t="shared" ref="F75:J75" si="54">+F76+F80</f>
        <v>71095</v>
      </c>
      <c r="G75" s="834">
        <f t="shared" si="54"/>
        <v>7171974</v>
      </c>
      <c r="H75" s="834">
        <f t="shared" si="54"/>
        <v>10787321</v>
      </c>
      <c r="I75" s="834">
        <f t="shared" si="54"/>
        <v>600000</v>
      </c>
      <c r="J75" s="2147">
        <f t="shared" si="54"/>
        <v>0</v>
      </c>
      <c r="K75" s="2147">
        <f>+K76+K80</f>
        <v>0</v>
      </c>
      <c r="L75" s="2147">
        <f>+L76+L80</f>
        <v>0</v>
      </c>
      <c r="M75" s="799">
        <f>+M76+M80</f>
        <v>18630390</v>
      </c>
      <c r="N75" s="4618" t="s">
        <v>422</v>
      </c>
      <c r="P75" s="315"/>
    </row>
    <row r="76" spans="1:16" ht="12.75" customHeight="1">
      <c r="A76" s="4620"/>
      <c r="B76" s="814" t="s">
        <v>22</v>
      </c>
      <c r="C76" s="3859" t="s">
        <v>297</v>
      </c>
      <c r="D76" s="2108">
        <f>+D77+D79+D78</f>
        <v>2794559</v>
      </c>
      <c r="E76" s="2132">
        <f t="shared" ref="E76" si="55">+E77+E79+E78</f>
        <v>0</v>
      </c>
      <c r="F76" s="2108">
        <f>+F77+F79+F78</f>
        <v>10665</v>
      </c>
      <c r="G76" s="2108">
        <f t="shared" ref="G76:J76" si="56">+G77+G79+G78</f>
        <v>1075796</v>
      </c>
      <c r="H76" s="2108">
        <f t="shared" si="56"/>
        <v>1618098</v>
      </c>
      <c r="I76" s="2108">
        <f t="shared" si="56"/>
        <v>90000</v>
      </c>
      <c r="J76" s="2132">
        <f t="shared" si="56"/>
        <v>0</v>
      </c>
      <c r="K76" s="2132">
        <f>+K77+K79+K78</f>
        <v>0</v>
      </c>
      <c r="L76" s="2776">
        <f>+L77+L79</f>
        <v>0</v>
      </c>
      <c r="M76" s="802">
        <f>+M77+M79+M78</f>
        <v>2794559</v>
      </c>
      <c r="N76" s="4618"/>
    </row>
    <row r="77" spans="1:16" ht="15" customHeight="1">
      <c r="A77" s="4620"/>
      <c r="B77" s="818" t="s">
        <v>11</v>
      </c>
      <c r="C77" s="4611"/>
      <c r="D77" s="789">
        <f>E77+L77+K77+F77+G77+H77+I77+J77</f>
        <v>931520</v>
      </c>
      <c r="E77" s="1570">
        <v>0</v>
      </c>
      <c r="F77" s="810">
        <f>782865-725344-53966</f>
        <v>3555</v>
      </c>
      <c r="G77" s="810">
        <f>1515681-1341881+184799</f>
        <v>358599</v>
      </c>
      <c r="H77" s="810">
        <f>329769-313977+523574</f>
        <v>539366</v>
      </c>
      <c r="I77" s="810">
        <f>5228+24772</f>
        <v>30000</v>
      </c>
      <c r="J77" s="1570">
        <v>0</v>
      </c>
      <c r="K77" s="1570">
        <v>0</v>
      </c>
      <c r="L77" s="1570">
        <v>0</v>
      </c>
      <c r="M77" s="813">
        <f>SUM(F77:J77)</f>
        <v>931520</v>
      </c>
      <c r="N77" s="4618"/>
      <c r="O77" s="1571">
        <f>D77+D91</f>
        <v>2793840</v>
      </c>
      <c r="P77" s="316" t="s">
        <v>274</v>
      </c>
    </row>
    <row r="78" spans="1:16" ht="15" hidden="1" customHeight="1">
      <c r="A78" s="4620"/>
      <c r="B78" s="1528" t="s">
        <v>14</v>
      </c>
      <c r="C78" s="4611"/>
      <c r="D78" s="3790">
        <f>E78+L78+K78+F78+G78+H78+I78+J78</f>
        <v>0</v>
      </c>
      <c r="E78" s="1570">
        <v>0</v>
      </c>
      <c r="F78" s="3791">
        <f>52953-52953</f>
        <v>0</v>
      </c>
      <c r="G78" s="3791">
        <f>184799-184799</f>
        <v>0</v>
      </c>
      <c r="H78" s="3791">
        <f>416655-416655</f>
        <v>0</v>
      </c>
      <c r="I78" s="3791">
        <f>24772-24772</f>
        <v>0</v>
      </c>
      <c r="J78" s="1570">
        <v>0</v>
      </c>
      <c r="K78" s="1570">
        <v>0</v>
      </c>
      <c r="L78" s="1570"/>
      <c r="M78" s="3016">
        <f>SUM(F78:J78)</f>
        <v>0</v>
      </c>
      <c r="N78" s="4618"/>
      <c r="O78" s="1571"/>
    </row>
    <row r="79" spans="1:16" ht="15" customHeight="1">
      <c r="A79" s="4620"/>
      <c r="B79" s="302" t="s">
        <v>16</v>
      </c>
      <c r="C79" s="4611"/>
      <c r="D79" s="789">
        <f>E79+L79+K79+F79+G79+H79+I79+J79</f>
        <v>1863039</v>
      </c>
      <c r="E79" s="821">
        <v>0</v>
      </c>
      <c r="F79" s="810">
        <f>1565730-1344783-213837</f>
        <v>7110</v>
      </c>
      <c r="G79" s="810">
        <f>3031362-2314165</f>
        <v>717197</v>
      </c>
      <c r="H79" s="810">
        <f>659538+205357+213837</f>
        <v>1078732</v>
      </c>
      <c r="I79" s="810">
        <v>60000</v>
      </c>
      <c r="J79" s="1570">
        <v>0</v>
      </c>
      <c r="K79" s="1570">
        <v>0</v>
      </c>
      <c r="L79" s="1570">
        <v>0</v>
      </c>
      <c r="M79" s="813">
        <f>SUM(F79:J79)</f>
        <v>1863039</v>
      </c>
      <c r="N79" s="4618"/>
      <c r="O79" s="1571">
        <f>D79+D99</f>
        <v>5587680</v>
      </c>
      <c r="P79" s="316" t="s">
        <v>421</v>
      </c>
    </row>
    <row r="80" spans="1:16" ht="15" customHeight="1">
      <c r="A80" s="4620"/>
      <c r="B80" s="1253" t="s">
        <v>17</v>
      </c>
      <c r="C80" s="4611"/>
      <c r="D80" s="824">
        <f>+D81</f>
        <v>15835831</v>
      </c>
      <c r="E80" s="2132">
        <f t="shared" ref="E80:J80" si="57">+E81</f>
        <v>0</v>
      </c>
      <c r="F80" s="824">
        <f t="shared" si="57"/>
        <v>60430</v>
      </c>
      <c r="G80" s="824">
        <f t="shared" si="57"/>
        <v>6096178</v>
      </c>
      <c r="H80" s="824">
        <f t="shared" si="57"/>
        <v>9169223</v>
      </c>
      <c r="I80" s="824">
        <f t="shared" si="57"/>
        <v>510000</v>
      </c>
      <c r="J80" s="2132">
        <f t="shared" si="57"/>
        <v>0</v>
      </c>
      <c r="K80" s="2132">
        <f>+K81</f>
        <v>0</v>
      </c>
      <c r="L80" s="2132">
        <f>+L81</f>
        <v>0</v>
      </c>
      <c r="M80" s="802">
        <f t="shared" ref="M80" si="58">+M81</f>
        <v>15835831</v>
      </c>
      <c r="N80" s="4618"/>
    </row>
    <row r="81" spans="1:16" ht="15" customHeight="1">
      <c r="A81" s="4620"/>
      <c r="B81" s="302" t="s">
        <v>19</v>
      </c>
      <c r="C81" s="4611"/>
      <c r="D81" s="789">
        <f>E81+L81+K81+F81+G81+H81+I81+J81</f>
        <v>15835831</v>
      </c>
      <c r="E81" s="1570">
        <v>0</v>
      </c>
      <c r="F81" s="810">
        <f>13308703-11430653-1817620</f>
        <v>60430</v>
      </c>
      <c r="G81" s="810">
        <f>25766576-19670398</f>
        <v>6096178</v>
      </c>
      <c r="H81" s="810">
        <f>5606076+1745527+1817620</f>
        <v>9169223</v>
      </c>
      <c r="I81" s="810">
        <v>510000</v>
      </c>
      <c r="J81" s="1570">
        <v>0</v>
      </c>
      <c r="K81" s="1570">
        <v>0</v>
      </c>
      <c r="L81" s="1570">
        <v>0</v>
      </c>
      <c r="M81" s="813">
        <f>SUM(F81:J81)</f>
        <v>15835831</v>
      </c>
      <c r="N81" s="4625"/>
    </row>
    <row r="82" spans="1:16" ht="15.75" customHeight="1">
      <c r="A82" s="4620"/>
      <c r="B82" s="89" t="s">
        <v>20</v>
      </c>
      <c r="C82" s="1419"/>
      <c r="D82" s="798">
        <f>+D83+D86</f>
        <v>17698870</v>
      </c>
      <c r="E82" s="1011">
        <f t="shared" ref="E82:J82" si="59">+E83+E86</f>
        <v>0</v>
      </c>
      <c r="F82" s="798">
        <f t="shared" si="59"/>
        <v>67540</v>
      </c>
      <c r="G82" s="798">
        <f t="shared" si="59"/>
        <v>6813375</v>
      </c>
      <c r="H82" s="798">
        <f t="shared" si="59"/>
        <v>10247955</v>
      </c>
      <c r="I82" s="834">
        <f t="shared" si="59"/>
        <v>570000</v>
      </c>
      <c r="J82" s="1011">
        <f t="shared" si="59"/>
        <v>0</v>
      </c>
      <c r="K82" s="1011">
        <f>+K83+K86</f>
        <v>0</v>
      </c>
      <c r="L82" s="1011">
        <f>+L83+L86</f>
        <v>0</v>
      </c>
      <c r="M82" s="3883" t="s">
        <v>51</v>
      </c>
      <c r="N82" s="4617" t="s">
        <v>423</v>
      </c>
      <c r="O82" s="315">
        <f>D82-'[2]Tab.6I - Planow. przestrz.'!$D$80</f>
        <v>-32239115</v>
      </c>
    </row>
    <row r="83" spans="1:16" ht="14.25" customHeight="1">
      <c r="A83" s="4620"/>
      <c r="B83" s="814" t="s">
        <v>22</v>
      </c>
      <c r="C83" s="3946" t="s">
        <v>424</v>
      </c>
      <c r="D83" s="824">
        <f>+D85+D84</f>
        <v>1863039</v>
      </c>
      <c r="E83" s="2132">
        <f>+E85+E84</f>
        <v>0</v>
      </c>
      <c r="F83" s="2108">
        <f t="shared" ref="F83:J83" si="60">+F85+F84</f>
        <v>7110</v>
      </c>
      <c r="G83" s="2108">
        <f t="shared" si="60"/>
        <v>717197</v>
      </c>
      <c r="H83" s="2108">
        <f t="shared" si="60"/>
        <v>1078732</v>
      </c>
      <c r="I83" s="2108">
        <f t="shared" si="60"/>
        <v>60000</v>
      </c>
      <c r="J83" s="2132">
        <f t="shared" si="60"/>
        <v>0</v>
      </c>
      <c r="K83" s="2132">
        <f>+K85+K84</f>
        <v>0</v>
      </c>
      <c r="L83" s="2132">
        <f>+L85</f>
        <v>0</v>
      </c>
      <c r="M83" s="3881"/>
      <c r="N83" s="4618"/>
    </row>
    <row r="84" spans="1:16" ht="14.25" hidden="1" customHeight="1">
      <c r="A84" s="4620"/>
      <c r="B84" s="1528" t="s">
        <v>14</v>
      </c>
      <c r="C84" s="3932"/>
      <c r="D84" s="3792">
        <f>E84+L84+K84+F84+G84+H84+I84+J84</f>
        <v>0</v>
      </c>
      <c r="E84" s="3793">
        <v>0</v>
      </c>
      <c r="F84" s="3791">
        <v>0</v>
      </c>
      <c r="G84" s="3791">
        <f>52953-52953</f>
        <v>0</v>
      </c>
      <c r="H84" s="3791">
        <f>184799-184799</f>
        <v>0</v>
      </c>
      <c r="I84" s="3791">
        <f>441427-441427</f>
        <v>0</v>
      </c>
      <c r="J84" s="1009">
        <v>0</v>
      </c>
      <c r="K84" s="3791">
        <v>0</v>
      </c>
      <c r="L84" s="2132"/>
      <c r="M84" s="3881"/>
      <c r="N84" s="4618"/>
    </row>
    <row r="85" spans="1:16" ht="14.25" customHeight="1">
      <c r="A85" s="4620"/>
      <c r="B85" s="302" t="s">
        <v>16</v>
      </c>
      <c r="C85" s="3932"/>
      <c r="D85" s="1657">
        <f>E85+L85+K85+F85+G85+H85+I85+J85</f>
        <v>1863039</v>
      </c>
      <c r="E85" s="3793">
        <v>0</v>
      </c>
      <c r="F85" s="810">
        <f>1565730-1344783-213837</f>
        <v>7110</v>
      </c>
      <c r="G85" s="810">
        <f>3031362-2314165</f>
        <v>717197</v>
      </c>
      <c r="H85" s="810">
        <f>659538+205357+213837</f>
        <v>1078732</v>
      </c>
      <c r="I85" s="810">
        <v>60000</v>
      </c>
      <c r="J85" s="3791">
        <v>0</v>
      </c>
      <c r="K85" s="3791">
        <v>0</v>
      </c>
      <c r="L85" s="3791">
        <v>0</v>
      </c>
      <c r="M85" s="3881"/>
      <c r="N85" s="4618"/>
    </row>
    <row r="86" spans="1:16" ht="14.25" customHeight="1">
      <c r="A86" s="4620"/>
      <c r="B86" s="1253" t="s">
        <v>17</v>
      </c>
      <c r="C86" s="3932"/>
      <c r="D86" s="807">
        <f>+D87</f>
        <v>15835831</v>
      </c>
      <c r="E86" s="833">
        <f t="shared" ref="E86:J86" si="61">+E87</f>
        <v>0</v>
      </c>
      <c r="F86" s="807">
        <f t="shared" si="61"/>
        <v>60430</v>
      </c>
      <c r="G86" s="807">
        <f t="shared" si="61"/>
        <v>6096178</v>
      </c>
      <c r="H86" s="807">
        <f t="shared" si="61"/>
        <v>9169223</v>
      </c>
      <c r="I86" s="807">
        <f t="shared" si="61"/>
        <v>510000</v>
      </c>
      <c r="J86" s="833">
        <f t="shared" si="61"/>
        <v>0</v>
      </c>
      <c r="K86" s="833">
        <f>+K87</f>
        <v>0</v>
      </c>
      <c r="L86" s="833">
        <f>+L87</f>
        <v>0</v>
      </c>
      <c r="M86" s="3881"/>
      <c r="N86" s="4618"/>
    </row>
    <row r="87" spans="1:16" ht="14.25" customHeight="1" thickBot="1">
      <c r="A87" s="4621"/>
      <c r="B87" s="3794" t="s">
        <v>19</v>
      </c>
      <c r="C87" s="4488"/>
      <c r="D87" s="1003">
        <f>E87+L87+K87+F87+G87+H87+I87+J87</f>
        <v>15835831</v>
      </c>
      <c r="E87" s="1015">
        <v>0</v>
      </c>
      <c r="F87" s="1014">
        <f>13308703-11430653-1817620</f>
        <v>60430</v>
      </c>
      <c r="G87" s="1014">
        <f>25766576-19670398</f>
        <v>6096178</v>
      </c>
      <c r="H87" s="1014">
        <f>5606076+1745527+1817620</f>
        <v>9169223</v>
      </c>
      <c r="I87" s="1014">
        <v>510000</v>
      </c>
      <c r="J87" s="1017">
        <v>0</v>
      </c>
      <c r="K87" s="1017">
        <v>0</v>
      </c>
      <c r="L87" s="1017">
        <v>0</v>
      </c>
      <c r="M87" s="3882"/>
      <c r="N87" s="4619"/>
    </row>
    <row r="88" spans="1:16" ht="39" customHeight="1">
      <c r="A88" s="4620" t="s">
        <v>103</v>
      </c>
      <c r="B88" s="3795" t="s">
        <v>513</v>
      </c>
      <c r="C88" s="3796" t="s">
        <v>97</v>
      </c>
      <c r="D88" s="1495"/>
      <c r="E88" s="1495"/>
      <c r="F88" s="1495"/>
      <c r="G88" s="1495"/>
      <c r="H88" s="1495"/>
      <c r="I88" s="1495"/>
      <c r="J88" s="1496"/>
      <c r="K88" s="1495"/>
      <c r="L88" s="3797"/>
      <c r="M88" s="3798"/>
      <c r="N88" s="4622" t="s">
        <v>514</v>
      </c>
    </row>
    <row r="89" spans="1:16" ht="15.75" customHeight="1">
      <c r="A89" s="4620"/>
      <c r="B89" s="248" t="s">
        <v>9</v>
      </c>
      <c r="C89" s="260"/>
      <c r="D89" s="369">
        <f>+D90+D103</f>
        <v>37246402</v>
      </c>
      <c r="E89" s="1011">
        <f t="shared" ref="E89" si="62">E90+E103</f>
        <v>0</v>
      </c>
      <c r="F89" s="369">
        <f>F90+F103</f>
        <v>2355</v>
      </c>
      <c r="G89" s="369">
        <f t="shared" ref="G89:J89" si="63">G90+G103</f>
        <v>11226233</v>
      </c>
      <c r="H89" s="369">
        <f t="shared" si="63"/>
        <v>25481459</v>
      </c>
      <c r="I89" s="369">
        <f t="shared" si="63"/>
        <v>536355</v>
      </c>
      <c r="J89" s="1011">
        <f t="shared" si="63"/>
        <v>0</v>
      </c>
      <c r="K89" s="1011">
        <f>K90+K103</f>
        <v>0</v>
      </c>
      <c r="L89" s="369">
        <f>+L90+L103</f>
        <v>0</v>
      </c>
      <c r="M89" s="253">
        <f>+M90+M103</f>
        <v>37246402</v>
      </c>
      <c r="N89" s="4623"/>
      <c r="P89" s="315"/>
    </row>
    <row r="90" spans="1:16" ht="12.75" customHeight="1">
      <c r="A90" s="4620"/>
      <c r="B90" s="435" t="s">
        <v>22</v>
      </c>
      <c r="C90" s="3930" t="s">
        <v>518</v>
      </c>
      <c r="D90" s="1273">
        <f>+D91+D99+D95</f>
        <v>5586961</v>
      </c>
      <c r="E90" s="2132">
        <f t="shared" ref="E90" si="64">+E91+E99+E95</f>
        <v>0</v>
      </c>
      <c r="F90" s="1273">
        <f>+F91+F99+F95</f>
        <v>356</v>
      </c>
      <c r="G90" s="1273">
        <f t="shared" ref="G90:J90" si="65">+G91+G99+G95</f>
        <v>1683935</v>
      </c>
      <c r="H90" s="1273">
        <f t="shared" si="65"/>
        <v>3822217</v>
      </c>
      <c r="I90" s="1273">
        <f t="shared" si="65"/>
        <v>80453</v>
      </c>
      <c r="J90" s="2132">
        <f t="shared" si="65"/>
        <v>0</v>
      </c>
      <c r="K90" s="2132">
        <f>+K91+K99+K95</f>
        <v>0</v>
      </c>
      <c r="L90" s="1273">
        <f t="shared" ref="L90" si="66">+L91+L99</f>
        <v>0</v>
      </c>
      <c r="M90" s="299">
        <f>+M91+M95+M99</f>
        <v>5586961</v>
      </c>
      <c r="N90" s="4623"/>
    </row>
    <row r="91" spans="1:16" ht="12.75" customHeight="1">
      <c r="A91" s="4620"/>
      <c r="B91" s="436" t="s">
        <v>11</v>
      </c>
      <c r="C91" s="4611"/>
      <c r="D91" s="3799">
        <f>E91+L91+K91+F91+G91+H91+I91+J91</f>
        <v>1862320</v>
      </c>
      <c r="E91" s="3793">
        <f>E93+E94</f>
        <v>0</v>
      </c>
      <c r="F91" s="3800">
        <f>F93+F94</f>
        <v>119</v>
      </c>
      <c r="G91" s="3800">
        <f t="shared" ref="G91:J91" si="67">G93+G94</f>
        <v>561312</v>
      </c>
      <c r="H91" s="3800">
        <f t="shared" si="67"/>
        <v>1274072</v>
      </c>
      <c r="I91" s="3800">
        <f t="shared" si="67"/>
        <v>26817</v>
      </c>
      <c r="J91" s="3793">
        <f t="shared" si="67"/>
        <v>0</v>
      </c>
      <c r="K91" s="3793">
        <f>K93+K94</f>
        <v>0</v>
      </c>
      <c r="L91" s="810">
        <v>0</v>
      </c>
      <c r="M91" s="300">
        <f>SUM(F91:J91)</f>
        <v>1862320</v>
      </c>
      <c r="N91" s="4623"/>
    </row>
    <row r="92" spans="1:16" ht="10.5" hidden="1" customHeight="1">
      <c r="A92" s="4620"/>
      <c r="B92" s="1528" t="s">
        <v>135</v>
      </c>
      <c r="C92" s="4611"/>
      <c r="D92" s="3799"/>
      <c r="E92" s="822"/>
      <c r="F92" s="810"/>
      <c r="G92" s="810"/>
      <c r="H92" s="810"/>
      <c r="I92" s="810"/>
      <c r="J92" s="810"/>
      <c r="K92" s="810"/>
      <c r="L92" s="810"/>
      <c r="M92" s="300"/>
      <c r="N92" s="4623"/>
    </row>
    <row r="93" spans="1:16" ht="12.75" hidden="1" customHeight="1">
      <c r="A93" s="4620"/>
      <c r="B93" s="3801" t="s">
        <v>237</v>
      </c>
      <c r="C93" s="4611"/>
      <c r="D93" s="3802">
        <f>E93+L93+K93+F93+G93+H93+I93+J93</f>
        <v>69646</v>
      </c>
      <c r="E93" s="3803">
        <v>0</v>
      </c>
      <c r="F93" s="3804">
        <f>165-52</f>
        <v>113</v>
      </c>
      <c r="G93" s="3804">
        <f>771+16244</f>
        <v>17015</v>
      </c>
      <c r="H93" s="3804">
        <f>2271+48648</f>
        <v>50919</v>
      </c>
      <c r="I93" s="3804">
        <f>72+1527</f>
        <v>1599</v>
      </c>
      <c r="J93" s="3803">
        <v>0</v>
      </c>
      <c r="K93" s="3803">
        <v>0</v>
      </c>
      <c r="L93" s="810"/>
      <c r="M93" s="300">
        <f>SUM(F93:J93)</f>
        <v>69646</v>
      </c>
      <c r="N93" s="4623"/>
    </row>
    <row r="94" spans="1:16" ht="12.75" hidden="1" customHeight="1">
      <c r="A94" s="4620"/>
      <c r="B94" s="3805" t="s">
        <v>422</v>
      </c>
      <c r="C94" s="4611"/>
      <c r="D94" s="3806">
        <f>E94+L94+K94+F94+G94+H94+I94+J94</f>
        <v>1792674</v>
      </c>
      <c r="E94" s="3807">
        <v>0</v>
      </c>
      <c r="F94" s="3808">
        <f>1+5</f>
        <v>6</v>
      </c>
      <c r="G94" s="3808">
        <f>542949+1348</f>
        <v>544297</v>
      </c>
      <c r="H94" s="3808">
        <f>1216263+6890</f>
        <v>1223153</v>
      </c>
      <c r="I94" s="3808">
        <f>25010+208</f>
        <v>25218</v>
      </c>
      <c r="J94" s="3807">
        <v>0</v>
      </c>
      <c r="K94" s="3807">
        <v>0</v>
      </c>
      <c r="L94" s="810"/>
      <c r="M94" s="300">
        <f>SUM(F94:J94)</f>
        <v>1792674</v>
      </c>
      <c r="N94" s="4623"/>
    </row>
    <row r="95" spans="1:16" ht="12.75" hidden="1" customHeight="1">
      <c r="A95" s="4620"/>
      <c r="B95" s="1528" t="s">
        <v>14</v>
      </c>
      <c r="C95" s="4611"/>
      <c r="D95" s="3799">
        <f>D97+D98</f>
        <v>0</v>
      </c>
      <c r="E95" s="3793">
        <f t="shared" ref="E95:L95" si="68">E97+E98</f>
        <v>0</v>
      </c>
      <c r="F95" s="3799">
        <f t="shared" si="68"/>
        <v>0</v>
      </c>
      <c r="G95" s="3799">
        <f t="shared" si="68"/>
        <v>0</v>
      </c>
      <c r="H95" s="3799">
        <f t="shared" si="68"/>
        <v>0</v>
      </c>
      <c r="I95" s="3799">
        <f t="shared" si="68"/>
        <v>0</v>
      </c>
      <c r="J95" s="3793">
        <f t="shared" si="68"/>
        <v>0</v>
      </c>
      <c r="K95" s="3793">
        <f>K97+K98</f>
        <v>0</v>
      </c>
      <c r="L95" s="3799">
        <f t="shared" si="68"/>
        <v>0</v>
      </c>
      <c r="M95" s="300">
        <f>SUM(F95:J95)</f>
        <v>0</v>
      </c>
      <c r="N95" s="4623"/>
    </row>
    <row r="96" spans="1:16" ht="9.75" hidden="1" customHeight="1">
      <c r="A96" s="4620"/>
      <c r="B96" s="1528" t="s">
        <v>135</v>
      </c>
      <c r="C96" s="4611"/>
      <c r="D96" s="3799"/>
      <c r="E96" s="3793"/>
      <c r="F96" s="810"/>
      <c r="G96" s="810"/>
      <c r="H96" s="810"/>
      <c r="I96" s="810"/>
      <c r="J96" s="810"/>
      <c r="K96" s="3793"/>
      <c r="L96" s="810"/>
      <c r="M96" s="300"/>
      <c r="N96" s="4623"/>
    </row>
    <row r="97" spans="1:14" ht="12.75" hidden="1" customHeight="1">
      <c r="A97" s="4620"/>
      <c r="B97" s="3801" t="s">
        <v>237</v>
      </c>
      <c r="C97" s="4611"/>
      <c r="D97" s="3802">
        <f>E97+L97+K97+F97+G97+H97+I97+J97</f>
        <v>0</v>
      </c>
      <c r="E97" s="3803">
        <v>0</v>
      </c>
      <c r="F97" s="3804">
        <f>3449-3449</f>
        <v>0</v>
      </c>
      <c r="G97" s="3804">
        <f>16244-16244</f>
        <v>0</v>
      </c>
      <c r="H97" s="3804">
        <f>47701-47701</f>
        <v>0</v>
      </c>
      <c r="I97" s="3804">
        <f>1527-1527</f>
        <v>0</v>
      </c>
      <c r="J97" s="3803">
        <v>0</v>
      </c>
      <c r="K97" s="3803">
        <v>0</v>
      </c>
      <c r="L97" s="810"/>
      <c r="M97" s="300">
        <f>SUM(F97:J97)</f>
        <v>0</v>
      </c>
      <c r="N97" s="4623"/>
    </row>
    <row r="98" spans="1:14" ht="12.75" hidden="1" customHeight="1">
      <c r="A98" s="4620"/>
      <c r="B98" s="3805" t="s">
        <v>422</v>
      </c>
      <c r="C98" s="4611"/>
      <c r="D98" s="3806">
        <f>E98+L98+K98+F98+G98+H98+I98+J98</f>
        <v>0</v>
      </c>
      <c r="E98" s="3807">
        <v>0</v>
      </c>
      <c r="F98" s="3808">
        <f>36-36</f>
        <v>0</v>
      </c>
      <c r="G98" s="3808">
        <f>1348-1348</f>
        <v>0</v>
      </c>
      <c r="H98" s="3808">
        <f>4305-4305</f>
        <v>0</v>
      </c>
      <c r="I98" s="3808">
        <f>208-208</f>
        <v>0</v>
      </c>
      <c r="J98" s="3807">
        <v>0</v>
      </c>
      <c r="K98" s="3807">
        <v>0</v>
      </c>
      <c r="L98" s="810"/>
      <c r="M98" s="300">
        <f>SUM(F98:J98)</f>
        <v>0</v>
      </c>
      <c r="N98" s="4623"/>
    </row>
    <row r="99" spans="1:14" ht="12.75" customHeight="1">
      <c r="A99" s="4620"/>
      <c r="B99" s="302" t="s">
        <v>16</v>
      </c>
      <c r="C99" s="4611"/>
      <c r="D99" s="3799">
        <f>E99+L99+K99+F99+G99+H99+I99+J99</f>
        <v>3724641</v>
      </c>
      <c r="E99" s="3793">
        <f>E101+E102</f>
        <v>0</v>
      </c>
      <c r="F99" s="3799">
        <f t="shared" ref="F99:J99" si="69">F101+F102</f>
        <v>237</v>
      </c>
      <c r="G99" s="3799">
        <f t="shared" si="69"/>
        <v>1122623</v>
      </c>
      <c r="H99" s="3799">
        <f t="shared" si="69"/>
        <v>2548145</v>
      </c>
      <c r="I99" s="3799">
        <f t="shared" si="69"/>
        <v>53636</v>
      </c>
      <c r="J99" s="3793">
        <f t="shared" si="69"/>
        <v>0</v>
      </c>
      <c r="K99" s="3793">
        <f>K101+K102</f>
        <v>0</v>
      </c>
      <c r="L99" s="810">
        <v>0</v>
      </c>
      <c r="M99" s="300">
        <f>SUM(F99:J99)</f>
        <v>3724641</v>
      </c>
      <c r="N99" s="4623"/>
    </row>
    <row r="100" spans="1:14" ht="8.25" hidden="1" customHeight="1">
      <c r="A100" s="4620"/>
      <c r="B100" s="1528" t="s">
        <v>135</v>
      </c>
      <c r="C100" s="4611"/>
      <c r="D100" s="2109"/>
      <c r="E100" s="3793"/>
      <c r="F100" s="822"/>
      <c r="G100" s="822"/>
      <c r="H100" s="822"/>
      <c r="I100" s="822"/>
      <c r="J100" s="822"/>
      <c r="K100" s="3793"/>
      <c r="L100" s="822"/>
      <c r="M100" s="300"/>
      <c r="N100" s="4623"/>
    </row>
    <row r="101" spans="1:14" ht="12.75" hidden="1" customHeight="1">
      <c r="A101" s="4620"/>
      <c r="B101" s="3801" t="s">
        <v>237</v>
      </c>
      <c r="C101" s="4611"/>
      <c r="D101" s="3809">
        <f>E101+L101+K101+F101+G101+H101+I101+J101</f>
        <v>139290</v>
      </c>
      <c r="E101" s="3803">
        <v>0</v>
      </c>
      <c r="F101" s="3810">
        <f>7228-7003</f>
        <v>225</v>
      </c>
      <c r="G101" s="3810">
        <v>34030</v>
      </c>
      <c r="H101" s="3810">
        <f>99943+1893</f>
        <v>101836</v>
      </c>
      <c r="I101" s="3810">
        <v>3199</v>
      </c>
      <c r="J101" s="3803">
        <v>0</v>
      </c>
      <c r="K101" s="3803">
        <v>0</v>
      </c>
      <c r="L101" s="822"/>
      <c r="M101" s="300">
        <f>SUM(F101:J101)</f>
        <v>139290</v>
      </c>
      <c r="N101" s="4623"/>
    </row>
    <row r="102" spans="1:14" ht="12.75" hidden="1" customHeight="1">
      <c r="A102" s="4620"/>
      <c r="B102" s="3805" t="s">
        <v>422</v>
      </c>
      <c r="C102" s="4611"/>
      <c r="D102" s="3811">
        <f>E102+L102+K102+F102+G102+H102+I102+J102</f>
        <v>3585351</v>
      </c>
      <c r="E102" s="3807">
        <v>0</v>
      </c>
      <c r="F102" s="3812">
        <f>74-62</f>
        <v>12</v>
      </c>
      <c r="G102" s="3812">
        <v>1088593</v>
      </c>
      <c r="H102" s="3812">
        <f>2441137+5172</f>
        <v>2446309</v>
      </c>
      <c r="I102" s="3812">
        <v>50437</v>
      </c>
      <c r="J102" s="3807">
        <v>0</v>
      </c>
      <c r="K102" s="3807">
        <v>0</v>
      </c>
      <c r="L102" s="822"/>
      <c r="M102" s="300">
        <f>SUM(F102:J102)</f>
        <v>3585351</v>
      </c>
      <c r="N102" s="4623"/>
    </row>
    <row r="103" spans="1:14" ht="12" customHeight="1">
      <c r="A103" s="4620"/>
      <c r="B103" s="437" t="s">
        <v>17</v>
      </c>
      <c r="C103" s="4611"/>
      <c r="D103" s="370">
        <f>+D104</f>
        <v>31659441</v>
      </c>
      <c r="E103" s="2132">
        <f>E104</f>
        <v>0</v>
      </c>
      <c r="F103" s="1260">
        <f t="shared" ref="F103:J103" si="70">F104</f>
        <v>1999</v>
      </c>
      <c r="G103" s="1260">
        <f t="shared" si="70"/>
        <v>9542298</v>
      </c>
      <c r="H103" s="1260">
        <f t="shared" si="70"/>
        <v>21659242</v>
      </c>
      <c r="I103" s="1260">
        <f t="shared" si="70"/>
        <v>455902</v>
      </c>
      <c r="J103" s="2132">
        <f t="shared" si="70"/>
        <v>0</v>
      </c>
      <c r="K103" s="2132">
        <f>K104</f>
        <v>0</v>
      </c>
      <c r="L103" s="1260">
        <v>0</v>
      </c>
      <c r="M103" s="300">
        <f>SUM(F103:J103)</f>
        <v>31659441</v>
      </c>
      <c r="N103" s="4623"/>
    </row>
    <row r="104" spans="1:14" ht="12.75">
      <c r="A104" s="4620"/>
      <c r="B104" s="3813" t="s">
        <v>19</v>
      </c>
      <c r="C104" s="4611"/>
      <c r="D104" s="3799">
        <f>E104+L104+K104+F104+G104+H104+I104+J104</f>
        <v>31659441</v>
      </c>
      <c r="E104" s="3793">
        <f>E106+E107</f>
        <v>0</v>
      </c>
      <c r="F104" s="3799">
        <f t="shared" ref="F104:J104" si="71">F106+F107</f>
        <v>1999</v>
      </c>
      <c r="G104" s="3799">
        <f t="shared" si="71"/>
        <v>9542298</v>
      </c>
      <c r="H104" s="3799">
        <f t="shared" si="71"/>
        <v>21659242</v>
      </c>
      <c r="I104" s="3799">
        <f t="shared" si="71"/>
        <v>455902</v>
      </c>
      <c r="J104" s="3793">
        <f t="shared" si="71"/>
        <v>0</v>
      </c>
      <c r="K104" s="3793">
        <f>K106+K107</f>
        <v>0</v>
      </c>
      <c r="L104" s="810"/>
      <c r="M104" s="300">
        <f>SUM(F104:J104)</f>
        <v>31659441</v>
      </c>
      <c r="N104" s="4623"/>
    </row>
    <row r="105" spans="1:14" ht="8.25" hidden="1" customHeight="1">
      <c r="A105" s="4620"/>
      <c r="B105" s="1528" t="s">
        <v>135</v>
      </c>
      <c r="C105" s="3610"/>
      <c r="D105" s="2109"/>
      <c r="E105" s="812"/>
      <c r="F105" s="812"/>
      <c r="G105" s="812"/>
      <c r="H105" s="812"/>
      <c r="I105" s="812"/>
      <c r="J105" s="812"/>
      <c r="K105" s="812"/>
      <c r="L105" s="812"/>
      <c r="M105" s="300"/>
      <c r="N105" s="4623"/>
    </row>
    <row r="106" spans="1:14" ht="12" hidden="1">
      <c r="A106" s="4620"/>
      <c r="B106" s="3801" t="s">
        <v>237</v>
      </c>
      <c r="C106" s="3610"/>
      <c r="D106" s="3809">
        <f>E106+L106+K106+F106+G106+H106+I106+J106</f>
        <v>1183966</v>
      </c>
      <c r="E106" s="3803">
        <v>0</v>
      </c>
      <c r="F106" s="3810">
        <f>61431-59532</f>
        <v>1899</v>
      </c>
      <c r="G106" s="3810">
        <v>289251</v>
      </c>
      <c r="H106" s="3810">
        <f>849524+16108</f>
        <v>865632</v>
      </c>
      <c r="I106" s="3810">
        <v>27184</v>
      </c>
      <c r="J106" s="3803"/>
      <c r="K106" s="3803">
        <v>0</v>
      </c>
      <c r="L106" s="812"/>
      <c r="M106" s="300">
        <f>SUM(F106:J106)</f>
        <v>1183966</v>
      </c>
      <c r="N106" s="4623"/>
    </row>
    <row r="107" spans="1:14" ht="12" hidden="1">
      <c r="A107" s="4620"/>
      <c r="B107" s="3805" t="s">
        <v>422</v>
      </c>
      <c r="C107" s="3610"/>
      <c r="D107" s="3811">
        <f>E107+L107+K107+F107+G107+H107+I107+J107</f>
        <v>30475475</v>
      </c>
      <c r="E107" s="3807">
        <v>0</v>
      </c>
      <c r="F107" s="3812">
        <f>637-537</f>
        <v>100</v>
      </c>
      <c r="G107" s="3812">
        <v>9253047</v>
      </c>
      <c r="H107" s="3812">
        <f>20749649+43961</f>
        <v>20793610</v>
      </c>
      <c r="I107" s="3812">
        <v>428718</v>
      </c>
      <c r="J107" s="3807"/>
      <c r="K107" s="3807">
        <v>0</v>
      </c>
      <c r="L107" s="812"/>
      <c r="M107" s="300">
        <f>SUM(F107:J107)</f>
        <v>30475475</v>
      </c>
      <c r="N107" s="4624"/>
    </row>
    <row r="108" spans="1:14" ht="15.75" customHeight="1">
      <c r="A108" s="4620"/>
      <c r="B108" s="89" t="s">
        <v>20</v>
      </c>
      <c r="C108" s="260"/>
      <c r="D108" s="368">
        <f>+D109+D112</f>
        <v>35384082</v>
      </c>
      <c r="E108" s="1011">
        <f>+E109+E112</f>
        <v>0</v>
      </c>
      <c r="F108" s="369">
        <f t="shared" ref="F108:J108" si="72">+F109+F112</f>
        <v>2236</v>
      </c>
      <c r="G108" s="369">
        <f t="shared" si="72"/>
        <v>10664921</v>
      </c>
      <c r="H108" s="369">
        <f t="shared" si="72"/>
        <v>24207387</v>
      </c>
      <c r="I108" s="369">
        <f t="shared" si="72"/>
        <v>509538</v>
      </c>
      <c r="J108" s="1011">
        <f t="shared" si="72"/>
        <v>0</v>
      </c>
      <c r="K108" s="1011">
        <f>+K109+K112</f>
        <v>0</v>
      </c>
      <c r="L108" s="368">
        <f>+L109+L112</f>
        <v>0</v>
      </c>
      <c r="M108" s="4613" t="s">
        <v>51</v>
      </c>
      <c r="N108" s="4617" t="s">
        <v>423</v>
      </c>
    </row>
    <row r="109" spans="1:14" ht="15.75" customHeight="1">
      <c r="A109" s="4620"/>
      <c r="B109" s="435" t="s">
        <v>22</v>
      </c>
      <c r="C109" s="3946" t="s">
        <v>519</v>
      </c>
      <c r="D109" s="379">
        <f>+D111+D110</f>
        <v>3724641</v>
      </c>
      <c r="E109" s="2132">
        <f t="shared" ref="E109:J109" si="73">+E111+E110</f>
        <v>0</v>
      </c>
      <c r="F109" s="1273">
        <f t="shared" si="73"/>
        <v>237</v>
      </c>
      <c r="G109" s="1273">
        <f t="shared" si="73"/>
        <v>1122623</v>
      </c>
      <c r="H109" s="1273">
        <f t="shared" si="73"/>
        <v>2548145</v>
      </c>
      <c r="I109" s="1273">
        <f t="shared" si="73"/>
        <v>53636</v>
      </c>
      <c r="J109" s="2132">
        <f t="shared" si="73"/>
        <v>0</v>
      </c>
      <c r="K109" s="2132">
        <f>+K111+K110</f>
        <v>0</v>
      </c>
      <c r="L109" s="379">
        <f>+L111</f>
        <v>0</v>
      </c>
      <c r="M109" s="3881"/>
      <c r="N109" s="4618"/>
    </row>
    <row r="110" spans="1:14" ht="12" hidden="1" customHeight="1">
      <c r="A110" s="4620"/>
      <c r="B110" s="1528" t="s">
        <v>14</v>
      </c>
      <c r="C110" s="3932"/>
      <c r="D110" s="710">
        <f>E110+L110+K110+F110+G110+H110+I110+J110</f>
        <v>0</v>
      </c>
      <c r="E110" s="3793">
        <v>0</v>
      </c>
      <c r="F110" s="3793">
        <v>0</v>
      </c>
      <c r="G110" s="3799">
        <f>3485-3485</f>
        <v>0</v>
      </c>
      <c r="H110" s="3799">
        <f>17592-17592</f>
        <v>0</v>
      </c>
      <c r="I110" s="3799">
        <f>53741-53741</f>
        <v>0</v>
      </c>
      <c r="J110" s="3793">
        <v>0</v>
      </c>
      <c r="K110" s="3793">
        <v>0</v>
      </c>
      <c r="L110" s="811"/>
      <c r="M110" s="3881"/>
      <c r="N110" s="4618"/>
    </row>
    <row r="111" spans="1:14" ht="12" customHeight="1">
      <c r="A111" s="4620"/>
      <c r="B111" s="302" t="s">
        <v>16</v>
      </c>
      <c r="C111" s="3932"/>
      <c r="D111" s="710">
        <f>E111+L111+K111+F111+G111+H111+I111+J111</f>
        <v>3724641</v>
      </c>
      <c r="E111" s="3793">
        <v>0</v>
      </c>
      <c r="F111" s="810">
        <f>7302-7065</f>
        <v>237</v>
      </c>
      <c r="G111" s="810">
        <v>1122623</v>
      </c>
      <c r="H111" s="810">
        <f>2541080+7065</f>
        <v>2548145</v>
      </c>
      <c r="I111" s="810">
        <v>53636</v>
      </c>
      <c r="J111" s="3791">
        <v>0</v>
      </c>
      <c r="K111" s="3791">
        <v>0</v>
      </c>
      <c r="L111" s="2777">
        <v>0</v>
      </c>
      <c r="M111" s="3881"/>
      <c r="N111" s="4618"/>
    </row>
    <row r="112" spans="1:14" ht="12" customHeight="1">
      <c r="A112" s="4620"/>
      <c r="B112" s="437" t="s">
        <v>17</v>
      </c>
      <c r="C112" s="3932"/>
      <c r="D112" s="469">
        <f>+D113</f>
        <v>31659441</v>
      </c>
      <c r="E112" s="2132">
        <f>E113</f>
        <v>0</v>
      </c>
      <c r="F112" s="322">
        <f t="shared" ref="F112:J112" si="74">F113</f>
        <v>1999</v>
      </c>
      <c r="G112" s="322">
        <f t="shared" si="74"/>
        <v>9542298</v>
      </c>
      <c r="H112" s="322">
        <f t="shared" si="74"/>
        <v>21659242</v>
      </c>
      <c r="I112" s="322">
        <f t="shared" si="74"/>
        <v>455902</v>
      </c>
      <c r="J112" s="2132">
        <f t="shared" si="74"/>
        <v>0</v>
      </c>
      <c r="K112" s="2132">
        <f>K113</f>
        <v>0</v>
      </c>
      <c r="L112" s="2132"/>
      <c r="M112" s="3881"/>
      <c r="N112" s="4618"/>
    </row>
    <row r="113" spans="1:14" ht="13.5" customHeight="1" thickBot="1">
      <c r="A113" s="4621"/>
      <c r="B113" s="3814" t="s">
        <v>19</v>
      </c>
      <c r="C113" s="4488"/>
      <c r="D113" s="710">
        <f>E113+L113+K113+F113+G113+H113+I113+J113</f>
        <v>31659441</v>
      </c>
      <c r="E113" s="1015">
        <v>0</v>
      </c>
      <c r="F113" s="1014">
        <f>62068-60069</f>
        <v>1999</v>
      </c>
      <c r="G113" s="1014">
        <v>9542298</v>
      </c>
      <c r="H113" s="1014">
        <f>21599173+60069</f>
        <v>21659242</v>
      </c>
      <c r="I113" s="1014">
        <v>455902</v>
      </c>
      <c r="J113" s="1017">
        <v>0</v>
      </c>
      <c r="K113" s="1017">
        <v>0</v>
      </c>
      <c r="L113" s="3815"/>
      <c r="M113" s="3882"/>
      <c r="N113" s="4619"/>
    </row>
    <row r="114" spans="1:14" ht="28.5" customHeight="1" thickBot="1">
      <c r="A114" s="93" t="s">
        <v>212</v>
      </c>
      <c r="B114" s="400"/>
      <c r="C114" s="400"/>
      <c r="D114" s="400"/>
      <c r="E114" s="400"/>
      <c r="F114" s="400"/>
      <c r="G114" s="400"/>
      <c r="H114" s="400"/>
      <c r="I114" s="400"/>
      <c r="J114" s="400"/>
      <c r="K114" s="400"/>
      <c r="L114" s="400"/>
      <c r="M114" s="401"/>
      <c r="N114" s="1454"/>
    </row>
    <row r="115" spans="1:14" ht="15.75" customHeight="1">
      <c r="A115" s="335"/>
      <c r="B115" s="112" t="s">
        <v>65</v>
      </c>
      <c r="C115" s="113"/>
      <c r="D115" s="114">
        <f>+D116+D117</f>
        <v>312355</v>
      </c>
      <c r="E115" s="114">
        <f t="shared" ref="E115" si="75">+E116+E117</f>
        <v>242833</v>
      </c>
      <c r="F115" s="114">
        <f t="shared" ref="F115:M115" si="76">+F116+F117</f>
        <v>69522</v>
      </c>
      <c r="G115" s="2732">
        <f t="shared" si="76"/>
        <v>0</v>
      </c>
      <c r="H115" s="2732">
        <f t="shared" si="76"/>
        <v>0</v>
      </c>
      <c r="I115" s="2732">
        <f t="shared" si="76"/>
        <v>0</v>
      </c>
      <c r="J115" s="2732">
        <f t="shared" si="76"/>
        <v>0</v>
      </c>
      <c r="K115" s="114">
        <f>+K116+K117</f>
        <v>0</v>
      </c>
      <c r="L115" s="114">
        <f>+L116+L117</f>
        <v>0</v>
      </c>
      <c r="M115" s="1374">
        <f t="shared" si="76"/>
        <v>69522</v>
      </c>
      <c r="N115" s="4638" t="s">
        <v>51</v>
      </c>
    </row>
    <row r="116" spans="1:14" ht="16.5" customHeight="1">
      <c r="A116" s="335"/>
      <c r="B116" s="106" t="s">
        <v>66</v>
      </c>
      <c r="C116" s="107"/>
      <c r="D116" s="108">
        <f>+D126+D130</f>
        <v>312355</v>
      </c>
      <c r="E116" s="108">
        <f>+E126+E130</f>
        <v>242833</v>
      </c>
      <c r="F116" s="108">
        <f t="shared" ref="F116:J116" si="77">+F126+F130</f>
        <v>69522</v>
      </c>
      <c r="G116" s="2615">
        <f t="shared" si="77"/>
        <v>0</v>
      </c>
      <c r="H116" s="2615">
        <f t="shared" si="77"/>
        <v>0</v>
      </c>
      <c r="I116" s="2615">
        <f t="shared" si="77"/>
        <v>0</v>
      </c>
      <c r="J116" s="2615">
        <f t="shared" si="77"/>
        <v>0</v>
      </c>
      <c r="K116" s="108">
        <f>+K126+K130</f>
        <v>0</v>
      </c>
      <c r="L116" s="108">
        <f>+L126+L130</f>
        <v>0</v>
      </c>
      <c r="M116" s="1040">
        <f>SUM(F116:J116)</f>
        <v>69522</v>
      </c>
      <c r="N116" s="4639"/>
    </row>
    <row r="117" spans="1:14" ht="12.75" thickBot="1">
      <c r="A117" s="335"/>
      <c r="B117" s="442" t="s">
        <v>8</v>
      </c>
      <c r="C117" s="107"/>
      <c r="D117" s="108"/>
      <c r="E117" s="108"/>
      <c r="F117" s="197"/>
      <c r="G117" s="2616"/>
      <c r="H117" s="2616"/>
      <c r="I117" s="2616"/>
      <c r="J117" s="2616"/>
      <c r="K117" s="197"/>
      <c r="L117" s="108"/>
      <c r="M117" s="2736">
        <f>SUM(F117:G117)</f>
        <v>0</v>
      </c>
      <c r="N117" s="4639"/>
    </row>
    <row r="118" spans="1:14" ht="15.75" customHeight="1">
      <c r="A118" s="198"/>
      <c r="B118" s="83" t="s">
        <v>9</v>
      </c>
      <c r="C118" s="84"/>
      <c r="D118" s="58">
        <f>+D119</f>
        <v>312355</v>
      </c>
      <c r="E118" s="58">
        <v>24302</v>
      </c>
      <c r="F118" s="58">
        <f t="shared" ref="F118:J119" si="78">+F119</f>
        <v>69522</v>
      </c>
      <c r="G118" s="2733">
        <f t="shared" si="78"/>
        <v>0</v>
      </c>
      <c r="H118" s="2733">
        <f t="shared" si="78"/>
        <v>0</v>
      </c>
      <c r="I118" s="2733">
        <f t="shared" si="78"/>
        <v>0</v>
      </c>
      <c r="J118" s="2733">
        <f t="shared" si="78"/>
        <v>0</v>
      </c>
      <c r="K118" s="58">
        <f>+K119</f>
        <v>0</v>
      </c>
      <c r="L118" s="58">
        <f>+L119</f>
        <v>0</v>
      </c>
      <c r="M118" s="1390">
        <f>+M119</f>
        <v>69522</v>
      </c>
      <c r="N118" s="4639"/>
    </row>
    <row r="119" spans="1:14" ht="15" customHeight="1">
      <c r="A119" s="97"/>
      <c r="B119" s="59" t="s">
        <v>10</v>
      </c>
      <c r="C119" s="4643" t="s">
        <v>51</v>
      </c>
      <c r="D119" s="324">
        <f>+D120+D121</f>
        <v>312355</v>
      </c>
      <c r="E119" s="324">
        <v>24302</v>
      </c>
      <c r="F119" s="324">
        <f t="shared" si="78"/>
        <v>69522</v>
      </c>
      <c r="G119" s="2734">
        <f t="shared" si="78"/>
        <v>0</v>
      </c>
      <c r="H119" s="2734">
        <f t="shared" si="78"/>
        <v>0</v>
      </c>
      <c r="I119" s="2734">
        <f t="shared" si="78"/>
        <v>0</v>
      </c>
      <c r="J119" s="2734">
        <f t="shared" si="78"/>
        <v>0</v>
      </c>
      <c r="K119" s="324">
        <f>+K120</f>
        <v>0</v>
      </c>
      <c r="L119" s="324">
        <f>+L120</f>
        <v>0</v>
      </c>
      <c r="M119" s="1446">
        <f>+M120+M121</f>
        <v>69522</v>
      </c>
      <c r="N119" s="4639"/>
    </row>
    <row r="120" spans="1:14" ht="15" customHeight="1" thickBot="1">
      <c r="A120" s="404"/>
      <c r="B120" s="62" t="s">
        <v>11</v>
      </c>
      <c r="C120" s="4103"/>
      <c r="D120" s="325">
        <f>+D128+D132</f>
        <v>312355</v>
      </c>
      <c r="E120" s="325">
        <f t="shared" ref="E120:J120" si="79">+E128+E132</f>
        <v>242833</v>
      </c>
      <c r="F120" s="325">
        <f t="shared" si="79"/>
        <v>69522</v>
      </c>
      <c r="G120" s="2735">
        <f t="shared" si="79"/>
        <v>0</v>
      </c>
      <c r="H120" s="2735">
        <f t="shared" si="79"/>
        <v>0</v>
      </c>
      <c r="I120" s="2735">
        <f t="shared" si="79"/>
        <v>0</v>
      </c>
      <c r="J120" s="2735">
        <f t="shared" si="79"/>
        <v>0</v>
      </c>
      <c r="K120" s="325">
        <f>+K128+K132</f>
        <v>0</v>
      </c>
      <c r="L120" s="325">
        <f>+L128+L132</f>
        <v>0</v>
      </c>
      <c r="M120" s="1447">
        <f>SUM(F120:J120)</f>
        <v>69522</v>
      </c>
      <c r="N120" s="4639"/>
    </row>
    <row r="121" spans="1:14" ht="12.75" hidden="1" customHeight="1" thickBot="1">
      <c r="A121" s="404"/>
      <c r="B121" s="62" t="s">
        <v>13</v>
      </c>
      <c r="C121" s="4644"/>
      <c r="D121" s="325">
        <f>+D140</f>
        <v>0</v>
      </c>
      <c r="E121" s="672">
        <v>0</v>
      </c>
      <c r="F121" s="325">
        <f t="shared" ref="F121:G121" si="80">+F140</f>
        <v>0</v>
      </c>
      <c r="G121" s="325">
        <f t="shared" si="80"/>
        <v>0</v>
      </c>
      <c r="H121" s="325"/>
      <c r="I121" s="325"/>
      <c r="J121" s="325"/>
      <c r="K121" s="325" t="e">
        <f>+#REF!</f>
        <v>#REF!</v>
      </c>
      <c r="L121" s="325" t="e">
        <f>+#REF!</f>
        <v>#REF!</v>
      </c>
      <c r="M121" s="1448">
        <f>SUM(F121:J121)</f>
        <v>0</v>
      </c>
      <c r="N121" s="4640"/>
    </row>
    <row r="122" spans="1:14" ht="12" hidden="1" customHeight="1">
      <c r="A122" s="198"/>
      <c r="B122" s="37" t="s">
        <v>20</v>
      </c>
      <c r="C122" s="40"/>
      <c r="D122" s="96">
        <f>+D123</f>
        <v>0</v>
      </c>
      <c r="E122" s="673">
        <v>0</v>
      </c>
      <c r="F122" s="96">
        <f t="shared" ref="F122:G123" si="81">+F123</f>
        <v>0</v>
      </c>
      <c r="G122" s="96">
        <f t="shared" si="81"/>
        <v>0</v>
      </c>
      <c r="H122" s="96"/>
      <c r="I122" s="96"/>
      <c r="J122" s="96"/>
      <c r="K122" s="96" t="e">
        <f>+K123</f>
        <v>#REF!</v>
      </c>
      <c r="L122" s="96" t="e">
        <f>+L123</f>
        <v>#REF!</v>
      </c>
      <c r="M122" s="4220" t="s">
        <v>51</v>
      </c>
      <c r="N122" s="4641"/>
    </row>
    <row r="123" spans="1:14" ht="12" hidden="1" customHeight="1">
      <c r="A123" s="198"/>
      <c r="B123" s="59" t="s">
        <v>10</v>
      </c>
      <c r="C123" s="4643" t="s">
        <v>51</v>
      </c>
      <c r="D123" s="324">
        <f>+D124</f>
        <v>0</v>
      </c>
      <c r="E123" s="671">
        <v>0</v>
      </c>
      <c r="F123" s="324">
        <f t="shared" si="81"/>
        <v>0</v>
      </c>
      <c r="G123" s="324">
        <f t="shared" si="81"/>
        <v>0</v>
      </c>
      <c r="H123" s="324"/>
      <c r="I123" s="324"/>
      <c r="J123" s="324"/>
      <c r="K123" s="324" t="e">
        <f>+K124</f>
        <v>#REF!</v>
      </c>
      <c r="L123" s="324" t="e">
        <f>+L124</f>
        <v>#REF!</v>
      </c>
      <c r="M123" s="4221"/>
      <c r="N123" s="4641"/>
    </row>
    <row r="124" spans="1:14" ht="12.75" hidden="1" customHeight="1" thickBot="1">
      <c r="A124" s="404"/>
      <c r="B124" s="1472" t="s">
        <v>13</v>
      </c>
      <c r="C124" s="4103"/>
      <c r="D124" s="1473">
        <f>+D143</f>
        <v>0</v>
      </c>
      <c r="E124" s="1474">
        <v>0</v>
      </c>
      <c r="F124" s="1473">
        <f t="shared" ref="F124:G124" si="82">+F143</f>
        <v>0</v>
      </c>
      <c r="G124" s="1473">
        <f t="shared" si="82"/>
        <v>0</v>
      </c>
      <c r="H124" s="205"/>
      <c r="I124" s="205"/>
      <c r="J124" s="205"/>
      <c r="K124" s="1473" t="e">
        <f>+#REF!</f>
        <v>#REF!</v>
      </c>
      <c r="L124" s="1473" t="e">
        <f>+#REF!</f>
        <v>#REF!</v>
      </c>
      <c r="M124" s="4221"/>
      <c r="N124" s="4642"/>
    </row>
    <row r="125" spans="1:14" ht="18" customHeight="1" thickBot="1">
      <c r="A125" s="4280" t="s">
        <v>53</v>
      </c>
      <c r="B125" s="206" t="s">
        <v>350</v>
      </c>
      <c r="C125" s="320" t="s">
        <v>97</v>
      </c>
      <c r="D125" s="443"/>
      <c r="E125" s="674"/>
      <c r="F125" s="444"/>
      <c r="G125" s="444"/>
      <c r="H125" s="444"/>
      <c r="I125" s="444"/>
      <c r="J125" s="444"/>
      <c r="K125" s="444"/>
      <c r="L125" s="444"/>
      <c r="M125" s="181"/>
      <c r="N125" s="4636" t="s">
        <v>257</v>
      </c>
    </row>
    <row r="126" spans="1:14" ht="17.25" customHeight="1" thickBot="1">
      <c r="A126" s="4280"/>
      <c r="B126" s="37" t="s">
        <v>9</v>
      </c>
      <c r="C126" s="1415"/>
      <c r="D126" s="783">
        <f>+D127</f>
        <v>103580</v>
      </c>
      <c r="E126" s="783">
        <f t="shared" ref="E126:M127" si="83">+E127</f>
        <v>78013</v>
      </c>
      <c r="F126" s="783">
        <f t="shared" si="83"/>
        <v>25567</v>
      </c>
      <c r="G126" s="1416">
        <v>0</v>
      </c>
      <c r="H126" s="1416">
        <v>0</v>
      </c>
      <c r="I126" s="1416">
        <v>0</v>
      </c>
      <c r="J126" s="1416">
        <v>0</v>
      </c>
      <c r="K126" s="783">
        <f>+K127</f>
        <v>0</v>
      </c>
      <c r="L126" s="783">
        <f>+L127</f>
        <v>0</v>
      </c>
      <c r="M126" s="1439">
        <f t="shared" si="83"/>
        <v>25567</v>
      </c>
      <c r="N126" s="4636"/>
    </row>
    <row r="127" spans="1:14" ht="15.75" customHeight="1" thickBot="1">
      <c r="A127" s="4280"/>
      <c r="B127" s="1225" t="s">
        <v>22</v>
      </c>
      <c r="C127" s="4340" t="s">
        <v>213</v>
      </c>
      <c r="D127" s="1417">
        <f>+D128</f>
        <v>103580</v>
      </c>
      <c r="E127" s="1417">
        <f t="shared" si="83"/>
        <v>78013</v>
      </c>
      <c r="F127" s="1417">
        <f t="shared" si="83"/>
        <v>25567</v>
      </c>
      <c r="G127" s="1418">
        <v>0</v>
      </c>
      <c r="H127" s="1418">
        <v>0</v>
      </c>
      <c r="I127" s="1418">
        <v>0</v>
      </c>
      <c r="J127" s="1418">
        <v>0</v>
      </c>
      <c r="K127" s="1417">
        <f>+K128</f>
        <v>0</v>
      </c>
      <c r="L127" s="1417">
        <f>+L128</f>
        <v>0</v>
      </c>
      <c r="M127" s="1475">
        <f t="shared" si="83"/>
        <v>25567</v>
      </c>
      <c r="N127" s="4636"/>
    </row>
    <row r="128" spans="1:14" ht="15" customHeight="1" thickBot="1">
      <c r="A128" s="4280"/>
      <c r="B128" s="327" t="s">
        <v>11</v>
      </c>
      <c r="C128" s="4341"/>
      <c r="D128" s="1003">
        <f>E128+L128+K128+F128+G128+H128+I128+J128</f>
        <v>103580</v>
      </c>
      <c r="E128" s="1142">
        <f>24302+26855+26856</f>
        <v>78013</v>
      </c>
      <c r="F128" s="857">
        <v>25567</v>
      </c>
      <c r="G128" s="1017">
        <v>0</v>
      </c>
      <c r="H128" s="1017">
        <v>0</v>
      </c>
      <c r="I128" s="1017">
        <v>0</v>
      </c>
      <c r="J128" s="1017">
        <v>0</v>
      </c>
      <c r="K128" s="857"/>
      <c r="L128" s="857"/>
      <c r="M128" s="300">
        <f>SUM(F128:J128)</f>
        <v>25567</v>
      </c>
      <c r="N128" s="4637"/>
    </row>
    <row r="129" spans="1:16" ht="25.5" customHeight="1" thickBot="1">
      <c r="A129" s="4280" t="s">
        <v>54</v>
      </c>
      <c r="B129" s="206" t="s">
        <v>427</v>
      </c>
      <c r="C129" s="320" t="s">
        <v>97</v>
      </c>
      <c r="D129" s="1605"/>
      <c r="E129" s="1606"/>
      <c r="F129" s="1607"/>
      <c r="G129" s="1607"/>
      <c r="H129" s="1607"/>
      <c r="I129" s="1607"/>
      <c r="J129" s="1608"/>
      <c r="K129" s="1607"/>
      <c r="L129" s="1607"/>
      <c r="M129" s="1609"/>
      <c r="N129" s="4636" t="s">
        <v>252</v>
      </c>
      <c r="P129" s="315">
        <f>+M130+M126</f>
        <v>69522</v>
      </c>
    </row>
    <row r="130" spans="1:16" ht="17.25" customHeight="1">
      <c r="A130" s="4092"/>
      <c r="B130" s="37" t="s">
        <v>9</v>
      </c>
      <c r="C130" s="1415"/>
      <c r="D130" s="783">
        <f>+D131</f>
        <v>208775</v>
      </c>
      <c r="E130" s="783">
        <f t="shared" ref="E130:M131" si="84">+E131</f>
        <v>164820</v>
      </c>
      <c r="F130" s="783">
        <f t="shared" si="84"/>
        <v>43955</v>
      </c>
      <c r="G130" s="1416">
        <v>0</v>
      </c>
      <c r="H130" s="1416">
        <v>0</v>
      </c>
      <c r="I130" s="1416">
        <v>0</v>
      </c>
      <c r="J130" s="832">
        <v>0</v>
      </c>
      <c r="K130" s="783">
        <f>+K131</f>
        <v>0</v>
      </c>
      <c r="L130" s="783">
        <f>+L131</f>
        <v>0</v>
      </c>
      <c r="M130" s="1610">
        <f t="shared" si="84"/>
        <v>43955</v>
      </c>
      <c r="N130" s="4377"/>
    </row>
    <row r="131" spans="1:16" ht="15.75" customHeight="1" thickBot="1">
      <c r="A131" s="4094"/>
      <c r="B131" s="1225" t="s">
        <v>22</v>
      </c>
      <c r="C131" s="4340" t="s">
        <v>297</v>
      </c>
      <c r="D131" s="1417">
        <f>+D132</f>
        <v>208775</v>
      </c>
      <c r="E131" s="1417">
        <f t="shared" si="84"/>
        <v>164820</v>
      </c>
      <c r="F131" s="1417">
        <f t="shared" si="84"/>
        <v>43955</v>
      </c>
      <c r="G131" s="1418">
        <v>0</v>
      </c>
      <c r="H131" s="1418">
        <v>0</v>
      </c>
      <c r="I131" s="1418">
        <v>0</v>
      </c>
      <c r="J131" s="1611">
        <v>0</v>
      </c>
      <c r="K131" s="1417">
        <f>+K132</f>
        <v>0</v>
      </c>
      <c r="L131" s="1417">
        <f>+L132</f>
        <v>0</v>
      </c>
      <c r="M131" s="1612">
        <f t="shared" si="84"/>
        <v>43955</v>
      </c>
      <c r="N131" s="4645"/>
    </row>
    <row r="132" spans="1:16" ht="15" customHeight="1" thickBot="1">
      <c r="A132" s="4280"/>
      <c r="B132" s="327" t="s">
        <v>11</v>
      </c>
      <c r="C132" s="4341"/>
      <c r="D132" s="1003">
        <f>E132+L132+K132+F132+G132+H132+I132+J132</f>
        <v>208775</v>
      </c>
      <c r="E132" s="857">
        <f>34000-6694+137514</f>
        <v>164820</v>
      </c>
      <c r="F132" s="857">
        <v>43955</v>
      </c>
      <c r="G132" s="1017">
        <v>0</v>
      </c>
      <c r="H132" s="1017">
        <v>0</v>
      </c>
      <c r="I132" s="1017">
        <v>0</v>
      </c>
      <c r="J132" s="1017">
        <v>0</v>
      </c>
      <c r="K132" s="857"/>
      <c r="L132" s="857"/>
      <c r="M132" s="300">
        <f>SUM(F132:J132)</f>
        <v>43955</v>
      </c>
      <c r="N132" s="4637"/>
    </row>
    <row r="133" spans="1:16" ht="30" customHeight="1">
      <c r="A133" s="4631"/>
      <c r="B133" s="4631"/>
      <c r="C133" s="4631"/>
      <c r="D133" s="4631"/>
      <c r="E133" s="4631"/>
      <c r="F133" s="4631"/>
      <c r="G133" s="4631"/>
      <c r="H133" s="4631"/>
      <c r="I133" s="4631"/>
      <c r="J133" s="4631"/>
      <c r="K133" s="3612"/>
      <c r="L133" s="3612"/>
      <c r="M133" s="4631"/>
      <c r="N133" s="4632"/>
    </row>
    <row r="134" spans="1:16">
      <c r="N134" s="1392"/>
    </row>
    <row r="135" spans="1:16" ht="12.75" hidden="1">
      <c r="B135" s="1402" t="s">
        <v>301</v>
      </c>
      <c r="C135" s="1403"/>
      <c r="D135" s="1403"/>
      <c r="E135" s="1403"/>
      <c r="F135" s="1403"/>
      <c r="G135" s="1403"/>
      <c r="H135" s="1403"/>
      <c r="I135" s="1403"/>
      <c r="J135" s="1403"/>
      <c r="K135" s="1403"/>
      <c r="L135" s="1403"/>
    </row>
    <row r="136" spans="1:16" ht="12.75" hidden="1">
      <c r="B136" s="3613" t="s">
        <v>302</v>
      </c>
      <c r="C136" s="1403"/>
      <c r="D136" s="1404">
        <f>D33+D42+D58+D108</f>
        <v>37326191</v>
      </c>
      <c r="E136" s="1404">
        <f t="shared" ref="E136:J136" si="85">E33+E42+E58+E108</f>
        <v>1111615</v>
      </c>
      <c r="F136" s="1404">
        <f t="shared" si="85"/>
        <v>616774</v>
      </c>
      <c r="G136" s="1404">
        <f t="shared" si="85"/>
        <v>10806793</v>
      </c>
      <c r="H136" s="1404">
        <f t="shared" si="85"/>
        <v>24281471</v>
      </c>
      <c r="I136" s="1404">
        <f t="shared" si="85"/>
        <v>509538</v>
      </c>
      <c r="J136" s="1404">
        <f t="shared" si="85"/>
        <v>0</v>
      </c>
      <c r="K136" s="1404">
        <f>K33+K42+K58+K108</f>
        <v>0</v>
      </c>
      <c r="L136" s="1404">
        <f>L33+L42+L58</f>
        <v>0</v>
      </c>
    </row>
    <row r="137" spans="1:16" ht="12.75" hidden="1">
      <c r="B137" s="3613" t="s">
        <v>303</v>
      </c>
      <c r="C137" s="1403"/>
      <c r="D137" s="1404">
        <f>D69+D82</f>
        <v>17703205</v>
      </c>
      <c r="E137" s="1404">
        <f t="shared" ref="E137:J137" si="86">E69+E82</f>
        <v>4335</v>
      </c>
      <c r="F137" s="1404">
        <f t="shared" si="86"/>
        <v>67540</v>
      </c>
      <c r="G137" s="1404">
        <f t="shared" si="86"/>
        <v>6813375</v>
      </c>
      <c r="H137" s="1404">
        <f t="shared" si="86"/>
        <v>10247955</v>
      </c>
      <c r="I137" s="1404">
        <f t="shared" si="86"/>
        <v>570000</v>
      </c>
      <c r="J137" s="1404">
        <f t="shared" si="86"/>
        <v>0</v>
      </c>
      <c r="K137" s="1404">
        <f>K69+K82</f>
        <v>0</v>
      </c>
      <c r="L137" s="1404">
        <f>L69+L82</f>
        <v>0</v>
      </c>
    </row>
    <row r="138" spans="1:16" ht="13.5" hidden="1" thickBot="1">
      <c r="A138" s="1342"/>
      <c r="B138" s="1388" t="s">
        <v>304</v>
      </c>
      <c r="C138" s="1389"/>
      <c r="D138" s="1431">
        <f>D136+D137</f>
        <v>55029396</v>
      </c>
      <c r="E138" s="1431">
        <f>E136+E137</f>
        <v>1115950</v>
      </c>
      <c r="F138" s="1431">
        <f t="shared" ref="F138:J138" si="87">F136+F137</f>
        <v>684314</v>
      </c>
      <c r="G138" s="1431">
        <f t="shared" si="87"/>
        <v>17620168</v>
      </c>
      <c r="H138" s="1431">
        <f t="shared" si="87"/>
        <v>34529426</v>
      </c>
      <c r="I138" s="1431">
        <f t="shared" si="87"/>
        <v>1079538</v>
      </c>
      <c r="J138" s="1431">
        <f t="shared" si="87"/>
        <v>0</v>
      </c>
      <c r="K138" s="1431">
        <f>K136+K137</f>
        <v>0</v>
      </c>
      <c r="L138" s="1431">
        <f>L136+L137</f>
        <v>0</v>
      </c>
      <c r="N138" s="1383"/>
    </row>
    <row r="139" spans="1:16" ht="13.5" hidden="1" thickBot="1">
      <c r="A139" s="1343"/>
      <c r="B139" s="682" t="s">
        <v>39</v>
      </c>
      <c r="C139" s="684"/>
      <c r="D139" s="686">
        <f t="shared" ref="D139:L139" si="88">D138-D19</f>
        <v>0</v>
      </c>
      <c r="E139" s="686">
        <f t="shared" si="88"/>
        <v>0</v>
      </c>
      <c r="F139" s="686">
        <f t="shared" si="88"/>
        <v>0</v>
      </c>
      <c r="G139" s="686">
        <f t="shared" si="88"/>
        <v>0</v>
      </c>
      <c r="H139" s="686">
        <f t="shared" si="88"/>
        <v>0</v>
      </c>
      <c r="I139" s="686">
        <f t="shared" si="88"/>
        <v>0</v>
      </c>
      <c r="J139" s="686">
        <f t="shared" si="88"/>
        <v>0</v>
      </c>
      <c r="K139" s="686">
        <f>K138-K19</f>
        <v>0</v>
      </c>
      <c r="L139" s="686">
        <f t="shared" si="88"/>
        <v>0</v>
      </c>
      <c r="N139" s="1378"/>
    </row>
    <row r="140" spans="1:16" ht="12" hidden="1" thickBot="1">
      <c r="A140" s="1343"/>
      <c r="N140" s="1378"/>
    </row>
    <row r="141" spans="1:16" ht="12" hidden="1" thickBot="1">
      <c r="A141" s="1343"/>
      <c r="N141" s="1378"/>
    </row>
    <row r="142" spans="1:16" ht="12" hidden="1" thickBot="1">
      <c r="A142" s="1343"/>
      <c r="N142" s="1378"/>
    </row>
    <row r="143" spans="1:16" ht="12" hidden="1" thickBot="1">
      <c r="A143" s="1343"/>
      <c r="N143" s="1378"/>
    </row>
    <row r="144" spans="1:16" ht="12" hidden="1" thickBot="1">
      <c r="A144" s="1343"/>
      <c r="N144" s="1378"/>
    </row>
    <row r="145" spans="1:14" ht="12" hidden="1" thickBot="1">
      <c r="A145" s="1343"/>
      <c r="N145" s="1378"/>
    </row>
    <row r="146" spans="1:14" hidden="1">
      <c r="A146" s="1344"/>
      <c r="N146" s="1379"/>
    </row>
    <row r="147" spans="1:14" hidden="1"/>
    <row r="148" spans="1:14" hidden="1"/>
    <row r="149" spans="1:14" hidden="1"/>
    <row r="207" spans="1:1" ht="12" thickBot="1">
      <c r="A207" s="1342"/>
    </row>
    <row r="208" spans="1:1" ht="12" thickBot="1">
      <c r="A208" s="1343"/>
    </row>
    <row r="209" spans="1:2" ht="12" thickBot="1">
      <c r="A209" s="1343"/>
    </row>
    <row r="210" spans="1:2" ht="12" thickBot="1">
      <c r="A210" s="1343"/>
    </row>
    <row r="211" spans="1:2" ht="12" thickBot="1">
      <c r="A211" s="1343"/>
    </row>
    <row r="212" spans="1:2" ht="12" thickBot="1">
      <c r="A212" s="1343"/>
    </row>
    <row r="213" spans="1:2" ht="12" thickBot="1">
      <c r="A213" s="1343"/>
    </row>
    <row r="214" spans="1:2" ht="12" thickBot="1">
      <c r="A214" s="1343"/>
    </row>
    <row r="215" spans="1:2" ht="12" thickBot="1">
      <c r="A215" s="1343"/>
    </row>
    <row r="216" spans="1:2" ht="12" thickBot="1">
      <c r="A216" s="1343"/>
    </row>
    <row r="217" spans="1:2" ht="12" thickBot="1">
      <c r="A217" s="1343"/>
    </row>
    <row r="218" spans="1:2" ht="12" thickBot="1">
      <c r="A218" s="1343"/>
      <c r="B218" s="1330"/>
    </row>
    <row r="219" spans="1:2" ht="12" thickBot="1">
      <c r="A219" s="1343"/>
      <c r="B219" s="1332"/>
    </row>
    <row r="220" spans="1:2" ht="12" thickBot="1">
      <c r="A220" s="1343"/>
    </row>
    <row r="221" spans="1:2" ht="12" thickBot="1">
      <c r="A221" s="1343"/>
    </row>
    <row r="222" spans="1:2" ht="12" thickBot="1">
      <c r="A222" s="1343"/>
    </row>
    <row r="223" spans="1:2" ht="12" thickBot="1">
      <c r="A223" s="1343"/>
    </row>
    <row r="224" spans="1:2" ht="12" thickBot="1">
      <c r="A224" s="1343"/>
    </row>
    <row r="225" spans="1:14" ht="12" thickBot="1">
      <c r="A225" s="1343"/>
    </row>
    <row r="226" spans="1:14" ht="12" thickBot="1">
      <c r="A226" s="1343"/>
    </row>
    <row r="227" spans="1:14" ht="12" thickBot="1">
      <c r="A227" s="1343"/>
    </row>
    <row r="228" spans="1:14" ht="12" thickBot="1">
      <c r="A228" s="1343"/>
    </row>
    <row r="229" spans="1:14" ht="12" thickBot="1">
      <c r="A229" s="1343"/>
    </row>
    <row r="230" spans="1:14" ht="12" thickBot="1">
      <c r="A230" s="1343"/>
    </row>
    <row r="231" spans="1:14" ht="12" thickBot="1">
      <c r="A231" s="1343"/>
    </row>
    <row r="232" spans="1:14" ht="12" thickBot="1">
      <c r="A232" s="1343"/>
      <c r="M232" s="1330"/>
      <c r="N232" s="1317"/>
    </row>
    <row r="233" spans="1:14" ht="12" thickBot="1">
      <c r="A233" s="1343"/>
      <c r="C233" s="1330"/>
      <c r="M233" s="1331"/>
      <c r="N233" s="1318"/>
    </row>
    <row r="234" spans="1:14" ht="12" thickBot="1">
      <c r="A234" s="1343"/>
      <c r="C234" s="1331"/>
      <c r="M234" s="1331"/>
      <c r="N234" s="1318"/>
    </row>
    <row r="235" spans="1:14" ht="12" thickBot="1">
      <c r="A235" s="1343"/>
      <c r="C235" s="1331"/>
      <c r="M235" s="1331"/>
      <c r="N235" s="1318"/>
    </row>
    <row r="236" spans="1:14" ht="12" thickBot="1">
      <c r="A236" s="1344"/>
      <c r="C236" s="1331"/>
      <c r="D236" s="1330"/>
      <c r="E236" s="1330"/>
      <c r="F236" s="1330"/>
      <c r="G236" s="1330"/>
      <c r="H236" s="1330"/>
      <c r="I236" s="1330"/>
      <c r="J236" s="1330"/>
      <c r="K236" s="1330"/>
      <c r="L236" s="1330"/>
      <c r="M236" s="1331"/>
      <c r="N236" s="1318"/>
    </row>
    <row r="237" spans="1:14" ht="12" thickBot="1">
      <c r="C237" s="1332"/>
      <c r="D237" s="1332"/>
      <c r="E237" s="1332"/>
      <c r="F237" s="1332"/>
      <c r="G237" s="1332"/>
      <c r="H237" s="1332"/>
      <c r="I237" s="1332"/>
      <c r="J237" s="1332"/>
      <c r="K237" s="1332"/>
      <c r="L237" s="1332"/>
      <c r="M237" s="1332"/>
      <c r="N237" s="1318"/>
    </row>
    <row r="238" spans="1:14" ht="12" thickBot="1">
      <c r="N238" s="1318"/>
    </row>
    <row r="239" spans="1:14" ht="12" thickBot="1">
      <c r="N239" s="1318"/>
    </row>
    <row r="240" spans="1:14" ht="12" thickBot="1">
      <c r="N240" s="1318"/>
    </row>
    <row r="241" spans="14:14" ht="12" thickBot="1">
      <c r="N241" s="1318"/>
    </row>
    <row r="242" spans="14:14" ht="12" thickBot="1">
      <c r="N242" s="1318"/>
    </row>
    <row r="243" spans="14:14" ht="12" thickBot="1">
      <c r="N243" s="1318"/>
    </row>
    <row r="244" spans="14:14" ht="12" thickBot="1">
      <c r="N244" s="1318"/>
    </row>
    <row r="245" spans="14:14" ht="12" thickBot="1">
      <c r="N245" s="1318"/>
    </row>
    <row r="246" spans="14:14">
      <c r="N246" s="1319"/>
    </row>
    <row r="280" spans="14:14" ht="12" thickBot="1">
      <c r="N280" s="1317"/>
    </row>
    <row r="281" spans="14:14" ht="12" thickBot="1">
      <c r="N281" s="1318"/>
    </row>
    <row r="282" spans="14:14" ht="12" thickBot="1">
      <c r="N282" s="1318"/>
    </row>
    <row r="283" spans="14:14" ht="12" thickBot="1">
      <c r="N283" s="1318"/>
    </row>
    <row r="284" spans="14:14" ht="12" thickBot="1">
      <c r="N284" s="1318"/>
    </row>
    <row r="285" spans="14:14" ht="12" thickBot="1">
      <c r="N285" s="1318"/>
    </row>
    <row r="286" spans="14:14" ht="12" thickBot="1">
      <c r="N286" s="1318"/>
    </row>
    <row r="287" spans="14:14" ht="12" thickBot="1">
      <c r="N287" s="1318"/>
    </row>
    <row r="288" spans="14:14" ht="12" thickBot="1">
      <c r="N288" s="1318"/>
    </row>
    <row r="289" spans="14:14" ht="12" thickBot="1">
      <c r="N289" s="1318"/>
    </row>
    <row r="290" spans="14:14" ht="12" thickBot="1">
      <c r="N290" s="1318"/>
    </row>
    <row r="291" spans="14:14" ht="12" thickBot="1">
      <c r="N291" s="1318"/>
    </row>
    <row r="292" spans="14:14" ht="12" thickBot="1">
      <c r="N292" s="1318"/>
    </row>
    <row r="293" spans="14:14" ht="12" thickBot="1">
      <c r="N293" s="1318"/>
    </row>
    <row r="294" spans="14:14">
      <c r="N294" s="1319"/>
    </row>
    <row r="433" spans="1:14" ht="12" thickBot="1">
      <c r="A433" s="1342"/>
    </row>
    <row r="434" spans="1:14" ht="12" thickBot="1">
      <c r="A434" s="1343"/>
    </row>
    <row r="435" spans="1:14" ht="12" thickBot="1">
      <c r="A435" s="1343"/>
    </row>
    <row r="436" spans="1:14" ht="12" thickBot="1">
      <c r="A436" s="1343"/>
    </row>
    <row r="437" spans="1:14" ht="12" thickBot="1">
      <c r="A437" s="1343"/>
    </row>
    <row r="438" spans="1:14" ht="12" thickBot="1">
      <c r="A438" s="1343"/>
    </row>
    <row r="439" spans="1:14" ht="12" thickBot="1">
      <c r="A439" s="1343"/>
      <c r="M439" s="1330"/>
      <c r="N439" s="1317"/>
    </row>
    <row r="440" spans="1:14" ht="12" thickBot="1">
      <c r="A440" s="1343"/>
      <c r="C440" s="1330"/>
      <c r="M440" s="1331"/>
      <c r="N440" s="1318"/>
    </row>
    <row r="441" spans="1:14" ht="12" thickBot="1">
      <c r="A441" s="1343"/>
      <c r="C441" s="1331"/>
      <c r="D441" s="1330"/>
      <c r="E441" s="1330"/>
      <c r="F441" s="1330"/>
      <c r="G441" s="1330"/>
      <c r="H441" s="1330"/>
      <c r="I441" s="1330"/>
      <c r="J441" s="1330"/>
      <c r="K441" s="1330"/>
      <c r="L441" s="1330"/>
      <c r="M441" s="1331"/>
      <c r="N441" s="1318"/>
    </row>
    <row r="442" spans="1:14" ht="12" thickBot="1">
      <c r="A442" s="1343"/>
      <c r="C442" s="1332"/>
      <c r="D442" s="1332"/>
      <c r="E442" s="1332"/>
      <c r="F442" s="1332"/>
      <c r="G442" s="1332"/>
      <c r="H442" s="1332"/>
      <c r="I442" s="1332"/>
      <c r="J442" s="1332"/>
      <c r="K442" s="1332"/>
      <c r="L442" s="1332"/>
      <c r="M442" s="1332"/>
      <c r="N442" s="1318"/>
    </row>
    <row r="443" spans="1:14" ht="12" thickBot="1">
      <c r="A443" s="1343"/>
      <c r="N443" s="1318"/>
    </row>
    <row r="444" spans="1:14" ht="12" thickBot="1">
      <c r="A444" s="1343"/>
      <c r="N444" s="1318"/>
    </row>
    <row r="445" spans="1:14" ht="12" thickBot="1">
      <c r="A445" s="1343"/>
      <c r="N445" s="1318"/>
    </row>
    <row r="446" spans="1:14" ht="12" thickBot="1">
      <c r="A446" s="1343"/>
      <c r="N446" s="1318"/>
    </row>
    <row r="447" spans="1:14" ht="12" thickBot="1">
      <c r="A447" s="1343"/>
      <c r="N447" s="1319"/>
    </row>
    <row r="448" spans="1:14" ht="12" thickBot="1">
      <c r="A448" s="1343"/>
    </row>
    <row r="449" spans="1:1" ht="12" thickBot="1">
      <c r="A449" s="1343"/>
    </row>
    <row r="450" spans="1:1">
      <c r="A450" s="1344"/>
    </row>
    <row r="548" spans="1:14" ht="12" thickBot="1">
      <c r="N548" s="1317"/>
    </row>
    <row r="549" spans="1:14" ht="12" thickBot="1">
      <c r="N549" s="1318"/>
    </row>
    <row r="550" spans="1:14" ht="12" thickBot="1">
      <c r="N550" s="1318"/>
    </row>
    <row r="551" spans="1:14" ht="12" thickBot="1">
      <c r="N551" s="1318"/>
    </row>
    <row r="552" spans="1:14" ht="12" thickBot="1">
      <c r="M552" s="1330"/>
      <c r="N552" s="1318"/>
    </row>
    <row r="553" spans="1:14" ht="12" thickBot="1">
      <c r="M553" s="1331"/>
      <c r="N553" s="1318"/>
    </row>
    <row r="554" spans="1:14" ht="12" thickBot="1">
      <c r="M554" s="1331"/>
      <c r="N554" s="1318"/>
    </row>
    <row r="555" spans="1:14" ht="12" thickBot="1">
      <c r="M555" s="1331"/>
      <c r="N555" s="1318"/>
    </row>
    <row r="556" spans="1:14" ht="12" thickBot="1">
      <c r="M556" s="1331"/>
      <c r="N556" s="1318"/>
    </row>
    <row r="557" spans="1:14" ht="12" thickBot="1">
      <c r="A557" s="1342"/>
      <c r="B557" s="1330"/>
      <c r="C557" s="1330"/>
      <c r="D557" s="1330"/>
      <c r="E557" s="1330"/>
      <c r="F557" s="1330"/>
      <c r="G557" s="1330"/>
      <c r="H557" s="1330"/>
      <c r="I557" s="1330"/>
      <c r="J557" s="1330"/>
      <c r="K557" s="1330"/>
      <c r="L557" s="1330"/>
      <c r="M557" s="1331"/>
      <c r="N557" s="1318"/>
    </row>
    <row r="558" spans="1:14" ht="12" thickBot="1">
      <c r="A558" s="1343"/>
      <c r="B558" s="1332"/>
      <c r="C558" s="1332"/>
      <c r="D558" s="1332"/>
      <c r="E558" s="1332"/>
      <c r="F558" s="1332"/>
      <c r="G558" s="1332"/>
      <c r="H558" s="1332"/>
      <c r="I558" s="1332"/>
      <c r="J558" s="1332"/>
      <c r="K558" s="1332"/>
      <c r="L558" s="1332"/>
      <c r="M558" s="1332"/>
      <c r="N558" s="1318"/>
    </row>
    <row r="559" spans="1:14" ht="12" thickBot="1">
      <c r="A559" s="1343"/>
      <c r="N559" s="1318"/>
    </row>
    <row r="560" spans="1:14" ht="12" thickBot="1">
      <c r="A560" s="1343"/>
      <c r="N560" s="1318"/>
    </row>
    <row r="561" spans="1:14" ht="12" thickBot="1">
      <c r="A561" s="1343"/>
      <c r="N561" s="1318"/>
    </row>
    <row r="562" spans="1:14" ht="12" thickBot="1">
      <c r="A562" s="1343"/>
      <c r="N562" s="1318"/>
    </row>
    <row r="563" spans="1:14" ht="12" thickBot="1">
      <c r="A563" s="1343"/>
      <c r="N563" s="1318"/>
    </row>
    <row r="564" spans="1:14" ht="12" thickBot="1">
      <c r="A564" s="1343"/>
      <c r="N564" s="1318"/>
    </row>
    <row r="565" spans="1:14">
      <c r="A565" s="1344"/>
      <c r="N565" s="1319"/>
    </row>
  </sheetData>
  <mergeCells count="57">
    <mergeCell ref="A3:N3"/>
    <mergeCell ref="B4:B5"/>
    <mergeCell ref="C4:C5"/>
    <mergeCell ref="D4:D5"/>
    <mergeCell ref="N4:N5"/>
    <mergeCell ref="M4:M5"/>
    <mergeCell ref="L4:L5"/>
    <mergeCell ref="F4:J4"/>
    <mergeCell ref="K4:K5"/>
    <mergeCell ref="A133:J133"/>
    <mergeCell ref="M133:N133"/>
    <mergeCell ref="A63:A73"/>
    <mergeCell ref="M69:M73"/>
    <mergeCell ref="C65:C68"/>
    <mergeCell ref="C70:C73"/>
    <mergeCell ref="A125:A128"/>
    <mergeCell ref="N125:N128"/>
    <mergeCell ref="C127:C128"/>
    <mergeCell ref="N115:N124"/>
    <mergeCell ref="C119:C121"/>
    <mergeCell ref="M122:M124"/>
    <mergeCell ref="C123:C124"/>
    <mergeCell ref="A129:A132"/>
    <mergeCell ref="N129:N132"/>
    <mergeCell ref="C131:C132"/>
    <mergeCell ref="M19:M26"/>
    <mergeCell ref="A45:A62"/>
    <mergeCell ref="A74:A87"/>
    <mergeCell ref="C76:C81"/>
    <mergeCell ref="M82:M87"/>
    <mergeCell ref="M58:M62"/>
    <mergeCell ref="C47:C54"/>
    <mergeCell ref="C59:C62"/>
    <mergeCell ref="A36:A44"/>
    <mergeCell ref="A7:A26"/>
    <mergeCell ref="N36:N44"/>
    <mergeCell ref="M42:M44"/>
    <mergeCell ref="N75:N81"/>
    <mergeCell ref="C38:C41"/>
    <mergeCell ref="C43:C44"/>
    <mergeCell ref="N64:N68"/>
    <mergeCell ref="N69:N73"/>
    <mergeCell ref="N46:N54"/>
    <mergeCell ref="N58:N62"/>
    <mergeCell ref="N82:N87"/>
    <mergeCell ref="A88:A113"/>
    <mergeCell ref="C90:C104"/>
    <mergeCell ref="M108:M113"/>
    <mergeCell ref="C83:C87"/>
    <mergeCell ref="N108:N113"/>
    <mergeCell ref="N88:N107"/>
    <mergeCell ref="C109:C113"/>
    <mergeCell ref="N27:N35"/>
    <mergeCell ref="C29:C32"/>
    <mergeCell ref="C34:C35"/>
    <mergeCell ref="M33:M35"/>
    <mergeCell ref="A27:A35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5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44" max="13" man="1"/>
    <brk id="87" max="1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8" sqref="D118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DZ698"/>
  <sheetViews>
    <sheetView showGridLines="0" view="pageBreakPreview" zoomScaleSheetLayoutView="100" workbookViewId="0">
      <pane xSplit="2" ySplit="5" topLeftCell="C674" activePane="bottomRight" state="frozen"/>
      <selection activeCell="F19" sqref="F19"/>
      <selection pane="topRight" activeCell="F19" sqref="F19"/>
      <selection pane="bottomLeft" activeCell="F19" sqref="F19"/>
      <selection pane="bottomRight" activeCell="H684" sqref="H684:H698"/>
    </sheetView>
  </sheetViews>
  <sheetFormatPr defaultColWidth="9.140625" defaultRowHeight="12.75"/>
  <cols>
    <col min="1" max="1" width="3.42578125" style="121" customWidth="1"/>
    <col min="2" max="2" width="62.5703125" style="121" customWidth="1"/>
    <col min="3" max="3" width="11.5703125" style="121" customWidth="1"/>
    <col min="4" max="4" width="15.28515625" style="121" customWidth="1"/>
    <col min="5" max="5" width="13.28515625" style="121" customWidth="1"/>
    <col min="6" max="10" width="12.42578125" style="121" customWidth="1"/>
    <col min="11" max="11" width="9.5703125" style="121" hidden="1" customWidth="1"/>
    <col min="12" max="12" width="9.85546875" style="121" hidden="1" customWidth="1"/>
    <col min="13" max="13" width="11.85546875" style="121" customWidth="1"/>
    <col min="14" max="14" width="12.7109375" style="121" customWidth="1"/>
    <col min="15" max="15" width="14.140625" style="121" hidden="1" customWidth="1"/>
    <col min="16" max="16" width="16" style="121" hidden="1" customWidth="1"/>
    <col min="17" max="17" width="10" style="121" hidden="1" customWidth="1"/>
    <col min="18" max="18" width="16.42578125" style="121" customWidth="1"/>
    <col min="19" max="16384" width="9.140625" style="121"/>
  </cols>
  <sheetData>
    <row r="1" spans="1:18" ht="15.75" customHeight="1">
      <c r="F1" s="2861"/>
      <c r="G1" s="126" t="s">
        <v>554</v>
      </c>
      <c r="H1" s="126"/>
      <c r="I1" s="126"/>
      <c r="J1" s="126"/>
      <c r="K1" s="126"/>
      <c r="L1" s="126"/>
      <c r="M1" s="3"/>
      <c r="N1" s="4"/>
    </row>
    <row r="2" spans="1:18" ht="19.5" thickBot="1"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4"/>
    </row>
    <row r="3" spans="1:18" ht="13.5" hidden="1" thickBot="1">
      <c r="A3" s="1715"/>
      <c r="B3" s="1715"/>
      <c r="C3" s="1715"/>
      <c r="D3" s="1715"/>
      <c r="E3" s="1715"/>
      <c r="F3" s="1715"/>
      <c r="G3" s="1715"/>
      <c r="H3" s="1715"/>
      <c r="I3" s="1715"/>
      <c r="J3" s="1715"/>
      <c r="K3" s="1715"/>
      <c r="L3" s="2862"/>
      <c r="M3" s="2862"/>
      <c r="N3" s="2863"/>
    </row>
    <row r="4" spans="1:18" ht="64.5" customHeight="1">
      <c r="A4" s="3981" t="s">
        <v>63</v>
      </c>
      <c r="B4" s="3983" t="s">
        <v>64</v>
      </c>
      <c r="C4" s="3964" t="s">
        <v>60</v>
      </c>
      <c r="D4" s="3966" t="s">
        <v>61</v>
      </c>
      <c r="E4" s="1684" t="s">
        <v>208</v>
      </c>
      <c r="F4" s="3985" t="s">
        <v>447</v>
      </c>
      <c r="G4" s="3986"/>
      <c r="H4" s="3986"/>
      <c r="I4" s="3986"/>
      <c r="J4" s="3987"/>
      <c r="K4" s="2864"/>
      <c r="L4" s="2864"/>
      <c r="M4" s="3973" t="s">
        <v>456</v>
      </c>
      <c r="N4" s="3968" t="s">
        <v>62</v>
      </c>
      <c r="O4" s="3635"/>
      <c r="P4" s="3635"/>
    </row>
    <row r="5" spans="1:18" ht="24.75" customHeight="1" thickBot="1">
      <c r="A5" s="3982"/>
      <c r="B5" s="3984"/>
      <c r="C5" s="3965"/>
      <c r="D5" s="3967"/>
      <c r="E5" s="2865" t="s">
        <v>517</v>
      </c>
      <c r="F5" s="1685" t="s">
        <v>163</v>
      </c>
      <c r="G5" s="1685" t="s">
        <v>164</v>
      </c>
      <c r="H5" s="1685" t="s">
        <v>202</v>
      </c>
      <c r="I5" s="1685" t="s">
        <v>203</v>
      </c>
      <c r="J5" s="1685" t="s">
        <v>201</v>
      </c>
      <c r="K5" s="1685">
        <v>2024</v>
      </c>
      <c r="L5" s="1685">
        <v>2025</v>
      </c>
      <c r="M5" s="3974"/>
      <c r="N5" s="3969"/>
      <c r="O5" s="3636"/>
      <c r="P5" s="3636"/>
    </row>
    <row r="6" spans="1:18" s="128" customFormat="1" ht="12.75" customHeight="1" thickBot="1">
      <c r="A6" s="5">
        <v>1</v>
      </c>
      <c r="B6" s="6">
        <v>2</v>
      </c>
      <c r="C6" s="7">
        <v>3</v>
      </c>
      <c r="D6" s="8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/>
      <c r="L6" s="9"/>
      <c r="M6" s="10">
        <v>11</v>
      </c>
      <c r="N6" s="11">
        <v>12</v>
      </c>
      <c r="O6" s="127"/>
      <c r="P6" s="127"/>
    </row>
    <row r="7" spans="1:18" ht="16.5" customHeight="1">
      <c r="A7" s="3970" t="s">
        <v>58</v>
      </c>
      <c r="B7" s="103" t="s">
        <v>65</v>
      </c>
      <c r="C7" s="2866"/>
      <c r="D7" s="105">
        <f>+D8+D9</f>
        <v>554872563</v>
      </c>
      <c r="E7" s="105">
        <f>+E8+E9</f>
        <v>128230455</v>
      </c>
      <c r="F7" s="105">
        <f t="shared" ref="F7:J7" si="0">+F8+F9</f>
        <v>155458964</v>
      </c>
      <c r="G7" s="105">
        <f t="shared" si="0"/>
        <v>181433336</v>
      </c>
      <c r="H7" s="105">
        <f t="shared" si="0"/>
        <v>89749808</v>
      </c>
      <c r="I7" s="2666">
        <f t="shared" si="0"/>
        <v>0</v>
      </c>
      <c r="J7" s="2666">
        <f t="shared" si="0"/>
        <v>0</v>
      </c>
      <c r="K7" s="105">
        <f t="shared" ref="K7" si="1">+K8+K9</f>
        <v>0</v>
      </c>
      <c r="L7" s="105">
        <f>+L8+L9</f>
        <v>0</v>
      </c>
      <c r="M7" s="12">
        <f>+M8+M9</f>
        <v>426642108</v>
      </c>
      <c r="N7" s="3637"/>
      <c r="O7" s="3636"/>
      <c r="P7" s="3635"/>
    </row>
    <row r="8" spans="1:18" ht="13.5" customHeight="1">
      <c r="A8" s="3971"/>
      <c r="B8" s="106" t="s">
        <v>66</v>
      </c>
      <c r="C8" s="234"/>
      <c r="D8" s="108">
        <f>+D498+D516+D434+D449</f>
        <v>944587</v>
      </c>
      <c r="E8" s="108">
        <f>+E498+E516+E434+E449</f>
        <v>463568</v>
      </c>
      <c r="F8" s="108">
        <f t="shared" ref="F8:H8" si="2">+F498+F516+F434+F449</f>
        <v>398847</v>
      </c>
      <c r="G8" s="108">
        <f t="shared" si="2"/>
        <v>82172</v>
      </c>
      <c r="H8" s="2615">
        <f t="shared" si="2"/>
        <v>0</v>
      </c>
      <c r="I8" s="2615">
        <f t="shared" ref="I8:J8" si="3">+I498+I516+I434</f>
        <v>0</v>
      </c>
      <c r="J8" s="2615">
        <f t="shared" si="3"/>
        <v>0</v>
      </c>
      <c r="K8" s="108">
        <f>+K498+K516+K434+K449</f>
        <v>0</v>
      </c>
      <c r="L8" s="108">
        <f>+L498+L516+L434+L449</f>
        <v>0</v>
      </c>
      <c r="M8" s="1006">
        <f>SUM(F8:J8)</f>
        <v>481019</v>
      </c>
      <c r="N8" s="447"/>
      <c r="O8" s="3636">
        <f>E8+K8+F8+G8+H8+I8+J8-D8</f>
        <v>0</v>
      </c>
      <c r="P8" s="3635"/>
    </row>
    <row r="9" spans="1:18" ht="14.25" customHeight="1" thickBot="1">
      <c r="A9" s="3971"/>
      <c r="B9" s="2867" t="s">
        <v>8</v>
      </c>
      <c r="C9" s="448"/>
      <c r="D9" s="449">
        <f>+D113+D128+D53+D67+D144+D336+D312+D350+D79+D91+D103+D480+D324+D377+D156+D168+D180+D192+D386+D398+D407+D416+D425+D204+D216+D228+D240+D252+D264+D276+D288+D300</f>
        <v>553927976</v>
      </c>
      <c r="E9" s="449">
        <f t="shared" ref="E9:J9" si="4">+E113+E128+E53+E67+E144+E336+E312+E350+E79+E91+E103+E480+E324+E377+E156+E168+E180+E192+E386+E398+E407+E416+E425+E204+E216+E228+E240+E252+E264+E276+E288+E300</f>
        <v>127766887</v>
      </c>
      <c r="F9" s="449">
        <f t="shared" si="4"/>
        <v>155060117</v>
      </c>
      <c r="G9" s="449">
        <f t="shared" si="4"/>
        <v>181351164</v>
      </c>
      <c r="H9" s="449">
        <f t="shared" si="4"/>
        <v>89749808</v>
      </c>
      <c r="I9" s="2868">
        <f t="shared" si="4"/>
        <v>0</v>
      </c>
      <c r="J9" s="2868">
        <f t="shared" si="4"/>
        <v>0</v>
      </c>
      <c r="K9" s="449">
        <f>+K113+K128+K53+K67+K144+K336+K312+K350+K79+K91+K103+K480+K324+K377+K156+K168+K180+K192+K386+K398+K407+K416+K425+K204+K216+K228+K240+K252+K264+K276+K288+K300</f>
        <v>0</v>
      </c>
      <c r="L9" s="449">
        <f>+L113+L128+L53+L67+L144+L336+L312+L350+L79+L91+L103+L480+L324+L377+L156+L168+L180+L192+L386+L398+L407+L416+L425+L204+L216+L228+L240+L252+L264+L276+L288+L300</f>
        <v>0</v>
      </c>
      <c r="M9" s="54">
        <f>SUM(F9:J9)</f>
        <v>426161089</v>
      </c>
      <c r="N9" s="447"/>
      <c r="O9" s="3635"/>
      <c r="P9" s="3635"/>
    </row>
    <row r="10" spans="1:18" ht="14.25" customHeight="1">
      <c r="A10" s="3971"/>
      <c r="B10" s="2869" t="s">
        <v>9</v>
      </c>
      <c r="C10" s="15"/>
      <c r="D10" s="450">
        <f>+D11+D17</f>
        <v>554872563</v>
      </c>
      <c r="E10" s="450">
        <f t="shared" ref="E10" si="5">+E11+E17</f>
        <v>128230455</v>
      </c>
      <c r="F10" s="450">
        <f t="shared" ref="F10:M10" si="6">+F11+F17</f>
        <v>155458964</v>
      </c>
      <c r="G10" s="450">
        <f t="shared" si="6"/>
        <v>181433336</v>
      </c>
      <c r="H10" s="450">
        <f t="shared" si="6"/>
        <v>89749808</v>
      </c>
      <c r="I10" s="2870">
        <f t="shared" si="6"/>
        <v>0</v>
      </c>
      <c r="J10" s="2870">
        <f t="shared" si="6"/>
        <v>0</v>
      </c>
      <c r="K10" s="450">
        <f>+K11+K17</f>
        <v>0</v>
      </c>
      <c r="L10" s="450">
        <f>+L11+L17</f>
        <v>0</v>
      </c>
      <c r="M10" s="451">
        <f t="shared" si="6"/>
        <v>426642108</v>
      </c>
      <c r="N10" s="391"/>
      <c r="O10" s="452"/>
      <c r="P10" s="3636"/>
      <c r="R10" s="236"/>
    </row>
    <row r="11" spans="1:18" s="455" customFormat="1" ht="14.25" customHeight="1">
      <c r="A11" s="3971"/>
      <c r="B11" s="59" t="s">
        <v>10</v>
      </c>
      <c r="C11" s="2871"/>
      <c r="D11" s="2872">
        <f>+D12+D13+D14+D15+D16</f>
        <v>120327281</v>
      </c>
      <c r="E11" s="2872">
        <f t="shared" ref="E11" si="7">+E12+E13+E14+E15+E16</f>
        <v>23637804</v>
      </c>
      <c r="F11" s="2872">
        <f t="shared" ref="F11:J11" si="8">+F12+F13+F14+F15+F16</f>
        <v>40269315</v>
      </c>
      <c r="G11" s="2872">
        <f t="shared" si="8"/>
        <v>42065354</v>
      </c>
      <c r="H11" s="2872">
        <f t="shared" si="8"/>
        <v>14354808</v>
      </c>
      <c r="I11" s="2873">
        <f t="shared" si="8"/>
        <v>0</v>
      </c>
      <c r="J11" s="2873">
        <f t="shared" si="8"/>
        <v>0</v>
      </c>
      <c r="K11" s="2872">
        <f>+K12+K13+K14+K15+K16</f>
        <v>0</v>
      </c>
      <c r="L11" s="2872">
        <f>+L12+L13+L14+L15+L16</f>
        <v>0</v>
      </c>
      <c r="M11" s="2874">
        <f>SUM(M12:M16)</f>
        <v>96689477</v>
      </c>
      <c r="N11" s="453"/>
      <c r="O11" s="454"/>
      <c r="P11" s="452"/>
    </row>
    <row r="12" spans="1:18" ht="14.25" customHeight="1">
      <c r="A12" s="3971"/>
      <c r="B12" s="62" t="s">
        <v>11</v>
      </c>
      <c r="C12" s="456"/>
      <c r="D12" s="2875">
        <f t="shared" ref="D12:G12" si="9">+D36+D364+D466+D509</f>
        <v>100552317</v>
      </c>
      <c r="E12" s="2875">
        <f t="shared" si="9"/>
        <v>16988566</v>
      </c>
      <c r="F12" s="2875">
        <f t="shared" si="9"/>
        <v>35978613</v>
      </c>
      <c r="G12" s="2875">
        <f t="shared" si="9"/>
        <v>33630138</v>
      </c>
      <c r="H12" s="2875">
        <f>+H36+H364+H466+H509+H266</f>
        <v>13955000</v>
      </c>
      <c r="I12" s="2876">
        <f>+I36+I364+I466+I509+I266</f>
        <v>0</v>
      </c>
      <c r="J12" s="2876">
        <f>+J36+J364+J466+J509+J266</f>
        <v>0</v>
      </c>
      <c r="K12" s="2875">
        <f>+K36+K364+K466+K509</f>
        <v>0</v>
      </c>
      <c r="L12" s="2875">
        <f>+L36+L364+L466+L509</f>
        <v>0</v>
      </c>
      <c r="M12" s="2877">
        <f>SUM(F12:J12)</f>
        <v>83563751</v>
      </c>
      <c r="N12" s="391"/>
      <c r="O12" s="3636"/>
      <c r="P12" s="3636"/>
      <c r="R12" s="236"/>
    </row>
    <row r="13" spans="1:18" ht="14.25" hidden="1" customHeight="1">
      <c r="A13" s="3971"/>
      <c r="B13" s="1994" t="s">
        <v>67</v>
      </c>
      <c r="C13" s="1568"/>
      <c r="D13" s="2875">
        <f>+D467</f>
        <v>0</v>
      </c>
      <c r="E13" s="2875">
        <f t="shared" ref="E13" si="10">+E467</f>
        <v>0</v>
      </c>
      <c r="F13" s="2875">
        <f t="shared" ref="F13:J13" si="11">+F467</f>
        <v>0</v>
      </c>
      <c r="G13" s="2875">
        <f t="shared" si="11"/>
        <v>0</v>
      </c>
      <c r="H13" s="2875">
        <f t="shared" si="11"/>
        <v>0</v>
      </c>
      <c r="I13" s="2876">
        <f t="shared" si="11"/>
        <v>0</v>
      </c>
      <c r="J13" s="2876">
        <f t="shared" si="11"/>
        <v>0</v>
      </c>
      <c r="K13" s="2875">
        <f>+K467</f>
        <v>0</v>
      </c>
      <c r="L13" s="2875">
        <f>+L467</f>
        <v>0</v>
      </c>
      <c r="M13" s="2877">
        <f>SUM(F13:J13)</f>
        <v>0</v>
      </c>
      <c r="N13" s="457"/>
      <c r="O13" s="3636"/>
      <c r="P13" s="3635"/>
    </row>
    <row r="14" spans="1:18" ht="14.25" customHeight="1">
      <c r="A14" s="3971"/>
      <c r="B14" s="62" t="s">
        <v>14</v>
      </c>
      <c r="C14" s="456"/>
      <c r="D14" s="2875">
        <f t="shared" ref="D14:J14" si="12">+D37+D365</f>
        <v>19774964</v>
      </c>
      <c r="E14" s="2875">
        <f t="shared" si="12"/>
        <v>6649238</v>
      </c>
      <c r="F14" s="2875">
        <f t="shared" si="12"/>
        <v>4290702</v>
      </c>
      <c r="G14" s="2876">
        <f t="shared" si="12"/>
        <v>8435216</v>
      </c>
      <c r="H14" s="2876">
        <f t="shared" si="12"/>
        <v>399808</v>
      </c>
      <c r="I14" s="2876">
        <f t="shared" si="12"/>
        <v>0</v>
      </c>
      <c r="J14" s="2876">
        <f t="shared" si="12"/>
        <v>0</v>
      </c>
      <c r="K14" s="2875">
        <f>+K37+K365</f>
        <v>0</v>
      </c>
      <c r="L14" s="2875">
        <f>+L37+L365</f>
        <v>0</v>
      </c>
      <c r="M14" s="813">
        <f>SUM(F14:J14)</f>
        <v>13125726</v>
      </c>
      <c r="N14" s="457"/>
      <c r="O14" s="3636"/>
      <c r="P14" s="3635"/>
    </row>
    <row r="15" spans="1:18" ht="14.25" hidden="1" customHeight="1">
      <c r="A15" s="3971"/>
      <c r="B15" s="62" t="s">
        <v>48</v>
      </c>
      <c r="C15" s="456"/>
      <c r="D15" s="2875">
        <f t="shared" ref="D15:J15" si="13">+D468+D39</f>
        <v>0</v>
      </c>
      <c r="E15" s="2875">
        <f t="shared" si="13"/>
        <v>0</v>
      </c>
      <c r="F15" s="2875">
        <f t="shared" si="13"/>
        <v>0</v>
      </c>
      <c r="G15" s="2875">
        <f t="shared" si="13"/>
        <v>0</v>
      </c>
      <c r="H15" s="2875">
        <f t="shared" si="13"/>
        <v>0</v>
      </c>
      <c r="I15" s="2876">
        <f t="shared" si="13"/>
        <v>0</v>
      </c>
      <c r="J15" s="2876">
        <f t="shared" si="13"/>
        <v>0</v>
      </c>
      <c r="K15" s="2875">
        <f>+K468+K39</f>
        <v>0</v>
      </c>
      <c r="L15" s="2875">
        <f>+L468+L39</f>
        <v>0</v>
      </c>
      <c r="M15" s="2877">
        <f>SUM(F15:J15)</f>
        <v>0</v>
      </c>
      <c r="N15" s="457"/>
      <c r="O15" s="3636"/>
      <c r="P15" s="3635"/>
    </row>
    <row r="16" spans="1:18" ht="14.25" hidden="1" customHeight="1">
      <c r="A16" s="3971"/>
      <c r="B16" s="62" t="s">
        <v>16</v>
      </c>
      <c r="C16" s="456"/>
      <c r="D16" s="2875">
        <f>+D38</f>
        <v>0</v>
      </c>
      <c r="E16" s="2875">
        <f t="shared" ref="E16" si="14">+E38</f>
        <v>0</v>
      </c>
      <c r="F16" s="2875">
        <f t="shared" ref="F16:J16" si="15">+F38</f>
        <v>0</v>
      </c>
      <c r="G16" s="2875">
        <f t="shared" si="15"/>
        <v>0</v>
      </c>
      <c r="H16" s="2875">
        <f t="shared" si="15"/>
        <v>0</v>
      </c>
      <c r="I16" s="2876">
        <f t="shared" si="15"/>
        <v>0</v>
      </c>
      <c r="J16" s="2876">
        <f t="shared" si="15"/>
        <v>0</v>
      </c>
      <c r="K16" s="2875">
        <f>+K38</f>
        <v>0</v>
      </c>
      <c r="L16" s="2875">
        <f>+L38</f>
        <v>0</v>
      </c>
      <c r="M16" s="813">
        <f>SUM(F16:J16)</f>
        <v>0</v>
      </c>
      <c r="N16" s="457"/>
      <c r="O16" s="3636"/>
      <c r="P16" s="3635"/>
    </row>
    <row r="17" spans="1:18" s="455" customFormat="1" ht="14.25" customHeight="1">
      <c r="A17" s="3971"/>
      <c r="B17" s="59" t="s">
        <v>17</v>
      </c>
      <c r="C17" s="458"/>
      <c r="D17" s="2872">
        <f>+D18+D19+D20</f>
        <v>434545282</v>
      </c>
      <c r="E17" s="2872">
        <f t="shared" ref="E17" si="16">+E18+E19+E20</f>
        <v>104592651</v>
      </c>
      <c r="F17" s="2872">
        <f t="shared" ref="F17:G17" si="17">+F18+F19+F20</f>
        <v>115189649</v>
      </c>
      <c r="G17" s="2872">
        <f t="shared" si="17"/>
        <v>139367982</v>
      </c>
      <c r="H17" s="2872">
        <f t="shared" ref="H17:M17" si="18">+H18+H19+H20</f>
        <v>75395000</v>
      </c>
      <c r="I17" s="2873">
        <f t="shared" si="18"/>
        <v>0</v>
      </c>
      <c r="J17" s="2873">
        <f t="shared" si="18"/>
        <v>0</v>
      </c>
      <c r="K17" s="2872">
        <f t="shared" si="18"/>
        <v>0</v>
      </c>
      <c r="L17" s="2872">
        <f t="shared" si="18"/>
        <v>0</v>
      </c>
      <c r="M17" s="1147">
        <f t="shared" si="18"/>
        <v>329952631</v>
      </c>
      <c r="N17" s="459"/>
      <c r="O17" s="454"/>
      <c r="P17" s="452"/>
    </row>
    <row r="18" spans="1:18" ht="14.25" hidden="1" customHeight="1">
      <c r="A18" s="3971"/>
      <c r="B18" s="2878" t="s">
        <v>18</v>
      </c>
      <c r="C18" s="2879"/>
      <c r="D18" s="2875">
        <f t="shared" ref="D18:J18" si="19">+D367+D511</f>
        <v>0</v>
      </c>
      <c r="E18" s="2875">
        <f t="shared" si="19"/>
        <v>0</v>
      </c>
      <c r="F18" s="2875">
        <f t="shared" si="19"/>
        <v>0</v>
      </c>
      <c r="G18" s="2875">
        <f t="shared" si="19"/>
        <v>0</v>
      </c>
      <c r="H18" s="2875">
        <f t="shared" si="19"/>
        <v>0</v>
      </c>
      <c r="I18" s="2876">
        <f t="shared" si="19"/>
        <v>0</v>
      </c>
      <c r="J18" s="2876">
        <f t="shared" si="19"/>
        <v>0</v>
      </c>
      <c r="K18" s="2875">
        <f>+K367+K511</f>
        <v>0</v>
      </c>
      <c r="L18" s="2875">
        <f>+L367+L511</f>
        <v>0</v>
      </c>
      <c r="M18" s="813">
        <f>SUM(F18:J18)</f>
        <v>0</v>
      </c>
      <c r="N18" s="457"/>
      <c r="O18" s="3636"/>
      <c r="P18" s="3635"/>
    </row>
    <row r="19" spans="1:18" ht="14.25" customHeight="1">
      <c r="A19" s="3971"/>
      <c r="B19" s="1211" t="s">
        <v>19</v>
      </c>
      <c r="C19" s="2879"/>
      <c r="D19" s="2875">
        <f t="shared" ref="D19:J19" si="20">+D41+D470+D368</f>
        <v>434545282</v>
      </c>
      <c r="E19" s="2875">
        <f t="shared" si="20"/>
        <v>104592651</v>
      </c>
      <c r="F19" s="2875">
        <f t="shared" si="20"/>
        <v>115189649</v>
      </c>
      <c r="G19" s="2875">
        <f t="shared" si="20"/>
        <v>139367982</v>
      </c>
      <c r="H19" s="2875">
        <f t="shared" si="20"/>
        <v>75395000</v>
      </c>
      <c r="I19" s="2876">
        <f t="shared" si="20"/>
        <v>0</v>
      </c>
      <c r="J19" s="2876">
        <f t="shared" si="20"/>
        <v>0</v>
      </c>
      <c r="K19" s="2875">
        <f>+K41+K470+K368</f>
        <v>0</v>
      </c>
      <c r="L19" s="2875">
        <f>+L41+L470+L368</f>
        <v>0</v>
      </c>
      <c r="M19" s="813">
        <f>SUM(F19:J19)</f>
        <v>329952631</v>
      </c>
      <c r="N19" s="391"/>
      <c r="O19" s="3636"/>
      <c r="P19" s="3636"/>
    </row>
    <row r="20" spans="1:18" ht="14.25" hidden="1" customHeight="1">
      <c r="A20" s="3971"/>
      <c r="B20" s="1211" t="s">
        <v>68</v>
      </c>
      <c r="C20" s="2879"/>
      <c r="D20" s="2875">
        <f>+D471</f>
        <v>0</v>
      </c>
      <c r="E20" s="2875">
        <f t="shared" ref="E20" si="21">+E471</f>
        <v>0</v>
      </c>
      <c r="F20" s="2875">
        <f t="shared" ref="F20:J20" si="22">+F471</f>
        <v>0</v>
      </c>
      <c r="G20" s="2875">
        <f t="shared" si="22"/>
        <v>0</v>
      </c>
      <c r="H20" s="2875">
        <f t="shared" si="22"/>
        <v>0</v>
      </c>
      <c r="I20" s="2876">
        <f t="shared" si="22"/>
        <v>0</v>
      </c>
      <c r="J20" s="2876">
        <f t="shared" si="22"/>
        <v>0</v>
      </c>
      <c r="K20" s="2875">
        <f>+K471</f>
        <v>0</v>
      </c>
      <c r="L20" s="2875">
        <f>+L471</f>
        <v>0</v>
      </c>
      <c r="M20" s="2877">
        <f>SUM(F20:G20)</f>
        <v>0</v>
      </c>
      <c r="N20" s="391"/>
      <c r="O20" s="3636"/>
      <c r="P20" s="3636"/>
    </row>
    <row r="21" spans="1:18" ht="14.25" customHeight="1">
      <c r="A21" s="3971"/>
      <c r="B21" s="1212" t="s">
        <v>20</v>
      </c>
      <c r="C21" s="1419"/>
      <c r="D21" s="1267">
        <f>+D22+D28</f>
        <v>454320246</v>
      </c>
      <c r="E21" s="1267">
        <f t="shared" ref="E21" si="23">+E22+E28</f>
        <v>109639374</v>
      </c>
      <c r="F21" s="1267">
        <f t="shared" ref="F21:J21" si="24">+F22+F28</f>
        <v>113840212</v>
      </c>
      <c r="G21" s="1267">
        <f t="shared" si="24"/>
        <v>137315289</v>
      </c>
      <c r="H21" s="1267">
        <f t="shared" si="24"/>
        <v>93525371</v>
      </c>
      <c r="I21" s="2880">
        <f t="shared" si="24"/>
        <v>0</v>
      </c>
      <c r="J21" s="2880">
        <f t="shared" si="24"/>
        <v>0</v>
      </c>
      <c r="K21" s="1267">
        <f>+K22+K28</f>
        <v>0</v>
      </c>
      <c r="L21" s="1267">
        <f>+L22+L28</f>
        <v>0</v>
      </c>
      <c r="M21" s="3975" t="s">
        <v>21</v>
      </c>
      <c r="N21" s="391"/>
      <c r="O21" s="3636"/>
      <c r="P21" s="3635"/>
      <c r="R21" s="452"/>
    </row>
    <row r="22" spans="1:18" ht="14.25" customHeight="1">
      <c r="A22" s="3971"/>
      <c r="B22" s="1213" t="s">
        <v>22</v>
      </c>
      <c r="C22" s="2881"/>
      <c r="D22" s="2882">
        <f>+D23+D24+D25+D26+D27</f>
        <v>19774964</v>
      </c>
      <c r="E22" s="2882">
        <f t="shared" ref="E22" si="25">+E23+E24+E25+E26+E27</f>
        <v>6649238</v>
      </c>
      <c r="F22" s="2882">
        <f t="shared" ref="F22:J22" si="26">+F23+F24+F25+F26+F27</f>
        <v>4290702</v>
      </c>
      <c r="G22" s="2883">
        <f t="shared" si="26"/>
        <v>8435216</v>
      </c>
      <c r="H22" s="2883">
        <f t="shared" si="26"/>
        <v>399808</v>
      </c>
      <c r="I22" s="2883">
        <f t="shared" si="26"/>
        <v>0</v>
      </c>
      <c r="J22" s="2883">
        <f t="shared" si="26"/>
        <v>0</v>
      </c>
      <c r="K22" s="2882">
        <f>+K23+K24+K25+K26+K27</f>
        <v>0</v>
      </c>
      <c r="L22" s="2882">
        <f>+L23+L24+L25+L26+L27</f>
        <v>0</v>
      </c>
      <c r="M22" s="3976"/>
      <c r="N22" s="391"/>
      <c r="O22" s="3635"/>
      <c r="P22" s="3635"/>
    </row>
    <row r="23" spans="1:18" ht="14.25" hidden="1" customHeight="1">
      <c r="A23" s="3971"/>
      <c r="B23" s="1994" t="s">
        <v>67</v>
      </c>
      <c r="C23" s="2884"/>
      <c r="D23" s="2885">
        <f>+D474</f>
        <v>0</v>
      </c>
      <c r="E23" s="2885">
        <f t="shared" ref="E23" si="27">+E474</f>
        <v>0</v>
      </c>
      <c r="F23" s="2885">
        <f t="shared" ref="F23:J23" si="28">+F474</f>
        <v>0</v>
      </c>
      <c r="G23" s="2886">
        <f t="shared" si="28"/>
        <v>0</v>
      </c>
      <c r="H23" s="2886">
        <f t="shared" si="28"/>
        <v>0</v>
      </c>
      <c r="I23" s="2886">
        <f t="shared" si="28"/>
        <v>0</v>
      </c>
      <c r="J23" s="2886">
        <f t="shared" si="28"/>
        <v>0</v>
      </c>
      <c r="K23" s="2885">
        <f>+K474</f>
        <v>0</v>
      </c>
      <c r="L23" s="2885">
        <f>+L474</f>
        <v>0</v>
      </c>
      <c r="M23" s="3976"/>
      <c r="N23" s="457"/>
      <c r="O23" s="3635"/>
      <c r="P23" s="3635"/>
    </row>
    <row r="24" spans="1:18" ht="14.25" customHeight="1">
      <c r="A24" s="3971"/>
      <c r="B24" s="2887" t="s">
        <v>14</v>
      </c>
      <c r="C24" s="2888"/>
      <c r="D24" s="2875">
        <f t="shared" ref="D24:J24" si="29">+D44+D365</f>
        <v>19774964</v>
      </c>
      <c r="E24" s="2875">
        <f t="shared" si="29"/>
        <v>6649238</v>
      </c>
      <c r="F24" s="2875">
        <f t="shared" si="29"/>
        <v>4290702</v>
      </c>
      <c r="G24" s="2876">
        <f t="shared" si="29"/>
        <v>8435216</v>
      </c>
      <c r="H24" s="2876">
        <f t="shared" si="29"/>
        <v>399808</v>
      </c>
      <c r="I24" s="2876">
        <f t="shared" si="29"/>
        <v>0</v>
      </c>
      <c r="J24" s="2876">
        <f t="shared" si="29"/>
        <v>0</v>
      </c>
      <c r="K24" s="2875">
        <f>+K44+K365</f>
        <v>0</v>
      </c>
      <c r="L24" s="2875">
        <f>+L44+L365</f>
        <v>0</v>
      </c>
      <c r="M24" s="3976"/>
      <c r="N24" s="457"/>
      <c r="O24" s="3636">
        <f>D24-D14</f>
        <v>0</v>
      </c>
      <c r="P24" s="3636">
        <f>K24-'[1]Tab. 6A -Drogi'!$G$25</f>
        <v>-5076165</v>
      </c>
    </row>
    <row r="25" spans="1:18" ht="14.25" hidden="1" customHeight="1">
      <c r="A25" s="3971"/>
      <c r="B25" s="2887" t="s">
        <v>48</v>
      </c>
      <c r="C25" s="2888"/>
      <c r="D25" s="2875">
        <f t="shared" ref="D25:J25" si="30">+D475+D47</f>
        <v>0</v>
      </c>
      <c r="E25" s="2875">
        <f t="shared" si="30"/>
        <v>0</v>
      </c>
      <c r="F25" s="2875">
        <f t="shared" si="30"/>
        <v>0</v>
      </c>
      <c r="G25" s="2875">
        <f t="shared" si="30"/>
        <v>0</v>
      </c>
      <c r="H25" s="2875">
        <f t="shared" si="30"/>
        <v>0</v>
      </c>
      <c r="I25" s="2876">
        <f t="shared" si="30"/>
        <v>0</v>
      </c>
      <c r="J25" s="2876">
        <f t="shared" si="30"/>
        <v>0</v>
      </c>
      <c r="K25" s="2875">
        <f>+K475+K47</f>
        <v>0</v>
      </c>
      <c r="L25" s="2875">
        <f>+L475+L47</f>
        <v>0</v>
      </c>
      <c r="M25" s="3976"/>
      <c r="N25" s="457"/>
      <c r="O25" s="3636">
        <f>D15-D25</f>
        <v>0</v>
      </c>
      <c r="P25" s="3635"/>
    </row>
    <row r="26" spans="1:18" ht="14.25" hidden="1" customHeight="1">
      <c r="A26" s="3971"/>
      <c r="B26" s="62" t="s">
        <v>16</v>
      </c>
      <c r="C26" s="18"/>
      <c r="D26" s="2875">
        <f>+D45</f>
        <v>0</v>
      </c>
      <c r="E26" s="2875">
        <f t="shared" ref="E26:E27" si="31">+E45</f>
        <v>0</v>
      </c>
      <c r="F26" s="2875">
        <f t="shared" ref="F26:J27" si="32">+F45</f>
        <v>0</v>
      </c>
      <c r="G26" s="2875">
        <f t="shared" si="32"/>
        <v>0</v>
      </c>
      <c r="H26" s="2875">
        <f t="shared" si="32"/>
        <v>0</v>
      </c>
      <c r="I26" s="2876">
        <f t="shared" si="32"/>
        <v>0</v>
      </c>
      <c r="J26" s="2876">
        <f t="shared" si="32"/>
        <v>0</v>
      </c>
      <c r="K26" s="2875">
        <f>+K45</f>
        <v>0</v>
      </c>
      <c r="L26" s="2875">
        <f>+L45</f>
        <v>0</v>
      </c>
      <c r="M26" s="3976"/>
      <c r="N26" s="457"/>
      <c r="O26" s="3636">
        <f>D16-D26</f>
        <v>0</v>
      </c>
      <c r="P26" s="3635"/>
    </row>
    <row r="27" spans="1:18" ht="14.25" hidden="1" customHeight="1">
      <c r="A27" s="3971"/>
      <c r="B27" s="62" t="s">
        <v>69</v>
      </c>
      <c r="C27" s="18"/>
      <c r="D27" s="2875">
        <f>+D46</f>
        <v>0</v>
      </c>
      <c r="E27" s="2875">
        <f t="shared" si="31"/>
        <v>0</v>
      </c>
      <c r="F27" s="2875">
        <f t="shared" si="32"/>
        <v>0</v>
      </c>
      <c r="G27" s="2875">
        <f t="shared" si="32"/>
        <v>0</v>
      </c>
      <c r="H27" s="2875">
        <f t="shared" si="32"/>
        <v>0</v>
      </c>
      <c r="I27" s="2876">
        <f t="shared" si="32"/>
        <v>0</v>
      </c>
      <c r="J27" s="2876">
        <f t="shared" si="32"/>
        <v>0</v>
      </c>
      <c r="K27" s="2875">
        <f>+K46</f>
        <v>0</v>
      </c>
      <c r="L27" s="2875">
        <f>+L46</f>
        <v>0</v>
      </c>
      <c r="M27" s="3976"/>
      <c r="N27" s="457"/>
      <c r="O27" s="3635"/>
      <c r="P27" s="3635"/>
    </row>
    <row r="28" spans="1:18" ht="14.25" customHeight="1">
      <c r="A28" s="3971"/>
      <c r="B28" s="1215" t="s">
        <v>17</v>
      </c>
      <c r="C28" s="2889"/>
      <c r="D28" s="2882">
        <f>+D29+D30+D31+D32</f>
        <v>434545282</v>
      </c>
      <c r="E28" s="2882">
        <f t="shared" ref="E28" si="33">+E29+E30+E31+E32</f>
        <v>102990136</v>
      </c>
      <c r="F28" s="2882">
        <f t="shared" ref="F28:J28" si="34">+F29+F30+F31+F32</f>
        <v>109549510</v>
      </c>
      <c r="G28" s="2882">
        <f t="shared" si="34"/>
        <v>128880073</v>
      </c>
      <c r="H28" s="2882">
        <f t="shared" si="34"/>
        <v>93125563</v>
      </c>
      <c r="I28" s="2883">
        <f t="shared" si="34"/>
        <v>0</v>
      </c>
      <c r="J28" s="2883">
        <f t="shared" si="34"/>
        <v>0</v>
      </c>
      <c r="K28" s="2882">
        <f>+K29+K30+K31+K32</f>
        <v>0</v>
      </c>
      <c r="L28" s="2882">
        <f>+L29+L30+L31+L32</f>
        <v>0</v>
      </c>
      <c r="M28" s="3976"/>
      <c r="N28" s="457"/>
      <c r="O28" s="3636">
        <f>D30-D18</f>
        <v>0</v>
      </c>
      <c r="P28" s="3635"/>
    </row>
    <row r="29" spans="1:18" ht="12.75" hidden="1" customHeight="1">
      <c r="A29" s="3971"/>
      <c r="B29" s="2890" t="s">
        <v>16</v>
      </c>
      <c r="C29" s="2891"/>
      <c r="D29" s="2875">
        <f t="shared" ref="D29:J29" si="35">+D49</f>
        <v>0</v>
      </c>
      <c r="E29" s="2875">
        <f t="shared" si="35"/>
        <v>0</v>
      </c>
      <c r="F29" s="2875">
        <f t="shared" si="35"/>
        <v>0</v>
      </c>
      <c r="G29" s="2875">
        <f t="shared" si="35"/>
        <v>0</v>
      </c>
      <c r="H29" s="2875">
        <f t="shared" si="35"/>
        <v>0</v>
      </c>
      <c r="I29" s="2876">
        <f t="shared" si="35"/>
        <v>0</v>
      </c>
      <c r="J29" s="2876">
        <f t="shared" si="35"/>
        <v>0</v>
      </c>
      <c r="K29" s="2875">
        <f>+K49</f>
        <v>0</v>
      </c>
      <c r="L29" s="2875">
        <f>+L49</f>
        <v>0</v>
      </c>
      <c r="M29" s="3976"/>
      <c r="N29" s="457"/>
      <c r="O29" s="3635"/>
      <c r="P29" s="3635"/>
    </row>
    <row r="30" spans="1:18" ht="14.25" hidden="1" customHeight="1">
      <c r="A30" s="3971"/>
      <c r="B30" s="2878" t="s">
        <v>18</v>
      </c>
      <c r="C30" s="1568"/>
      <c r="D30" s="2892">
        <f>+D373+D514</f>
        <v>0</v>
      </c>
      <c r="E30" s="2892">
        <f>+E373+E514</f>
        <v>0</v>
      </c>
      <c r="F30" s="2892">
        <f t="shared" ref="F30:J30" si="36">+F373</f>
        <v>0</v>
      </c>
      <c r="G30" s="2892">
        <f t="shared" si="36"/>
        <v>0</v>
      </c>
      <c r="H30" s="2892">
        <f t="shared" si="36"/>
        <v>0</v>
      </c>
      <c r="I30" s="2893">
        <f t="shared" si="36"/>
        <v>0</v>
      </c>
      <c r="J30" s="2893">
        <f t="shared" si="36"/>
        <v>0</v>
      </c>
      <c r="K30" s="2892">
        <f>+K373</f>
        <v>0</v>
      </c>
      <c r="L30" s="2892">
        <f>+L373+L514</f>
        <v>0</v>
      </c>
      <c r="M30" s="3976"/>
      <c r="N30" s="457"/>
      <c r="O30" s="3636">
        <f>D31-D19</f>
        <v>0</v>
      </c>
      <c r="P30" s="3635"/>
    </row>
    <row r="31" spans="1:18" ht="14.25" customHeight="1" thickBot="1">
      <c r="A31" s="3971"/>
      <c r="B31" s="2878" t="s">
        <v>19</v>
      </c>
      <c r="C31" s="2891"/>
      <c r="D31" s="2892">
        <f t="shared" ref="D31:J31" si="37">+D50+D477+D374</f>
        <v>434545282</v>
      </c>
      <c r="E31" s="2892">
        <f t="shared" si="37"/>
        <v>102990136</v>
      </c>
      <c r="F31" s="2892">
        <f t="shared" si="37"/>
        <v>109549510</v>
      </c>
      <c r="G31" s="2892">
        <f t="shared" si="37"/>
        <v>128880073</v>
      </c>
      <c r="H31" s="2892">
        <f t="shared" si="37"/>
        <v>93125563</v>
      </c>
      <c r="I31" s="2893">
        <f t="shared" si="37"/>
        <v>0</v>
      </c>
      <c r="J31" s="2893">
        <f t="shared" si="37"/>
        <v>0</v>
      </c>
      <c r="K31" s="2892">
        <f>+K50+K477+K374</f>
        <v>0</v>
      </c>
      <c r="L31" s="2892">
        <f>+L50+L477+L374</f>
        <v>0</v>
      </c>
      <c r="M31" s="3976"/>
      <c r="N31" s="457"/>
      <c r="O31" s="3635"/>
      <c r="P31" s="3635"/>
    </row>
    <row r="32" spans="1:18" ht="13.5" hidden="1" customHeight="1" thickBot="1">
      <c r="A32" s="3972"/>
      <c r="B32" s="19" t="s">
        <v>68</v>
      </c>
      <c r="C32" s="2894"/>
      <c r="D32" s="2895">
        <f>+D478</f>
        <v>0</v>
      </c>
      <c r="E32" s="2895">
        <f t="shared" ref="E32" si="38">+E478</f>
        <v>0</v>
      </c>
      <c r="F32" s="2895">
        <f t="shared" ref="F32:J32" si="39">+F478</f>
        <v>0</v>
      </c>
      <c r="G32" s="2895">
        <f t="shared" si="39"/>
        <v>0</v>
      </c>
      <c r="H32" s="2895">
        <f t="shared" si="39"/>
        <v>0</v>
      </c>
      <c r="I32" s="2895">
        <f t="shared" si="39"/>
        <v>0</v>
      </c>
      <c r="J32" s="2895">
        <f t="shared" si="39"/>
        <v>0</v>
      </c>
      <c r="K32" s="2895">
        <f>+K478</f>
        <v>0</v>
      </c>
      <c r="L32" s="2895">
        <f>+L478</f>
        <v>0</v>
      </c>
      <c r="M32" s="3977"/>
      <c r="N32" s="1217"/>
      <c r="O32" s="3635"/>
      <c r="P32" s="3635"/>
    </row>
    <row r="33" spans="1:16" ht="28.5" customHeight="1">
      <c r="A33" s="2896" t="s">
        <v>178</v>
      </c>
      <c r="B33" s="2897" t="s">
        <v>192</v>
      </c>
      <c r="C33" s="2898"/>
      <c r="D33" s="2899"/>
      <c r="E33" s="2900"/>
      <c r="F33" s="2900"/>
      <c r="G33" s="2900"/>
      <c r="H33" s="2900"/>
      <c r="I33" s="2900"/>
      <c r="J33" s="2900"/>
      <c r="K33" s="2900"/>
      <c r="L33" s="2900"/>
      <c r="M33" s="2901"/>
      <c r="N33" s="2902"/>
      <c r="O33" s="3635"/>
      <c r="P33" s="3635"/>
    </row>
    <row r="34" spans="1:16" ht="14.25" customHeight="1">
      <c r="A34" s="2903"/>
      <c r="B34" s="796" t="s">
        <v>9</v>
      </c>
      <c r="C34" s="1419"/>
      <c r="D34" s="2904">
        <f>+D35+D40</f>
        <v>519267648</v>
      </c>
      <c r="E34" s="2904">
        <f t="shared" ref="E34:J34" si="40">+E35+E40</f>
        <v>127371227</v>
      </c>
      <c r="F34" s="2904">
        <f t="shared" si="40"/>
        <v>135761315</v>
      </c>
      <c r="G34" s="2904">
        <f t="shared" si="40"/>
        <v>166385298</v>
      </c>
      <c r="H34" s="2904">
        <f t="shared" si="40"/>
        <v>89749808</v>
      </c>
      <c r="I34" s="2905">
        <f t="shared" si="40"/>
        <v>0</v>
      </c>
      <c r="J34" s="2905">
        <f t="shared" si="40"/>
        <v>0</v>
      </c>
      <c r="K34" s="2904">
        <f>+K35+K40</f>
        <v>0</v>
      </c>
      <c r="L34" s="2904">
        <f>+L35+L40</f>
        <v>0</v>
      </c>
      <c r="M34" s="831">
        <f t="shared" ref="M34" si="41">+M35+M40</f>
        <v>391896421</v>
      </c>
      <c r="N34" s="2906"/>
      <c r="O34" s="3636"/>
      <c r="P34" s="3635"/>
    </row>
    <row r="35" spans="1:16" s="455" customFormat="1" ht="14.25" customHeight="1">
      <c r="A35" s="2903"/>
      <c r="B35" s="2907" t="s">
        <v>22</v>
      </c>
      <c r="C35" s="2908"/>
      <c r="D35" s="2909">
        <f>+D36+D37+D38+D39</f>
        <v>101290030</v>
      </c>
      <c r="E35" s="2909">
        <f t="shared" ref="E35:J35" si="42">+E36+E37+E38+E39</f>
        <v>23171664</v>
      </c>
      <c r="F35" s="2909">
        <f t="shared" si="42"/>
        <v>30369319</v>
      </c>
      <c r="G35" s="2909">
        <f t="shared" si="42"/>
        <v>33394239</v>
      </c>
      <c r="H35" s="2909">
        <f t="shared" si="42"/>
        <v>14354808</v>
      </c>
      <c r="I35" s="2910">
        <f t="shared" si="42"/>
        <v>0</v>
      </c>
      <c r="J35" s="2910">
        <f t="shared" si="42"/>
        <v>0</v>
      </c>
      <c r="K35" s="2909">
        <f>+K36+K37+K38+K39</f>
        <v>0</v>
      </c>
      <c r="L35" s="2909">
        <f>+L36+L37+L38+L39</f>
        <v>0</v>
      </c>
      <c r="M35" s="2911">
        <f>+M36+M37+M38+M39</f>
        <v>78118366</v>
      </c>
      <c r="N35" s="2906"/>
      <c r="P35" s="452"/>
    </row>
    <row r="36" spans="1:16" ht="14.25" customHeight="1">
      <c r="A36" s="2903"/>
      <c r="B36" s="2912" t="s">
        <v>11</v>
      </c>
      <c r="C36" s="2913"/>
      <c r="D36" s="2914">
        <f t="shared" ref="D36:H36" si="43">+D326+D146+D338+D314+D352+D81+D130+D55+D93+D69+D105+D115+D158+D170+D182+D194+D206+D218+D230+D242+D254+D266+D278+D290+D302</f>
        <v>81572069</v>
      </c>
      <c r="E36" s="2914">
        <f t="shared" si="43"/>
        <v>16579429</v>
      </c>
      <c r="F36" s="2914">
        <f t="shared" si="43"/>
        <v>26078617</v>
      </c>
      <c r="G36" s="2914">
        <f t="shared" si="43"/>
        <v>24959023</v>
      </c>
      <c r="H36" s="2914">
        <f t="shared" si="43"/>
        <v>13955000</v>
      </c>
      <c r="I36" s="2915">
        <f t="shared" ref="I36:J36" si="44">+I326+I146+I338+I314+I352+I81+I130+I55+I93+I69+I105+I115+I158+I170+I182+I194+I206+I218+I230+I242+I254+I266+I278</f>
        <v>0</v>
      </c>
      <c r="J36" s="2915">
        <f t="shared" si="44"/>
        <v>0</v>
      </c>
      <c r="K36" s="2914">
        <f>+K326+K146+K338+K314+K352+K81+K130+K55+K93+K69+K105+K115+K158+K170+K182+K194+K206+K218+K230+K242+K254+K266+K278+K290+K302</f>
        <v>0</v>
      </c>
      <c r="L36" s="2914">
        <f>+L326+L146+L338+L314+L352+L81+L130+L55+L93+L69+L105+L115+L158+L170+L182+L194+L206+L218+L230+L242+L254+L266+L278+L290+L302</f>
        <v>0</v>
      </c>
      <c r="M36" s="813">
        <f>SUM(F36:J36)</f>
        <v>64992640</v>
      </c>
      <c r="N36" s="2916"/>
      <c r="O36" s="3636"/>
      <c r="P36" s="452"/>
    </row>
    <row r="37" spans="1:16" ht="14.25" customHeight="1">
      <c r="A37" s="2903"/>
      <c r="B37" s="2917" t="s">
        <v>14</v>
      </c>
      <c r="C37" s="2918"/>
      <c r="D37" s="2914">
        <f>+D147+D340+D315+D82+D117+D132+D94+D207+D219+D171+D231+D291</f>
        <v>19717961</v>
      </c>
      <c r="E37" s="2914">
        <f>+E147+E340+E315+E82+E117+E132+E94+E207+E219+E171+E231+E291</f>
        <v>6592235</v>
      </c>
      <c r="F37" s="2914">
        <f>+F147+F340+F315+F82+F117+F132+F94+F207+F219+F171+F231+F291</f>
        <v>4290702</v>
      </c>
      <c r="G37" s="2914">
        <f>+G147+G340+G315+G82+G117+G132+G94+G207+G219+G171+G231+G291</f>
        <v>8435216</v>
      </c>
      <c r="H37" s="2914">
        <f>+H147+H340+H315+H82+H117+H132+H94+H207+H219+H171+H231+H291</f>
        <v>399808</v>
      </c>
      <c r="I37" s="2915">
        <f t="shared" ref="I37:J37" si="45">+I147+I340+I315+I82+I117+I132+I94+I207+I219+I171+I231</f>
        <v>0</v>
      </c>
      <c r="J37" s="2915">
        <f t="shared" si="45"/>
        <v>0</v>
      </c>
      <c r="K37" s="2914">
        <f>+K147+K340+K315+K82+K117+K132+K94+K207+K219+K171+K231</f>
        <v>0</v>
      </c>
      <c r="L37" s="2914">
        <f>+L147+L340+L315+L82+L117+L132+L94+L207+L219+L171+L231</f>
        <v>0</v>
      </c>
      <c r="M37" s="813">
        <f>SUM(F37:J37)</f>
        <v>13125726</v>
      </c>
      <c r="N37" s="2916"/>
      <c r="O37" s="3636">
        <f>D37-D44</f>
        <v>0</v>
      </c>
      <c r="P37" s="452"/>
    </row>
    <row r="38" spans="1:16" ht="14.25" hidden="1" customHeight="1">
      <c r="A38" s="2903"/>
      <c r="B38" s="2917" t="s">
        <v>16</v>
      </c>
      <c r="C38" s="2918"/>
      <c r="D38" s="2914">
        <f>+D116+D131+D56+D70+D353</f>
        <v>0</v>
      </c>
      <c r="E38" s="2914">
        <f t="shared" ref="E38:J38" si="46">+E116+E131+E56+E70+E353</f>
        <v>0</v>
      </c>
      <c r="F38" s="2914">
        <f t="shared" si="46"/>
        <v>0</v>
      </c>
      <c r="G38" s="2914">
        <f t="shared" si="46"/>
        <v>0</v>
      </c>
      <c r="H38" s="2914">
        <f t="shared" si="46"/>
        <v>0</v>
      </c>
      <c r="I38" s="2915">
        <f t="shared" si="46"/>
        <v>0</v>
      </c>
      <c r="J38" s="2915">
        <f t="shared" si="46"/>
        <v>0</v>
      </c>
      <c r="K38" s="2914">
        <f>+K116+K131+K56+K70+K353</f>
        <v>0</v>
      </c>
      <c r="L38" s="2914">
        <f>+L116+L131+L56+L70+L353</f>
        <v>0</v>
      </c>
      <c r="M38" s="813">
        <f>SUM(F38:J38)</f>
        <v>0</v>
      </c>
      <c r="N38" s="2916"/>
      <c r="O38" s="3636">
        <f>D38-D45</f>
        <v>0</v>
      </c>
      <c r="P38" s="452"/>
    </row>
    <row r="39" spans="1:16" ht="14.25" hidden="1" customHeight="1">
      <c r="A39" s="2903"/>
      <c r="B39" s="2917" t="s">
        <v>48</v>
      </c>
      <c r="C39" s="2918"/>
      <c r="D39" s="2914">
        <f>+D327+D339</f>
        <v>0</v>
      </c>
      <c r="E39" s="2914">
        <f t="shared" ref="E39:J39" si="47">+E327+E339</f>
        <v>0</v>
      </c>
      <c r="F39" s="2914">
        <f t="shared" si="47"/>
        <v>0</v>
      </c>
      <c r="G39" s="2914">
        <f t="shared" si="47"/>
        <v>0</v>
      </c>
      <c r="H39" s="2914">
        <f t="shared" si="47"/>
        <v>0</v>
      </c>
      <c r="I39" s="2915">
        <f t="shared" si="47"/>
        <v>0</v>
      </c>
      <c r="J39" s="2915">
        <f t="shared" si="47"/>
        <v>0</v>
      </c>
      <c r="K39" s="2914">
        <f>+K327+K339</f>
        <v>0</v>
      </c>
      <c r="L39" s="2914">
        <f>+L327+L339</f>
        <v>0</v>
      </c>
      <c r="M39" s="813">
        <f>SUM(F39:J39)</f>
        <v>0</v>
      </c>
      <c r="N39" s="2916"/>
      <c r="O39" s="3636"/>
      <c r="P39" s="452"/>
    </row>
    <row r="40" spans="1:16" s="455" customFormat="1" ht="14.25" customHeight="1">
      <c r="A40" s="2903"/>
      <c r="B40" s="2919" t="s">
        <v>17</v>
      </c>
      <c r="C40" s="2920"/>
      <c r="D40" s="2909">
        <f>+D41</f>
        <v>417977618</v>
      </c>
      <c r="E40" s="2909">
        <f t="shared" ref="E40:J40" si="48">+E41</f>
        <v>104199563</v>
      </c>
      <c r="F40" s="2909">
        <f t="shared" si="48"/>
        <v>105391996</v>
      </c>
      <c r="G40" s="2909">
        <f t="shared" si="48"/>
        <v>132991059</v>
      </c>
      <c r="H40" s="2909">
        <f t="shared" si="48"/>
        <v>75395000</v>
      </c>
      <c r="I40" s="2910">
        <f t="shared" si="48"/>
        <v>0</v>
      </c>
      <c r="J40" s="2910">
        <f t="shared" si="48"/>
        <v>0</v>
      </c>
      <c r="K40" s="2909">
        <f>+K41</f>
        <v>0</v>
      </c>
      <c r="L40" s="2909">
        <f>+L41</f>
        <v>0</v>
      </c>
      <c r="M40" s="2921">
        <f>+M41</f>
        <v>313778055</v>
      </c>
      <c r="N40" s="2916"/>
      <c r="P40" s="452"/>
    </row>
    <row r="41" spans="1:16" ht="14.25" customHeight="1">
      <c r="A41" s="2903"/>
      <c r="B41" s="2922" t="s">
        <v>19</v>
      </c>
      <c r="C41" s="2923"/>
      <c r="D41" s="2924">
        <f>+D329+D149+D119+D342+D317+D355+D84+D135+D59+D96+D72+D107+D161+D173+D185+D197+D209+D221+D233+D245+D257+D269+D281+D293+D305</f>
        <v>417977618</v>
      </c>
      <c r="E41" s="2924">
        <f t="shared" ref="E41:J41" si="49">+E329+E149+E119+E342+E317+E355+E84+E135+E59+E96+E72+E107+E161+E173+E185+E197+E209+E221+E233+E245+E257+E269+E281+E293+E305</f>
        <v>104199563</v>
      </c>
      <c r="F41" s="2924">
        <f>+F329+F149+F119+F342+F317+F355+F84+F135+F59+F96+F72+F107+F161+F173+F185+F197+F209+F221+F233+F245+F257+F269+F281+F293+F305</f>
        <v>105391996</v>
      </c>
      <c r="G41" s="2924">
        <f t="shared" si="49"/>
        <v>132991059</v>
      </c>
      <c r="H41" s="2924">
        <f t="shared" si="49"/>
        <v>75395000</v>
      </c>
      <c r="I41" s="2925">
        <f t="shared" si="49"/>
        <v>0</v>
      </c>
      <c r="J41" s="2925">
        <f t="shared" si="49"/>
        <v>0</v>
      </c>
      <c r="K41" s="2924">
        <f>+K329+K149+K119+K342+K317+K355+K84+K135+K59+K96+K72+K107+K161+K173+K185+K197+K209+K221+K233+K245+K257+K269+K281+K293+K305</f>
        <v>0</v>
      </c>
      <c r="L41" s="2924">
        <f>+L329+L149+L119+L342+L317+L355+L84+L135+L59+L96+L72+L107+L161+L173+L185+L197+L209+L221+L233+L245+L257+L269+L281+L293+L305</f>
        <v>0</v>
      </c>
      <c r="M41" s="813">
        <f>SUM(F41:J41)</f>
        <v>313778055</v>
      </c>
      <c r="N41" s="2906"/>
      <c r="O41" s="3636">
        <f>D41-D50</f>
        <v>0</v>
      </c>
      <c r="P41" s="452"/>
    </row>
    <row r="42" spans="1:16" ht="14.25" customHeight="1">
      <c r="A42" s="2903"/>
      <c r="B42" s="1212" t="s">
        <v>20</v>
      </c>
      <c r="C42" s="1419"/>
      <c r="D42" s="2904">
        <f>+D43+D48</f>
        <v>437695579</v>
      </c>
      <c r="E42" s="2904">
        <f t="shared" ref="E42:J42" si="50">+E43+E48</f>
        <v>109407372</v>
      </c>
      <c r="F42" s="2904">
        <f t="shared" si="50"/>
        <v>108687974</v>
      </c>
      <c r="G42" s="2904">
        <f t="shared" si="50"/>
        <v>130805425</v>
      </c>
      <c r="H42" s="2904">
        <f t="shared" si="50"/>
        <v>88794808</v>
      </c>
      <c r="I42" s="2905">
        <f t="shared" si="50"/>
        <v>0</v>
      </c>
      <c r="J42" s="2905">
        <f t="shared" si="50"/>
        <v>0</v>
      </c>
      <c r="K42" s="2904">
        <f>+K43+K48</f>
        <v>0</v>
      </c>
      <c r="L42" s="2904">
        <f>+L43+L48</f>
        <v>0</v>
      </c>
      <c r="M42" s="3978" t="s">
        <v>21</v>
      </c>
      <c r="N42" s="2916"/>
      <c r="O42" s="3635"/>
      <c r="P42" s="3635"/>
    </row>
    <row r="43" spans="1:16" ht="14.25" customHeight="1">
      <c r="A43" s="2903"/>
      <c r="B43" s="2926" t="s">
        <v>22</v>
      </c>
      <c r="C43" s="2927"/>
      <c r="D43" s="2928">
        <f>+D44+D45+D46+D47</f>
        <v>19717961</v>
      </c>
      <c r="E43" s="2928">
        <f t="shared" ref="E43:J43" si="51">+E44+E45+E46+E47</f>
        <v>6592235</v>
      </c>
      <c r="F43" s="2928">
        <f t="shared" si="51"/>
        <v>4290702</v>
      </c>
      <c r="G43" s="2909">
        <f t="shared" si="51"/>
        <v>8435216</v>
      </c>
      <c r="H43" s="2909">
        <f t="shared" si="51"/>
        <v>399808</v>
      </c>
      <c r="I43" s="2929">
        <f t="shared" si="51"/>
        <v>0</v>
      </c>
      <c r="J43" s="2929">
        <f t="shared" si="51"/>
        <v>0</v>
      </c>
      <c r="K43" s="2928">
        <f>+K44+K45+K46+K47</f>
        <v>0</v>
      </c>
      <c r="L43" s="2928">
        <f>+L44+L45+L46+L47</f>
        <v>0</v>
      </c>
      <c r="M43" s="3979"/>
      <c r="N43" s="2916"/>
      <c r="O43" s="3636"/>
      <c r="P43" s="3635"/>
    </row>
    <row r="44" spans="1:16" ht="14.25" customHeight="1">
      <c r="A44" s="2903"/>
      <c r="B44" s="2930" t="s">
        <v>14</v>
      </c>
      <c r="C44" s="2931"/>
      <c r="D44" s="2932">
        <f>+D152+D346+D320+D87+D123+D139+D99+D212+D224+D176+D236+D296</f>
        <v>19717961</v>
      </c>
      <c r="E44" s="2932">
        <f>+E152+E346+E320+E87+E123+E139+E99+E212+E224+E176+E236+E296</f>
        <v>6592235</v>
      </c>
      <c r="F44" s="2932">
        <f>+F152+F346+F320+F87+F123+F139+F99+F212+F224+F176+F236+F296</f>
        <v>4290702</v>
      </c>
      <c r="G44" s="2914">
        <f>+G152+G346+G320+G87+G123+G139+G99+G212+G224+G176+G236+G296</f>
        <v>8435216</v>
      </c>
      <c r="H44" s="2914">
        <f>+H296</f>
        <v>399808</v>
      </c>
      <c r="I44" s="2933">
        <f t="shared" ref="I44:J44" si="52">+I152+I346+I320+I87+I123+I139+I99+I212+I224+I176+I236</f>
        <v>0</v>
      </c>
      <c r="J44" s="2933">
        <f t="shared" si="52"/>
        <v>0</v>
      </c>
      <c r="K44" s="2932">
        <f>+K152+K346+K320+K87+K123+K139+K99+K212+K224+K176+K236</f>
        <v>0</v>
      </c>
      <c r="L44" s="2932">
        <f>+L152+L346+L320+L87+L123+L139+L99+L212+L224+L176+L236</f>
        <v>0</v>
      </c>
      <c r="M44" s="3979"/>
      <c r="N44" s="2916"/>
      <c r="O44" s="3635"/>
      <c r="P44" s="3635"/>
    </row>
    <row r="45" spans="1:16" ht="14.25" hidden="1" customHeight="1">
      <c r="A45" s="2903"/>
      <c r="B45" s="2917" t="s">
        <v>16</v>
      </c>
      <c r="C45" s="2931"/>
      <c r="D45" s="2932">
        <f t="shared" ref="D45:J45" si="53">+D122+D138+D62+D75+D358</f>
        <v>0</v>
      </c>
      <c r="E45" s="2932">
        <f t="shared" si="53"/>
        <v>0</v>
      </c>
      <c r="F45" s="2932">
        <f t="shared" si="53"/>
        <v>0</v>
      </c>
      <c r="G45" s="2932">
        <f t="shared" si="53"/>
        <v>0</v>
      </c>
      <c r="H45" s="2932">
        <f t="shared" si="53"/>
        <v>0</v>
      </c>
      <c r="I45" s="2933">
        <f t="shared" si="53"/>
        <v>0</v>
      </c>
      <c r="J45" s="2933">
        <f t="shared" si="53"/>
        <v>0</v>
      </c>
      <c r="K45" s="2932">
        <f>+K122+K138+K62+K75+K358</f>
        <v>0</v>
      </c>
      <c r="L45" s="2932">
        <f>+L122+L138+L62+L75+L358</f>
        <v>0</v>
      </c>
      <c r="M45" s="3979"/>
      <c r="N45" s="2916"/>
      <c r="O45" s="3635"/>
      <c r="P45" s="3635"/>
    </row>
    <row r="46" spans="1:16" ht="14.25" hidden="1" customHeight="1">
      <c r="A46" s="2903"/>
      <c r="B46" s="2917" t="s">
        <v>24</v>
      </c>
      <c r="C46" s="2931"/>
      <c r="D46" s="2932"/>
      <c r="E46" s="2932"/>
      <c r="F46" s="2932"/>
      <c r="G46" s="2932"/>
      <c r="H46" s="2932"/>
      <c r="I46" s="2933"/>
      <c r="J46" s="2933"/>
      <c r="K46" s="2932"/>
      <c r="L46" s="2932"/>
      <c r="M46" s="3979"/>
      <c r="N46" s="2916"/>
      <c r="O46" s="3635"/>
      <c r="P46" s="3635"/>
    </row>
    <row r="47" spans="1:16" ht="14.25" hidden="1" customHeight="1">
      <c r="A47" s="2903"/>
      <c r="B47" s="2917" t="s">
        <v>48</v>
      </c>
      <c r="C47" s="2931"/>
      <c r="D47" s="2932">
        <f>+D332+D345</f>
        <v>0</v>
      </c>
      <c r="E47" s="2932">
        <f t="shared" ref="E47:J47" si="54">+E332+E345</f>
        <v>0</v>
      </c>
      <c r="F47" s="2932">
        <f t="shared" si="54"/>
        <v>0</v>
      </c>
      <c r="G47" s="2932">
        <f t="shared" si="54"/>
        <v>0</v>
      </c>
      <c r="H47" s="2932">
        <f t="shared" si="54"/>
        <v>0</v>
      </c>
      <c r="I47" s="2933">
        <f t="shared" si="54"/>
        <v>0</v>
      </c>
      <c r="J47" s="2933">
        <f t="shared" si="54"/>
        <v>0</v>
      </c>
      <c r="K47" s="2932">
        <f>+K332+K345</f>
        <v>0</v>
      </c>
      <c r="L47" s="2932">
        <f>+L332+L345</f>
        <v>0</v>
      </c>
      <c r="M47" s="3979"/>
      <c r="N47" s="2916"/>
      <c r="O47" s="3635"/>
      <c r="P47" s="3635"/>
    </row>
    <row r="48" spans="1:16" ht="12" customHeight="1">
      <c r="A48" s="2903"/>
      <c r="B48" s="2934" t="s">
        <v>17</v>
      </c>
      <c r="C48" s="2935"/>
      <c r="D48" s="2936">
        <f t="shared" ref="D48:J48" si="55">+D49+D50</f>
        <v>417977618</v>
      </c>
      <c r="E48" s="2936">
        <f t="shared" si="55"/>
        <v>102815137</v>
      </c>
      <c r="F48" s="2936">
        <f t="shared" si="55"/>
        <v>104397272</v>
      </c>
      <c r="G48" s="2936">
        <f t="shared" si="55"/>
        <v>122370209</v>
      </c>
      <c r="H48" s="2936">
        <f t="shared" si="55"/>
        <v>88395000</v>
      </c>
      <c r="I48" s="2937">
        <f t="shared" si="55"/>
        <v>0</v>
      </c>
      <c r="J48" s="2937">
        <f t="shared" si="55"/>
        <v>0</v>
      </c>
      <c r="K48" s="2936">
        <f>+K49+K50</f>
        <v>0</v>
      </c>
      <c r="L48" s="2936">
        <f>+L49+L50</f>
        <v>0</v>
      </c>
      <c r="M48" s="3979"/>
      <c r="N48" s="2916"/>
      <c r="O48" s="3635"/>
      <c r="P48" s="3635"/>
    </row>
    <row r="49" spans="1:16" ht="14.25" hidden="1" customHeight="1">
      <c r="A49" s="2903"/>
      <c r="B49" s="2917" t="s">
        <v>16</v>
      </c>
      <c r="C49" s="2918"/>
      <c r="D49" s="2932">
        <f>+D125+D141+D64</f>
        <v>0</v>
      </c>
      <c r="E49" s="2932">
        <f t="shared" ref="E49:J49" si="56">+E125+E141+E64</f>
        <v>0</v>
      </c>
      <c r="F49" s="2932">
        <f t="shared" si="56"/>
        <v>0</v>
      </c>
      <c r="G49" s="2932">
        <f t="shared" si="56"/>
        <v>0</v>
      </c>
      <c r="H49" s="2932">
        <f t="shared" si="56"/>
        <v>0</v>
      </c>
      <c r="I49" s="2933">
        <f t="shared" si="56"/>
        <v>0</v>
      </c>
      <c r="J49" s="2933">
        <f t="shared" si="56"/>
        <v>0</v>
      </c>
      <c r="K49" s="2932">
        <f>+K125+K141+K64</f>
        <v>0</v>
      </c>
      <c r="L49" s="2932">
        <f>+L125+L141+L64</f>
        <v>0</v>
      </c>
      <c r="M49" s="3979"/>
      <c r="N49" s="2916"/>
      <c r="O49" s="3636"/>
      <c r="P49" s="3635"/>
    </row>
    <row r="50" spans="1:16" ht="14.25" customHeight="1" thickBot="1">
      <c r="A50" s="2938"/>
      <c r="B50" s="2939" t="s">
        <v>19</v>
      </c>
      <c r="C50" s="2940"/>
      <c r="D50" s="2941">
        <f>+D334+D154+D126+D348+D322+D360++D89+D142+D65+D101+D77+D110+D166+D178+D190+D202+D214+D226+D238+D250+D262+D274+D286+D298+D310</f>
        <v>417977618</v>
      </c>
      <c r="E50" s="2941">
        <f t="shared" ref="E50:J50" si="57">+E334+E154+E126+E348+E322+E360++E89+E142+E65+E101+E77+E110+E166+E178+E190+E202+E214+E226+E238+E250+E262+E274+E286+E298+E310</f>
        <v>102815137</v>
      </c>
      <c r="F50" s="2941">
        <f t="shared" si="57"/>
        <v>104397272</v>
      </c>
      <c r="G50" s="2941">
        <f t="shared" si="57"/>
        <v>122370209</v>
      </c>
      <c r="H50" s="2941">
        <f t="shared" si="57"/>
        <v>88395000</v>
      </c>
      <c r="I50" s="2942">
        <f t="shared" si="57"/>
        <v>0</v>
      </c>
      <c r="J50" s="2942">
        <f t="shared" si="57"/>
        <v>0</v>
      </c>
      <c r="K50" s="2941">
        <f>+K334+K154+K126+K348+K322+K360++K89+K142+K65+K101+K77+K110+K166+K178+K190+K202+K214+K226+K238+K250+K262+K274+K286+K298+K310</f>
        <v>0</v>
      </c>
      <c r="L50" s="2941">
        <f>+L334+L154+L126+L348+L322+L360++L89+L142+L65+L101+L77+L110+L166+L178+L190+L202+L214+L226+L238+L250+L262+L274+L286+L298+L310</f>
        <v>0</v>
      </c>
      <c r="M50" s="3980"/>
      <c r="N50" s="2943"/>
      <c r="O50" s="3636"/>
      <c r="P50" s="3635"/>
    </row>
    <row r="51" spans="1:16" s="2951" customFormat="1" ht="17.25" hidden="1" customHeight="1" thickBot="1">
      <c r="A51" s="3586"/>
      <c r="B51" s="2944" t="s">
        <v>390</v>
      </c>
      <c r="C51" s="2945"/>
      <c r="D51" s="2946"/>
      <c r="E51" s="2947"/>
      <c r="F51" s="2948"/>
      <c r="G51" s="2948"/>
      <c r="H51" s="2948"/>
      <c r="I51" s="2948"/>
      <c r="J51" s="2948"/>
      <c r="K51" s="2948"/>
      <c r="L51" s="2948"/>
      <c r="M51" s="2949"/>
      <c r="N51" s="2950"/>
      <c r="O51" s="3638"/>
      <c r="P51" s="3638"/>
    </row>
    <row r="52" spans="1:16" ht="23.25" hidden="1" customHeight="1">
      <c r="A52" s="3949"/>
      <c r="B52" s="2952" t="s">
        <v>555</v>
      </c>
      <c r="C52" s="25" t="s">
        <v>70</v>
      </c>
      <c r="D52" s="2953"/>
      <c r="E52" s="2954"/>
      <c r="F52" s="2955"/>
      <c r="G52" s="2955"/>
      <c r="H52" s="2955"/>
      <c r="I52" s="2955"/>
      <c r="J52" s="2955"/>
      <c r="K52" s="2955"/>
      <c r="L52" s="2955"/>
      <c r="M52" s="22"/>
      <c r="N52" s="2956" t="s">
        <v>71</v>
      </c>
      <c r="O52" s="3635"/>
      <c r="P52" s="3635"/>
    </row>
    <row r="53" spans="1:16" ht="12.75" hidden="1" customHeight="1">
      <c r="A53" s="3950"/>
      <c r="B53" s="1212" t="s">
        <v>9</v>
      </c>
      <c r="C53" s="1419"/>
      <c r="D53" s="2957">
        <f t="shared" ref="D53" si="58">+D54+D57</f>
        <v>0</v>
      </c>
      <c r="E53" s="2957">
        <f>+E54+E57</f>
        <v>0</v>
      </c>
      <c r="F53" s="2957"/>
      <c r="G53" s="2957"/>
      <c r="H53" s="2957"/>
      <c r="I53" s="2957"/>
      <c r="J53" s="2957"/>
      <c r="K53" s="2957"/>
      <c r="L53" s="2957">
        <f>+L54+L57</f>
        <v>0</v>
      </c>
      <c r="M53" s="799">
        <f>+M54+M57</f>
        <v>0</v>
      </c>
      <c r="N53" s="3915" t="s">
        <v>72</v>
      </c>
      <c r="O53" s="3635"/>
      <c r="P53" s="3635"/>
    </row>
    <row r="54" spans="1:16" ht="12" hidden="1" customHeight="1">
      <c r="A54" s="3950"/>
      <c r="B54" s="1225" t="s">
        <v>22</v>
      </c>
      <c r="C54" s="3859" t="s">
        <v>73</v>
      </c>
      <c r="D54" s="811">
        <f t="shared" ref="D54" si="59">+D55+D56</f>
        <v>0</v>
      </c>
      <c r="E54" s="811">
        <f>+E55+E56</f>
        <v>0</v>
      </c>
      <c r="F54" s="811"/>
      <c r="G54" s="811"/>
      <c r="H54" s="811"/>
      <c r="I54" s="811"/>
      <c r="J54" s="811"/>
      <c r="K54" s="811"/>
      <c r="L54" s="811">
        <f>+L55+L56</f>
        <v>0</v>
      </c>
      <c r="M54" s="802">
        <f>+M55+M56</f>
        <v>0</v>
      </c>
      <c r="N54" s="3915"/>
      <c r="O54" s="3635"/>
      <c r="P54" s="3635"/>
    </row>
    <row r="55" spans="1:16" ht="12" hidden="1" customHeight="1">
      <c r="A55" s="3950"/>
      <c r="B55" s="2958" t="s">
        <v>11</v>
      </c>
      <c r="C55" s="3908"/>
      <c r="D55" s="766">
        <f>E55+L55+K55+F55+G55+H55+I55+J55</f>
        <v>0</v>
      </c>
      <c r="E55" s="787"/>
      <c r="F55" s="812"/>
      <c r="G55" s="812"/>
      <c r="H55" s="812"/>
      <c r="I55" s="812"/>
      <c r="J55" s="812"/>
      <c r="K55" s="812"/>
      <c r="L55" s="2959"/>
      <c r="M55" s="813">
        <f>SUM(F55:J55)</f>
        <v>0</v>
      </c>
      <c r="N55" s="3915"/>
      <c r="O55" s="3635"/>
      <c r="P55" s="3635"/>
    </row>
    <row r="56" spans="1:16" ht="12" hidden="1" customHeight="1">
      <c r="A56" s="3950"/>
      <c r="B56" s="848" t="s">
        <v>16</v>
      </c>
      <c r="C56" s="3908"/>
      <c r="D56" s="766">
        <f>E56+L56+K56+F56+G56+H56+I56+J56</f>
        <v>0</v>
      </c>
      <c r="E56" s="787"/>
      <c r="F56" s="812"/>
      <c r="G56" s="812"/>
      <c r="H56" s="812"/>
      <c r="I56" s="812"/>
      <c r="J56" s="812"/>
      <c r="K56" s="812"/>
      <c r="L56" s="812"/>
      <c r="M56" s="813">
        <f>SUM(F56:J56)</f>
        <v>0</v>
      </c>
      <c r="N56" s="3915"/>
      <c r="O56" s="3635"/>
      <c r="P56" s="3635"/>
    </row>
    <row r="57" spans="1:16" ht="12" hidden="1" customHeight="1">
      <c r="A57" s="3950"/>
      <c r="B57" s="823" t="s">
        <v>17</v>
      </c>
      <c r="C57" s="3908"/>
      <c r="D57" s="801">
        <f>+D58+D59</f>
        <v>0</v>
      </c>
      <c r="E57" s="801">
        <f t="shared" ref="E57" si="60">+E58+E59</f>
        <v>0</v>
      </c>
      <c r="F57" s="801"/>
      <c r="G57" s="801"/>
      <c r="H57" s="801"/>
      <c r="I57" s="801"/>
      <c r="J57" s="801"/>
      <c r="K57" s="801"/>
      <c r="L57" s="801"/>
      <c r="M57" s="802">
        <f>+M58+M59</f>
        <v>0</v>
      </c>
      <c r="N57" s="3915"/>
      <c r="O57" s="3635"/>
      <c r="P57" s="3635"/>
    </row>
    <row r="58" spans="1:16" ht="12" hidden="1" customHeight="1">
      <c r="A58" s="3950"/>
      <c r="B58" s="1530" t="s">
        <v>16</v>
      </c>
      <c r="C58" s="3908"/>
      <c r="D58" s="766">
        <f>E58+L58+K58+F58+G58+H58+I58+J58</f>
        <v>0</v>
      </c>
      <c r="E58" s="810"/>
      <c r="F58" s="812"/>
      <c r="G58" s="812"/>
      <c r="H58" s="2960"/>
      <c r="I58" s="2960"/>
      <c r="J58" s="2960"/>
      <c r="K58" s="812"/>
      <c r="L58" s="812"/>
      <c r="M58" s="2961"/>
      <c r="N58" s="3915"/>
      <c r="O58" s="3635"/>
      <c r="P58" s="3635"/>
    </row>
    <row r="59" spans="1:16" ht="12" hidden="1" customHeight="1">
      <c r="A59" s="3950"/>
      <c r="B59" s="1530" t="s">
        <v>19</v>
      </c>
      <c r="C59" s="3920"/>
      <c r="D59" s="766">
        <f>E59+L59+K59+F59+G59+H59+I59+J59</f>
        <v>0</v>
      </c>
      <c r="E59" s="787"/>
      <c r="F59" s="812"/>
      <c r="G59" s="812"/>
      <c r="H59" s="812"/>
      <c r="I59" s="812"/>
      <c r="J59" s="812"/>
      <c r="K59" s="812"/>
      <c r="L59" s="812"/>
      <c r="M59" s="813">
        <f>SUM(F59:J59)</f>
        <v>0</v>
      </c>
      <c r="N59" s="3916"/>
      <c r="O59" s="3635"/>
      <c r="P59" s="3635"/>
    </row>
    <row r="60" spans="1:16" ht="13.5" hidden="1" customHeight="1">
      <c r="A60" s="3950"/>
      <c r="B60" s="37" t="s">
        <v>20</v>
      </c>
      <c r="C60" s="1419"/>
      <c r="D60" s="798">
        <f t="shared" ref="D60" si="61">+D63+D61</f>
        <v>0</v>
      </c>
      <c r="E60" s="798">
        <f>+E63+E61</f>
        <v>0</v>
      </c>
      <c r="F60" s="798"/>
      <c r="G60" s="798"/>
      <c r="H60" s="2962"/>
      <c r="I60" s="2962"/>
      <c r="J60" s="2962"/>
      <c r="K60" s="798"/>
      <c r="L60" s="798"/>
      <c r="M60" s="3883" t="s">
        <v>21</v>
      </c>
      <c r="N60" s="3867" t="s">
        <v>182</v>
      </c>
      <c r="O60" s="3636">
        <v>0</v>
      </c>
      <c r="P60" s="3635"/>
    </row>
    <row r="61" spans="1:16" ht="12" hidden="1" customHeight="1">
      <c r="A61" s="3950"/>
      <c r="B61" s="805" t="s">
        <v>22</v>
      </c>
      <c r="C61" s="3859" t="s">
        <v>74</v>
      </c>
      <c r="D61" s="801">
        <f t="shared" ref="D61:E61" si="62">+D62</f>
        <v>0</v>
      </c>
      <c r="E61" s="801">
        <f t="shared" si="62"/>
        <v>0</v>
      </c>
      <c r="F61" s="801"/>
      <c r="G61" s="801"/>
      <c r="H61" s="801"/>
      <c r="I61" s="801"/>
      <c r="J61" s="801"/>
      <c r="K61" s="801"/>
      <c r="L61" s="801"/>
      <c r="M61" s="3881"/>
      <c r="N61" s="3868"/>
      <c r="O61" s="3635"/>
      <c r="P61" s="3635"/>
    </row>
    <row r="62" spans="1:16" ht="12" hidden="1" customHeight="1">
      <c r="A62" s="3950"/>
      <c r="B62" s="818" t="s">
        <v>16</v>
      </c>
      <c r="C62" s="3908"/>
      <c r="D62" s="766">
        <f>E62+L62+K62+F62+G62+H62+I62+J62</f>
        <v>0</v>
      </c>
      <c r="E62" s="787"/>
      <c r="F62" s="815"/>
      <c r="G62" s="801"/>
      <c r="H62" s="801"/>
      <c r="I62" s="801"/>
      <c r="J62" s="801"/>
      <c r="K62" s="815"/>
      <c r="L62" s="815"/>
      <c r="M62" s="3881"/>
      <c r="N62" s="3868"/>
      <c r="O62" s="3635"/>
      <c r="P62" s="3635"/>
    </row>
    <row r="63" spans="1:16" ht="12" hidden="1" customHeight="1">
      <c r="A63" s="3950"/>
      <c r="B63" s="1226" t="s">
        <v>17</v>
      </c>
      <c r="C63" s="3908"/>
      <c r="D63" s="816">
        <f t="shared" ref="D63:E63" si="63">+D64+D65</f>
        <v>0</v>
      </c>
      <c r="E63" s="816">
        <f t="shared" si="63"/>
        <v>0</v>
      </c>
      <c r="F63" s="2963"/>
      <c r="G63" s="815"/>
      <c r="H63" s="815"/>
      <c r="I63" s="815"/>
      <c r="J63" s="815"/>
      <c r="K63" s="2963"/>
      <c r="L63" s="2963"/>
      <c r="M63" s="3881"/>
      <c r="N63" s="3868"/>
      <c r="O63" s="3635"/>
      <c r="P63" s="3635"/>
    </row>
    <row r="64" spans="1:16" ht="12" hidden="1" customHeight="1">
      <c r="A64" s="3950"/>
      <c r="B64" s="1530" t="s">
        <v>16</v>
      </c>
      <c r="C64" s="3908"/>
      <c r="D64" s="766">
        <f>E64+L64+K64+F64+G64+H64+I64+J64</f>
        <v>0</v>
      </c>
      <c r="E64" s="2783"/>
      <c r="F64" s="815"/>
      <c r="G64" s="2963"/>
      <c r="H64" s="2963"/>
      <c r="I64" s="2963"/>
      <c r="J64" s="2963"/>
      <c r="K64" s="815"/>
      <c r="L64" s="815"/>
      <c r="M64" s="3881"/>
      <c r="N64" s="3868"/>
      <c r="O64" s="3635"/>
      <c r="P64" s="3635"/>
    </row>
    <row r="65" spans="1:18" ht="10.5" hidden="1" customHeight="1" thickBot="1">
      <c r="A65" s="3951"/>
      <c r="B65" s="2964" t="s">
        <v>19</v>
      </c>
      <c r="C65" s="3909"/>
      <c r="D65" s="1142">
        <f>E65+L65+K65+F65+G65+H65+I65+J65</f>
        <v>0</v>
      </c>
      <c r="E65" s="1142"/>
      <c r="F65" s="2965"/>
      <c r="G65" s="2966"/>
      <c r="H65" s="2966"/>
      <c r="I65" s="2966"/>
      <c r="J65" s="2966"/>
      <c r="K65" s="2965"/>
      <c r="L65" s="2965"/>
      <c r="M65" s="3882"/>
      <c r="N65" s="3869"/>
      <c r="O65" s="3635"/>
      <c r="P65" s="3635"/>
    </row>
    <row r="66" spans="1:18" ht="25.5" hidden="1" customHeight="1">
      <c r="A66" s="3873"/>
      <c r="B66" s="32" t="s">
        <v>556</v>
      </c>
      <c r="C66" s="25" t="s">
        <v>70</v>
      </c>
      <c r="D66" s="2953"/>
      <c r="E66" s="21"/>
      <c r="F66" s="2967"/>
      <c r="G66" s="21"/>
      <c r="H66" s="2967"/>
      <c r="I66" s="2967"/>
      <c r="J66" s="2967"/>
      <c r="K66" s="2954"/>
      <c r="L66" s="2954"/>
      <c r="M66" s="2968"/>
      <c r="N66" s="2956" t="s">
        <v>71</v>
      </c>
      <c r="O66" s="3635"/>
      <c r="P66" s="3635"/>
      <c r="R66" s="2969"/>
    </row>
    <row r="67" spans="1:18" ht="13.5" hidden="1" customHeight="1">
      <c r="A67" s="3874"/>
      <c r="B67" s="1195" t="s">
        <v>9</v>
      </c>
      <c r="C67" s="1419"/>
      <c r="D67" s="2957">
        <f>+D68+D71</f>
        <v>0</v>
      </c>
      <c r="E67" s="2957">
        <f>+E68+E71</f>
        <v>0</v>
      </c>
      <c r="F67" s="2957"/>
      <c r="G67" s="2957"/>
      <c r="H67" s="2957"/>
      <c r="I67" s="2957"/>
      <c r="J67" s="2957"/>
      <c r="K67" s="2957"/>
      <c r="L67" s="2957">
        <f>+L68+L71</f>
        <v>0</v>
      </c>
      <c r="M67" s="799">
        <f>+M68+M71</f>
        <v>0</v>
      </c>
      <c r="N67" s="3915" t="s">
        <v>72</v>
      </c>
      <c r="O67" s="3636"/>
      <c r="P67" s="3636"/>
      <c r="Q67" s="236"/>
      <c r="R67" s="236"/>
    </row>
    <row r="68" spans="1:18" ht="12" hidden="1" customHeight="1">
      <c r="A68" s="3874"/>
      <c r="B68" s="1529" t="s">
        <v>22</v>
      </c>
      <c r="C68" s="3859" t="s">
        <v>73</v>
      </c>
      <c r="D68" s="811">
        <f>+D69+D70</f>
        <v>0</v>
      </c>
      <c r="E68" s="811">
        <f>+E69+E70</f>
        <v>0</v>
      </c>
      <c r="F68" s="811"/>
      <c r="G68" s="811"/>
      <c r="H68" s="811"/>
      <c r="I68" s="811"/>
      <c r="J68" s="811"/>
      <c r="K68" s="811"/>
      <c r="L68" s="811">
        <f>+L69+L70</f>
        <v>0</v>
      </c>
      <c r="M68" s="1013">
        <f>+M69+M70</f>
        <v>0</v>
      </c>
      <c r="N68" s="3915"/>
      <c r="O68" s="3635"/>
      <c r="P68" s="3635"/>
    </row>
    <row r="69" spans="1:18" ht="12" hidden="1" customHeight="1">
      <c r="A69" s="3874"/>
      <c r="B69" s="1530" t="s">
        <v>11</v>
      </c>
      <c r="C69" s="3908"/>
      <c r="D69" s="766">
        <f>E69+L69+K69+F69+G69+H69+I69+J69</f>
        <v>0</v>
      </c>
      <c r="E69" s="787"/>
      <c r="F69" s="812"/>
      <c r="G69" s="812"/>
      <c r="H69" s="812"/>
      <c r="I69" s="812"/>
      <c r="J69" s="812"/>
      <c r="K69" s="812"/>
      <c r="L69" s="2959"/>
      <c r="M69" s="813">
        <f>SUM(F69:J69)</f>
        <v>0</v>
      </c>
      <c r="N69" s="3915"/>
      <c r="O69" s="3635"/>
      <c r="P69" s="3635"/>
    </row>
    <row r="70" spans="1:18" ht="12" hidden="1" customHeight="1">
      <c r="A70" s="3874"/>
      <c r="B70" s="1530" t="s">
        <v>16</v>
      </c>
      <c r="C70" s="3908"/>
      <c r="D70" s="766">
        <f>E70+L70+K70+F70+G70+H70+I70+J70</f>
        <v>0</v>
      </c>
      <c r="E70" s="787"/>
      <c r="F70" s="812"/>
      <c r="G70" s="812"/>
      <c r="H70" s="812"/>
      <c r="I70" s="812"/>
      <c r="J70" s="812"/>
      <c r="K70" s="812"/>
      <c r="L70" s="812"/>
      <c r="M70" s="813">
        <f>SUM(F70:J70)</f>
        <v>0</v>
      </c>
      <c r="N70" s="3915"/>
      <c r="O70" s="3635"/>
      <c r="P70" s="3635"/>
    </row>
    <row r="71" spans="1:18" ht="12" hidden="1" customHeight="1">
      <c r="A71" s="3874"/>
      <c r="B71" s="1658" t="s">
        <v>17</v>
      </c>
      <c r="C71" s="3908"/>
      <c r="D71" s="801">
        <f>+D72</f>
        <v>0</v>
      </c>
      <c r="E71" s="801">
        <f t="shared" ref="E71" si="64">+E72</f>
        <v>0</v>
      </c>
      <c r="F71" s="801"/>
      <c r="G71" s="801"/>
      <c r="H71" s="801"/>
      <c r="I71" s="801"/>
      <c r="J71" s="801"/>
      <c r="K71" s="801"/>
      <c r="L71" s="801"/>
      <c r="M71" s="1013">
        <f>+M72</f>
        <v>0</v>
      </c>
      <c r="N71" s="3915"/>
      <c r="O71" s="3635"/>
      <c r="P71" s="3635"/>
    </row>
    <row r="72" spans="1:18" ht="12" hidden="1" customHeight="1">
      <c r="A72" s="3874"/>
      <c r="B72" s="1530" t="s">
        <v>19</v>
      </c>
      <c r="C72" s="2970"/>
      <c r="D72" s="789">
        <f>E72+L72+K72+F72+G72+H72+I72+J72</f>
        <v>0</v>
      </c>
      <c r="E72" s="787"/>
      <c r="F72" s="812"/>
      <c r="G72" s="812"/>
      <c r="H72" s="812"/>
      <c r="I72" s="812"/>
      <c r="J72" s="812"/>
      <c r="K72" s="812"/>
      <c r="L72" s="812"/>
      <c r="M72" s="813">
        <f>SUM(F72:J72)</f>
        <v>0</v>
      </c>
      <c r="N72" s="3916"/>
      <c r="O72" s="3635"/>
      <c r="P72" s="3635"/>
    </row>
    <row r="73" spans="1:18" ht="12" hidden="1" customHeight="1">
      <c r="A73" s="3874"/>
      <c r="B73" s="89" t="s">
        <v>20</v>
      </c>
      <c r="C73" s="40"/>
      <c r="D73" s="42">
        <f t="shared" ref="D73" si="65">+D76+D74</f>
        <v>0</v>
      </c>
      <c r="E73" s="42">
        <f>+E76+E74</f>
        <v>0</v>
      </c>
      <c r="F73" s="42"/>
      <c r="G73" s="42"/>
      <c r="H73" s="42"/>
      <c r="I73" s="42"/>
      <c r="J73" s="42"/>
      <c r="K73" s="42"/>
      <c r="L73" s="42"/>
      <c r="M73" s="3881" t="s">
        <v>21</v>
      </c>
      <c r="N73" s="3919" t="s">
        <v>182</v>
      </c>
      <c r="O73" s="3636"/>
      <c r="P73" s="3635"/>
    </row>
    <row r="74" spans="1:18" ht="12" hidden="1" customHeight="1">
      <c r="A74" s="3874"/>
      <c r="B74" s="814" t="s">
        <v>22</v>
      </c>
      <c r="C74" s="3859" t="s">
        <v>74</v>
      </c>
      <c r="D74" s="801">
        <f t="shared" ref="D74:E74" si="66">+D75</f>
        <v>0</v>
      </c>
      <c r="E74" s="801">
        <f t="shared" si="66"/>
        <v>0</v>
      </c>
      <c r="F74" s="801"/>
      <c r="G74" s="801"/>
      <c r="H74" s="801"/>
      <c r="I74" s="801"/>
      <c r="J74" s="801"/>
      <c r="K74" s="801"/>
      <c r="L74" s="801"/>
      <c r="M74" s="3881"/>
      <c r="N74" s="3915"/>
      <c r="O74" s="3635"/>
      <c r="P74" s="3635"/>
    </row>
    <row r="75" spans="1:18" ht="12" hidden="1" customHeight="1">
      <c r="A75" s="3874"/>
      <c r="B75" s="818" t="s">
        <v>16</v>
      </c>
      <c r="C75" s="3908"/>
      <c r="D75" s="766">
        <f>E75+L75+K75+F75+G75+H75+I75+J75</f>
        <v>0</v>
      </c>
      <c r="E75" s="787"/>
      <c r="F75" s="815"/>
      <c r="G75" s="815"/>
      <c r="H75" s="815"/>
      <c r="I75" s="815"/>
      <c r="J75" s="815"/>
      <c r="K75" s="815"/>
      <c r="L75" s="815"/>
      <c r="M75" s="3881"/>
      <c r="N75" s="3915"/>
      <c r="O75" s="3635"/>
      <c r="P75" s="3635"/>
    </row>
    <row r="76" spans="1:18" ht="12" hidden="1" customHeight="1">
      <c r="A76" s="3874"/>
      <c r="B76" s="1658" t="s">
        <v>17</v>
      </c>
      <c r="C76" s="3908"/>
      <c r="D76" s="816">
        <f>+D77</f>
        <v>0</v>
      </c>
      <c r="E76" s="816">
        <f t="shared" ref="E76" si="67">+E77</f>
        <v>0</v>
      </c>
      <c r="F76" s="816"/>
      <c r="G76" s="816"/>
      <c r="H76" s="816"/>
      <c r="I76" s="816"/>
      <c r="J76" s="816"/>
      <c r="K76" s="816"/>
      <c r="L76" s="816"/>
      <c r="M76" s="3881"/>
      <c r="N76" s="3915"/>
      <c r="O76" s="3635"/>
      <c r="P76" s="3635"/>
    </row>
    <row r="77" spans="1:18" ht="12" hidden="1" customHeight="1" thickBot="1">
      <c r="A77" s="3913"/>
      <c r="B77" s="33" t="s">
        <v>19</v>
      </c>
      <c r="C77" s="3909"/>
      <c r="D77" s="766">
        <f>E77+L77+K77+F77+G77+H77+I77+J77</f>
        <v>0</v>
      </c>
      <c r="E77" s="787"/>
      <c r="F77" s="2966"/>
      <c r="G77" s="2966"/>
      <c r="H77" s="2966"/>
      <c r="I77" s="2966"/>
      <c r="J77" s="2966"/>
      <c r="K77" s="2966"/>
      <c r="L77" s="2966"/>
      <c r="M77" s="3882"/>
      <c r="N77" s="3948"/>
      <c r="O77" s="3635"/>
      <c r="P77" s="3635"/>
    </row>
    <row r="78" spans="1:18" ht="23.25" hidden="1" customHeight="1">
      <c r="A78" s="3873" t="s">
        <v>53</v>
      </c>
      <c r="B78" s="2971" t="s">
        <v>557</v>
      </c>
      <c r="C78" s="25" t="s">
        <v>70</v>
      </c>
      <c r="D78" s="652"/>
      <c r="E78" s="2972"/>
      <c r="F78" s="2972"/>
      <c r="G78" s="2972"/>
      <c r="H78" s="2972"/>
      <c r="I78" s="2972"/>
      <c r="J78" s="2973"/>
      <c r="K78" s="2972"/>
      <c r="L78" s="2972"/>
      <c r="M78" s="22"/>
      <c r="N78" s="39"/>
      <c r="O78" s="3635"/>
      <c r="P78" s="3635"/>
    </row>
    <row r="79" spans="1:18" ht="13.5" hidden="1" thickBot="1">
      <c r="A79" s="3874"/>
      <c r="B79" s="796" t="s">
        <v>9</v>
      </c>
      <c r="C79" s="1419"/>
      <c r="D79" s="2957">
        <f>+D80+D83</f>
        <v>0</v>
      </c>
      <c r="E79" s="2957">
        <f>+E80+E83</f>
        <v>0</v>
      </c>
      <c r="F79" s="2957"/>
      <c r="G79" s="2957"/>
      <c r="H79" s="2957"/>
      <c r="I79" s="2957"/>
      <c r="J79" s="2957"/>
      <c r="K79" s="2957">
        <f>+K80+K83</f>
        <v>0</v>
      </c>
      <c r="L79" s="2957">
        <f>+L80+L83</f>
        <v>0</v>
      </c>
      <c r="M79" s="799">
        <f>+M80+M83</f>
        <v>0</v>
      </c>
      <c r="N79" s="3915" t="s">
        <v>75</v>
      </c>
      <c r="O79" s="3636"/>
      <c r="P79" s="3635"/>
    </row>
    <row r="80" spans="1:18" ht="12.75" hidden="1" customHeight="1">
      <c r="A80" s="3874"/>
      <c r="B80" s="1225" t="s">
        <v>22</v>
      </c>
      <c r="C80" s="3859" t="s">
        <v>73</v>
      </c>
      <c r="D80" s="806">
        <f>+D81+D82</f>
        <v>0</v>
      </c>
      <c r="E80" s="806">
        <f>+E81+E82</f>
        <v>0</v>
      </c>
      <c r="F80" s="806"/>
      <c r="G80" s="806"/>
      <c r="H80" s="806"/>
      <c r="I80" s="806"/>
      <c r="J80" s="806"/>
      <c r="K80" s="806">
        <f>+K81+K82</f>
        <v>0</v>
      </c>
      <c r="L80" s="806">
        <f>+L81+L82</f>
        <v>0</v>
      </c>
      <c r="M80" s="802">
        <f>M81</f>
        <v>0</v>
      </c>
      <c r="N80" s="3915"/>
      <c r="O80" s="3636"/>
      <c r="P80" s="3635"/>
    </row>
    <row r="81" spans="1:16" ht="10.5" hidden="1" customHeight="1">
      <c r="A81" s="3874"/>
      <c r="B81" s="1530" t="s">
        <v>11</v>
      </c>
      <c r="C81" s="3908"/>
      <c r="D81" s="766">
        <f>E81+L81+K81+F81+G81+H81+I81+J81</f>
        <v>0</v>
      </c>
      <c r="E81" s="787"/>
      <c r="F81" s="812"/>
      <c r="G81" s="812"/>
      <c r="H81" s="812"/>
      <c r="I81" s="812"/>
      <c r="J81" s="812"/>
      <c r="K81" s="2959"/>
      <c r="L81" s="2959">
        <v>0</v>
      </c>
      <c r="M81" s="813">
        <f>SUM(F81:J81)</f>
        <v>0</v>
      </c>
      <c r="N81" s="3915"/>
      <c r="O81" s="3635"/>
      <c r="P81" s="3635"/>
    </row>
    <row r="82" spans="1:16" ht="12" hidden="1" customHeight="1">
      <c r="A82" s="3874"/>
      <c r="B82" s="2974" t="s">
        <v>14</v>
      </c>
      <c r="C82" s="3908"/>
      <c r="D82" s="766">
        <f>E82+L82+K82+F82+G82+H82+I82+J82</f>
        <v>0</v>
      </c>
      <c r="E82" s="787"/>
      <c r="F82" s="812"/>
      <c r="G82" s="812"/>
      <c r="H82" s="812"/>
      <c r="I82" s="812"/>
      <c r="J82" s="812"/>
      <c r="K82" s="812"/>
      <c r="L82" s="2959"/>
      <c r="M82" s="813">
        <f>SUM(F82:J82)</f>
        <v>0</v>
      </c>
      <c r="N82" s="3919"/>
      <c r="O82" s="3635"/>
      <c r="P82" s="3635"/>
    </row>
    <row r="83" spans="1:16" ht="12" hidden="1" customHeight="1">
      <c r="A83" s="3874"/>
      <c r="B83" s="1226" t="s">
        <v>17</v>
      </c>
      <c r="C83" s="3908"/>
      <c r="D83" s="801">
        <f>+D84</f>
        <v>0</v>
      </c>
      <c r="E83" s="807">
        <f>+E84</f>
        <v>0</v>
      </c>
      <c r="F83" s="801"/>
      <c r="G83" s="801"/>
      <c r="H83" s="801"/>
      <c r="I83" s="801"/>
      <c r="J83" s="801"/>
      <c r="K83" s="807"/>
      <c r="L83" s="807"/>
      <c r="M83" s="1440">
        <f>+M84</f>
        <v>0</v>
      </c>
      <c r="N83" s="3915"/>
      <c r="O83" s="3635"/>
      <c r="P83" s="3635"/>
    </row>
    <row r="84" spans="1:16" ht="11.25" hidden="1" customHeight="1">
      <c r="A84" s="3874"/>
      <c r="B84" s="1530" t="s">
        <v>19</v>
      </c>
      <c r="C84" s="3920"/>
      <c r="D84" s="789">
        <f>E84+L84+K84+F84+G84+H84+I84+J84</f>
        <v>0</v>
      </c>
      <c r="E84" s="787"/>
      <c r="F84" s="812"/>
      <c r="G84" s="812"/>
      <c r="H84" s="812"/>
      <c r="I84" s="812"/>
      <c r="J84" s="812"/>
      <c r="K84" s="812"/>
      <c r="L84" s="812"/>
      <c r="M84" s="813">
        <f>SUM(F84:J84)</f>
        <v>0</v>
      </c>
      <c r="N84" s="3916"/>
      <c r="O84" s="3635"/>
      <c r="P84" s="3635"/>
    </row>
    <row r="85" spans="1:16" ht="13.5" hidden="1" thickBot="1">
      <c r="A85" s="3875"/>
      <c r="B85" s="37" t="s">
        <v>20</v>
      </c>
      <c r="C85" s="40"/>
      <c r="D85" s="42">
        <f>+D86+D88</f>
        <v>0</v>
      </c>
      <c r="E85" s="42">
        <f>+E86+E88</f>
        <v>0</v>
      </c>
      <c r="F85" s="42"/>
      <c r="G85" s="42"/>
      <c r="H85" s="42"/>
      <c r="I85" s="42"/>
      <c r="J85" s="42"/>
      <c r="K85" s="42"/>
      <c r="L85" s="42"/>
      <c r="M85" s="3905" t="s">
        <v>21</v>
      </c>
      <c r="N85" s="3867" t="s">
        <v>90</v>
      </c>
      <c r="O85" s="3636"/>
      <c r="P85" s="3635"/>
    </row>
    <row r="86" spans="1:16" ht="13.5" hidden="1" customHeight="1">
      <c r="A86" s="3875"/>
      <c r="B86" s="805" t="s">
        <v>22</v>
      </c>
      <c r="C86" s="3859" t="s">
        <v>74</v>
      </c>
      <c r="D86" s="2975">
        <f>+D87</f>
        <v>0</v>
      </c>
      <c r="E86" s="2975">
        <f t="shared" ref="E86" si="68">+E87</f>
        <v>0</v>
      </c>
      <c r="F86" s="2975"/>
      <c r="G86" s="2975"/>
      <c r="H86" s="2975"/>
      <c r="I86" s="2975"/>
      <c r="J86" s="2975"/>
      <c r="K86" s="2975"/>
      <c r="L86" s="2975"/>
      <c r="M86" s="3906"/>
      <c r="N86" s="3868"/>
      <c r="O86" s="3635"/>
      <c r="P86" s="3635"/>
    </row>
    <row r="87" spans="1:16" ht="11.25" hidden="1" customHeight="1">
      <c r="A87" s="3875"/>
      <c r="B87" s="2974" t="s">
        <v>14</v>
      </c>
      <c r="C87" s="3908"/>
      <c r="D87" s="766">
        <f>E87+L87+K87+F87+G87+H87+I87+J87</f>
        <v>0</v>
      </c>
      <c r="E87" s="787"/>
      <c r="F87" s="815"/>
      <c r="G87" s="815"/>
      <c r="H87" s="815"/>
      <c r="I87" s="815"/>
      <c r="J87" s="815"/>
      <c r="K87" s="815"/>
      <c r="L87" s="815"/>
      <c r="M87" s="3906"/>
      <c r="N87" s="3868"/>
      <c r="O87" s="3635"/>
      <c r="P87" s="3635"/>
    </row>
    <row r="88" spans="1:16" s="2951" customFormat="1" ht="12.75" hidden="1" customHeight="1" thickBot="1">
      <c r="A88" s="3875"/>
      <c r="B88" s="1226" t="s">
        <v>17</v>
      </c>
      <c r="C88" s="3908"/>
      <c r="D88" s="816">
        <f t="shared" ref="D88:E88" si="69">+D89</f>
        <v>0</v>
      </c>
      <c r="E88" s="2963">
        <f t="shared" si="69"/>
        <v>0</v>
      </c>
      <c r="F88" s="2963"/>
      <c r="G88" s="2963"/>
      <c r="H88" s="2963"/>
      <c r="I88" s="2963"/>
      <c r="J88" s="2963"/>
      <c r="K88" s="2963"/>
      <c r="L88" s="2963"/>
      <c r="M88" s="3906"/>
      <c r="N88" s="3869"/>
      <c r="O88" s="3638"/>
      <c r="P88" s="3638"/>
    </row>
    <row r="89" spans="1:16" ht="12.75" hidden="1" customHeight="1" thickBot="1">
      <c r="A89" s="3875"/>
      <c r="B89" s="33" t="s">
        <v>19</v>
      </c>
      <c r="C89" s="3909"/>
      <c r="D89" s="1142">
        <f>E89+L89+K89+F89+G89+H89+I89+J89</f>
        <v>0</v>
      </c>
      <c r="E89" s="1142"/>
      <c r="F89" s="2976"/>
      <c r="G89" s="2976"/>
      <c r="H89" s="2976"/>
      <c r="I89" s="2976"/>
      <c r="J89" s="2976"/>
      <c r="K89" s="2976"/>
      <c r="L89" s="2976"/>
      <c r="M89" s="3907"/>
      <c r="N89" s="3892"/>
      <c r="O89" s="3635"/>
      <c r="P89" s="3635"/>
    </row>
    <row r="90" spans="1:16" ht="27.75" hidden="1" customHeight="1">
      <c r="A90" s="3874"/>
      <c r="B90" s="2952" t="s">
        <v>558</v>
      </c>
      <c r="C90" s="25" t="s">
        <v>70</v>
      </c>
      <c r="D90" s="2977"/>
      <c r="E90" s="2978"/>
      <c r="F90" s="2979"/>
      <c r="G90" s="2979"/>
      <c r="H90" s="2979"/>
      <c r="I90" s="2979"/>
      <c r="J90" s="2979"/>
      <c r="K90" s="2979"/>
      <c r="L90" s="2979"/>
      <c r="M90" s="22"/>
      <c r="N90" s="2980"/>
      <c r="O90" s="3636"/>
      <c r="P90" s="3635"/>
    </row>
    <row r="91" spans="1:16" ht="12" hidden="1" customHeight="1">
      <c r="A91" s="3874"/>
      <c r="B91" s="1195" t="s">
        <v>9</v>
      </c>
      <c r="C91" s="1419"/>
      <c r="D91" s="2957">
        <f>+D92+D95</f>
        <v>0</v>
      </c>
      <c r="E91" s="2957">
        <f>+E92+E95</f>
        <v>0</v>
      </c>
      <c r="F91" s="2957"/>
      <c r="G91" s="2957"/>
      <c r="H91" s="2957"/>
      <c r="I91" s="2957"/>
      <c r="J91" s="2957"/>
      <c r="K91" s="2957"/>
      <c r="L91" s="2957">
        <f>+L92+L95</f>
        <v>0</v>
      </c>
      <c r="M91" s="1441">
        <f>+M92+M95</f>
        <v>0</v>
      </c>
      <c r="N91" s="3912" t="s">
        <v>75</v>
      </c>
      <c r="O91" s="3635"/>
      <c r="P91" s="3635"/>
    </row>
    <row r="92" spans="1:16" ht="13.5" hidden="1" customHeight="1">
      <c r="A92" s="3913"/>
      <c r="B92" s="1529" t="s">
        <v>22</v>
      </c>
      <c r="C92" s="3859" t="s">
        <v>73</v>
      </c>
      <c r="D92" s="811">
        <f>+D93+D94</f>
        <v>0</v>
      </c>
      <c r="E92" s="811">
        <f>+E93+E94</f>
        <v>0</v>
      </c>
      <c r="F92" s="811"/>
      <c r="G92" s="811"/>
      <c r="H92" s="811"/>
      <c r="I92" s="811"/>
      <c r="J92" s="811"/>
      <c r="K92" s="811"/>
      <c r="L92" s="811">
        <f>+L93+L94</f>
        <v>0</v>
      </c>
      <c r="M92" s="1440">
        <f>+M93+M94</f>
        <v>0</v>
      </c>
      <c r="N92" s="3952"/>
      <c r="O92" s="3636"/>
      <c r="P92" s="3635"/>
    </row>
    <row r="93" spans="1:16" ht="11.25" hidden="1" customHeight="1">
      <c r="A93" s="3903"/>
      <c r="B93" s="1530" t="s">
        <v>11</v>
      </c>
      <c r="C93" s="3921"/>
      <c r="D93" s="766">
        <f>E93+L93+K93+F93+G93+H93+I93+J93</f>
        <v>0</v>
      </c>
      <c r="E93" s="787"/>
      <c r="F93" s="812"/>
      <c r="G93" s="812"/>
      <c r="H93" s="812"/>
      <c r="I93" s="812"/>
      <c r="J93" s="812"/>
      <c r="K93" s="812"/>
      <c r="L93" s="2959"/>
      <c r="M93" s="1447">
        <f>SUM(F93:J93)</f>
        <v>0</v>
      </c>
      <c r="N93" s="3911"/>
      <c r="O93" s="3636"/>
      <c r="P93" s="3635"/>
    </row>
    <row r="94" spans="1:16" ht="11.25" hidden="1" customHeight="1">
      <c r="A94" s="3903"/>
      <c r="B94" s="1530" t="s">
        <v>14</v>
      </c>
      <c r="C94" s="3921"/>
      <c r="D94" s="766">
        <f>E94+L94+K94+F94+G94+H94+I94+J94</f>
        <v>0</v>
      </c>
      <c r="E94" s="787"/>
      <c r="F94" s="812"/>
      <c r="G94" s="812"/>
      <c r="H94" s="812"/>
      <c r="I94" s="812"/>
      <c r="J94" s="812"/>
      <c r="K94" s="812"/>
      <c r="L94" s="812"/>
      <c r="M94" s="1447">
        <f>SUM(F94:J94)</f>
        <v>0</v>
      </c>
      <c r="N94" s="3911"/>
      <c r="O94" s="3636"/>
      <c r="P94" s="3635"/>
    </row>
    <row r="95" spans="1:16" ht="11.25" hidden="1" customHeight="1">
      <c r="A95" s="3903"/>
      <c r="B95" s="1658" t="s">
        <v>17</v>
      </c>
      <c r="C95" s="3921"/>
      <c r="D95" s="801">
        <f>+D96</f>
        <v>0</v>
      </c>
      <c r="E95" s="801">
        <f t="shared" ref="E95" si="70">+E96</f>
        <v>0</v>
      </c>
      <c r="F95" s="801"/>
      <c r="G95" s="801"/>
      <c r="H95" s="801"/>
      <c r="I95" s="801"/>
      <c r="J95" s="801"/>
      <c r="K95" s="801"/>
      <c r="L95" s="801"/>
      <c r="M95" s="1440">
        <f>+M96</f>
        <v>0</v>
      </c>
      <c r="N95" s="3912"/>
      <c r="O95" s="3635"/>
      <c r="P95" s="3635"/>
    </row>
    <row r="96" spans="1:16" ht="11.25" hidden="1" customHeight="1">
      <c r="A96" s="3903"/>
      <c r="B96" s="1531" t="s">
        <v>19</v>
      </c>
      <c r="C96" s="3922"/>
      <c r="D96" s="766">
        <f>E96+L96+K96+F96+G96+H96+I96+J96</f>
        <v>0</v>
      </c>
      <c r="E96" s="787"/>
      <c r="F96" s="804"/>
      <c r="G96" s="804"/>
      <c r="H96" s="804"/>
      <c r="I96" s="804"/>
      <c r="J96" s="804"/>
      <c r="K96" s="804"/>
      <c r="L96" s="804"/>
      <c r="M96" s="1447">
        <f>SUM(F96:J96)</f>
        <v>0</v>
      </c>
      <c r="N96" s="3952"/>
      <c r="O96" s="3635"/>
      <c r="P96" s="3635"/>
    </row>
    <row r="97" spans="1:16" ht="11.25" hidden="1" customHeight="1">
      <c r="A97" s="3918"/>
      <c r="B97" s="1195" t="s">
        <v>20</v>
      </c>
      <c r="C97" s="1419"/>
      <c r="D97" s="798">
        <f>+D100+D98</f>
        <v>0</v>
      </c>
      <c r="E97" s="798">
        <f>+E100+E98</f>
        <v>0</v>
      </c>
      <c r="F97" s="798"/>
      <c r="G97" s="798"/>
      <c r="H97" s="798"/>
      <c r="I97" s="798"/>
      <c r="J97" s="798"/>
      <c r="K97" s="798"/>
      <c r="L97" s="798"/>
      <c r="M97" s="3957" t="s">
        <v>21</v>
      </c>
      <c r="N97" s="3901" t="s">
        <v>90</v>
      </c>
      <c r="O97" s="3635"/>
      <c r="P97" s="3635"/>
    </row>
    <row r="98" spans="1:16" ht="13.5" hidden="1" customHeight="1">
      <c r="A98" s="3876"/>
      <c r="B98" s="814" t="s">
        <v>22</v>
      </c>
      <c r="C98" s="3859" t="s">
        <v>74</v>
      </c>
      <c r="D98" s="2975">
        <f>+D99</f>
        <v>0</v>
      </c>
      <c r="E98" s="2975">
        <f t="shared" ref="E98" si="71">+E99</f>
        <v>0</v>
      </c>
      <c r="F98" s="2975"/>
      <c r="G98" s="2975"/>
      <c r="H98" s="2975"/>
      <c r="I98" s="2975"/>
      <c r="J98" s="2975"/>
      <c r="K98" s="2975"/>
      <c r="L98" s="2975"/>
      <c r="M98" s="3958"/>
      <c r="N98" s="3869"/>
      <c r="O98" s="3635"/>
      <c r="P98" s="3635"/>
    </row>
    <row r="99" spans="1:16" ht="11.25" hidden="1" customHeight="1">
      <c r="A99" s="3904"/>
      <c r="B99" s="2974" t="s">
        <v>14</v>
      </c>
      <c r="C99" s="3909"/>
      <c r="D99" s="787">
        <f>E99+L99+K99+F99+G99+H99+I99+J99</f>
        <v>0</v>
      </c>
      <c r="E99" s="787"/>
      <c r="F99" s="815"/>
      <c r="G99" s="815"/>
      <c r="H99" s="815"/>
      <c r="I99" s="815"/>
      <c r="J99" s="815"/>
      <c r="K99" s="815"/>
      <c r="L99" s="815"/>
      <c r="M99" s="3958"/>
      <c r="N99" s="3953"/>
      <c r="O99" s="3635"/>
      <c r="P99" s="3635"/>
    </row>
    <row r="100" spans="1:16" s="2951" customFormat="1" ht="13.5" hidden="1" customHeight="1" thickBot="1">
      <c r="A100" s="3904"/>
      <c r="B100" s="2981" t="s">
        <v>17</v>
      </c>
      <c r="C100" s="3956"/>
      <c r="D100" s="2982">
        <f>+D101</f>
        <v>0</v>
      </c>
      <c r="E100" s="2982">
        <f t="shared" ref="E100" si="72">+E101</f>
        <v>0</v>
      </c>
      <c r="F100" s="2982"/>
      <c r="G100" s="2982"/>
      <c r="H100" s="2982"/>
      <c r="I100" s="2982"/>
      <c r="J100" s="2982"/>
      <c r="K100" s="2982"/>
      <c r="L100" s="2982"/>
      <c r="M100" s="3959"/>
      <c r="N100" s="3954"/>
      <c r="O100" s="3638"/>
      <c r="P100" s="3638"/>
    </row>
    <row r="101" spans="1:16" ht="13.5" hidden="1" customHeight="1" thickBot="1">
      <c r="A101" s="3875"/>
      <c r="B101" s="2983" t="s">
        <v>19</v>
      </c>
      <c r="C101" s="3908"/>
      <c r="D101" s="483">
        <f>E101+L101+K101+F101+G101+H101+I101+J101</f>
        <v>0</v>
      </c>
      <c r="E101" s="483"/>
      <c r="F101" s="2984"/>
      <c r="G101" s="2984"/>
      <c r="H101" s="2984"/>
      <c r="I101" s="2984"/>
      <c r="J101" s="2984"/>
      <c r="K101" s="2984"/>
      <c r="L101" s="2984"/>
      <c r="M101" s="3960"/>
      <c r="N101" s="3955"/>
      <c r="O101" s="3635"/>
      <c r="P101" s="3635"/>
    </row>
    <row r="102" spans="1:16" ht="26.25" hidden="1" customHeight="1">
      <c r="A102" s="3923"/>
      <c r="B102" s="2985" t="s">
        <v>559</v>
      </c>
      <c r="C102" s="2986" t="s">
        <v>70</v>
      </c>
      <c r="D102" s="2987"/>
      <c r="E102" s="2988"/>
      <c r="F102" s="2988"/>
      <c r="G102" s="2988"/>
      <c r="H102" s="2988"/>
      <c r="I102" s="2988"/>
      <c r="J102" s="2988"/>
      <c r="K102" s="2988"/>
      <c r="L102" s="2988"/>
      <c r="M102" s="2989"/>
      <c r="N102" s="2990"/>
      <c r="O102" s="3635"/>
      <c r="P102" s="3635"/>
    </row>
    <row r="103" spans="1:16" ht="13.5" hidden="1" customHeight="1">
      <c r="A103" s="3923"/>
      <c r="B103" s="1412" t="s">
        <v>9</v>
      </c>
      <c r="C103" s="2991"/>
      <c r="D103" s="2992">
        <f>+D104+D106</f>
        <v>0</v>
      </c>
      <c r="E103" s="2992">
        <f t="shared" ref="E103" si="73">+E104+E106</f>
        <v>0</v>
      </c>
      <c r="F103" s="2992"/>
      <c r="G103" s="2992"/>
      <c r="H103" s="2992"/>
      <c r="I103" s="2992"/>
      <c r="J103" s="2992"/>
      <c r="K103" s="2992"/>
      <c r="L103" s="2992">
        <f>+L104+L106</f>
        <v>0</v>
      </c>
      <c r="M103" s="2993">
        <f>+M104+M106</f>
        <v>0</v>
      </c>
      <c r="N103" s="3924" t="s">
        <v>75</v>
      </c>
      <c r="O103" s="3636"/>
      <c r="P103" s="3635"/>
    </row>
    <row r="104" spans="1:16" ht="13.5" hidden="1" customHeight="1">
      <c r="A104" s="3923"/>
      <c r="B104" s="2994" t="s">
        <v>22</v>
      </c>
      <c r="C104" s="3927" t="s">
        <v>73</v>
      </c>
      <c r="D104" s="2995">
        <f>+D105</f>
        <v>0</v>
      </c>
      <c r="E104" s="2995">
        <f t="shared" ref="E104" si="74">+E105</f>
        <v>0</v>
      </c>
      <c r="F104" s="2995"/>
      <c r="G104" s="2995"/>
      <c r="H104" s="2995"/>
      <c r="I104" s="2995"/>
      <c r="J104" s="2995"/>
      <c r="K104" s="2995"/>
      <c r="L104" s="2995">
        <f>+L105</f>
        <v>0</v>
      </c>
      <c r="M104" s="29">
        <f>+M105</f>
        <v>0</v>
      </c>
      <c r="N104" s="3924"/>
      <c r="O104" s="3636"/>
      <c r="P104" s="3635"/>
    </row>
    <row r="105" spans="1:16" ht="13.5" hidden="1" customHeight="1">
      <c r="A105" s="3913"/>
      <c r="B105" s="2996" t="s">
        <v>11</v>
      </c>
      <c r="C105" s="3921"/>
      <c r="D105" s="483">
        <f>E105+L105+K105+F105+G105+H105+I105+J105</f>
        <v>0</v>
      </c>
      <c r="E105" s="484"/>
      <c r="F105" s="477"/>
      <c r="G105" s="477"/>
      <c r="H105" s="477"/>
      <c r="I105" s="477"/>
      <c r="J105" s="477"/>
      <c r="K105" s="102"/>
      <c r="L105" s="102"/>
      <c r="M105" s="2997">
        <f>SUM(F105:J105)</f>
        <v>0</v>
      </c>
      <c r="N105" s="3925"/>
      <c r="O105" s="3635"/>
      <c r="P105" s="3635"/>
    </row>
    <row r="106" spans="1:16" ht="13.5" hidden="1" customHeight="1">
      <c r="A106" s="3903"/>
      <c r="B106" s="1658" t="s">
        <v>17</v>
      </c>
      <c r="C106" s="3921"/>
      <c r="D106" s="801">
        <f>+D107</f>
        <v>0</v>
      </c>
      <c r="E106" s="801">
        <f t="shared" ref="E106" si="75">+E107</f>
        <v>0</v>
      </c>
      <c r="F106" s="801"/>
      <c r="G106" s="801"/>
      <c r="H106" s="801"/>
      <c r="I106" s="801"/>
      <c r="J106" s="801"/>
      <c r="K106" s="801"/>
      <c r="L106" s="801"/>
      <c r="M106" s="1452">
        <f>+M107</f>
        <v>0</v>
      </c>
      <c r="N106" s="3926"/>
      <c r="O106" s="3635"/>
      <c r="P106" s="3635"/>
    </row>
    <row r="107" spans="1:16" ht="13.5" hidden="1" customHeight="1">
      <c r="A107" s="3903"/>
      <c r="B107" s="1531" t="s">
        <v>19</v>
      </c>
      <c r="C107" s="3921"/>
      <c r="D107" s="766">
        <f>E107+L107+K107+F107+G107+H107+I107+J107</f>
        <v>0</v>
      </c>
      <c r="E107" s="787"/>
      <c r="F107" s="812"/>
      <c r="G107" s="812"/>
      <c r="H107" s="812"/>
      <c r="I107" s="812"/>
      <c r="J107" s="812"/>
      <c r="K107" s="810"/>
      <c r="L107" s="810"/>
      <c r="M107" s="1447">
        <f>SUM(F107:J107)</f>
        <v>0</v>
      </c>
      <c r="N107" s="3926"/>
      <c r="O107" s="3635"/>
      <c r="P107" s="3635"/>
    </row>
    <row r="108" spans="1:16" ht="12.75" hidden="1" customHeight="1">
      <c r="A108" s="3904"/>
      <c r="B108" s="1212" t="s">
        <v>20</v>
      </c>
      <c r="C108" s="1419"/>
      <c r="D108" s="798">
        <f>+D109</f>
        <v>0</v>
      </c>
      <c r="E108" s="798">
        <f t="shared" ref="E108:E109" si="76">+E109</f>
        <v>0</v>
      </c>
      <c r="F108" s="798"/>
      <c r="G108" s="798"/>
      <c r="H108" s="798"/>
      <c r="I108" s="798"/>
      <c r="J108" s="798"/>
      <c r="K108" s="798"/>
      <c r="L108" s="798"/>
      <c r="M108" s="3961" t="s">
        <v>21</v>
      </c>
      <c r="N108" s="3928" t="s">
        <v>90</v>
      </c>
      <c r="O108" s="3636"/>
      <c r="P108" s="3635"/>
    </row>
    <row r="109" spans="1:16" s="2951" customFormat="1" ht="12.75" hidden="1" customHeight="1">
      <c r="A109" s="3904"/>
      <c r="B109" s="1226" t="s">
        <v>17</v>
      </c>
      <c r="C109" s="3859" t="s">
        <v>74</v>
      </c>
      <c r="D109" s="2998">
        <f>+D110</f>
        <v>0</v>
      </c>
      <c r="E109" s="816">
        <f t="shared" si="76"/>
        <v>0</v>
      </c>
      <c r="F109" s="816"/>
      <c r="G109" s="816"/>
      <c r="H109" s="816"/>
      <c r="I109" s="816"/>
      <c r="J109" s="816"/>
      <c r="K109" s="816"/>
      <c r="L109" s="2998"/>
      <c r="M109" s="3962"/>
      <c r="N109" s="3928"/>
      <c r="O109" s="3638"/>
      <c r="P109" s="3638"/>
    </row>
    <row r="110" spans="1:16" s="2951" customFormat="1" ht="12.75" hidden="1" customHeight="1" thickBot="1">
      <c r="A110" s="3904"/>
      <c r="B110" s="441" t="s">
        <v>19</v>
      </c>
      <c r="C110" s="3929"/>
      <c r="D110" s="1142">
        <f>E110+L110+K110+F110+G110+H110+I110+J110</f>
        <v>0</v>
      </c>
      <c r="E110" s="1142"/>
      <c r="F110" s="2999"/>
      <c r="G110" s="2999"/>
      <c r="H110" s="2999"/>
      <c r="I110" s="2999"/>
      <c r="J110" s="2999"/>
      <c r="K110" s="2999"/>
      <c r="L110" s="3000"/>
      <c r="M110" s="3963"/>
      <c r="N110" s="3928"/>
      <c r="O110" s="3638"/>
      <c r="P110" s="3638"/>
    </row>
    <row r="111" spans="1:16" s="2951" customFormat="1" ht="18" customHeight="1" thickBot="1">
      <c r="A111" s="3586"/>
      <c r="B111" s="2944" t="s">
        <v>389</v>
      </c>
      <c r="C111" s="2945"/>
      <c r="D111" s="2946"/>
      <c r="E111" s="2947"/>
      <c r="F111" s="2948"/>
      <c r="G111" s="2948"/>
      <c r="H111" s="2948"/>
      <c r="I111" s="2948"/>
      <c r="J111" s="2948"/>
      <c r="K111" s="2948"/>
      <c r="L111" s="2948"/>
      <c r="M111" s="2949"/>
      <c r="N111" s="3001"/>
      <c r="O111" s="3638"/>
      <c r="P111" s="3638"/>
    </row>
    <row r="112" spans="1:16" s="2951" customFormat="1" ht="40.5" hidden="1" customHeight="1">
      <c r="A112" s="3903"/>
      <c r="B112" s="2952" t="s">
        <v>560</v>
      </c>
      <c r="C112" s="25"/>
      <c r="D112" s="2953"/>
      <c r="E112" s="2955"/>
      <c r="F112" s="2955"/>
      <c r="G112" s="2955"/>
      <c r="H112" s="2955"/>
      <c r="I112" s="2955"/>
      <c r="J112" s="2955"/>
      <c r="K112" s="2955"/>
      <c r="L112" s="2955"/>
      <c r="M112" s="22"/>
      <c r="N112" s="3002"/>
      <c r="O112" s="3635"/>
      <c r="P112" s="3638"/>
    </row>
    <row r="113" spans="1:16" s="2951" customFormat="1" ht="13.5" hidden="1" customHeight="1">
      <c r="A113" s="3873"/>
      <c r="B113" s="796" t="s">
        <v>9</v>
      </c>
      <c r="C113" s="3003" t="s">
        <v>70</v>
      </c>
      <c r="D113" s="2957">
        <f>+D114+D118</f>
        <v>0</v>
      </c>
      <c r="E113" s="830">
        <f t="shared" ref="E113" si="77">+E114+E118</f>
        <v>0</v>
      </c>
      <c r="F113" s="830"/>
      <c r="G113" s="830"/>
      <c r="H113" s="830"/>
      <c r="I113" s="830"/>
      <c r="J113" s="830"/>
      <c r="K113" s="830"/>
      <c r="L113" s="830">
        <f t="shared" ref="L113" si="78">+L114+L118</f>
        <v>0</v>
      </c>
      <c r="M113" s="3004">
        <f>M114+M118</f>
        <v>0</v>
      </c>
      <c r="N113" s="3947" t="s">
        <v>75</v>
      </c>
      <c r="O113" s="3944" t="s">
        <v>298</v>
      </c>
      <c r="P113" s="3638"/>
    </row>
    <row r="114" spans="1:16" s="2951" customFormat="1" ht="14.25" hidden="1" customHeight="1">
      <c r="A114" s="3874"/>
      <c r="B114" s="805" t="s">
        <v>22</v>
      </c>
      <c r="C114" s="3859" t="s">
        <v>73</v>
      </c>
      <c r="D114" s="811">
        <f>+D115+D116+D117</f>
        <v>0</v>
      </c>
      <c r="E114" s="811">
        <f t="shared" ref="E114" si="79">+E115+E116+E117</f>
        <v>0</v>
      </c>
      <c r="F114" s="811"/>
      <c r="G114" s="811"/>
      <c r="H114" s="811"/>
      <c r="I114" s="811"/>
      <c r="J114" s="811"/>
      <c r="K114" s="811"/>
      <c r="L114" s="811">
        <f t="shared" ref="L114" si="80">+L115+L116+L117</f>
        <v>0</v>
      </c>
      <c r="M114" s="3005">
        <f>M115</f>
        <v>0</v>
      </c>
      <c r="N114" s="3915"/>
      <c r="O114" s="3944"/>
      <c r="P114" s="3638"/>
    </row>
    <row r="115" spans="1:16" s="2951" customFormat="1" ht="12.75" hidden="1" customHeight="1">
      <c r="A115" s="3874"/>
      <c r="B115" s="848" t="s">
        <v>11</v>
      </c>
      <c r="C115" s="3908"/>
      <c r="D115" s="766">
        <f>E115+L115+K115+F115+G115+H115+I115+J115</f>
        <v>0</v>
      </c>
      <c r="E115" s="787"/>
      <c r="F115" s="1613"/>
      <c r="G115" s="1613"/>
      <c r="H115" s="1613"/>
      <c r="I115" s="1613"/>
      <c r="J115" s="1613"/>
      <c r="K115" s="1613"/>
      <c r="L115" s="1613"/>
      <c r="M115" s="813">
        <f>SUM(F115:J115)</f>
        <v>0</v>
      </c>
      <c r="N115" s="3915"/>
      <c r="O115" s="3944"/>
      <c r="P115" s="3638"/>
    </row>
    <row r="116" spans="1:16" s="2951" customFormat="1" ht="14.25" hidden="1" customHeight="1">
      <c r="A116" s="3874"/>
      <c r="B116" s="818" t="s">
        <v>16</v>
      </c>
      <c r="C116" s="3921"/>
      <c r="D116" s="766">
        <f>SUM(E116:G116)</f>
        <v>0</v>
      </c>
      <c r="E116" s="822"/>
      <c r="F116" s="822"/>
      <c r="G116" s="822"/>
      <c r="H116" s="822"/>
      <c r="I116" s="822"/>
      <c r="J116" s="822"/>
      <c r="K116" s="822"/>
      <c r="L116" s="804"/>
      <c r="M116" s="3006"/>
      <c r="N116" s="3915"/>
      <c r="O116" s="3944"/>
      <c r="P116" s="3638"/>
    </row>
    <row r="117" spans="1:16" s="2951" customFormat="1" ht="14.25" hidden="1" customHeight="1">
      <c r="A117" s="3874"/>
      <c r="B117" s="818" t="s">
        <v>14</v>
      </c>
      <c r="C117" s="3921"/>
      <c r="D117" s="766">
        <f>SUM(E117:G117)</f>
        <v>0</v>
      </c>
      <c r="E117" s="822"/>
      <c r="F117" s="822"/>
      <c r="G117" s="822"/>
      <c r="H117" s="822"/>
      <c r="I117" s="822"/>
      <c r="J117" s="822"/>
      <c r="K117" s="822"/>
      <c r="L117" s="804"/>
      <c r="M117" s="3006"/>
      <c r="N117" s="3915"/>
      <c r="O117" s="3944"/>
      <c r="P117" s="3638"/>
    </row>
    <row r="118" spans="1:16" s="2951" customFormat="1" ht="14.25" hidden="1" customHeight="1">
      <c r="A118" s="3874"/>
      <c r="B118" s="823" t="s">
        <v>17</v>
      </c>
      <c r="C118" s="3921"/>
      <c r="D118" s="801">
        <f>+D119</f>
        <v>0</v>
      </c>
      <c r="E118" s="801">
        <f t="shared" ref="E118" si="81">+E119</f>
        <v>0</v>
      </c>
      <c r="F118" s="801"/>
      <c r="G118" s="807"/>
      <c r="H118" s="801"/>
      <c r="I118" s="801"/>
      <c r="J118" s="801"/>
      <c r="K118" s="801"/>
      <c r="L118" s="801"/>
      <c r="M118" s="3005">
        <f>M119</f>
        <v>0</v>
      </c>
      <c r="N118" s="3915"/>
      <c r="O118" s="3944"/>
      <c r="P118" s="3638"/>
    </row>
    <row r="119" spans="1:16" s="2951" customFormat="1" ht="12.75" hidden="1" customHeight="1">
      <c r="A119" s="3874"/>
      <c r="B119" s="1531" t="s">
        <v>19</v>
      </c>
      <c r="C119" s="3922"/>
      <c r="D119" s="766">
        <f>E119+L119+K119+F119+G119+H119+I119+J119</f>
        <v>0</v>
      </c>
      <c r="E119" s="787"/>
      <c r="F119" s="822"/>
      <c r="G119" s="822"/>
      <c r="H119" s="804"/>
      <c r="I119" s="804"/>
      <c r="J119" s="804"/>
      <c r="K119" s="822"/>
      <c r="L119" s="804"/>
      <c r="M119" s="813">
        <f>SUM(F119:J119)</f>
        <v>0</v>
      </c>
      <c r="N119" s="3916"/>
      <c r="O119" s="3944"/>
      <c r="P119" s="3638"/>
    </row>
    <row r="120" spans="1:16" s="2951" customFormat="1" ht="21.75" hidden="1" customHeight="1">
      <c r="A120" s="3875"/>
      <c r="B120" s="796" t="s">
        <v>20</v>
      </c>
      <c r="C120" s="3007" t="s">
        <v>271</v>
      </c>
      <c r="D120" s="798">
        <f>+D124+D121</f>
        <v>0</v>
      </c>
      <c r="E120" s="798">
        <f t="shared" ref="E120" si="82">+E124+E121</f>
        <v>0</v>
      </c>
      <c r="F120" s="798"/>
      <c r="G120" s="798"/>
      <c r="H120" s="798"/>
      <c r="I120" s="798"/>
      <c r="J120" s="798"/>
      <c r="K120" s="798"/>
      <c r="L120" s="798">
        <f>+L124+L121</f>
        <v>0</v>
      </c>
      <c r="M120" s="3883" t="s">
        <v>21</v>
      </c>
      <c r="N120" s="3867" t="s">
        <v>90</v>
      </c>
      <c r="O120" s="3639"/>
      <c r="P120" s="3639">
        <v>-1217020</v>
      </c>
    </row>
    <row r="121" spans="1:16" s="2951" customFormat="1" ht="14.25" hidden="1" customHeight="1">
      <c r="A121" s="3875"/>
      <c r="B121" s="805" t="s">
        <v>22</v>
      </c>
      <c r="C121" s="3859" t="s">
        <v>174</v>
      </c>
      <c r="D121" s="2975">
        <f>+D122+D123</f>
        <v>0</v>
      </c>
      <c r="E121" s="2975">
        <f t="shared" ref="E121" si="83">+E122+E123</f>
        <v>0</v>
      </c>
      <c r="F121" s="2975"/>
      <c r="G121" s="2975"/>
      <c r="H121" s="2975"/>
      <c r="I121" s="2975"/>
      <c r="J121" s="2975"/>
      <c r="K121" s="2975"/>
      <c r="L121" s="2975">
        <f>+L122+L123</f>
        <v>0</v>
      </c>
      <c r="M121" s="3881"/>
      <c r="N121" s="3868"/>
      <c r="O121" s="3638"/>
      <c r="P121" s="3638"/>
    </row>
    <row r="122" spans="1:16" s="2951" customFormat="1" ht="14.25" hidden="1" customHeight="1">
      <c r="A122" s="3875"/>
      <c r="B122" s="818" t="s">
        <v>16</v>
      </c>
      <c r="C122" s="3908"/>
      <c r="D122" s="766">
        <f>E122+L122+K122+F122+G122+H122+I122+J122</f>
        <v>0</v>
      </c>
      <c r="E122" s="2783"/>
      <c r="F122" s="815"/>
      <c r="G122" s="815"/>
      <c r="H122" s="815"/>
      <c r="I122" s="815"/>
      <c r="J122" s="815"/>
      <c r="K122" s="815"/>
      <c r="L122" s="815">
        <v>0</v>
      </c>
      <c r="M122" s="3881"/>
      <c r="N122" s="3868"/>
      <c r="O122" s="3638"/>
      <c r="P122" s="3638"/>
    </row>
    <row r="123" spans="1:16" s="2951" customFormat="1" ht="13.5" hidden="1" customHeight="1" thickBot="1">
      <c r="A123" s="3876"/>
      <c r="B123" s="473" t="s">
        <v>14</v>
      </c>
      <c r="C123" s="3909"/>
      <c r="D123" s="1142">
        <f>E123+L123+K123+F123+G123+H123+I123+J123</f>
        <v>0</v>
      </c>
      <c r="E123" s="3008"/>
      <c r="F123" s="3008"/>
      <c r="G123" s="3008"/>
      <c r="H123" s="3008"/>
      <c r="I123" s="3008"/>
      <c r="J123" s="3008"/>
      <c r="K123" s="3008"/>
      <c r="L123" s="3008">
        <v>0</v>
      </c>
      <c r="M123" s="3882"/>
      <c r="N123" s="3869"/>
      <c r="O123" s="3638"/>
      <c r="P123" s="3638"/>
    </row>
    <row r="124" spans="1:16" s="2951" customFormat="1" ht="14.25" hidden="1" customHeight="1">
      <c r="A124" s="3875"/>
      <c r="B124" s="3009" t="s">
        <v>17</v>
      </c>
      <c r="C124" s="3908"/>
      <c r="D124" s="2975">
        <f>+D126+D125</f>
        <v>0</v>
      </c>
      <c r="E124" s="2975">
        <f t="shared" ref="E124" si="84">+E126+E125</f>
        <v>0</v>
      </c>
      <c r="F124" s="3010"/>
      <c r="G124" s="3010"/>
      <c r="H124" s="3010"/>
      <c r="I124" s="3010"/>
      <c r="J124" s="3010"/>
      <c r="K124" s="3010"/>
      <c r="L124" s="2975">
        <f>+L126+L125</f>
        <v>0</v>
      </c>
      <c r="M124" s="3881"/>
      <c r="N124" s="3868"/>
      <c r="O124" s="3638"/>
      <c r="P124" s="3638"/>
    </row>
    <row r="125" spans="1:16" s="2951" customFormat="1" ht="14.25" hidden="1" customHeight="1">
      <c r="A125" s="3875"/>
      <c r="B125" s="818" t="s">
        <v>16</v>
      </c>
      <c r="C125" s="3908"/>
      <c r="D125" s="766">
        <f>E125+L125+K125+F125+G125+H125+I125+J125</f>
        <v>0</v>
      </c>
      <c r="E125" s="821"/>
      <c r="F125" s="2783"/>
      <c r="G125" s="2783"/>
      <c r="H125" s="2783"/>
      <c r="I125" s="2783"/>
      <c r="J125" s="2783"/>
      <c r="K125" s="2783"/>
      <c r="L125" s="822"/>
      <c r="M125" s="3881"/>
      <c r="N125" s="3868"/>
      <c r="O125" s="3638"/>
      <c r="P125" s="3638"/>
    </row>
    <row r="126" spans="1:16" s="3013" customFormat="1" ht="14.25" hidden="1" customHeight="1" thickBot="1">
      <c r="A126" s="3876"/>
      <c r="B126" s="3011" t="s">
        <v>19</v>
      </c>
      <c r="C126" s="3909"/>
      <c r="D126" s="766">
        <f>E126+L126+K126+F126+G126+H126+I126+J126</f>
        <v>0</v>
      </c>
      <c r="E126" s="787"/>
      <c r="F126" s="3012"/>
      <c r="G126" s="3012"/>
      <c r="H126" s="3012"/>
      <c r="I126" s="3012"/>
      <c r="J126" s="3012"/>
      <c r="K126" s="3012"/>
      <c r="L126" s="1259"/>
      <c r="M126" s="3882"/>
      <c r="N126" s="3869"/>
      <c r="O126" s="3640"/>
      <c r="P126" s="3640"/>
    </row>
    <row r="127" spans="1:16" ht="27" customHeight="1">
      <c r="A127" s="3873" t="s">
        <v>53</v>
      </c>
      <c r="B127" s="32" t="s">
        <v>561</v>
      </c>
      <c r="C127" s="25"/>
      <c r="D127" s="652"/>
      <c r="E127" s="1477"/>
      <c r="F127" s="1477"/>
      <c r="G127" s="1477"/>
      <c r="H127" s="1477"/>
      <c r="I127" s="1477"/>
      <c r="J127" s="21"/>
      <c r="K127" s="1477"/>
      <c r="L127" s="1477"/>
      <c r="M127" s="2968"/>
      <c r="N127" s="2956"/>
      <c r="O127" s="3635"/>
      <c r="P127" s="3635"/>
    </row>
    <row r="128" spans="1:16" ht="14.25" customHeight="1">
      <c r="A128" s="3874"/>
      <c r="B128" s="1266" t="s">
        <v>9</v>
      </c>
      <c r="C128" s="3003" t="s">
        <v>70</v>
      </c>
      <c r="D128" s="2957">
        <f t="shared" ref="D128" si="85">+D129+D133</f>
        <v>41962510</v>
      </c>
      <c r="E128" s="2957">
        <f t="shared" ref="E128" si="86">+E129+E133</f>
        <v>41900634</v>
      </c>
      <c r="F128" s="2957">
        <f t="shared" ref="F128:J128" si="87">+F129+F133</f>
        <v>61876</v>
      </c>
      <c r="G128" s="3014">
        <f t="shared" si="87"/>
        <v>0</v>
      </c>
      <c r="H128" s="3014">
        <f t="shared" si="87"/>
        <v>0</v>
      </c>
      <c r="I128" s="3014">
        <f t="shared" si="87"/>
        <v>0</v>
      </c>
      <c r="J128" s="3014">
        <f t="shared" si="87"/>
        <v>0</v>
      </c>
      <c r="K128" s="2957">
        <f>+K129+K133</f>
        <v>0</v>
      </c>
      <c r="L128" s="2957">
        <f>+L129+L133</f>
        <v>0</v>
      </c>
      <c r="M128" s="799">
        <f>M129+M133</f>
        <v>61876</v>
      </c>
      <c r="N128" s="3915" t="s">
        <v>75</v>
      </c>
      <c r="O128" s="3635"/>
      <c r="P128" s="3635"/>
    </row>
    <row r="129" spans="1:16" ht="12" customHeight="1">
      <c r="A129" s="3874"/>
      <c r="B129" s="814" t="s">
        <v>22</v>
      </c>
      <c r="C129" s="3859" t="s">
        <v>73</v>
      </c>
      <c r="D129" s="811">
        <f>+D130+D131+D132</f>
        <v>4841589</v>
      </c>
      <c r="E129" s="811">
        <f t="shared" ref="E129" si="88">+E130+E131+E132</f>
        <v>4779713</v>
      </c>
      <c r="F129" s="811">
        <f t="shared" ref="F129:J129" si="89">+F130+F131+F132</f>
        <v>61876</v>
      </c>
      <c r="G129" s="2792">
        <f t="shared" si="89"/>
        <v>0</v>
      </c>
      <c r="H129" s="2792">
        <f t="shared" si="89"/>
        <v>0</v>
      </c>
      <c r="I129" s="2792">
        <f t="shared" si="89"/>
        <v>0</v>
      </c>
      <c r="J129" s="2792">
        <f t="shared" si="89"/>
        <v>0</v>
      </c>
      <c r="K129" s="811">
        <f t="shared" ref="K129" si="90">+K130+K131+K132</f>
        <v>0</v>
      </c>
      <c r="L129" s="811">
        <f>+L130+L131+L132</f>
        <v>0</v>
      </c>
      <c r="M129" s="802">
        <f>+M130+M132</f>
        <v>61876</v>
      </c>
      <c r="N129" s="3915"/>
      <c r="O129" s="3635"/>
      <c r="P129" s="3635"/>
    </row>
    <row r="130" spans="1:16" ht="11.25" customHeight="1">
      <c r="A130" s="3874"/>
      <c r="B130" s="818" t="s">
        <v>11</v>
      </c>
      <c r="C130" s="3908"/>
      <c r="D130" s="766">
        <f>E130+L130+K130+F130+G130+H130+I130+J130</f>
        <v>3341589</v>
      </c>
      <c r="E130" s="787">
        <f>2234734+1029855+15124</f>
        <v>3279713</v>
      </c>
      <c r="F130" s="2959">
        <v>61876</v>
      </c>
      <c r="G130" s="2696">
        <v>0</v>
      </c>
      <c r="H130" s="2696">
        <v>0</v>
      </c>
      <c r="I130" s="2696">
        <v>0</v>
      </c>
      <c r="J130" s="2696">
        <v>0</v>
      </c>
      <c r="K130" s="2959">
        <v>0</v>
      </c>
      <c r="L130" s="787">
        <v>0</v>
      </c>
      <c r="M130" s="813">
        <f>SUM(F130:J130)</f>
        <v>61876</v>
      </c>
      <c r="N130" s="3915"/>
      <c r="O130" s="3635"/>
      <c r="P130" s="3635"/>
    </row>
    <row r="131" spans="1:16" ht="12" hidden="1" customHeight="1">
      <c r="A131" s="3874"/>
      <c r="B131" s="1530" t="s">
        <v>16</v>
      </c>
      <c r="C131" s="3908"/>
      <c r="D131" s="766">
        <f>E131+L131+K131+F131+G131+H131+I131+J131</f>
        <v>0</v>
      </c>
      <c r="E131" s="810"/>
      <c r="F131" s="812"/>
      <c r="G131" s="2696"/>
      <c r="H131" s="3015"/>
      <c r="I131" s="3015"/>
      <c r="J131" s="3015"/>
      <c r="K131" s="812"/>
      <c r="L131" s="812"/>
      <c r="M131" s="2961"/>
      <c r="N131" s="3915"/>
      <c r="O131" s="3635"/>
      <c r="P131" s="3635"/>
    </row>
    <row r="132" spans="1:16" ht="12" customHeight="1">
      <c r="A132" s="3874"/>
      <c r="B132" s="818" t="s">
        <v>14</v>
      </c>
      <c r="C132" s="3908"/>
      <c r="D132" s="766">
        <f>E132+L132+K132+F132+G132+H132+I132+J132</f>
        <v>1500000</v>
      </c>
      <c r="E132" s="787">
        <f>1000000+500000</f>
        <v>1500000</v>
      </c>
      <c r="F132" s="2696">
        <v>0</v>
      </c>
      <c r="G132" s="2696">
        <v>0</v>
      </c>
      <c r="H132" s="2708">
        <v>0</v>
      </c>
      <c r="I132" s="2708">
        <v>0</v>
      </c>
      <c r="J132" s="2708">
        <v>0</v>
      </c>
      <c r="K132" s="812"/>
      <c r="L132" s="812">
        <v>0</v>
      </c>
      <c r="M132" s="3016">
        <f>SUM(F132:J132)</f>
        <v>0</v>
      </c>
      <c r="N132" s="3915"/>
      <c r="O132" s="3635"/>
      <c r="P132" s="3635"/>
    </row>
    <row r="133" spans="1:16">
      <c r="A133" s="3874"/>
      <c r="B133" s="1253" t="s">
        <v>17</v>
      </c>
      <c r="C133" s="3908"/>
      <c r="D133" s="801">
        <f t="shared" ref="D133:J133" si="91">+D134+D135</f>
        <v>37120921</v>
      </c>
      <c r="E133" s="801">
        <f t="shared" si="91"/>
        <v>37120921</v>
      </c>
      <c r="F133" s="2795">
        <f t="shared" si="91"/>
        <v>0</v>
      </c>
      <c r="G133" s="2795">
        <f t="shared" si="91"/>
        <v>0</v>
      </c>
      <c r="H133" s="2795">
        <f t="shared" si="91"/>
        <v>0</v>
      </c>
      <c r="I133" s="2795">
        <f t="shared" si="91"/>
        <v>0</v>
      </c>
      <c r="J133" s="2795">
        <f t="shared" si="91"/>
        <v>0</v>
      </c>
      <c r="K133" s="801"/>
      <c r="L133" s="801">
        <f>+L134+L135</f>
        <v>0</v>
      </c>
      <c r="M133" s="3017">
        <f>+M134+M135</f>
        <v>0</v>
      </c>
      <c r="N133" s="3915"/>
      <c r="O133" s="3635"/>
      <c r="P133" s="3635"/>
    </row>
    <row r="134" spans="1:16" ht="12" hidden="1" customHeight="1">
      <c r="A134" s="3874"/>
      <c r="B134" s="1530" t="s">
        <v>16</v>
      </c>
      <c r="C134" s="3908"/>
      <c r="D134" s="815">
        <v>0</v>
      </c>
      <c r="E134" s="1570"/>
      <c r="F134" s="2696"/>
      <c r="G134" s="2696"/>
      <c r="H134" s="3015"/>
      <c r="I134" s="3015"/>
      <c r="J134" s="3015"/>
      <c r="K134" s="812"/>
      <c r="L134" s="812"/>
      <c r="M134" s="3018"/>
      <c r="N134" s="3915"/>
      <c r="O134" s="3635"/>
      <c r="P134" s="3635"/>
    </row>
    <row r="135" spans="1:16" ht="12" customHeight="1">
      <c r="A135" s="3874"/>
      <c r="B135" s="1530" t="s">
        <v>19</v>
      </c>
      <c r="C135" s="3920"/>
      <c r="D135" s="766">
        <f>E135+L135+K135+F135+G135+H135+I135+J135</f>
        <v>37120921</v>
      </c>
      <c r="E135" s="787">
        <f>17911168+19209753</f>
        <v>37120921</v>
      </c>
      <c r="F135" s="2696">
        <v>0</v>
      </c>
      <c r="G135" s="2696">
        <v>0</v>
      </c>
      <c r="H135" s="2696">
        <v>0</v>
      </c>
      <c r="I135" s="2696">
        <v>0</v>
      </c>
      <c r="J135" s="2696">
        <v>0</v>
      </c>
      <c r="K135" s="812"/>
      <c r="L135" s="787">
        <v>0</v>
      </c>
      <c r="M135" s="3016">
        <f>SUM(F135:J135)</f>
        <v>0</v>
      </c>
      <c r="N135" s="3916"/>
      <c r="O135" s="3636">
        <f>D135-D142</f>
        <v>0</v>
      </c>
      <c r="P135" s="3635"/>
    </row>
    <row r="136" spans="1:16" ht="21.75" customHeight="1">
      <c r="A136" s="3874"/>
      <c r="B136" s="89" t="s">
        <v>20</v>
      </c>
      <c r="C136" s="3007" t="s">
        <v>70</v>
      </c>
      <c r="D136" s="798">
        <f t="shared" ref="D136" si="92">+D140+D137</f>
        <v>38620921</v>
      </c>
      <c r="E136" s="798">
        <f>+E137+E140</f>
        <v>38620921</v>
      </c>
      <c r="F136" s="1046">
        <f t="shared" ref="F136:J136" si="93">+F137+F140</f>
        <v>0</v>
      </c>
      <c r="G136" s="1046">
        <f t="shared" si="93"/>
        <v>0</v>
      </c>
      <c r="H136" s="1046">
        <f t="shared" si="93"/>
        <v>0</v>
      </c>
      <c r="I136" s="1046">
        <f t="shared" si="93"/>
        <v>0</v>
      </c>
      <c r="J136" s="1046">
        <f t="shared" si="93"/>
        <v>0</v>
      </c>
      <c r="K136" s="798">
        <f>+K140+K137</f>
        <v>0</v>
      </c>
      <c r="L136" s="798">
        <f>+L140+L137</f>
        <v>0</v>
      </c>
      <c r="M136" s="3864" t="s">
        <v>21</v>
      </c>
      <c r="N136" s="3867" t="s">
        <v>90</v>
      </c>
      <c r="O136" s="3636"/>
      <c r="P136" s="3636"/>
    </row>
    <row r="137" spans="1:16">
      <c r="A137" s="3874"/>
      <c r="B137" s="814" t="s">
        <v>22</v>
      </c>
      <c r="C137" s="3859" t="s">
        <v>364</v>
      </c>
      <c r="D137" s="801">
        <f>+D138+D139</f>
        <v>1500000</v>
      </c>
      <c r="E137" s="801">
        <f>+E139</f>
        <v>1500000</v>
      </c>
      <c r="F137" s="2795">
        <f t="shared" ref="F137:J137" si="94">+F139</f>
        <v>0</v>
      </c>
      <c r="G137" s="2795">
        <f t="shared" si="94"/>
        <v>0</v>
      </c>
      <c r="H137" s="2795">
        <f t="shared" si="94"/>
        <v>0</v>
      </c>
      <c r="I137" s="2795">
        <f t="shared" si="94"/>
        <v>0</v>
      </c>
      <c r="J137" s="2795">
        <f t="shared" si="94"/>
        <v>0</v>
      </c>
      <c r="K137" s="1010">
        <f>+K138+K139</f>
        <v>0</v>
      </c>
      <c r="L137" s="801">
        <f>+L138+L139</f>
        <v>0</v>
      </c>
      <c r="M137" s="3865"/>
      <c r="N137" s="3868"/>
      <c r="O137" s="3635"/>
      <c r="P137" s="3635"/>
    </row>
    <row r="138" spans="1:16" ht="12" hidden="1" customHeight="1">
      <c r="A138" s="3874"/>
      <c r="B138" s="818" t="s">
        <v>16</v>
      </c>
      <c r="C138" s="3908"/>
      <c r="D138" s="766">
        <f>SUM(E138:G138)</f>
        <v>0</v>
      </c>
      <c r="E138" s="3019"/>
      <c r="F138" s="2709"/>
      <c r="G138" s="2709"/>
      <c r="H138" s="2709"/>
      <c r="I138" s="2709"/>
      <c r="J138" s="2709"/>
      <c r="K138" s="1978"/>
      <c r="L138" s="815">
        <v>0</v>
      </c>
      <c r="M138" s="3865"/>
      <c r="N138" s="3868"/>
      <c r="O138" s="3635"/>
      <c r="P138" s="3635"/>
    </row>
    <row r="139" spans="1:16">
      <c r="A139" s="3874"/>
      <c r="B139" s="818" t="s">
        <v>14</v>
      </c>
      <c r="C139" s="3908"/>
      <c r="D139" s="766">
        <f>E139+L139+K139+F139+G139+H139+I139+J139</f>
        <v>1500000</v>
      </c>
      <c r="E139" s="787">
        <f>1000000+500000</f>
        <v>1500000</v>
      </c>
      <c r="F139" s="2709">
        <v>0</v>
      </c>
      <c r="G139" s="2709">
        <v>0</v>
      </c>
      <c r="H139" s="2709">
        <v>0</v>
      </c>
      <c r="I139" s="2709">
        <v>0</v>
      </c>
      <c r="J139" s="2709">
        <v>0</v>
      </c>
      <c r="K139" s="1978">
        <v>0</v>
      </c>
      <c r="L139" s="815">
        <v>0</v>
      </c>
      <c r="M139" s="3865"/>
      <c r="N139" s="3868"/>
      <c r="O139" s="3635"/>
      <c r="P139" s="3635"/>
    </row>
    <row r="140" spans="1:16" ht="13.5" customHeight="1">
      <c r="A140" s="3874"/>
      <c r="B140" s="1658" t="s">
        <v>17</v>
      </c>
      <c r="C140" s="3908"/>
      <c r="D140" s="816">
        <f t="shared" ref="D140" si="95">+D141+D142</f>
        <v>37120921</v>
      </c>
      <c r="E140" s="816">
        <f>+E142</f>
        <v>37120921</v>
      </c>
      <c r="F140" s="3020">
        <f t="shared" ref="F140:J140" si="96">+F142</f>
        <v>0</v>
      </c>
      <c r="G140" s="3020">
        <f t="shared" si="96"/>
        <v>0</v>
      </c>
      <c r="H140" s="3020">
        <f t="shared" si="96"/>
        <v>0</v>
      </c>
      <c r="I140" s="3020">
        <f t="shared" si="96"/>
        <v>0</v>
      </c>
      <c r="J140" s="3020">
        <f t="shared" si="96"/>
        <v>0</v>
      </c>
      <c r="K140" s="2963">
        <f>+K141+K142</f>
        <v>0</v>
      </c>
      <c r="L140" s="2963">
        <f>+L141+L142</f>
        <v>0</v>
      </c>
      <c r="M140" s="3865"/>
      <c r="N140" s="3868"/>
      <c r="O140" s="3635"/>
      <c r="P140" s="3635"/>
    </row>
    <row r="141" spans="1:16" ht="12" hidden="1" customHeight="1">
      <c r="A141" s="3874"/>
      <c r="B141" s="1530" t="s">
        <v>16</v>
      </c>
      <c r="C141" s="3908"/>
      <c r="D141" s="766">
        <f>SUM(E141:G141)</f>
        <v>0</v>
      </c>
      <c r="E141" s="3019"/>
      <c r="F141" s="2709"/>
      <c r="G141" s="2709"/>
      <c r="H141" s="2709"/>
      <c r="I141" s="2709"/>
      <c r="J141" s="2709"/>
      <c r="K141" s="815"/>
      <c r="L141" s="815"/>
      <c r="M141" s="3865"/>
      <c r="N141" s="3868"/>
      <c r="O141" s="3635"/>
      <c r="P141" s="3635"/>
    </row>
    <row r="142" spans="1:16" ht="14.25" customHeight="1" thickBot="1">
      <c r="A142" s="3913"/>
      <c r="B142" s="2964" t="s">
        <v>19</v>
      </c>
      <c r="C142" s="3909"/>
      <c r="D142" s="1142">
        <f>E142+L142+K142+F142+G142+H142+I142+J142</f>
        <v>37120921</v>
      </c>
      <c r="E142" s="1003">
        <f>13036781+23546022-129119+667237</f>
        <v>37120921</v>
      </c>
      <c r="F142" s="3021">
        <v>0</v>
      </c>
      <c r="G142" s="3021">
        <v>0</v>
      </c>
      <c r="H142" s="3021">
        <v>0</v>
      </c>
      <c r="I142" s="3022">
        <v>0</v>
      </c>
      <c r="J142" s="3022">
        <v>0</v>
      </c>
      <c r="K142" s="2965">
        <v>0</v>
      </c>
      <c r="L142" s="1142">
        <v>0</v>
      </c>
      <c r="M142" s="3866"/>
      <c r="N142" s="3869"/>
      <c r="O142" s="3635"/>
      <c r="P142" s="3635"/>
    </row>
    <row r="143" spans="1:16" ht="30" hidden="1" customHeight="1">
      <c r="A143" s="3874"/>
      <c r="B143" s="235" t="s">
        <v>562</v>
      </c>
      <c r="C143" s="460"/>
      <c r="D143" s="3023"/>
      <c r="E143" s="3024"/>
      <c r="F143" s="3024"/>
      <c r="G143" s="3024"/>
      <c r="H143" s="3024"/>
      <c r="I143" s="3024"/>
      <c r="J143" s="3024"/>
      <c r="K143" s="3024"/>
      <c r="L143" s="3024"/>
      <c r="M143" s="3025"/>
      <c r="N143" s="1248"/>
      <c r="O143" s="3635"/>
      <c r="P143" s="3635"/>
    </row>
    <row r="144" spans="1:16" ht="13.5" hidden="1" customHeight="1">
      <c r="A144" s="3874"/>
      <c r="B144" s="1212" t="s">
        <v>9</v>
      </c>
      <c r="C144" s="3003" t="s">
        <v>70</v>
      </c>
      <c r="D144" s="2957">
        <f t="shared" ref="D144" si="97">+D145+D148</f>
        <v>0</v>
      </c>
      <c r="E144" s="830">
        <f>+E145+E148</f>
        <v>0</v>
      </c>
      <c r="F144" s="830"/>
      <c r="G144" s="830"/>
      <c r="H144" s="830"/>
      <c r="I144" s="830"/>
      <c r="J144" s="830"/>
      <c r="K144" s="830"/>
      <c r="L144" s="830">
        <f>+L145+L148</f>
        <v>0</v>
      </c>
      <c r="M144" s="799">
        <f>M145+M148</f>
        <v>0</v>
      </c>
      <c r="N144" s="3915" t="s">
        <v>75</v>
      </c>
      <c r="O144" s="3636"/>
      <c r="P144" s="3635"/>
    </row>
    <row r="145" spans="1:16" ht="13.5" hidden="1" customHeight="1">
      <c r="A145" s="3874"/>
      <c r="B145" s="1225" t="s">
        <v>22</v>
      </c>
      <c r="C145" s="3859" t="s">
        <v>73</v>
      </c>
      <c r="D145" s="811">
        <f>+D146+D147</f>
        <v>0</v>
      </c>
      <c r="E145" s="811">
        <f>+E146</f>
        <v>0</v>
      </c>
      <c r="F145" s="811"/>
      <c r="G145" s="811"/>
      <c r="H145" s="811"/>
      <c r="I145" s="811"/>
      <c r="J145" s="811"/>
      <c r="K145" s="811"/>
      <c r="L145" s="811">
        <f>+L146+L147</f>
        <v>0</v>
      </c>
      <c r="M145" s="802">
        <f>M146</f>
        <v>0</v>
      </c>
      <c r="N145" s="3915"/>
      <c r="O145" s="3636"/>
      <c r="P145" s="3635"/>
    </row>
    <row r="146" spans="1:16" ht="11.25" hidden="1" customHeight="1">
      <c r="A146" s="3874"/>
      <c r="B146" s="2958" t="s">
        <v>11</v>
      </c>
      <c r="C146" s="3921"/>
      <c r="D146" s="766">
        <f>E146+L146+K146+F146+G146+H146+I146+J146</f>
        <v>0</v>
      </c>
      <c r="E146" s="787"/>
      <c r="F146" s="787"/>
      <c r="G146" s="787"/>
      <c r="H146" s="787"/>
      <c r="I146" s="787"/>
      <c r="J146" s="787"/>
      <c r="K146" s="787"/>
      <c r="L146" s="787"/>
      <c r="M146" s="813">
        <f>SUM(F146:J146)</f>
        <v>0</v>
      </c>
      <c r="N146" s="3915"/>
      <c r="O146" s="3636"/>
      <c r="P146" s="3635"/>
    </row>
    <row r="147" spans="1:16" ht="10.5" hidden="1" customHeight="1">
      <c r="A147" s="3874"/>
      <c r="B147" s="3026" t="s">
        <v>14</v>
      </c>
      <c r="C147" s="3921"/>
      <c r="D147" s="766">
        <f>SUM(E147:G147)</f>
        <v>0</v>
      </c>
      <c r="E147" s="821">
        <v>0</v>
      </c>
      <c r="F147" s="822"/>
      <c r="G147" s="822"/>
      <c r="H147" s="2960"/>
      <c r="I147" s="2960"/>
      <c r="J147" s="2960"/>
      <c r="K147" s="822"/>
      <c r="L147" s="822"/>
      <c r="M147" s="2961"/>
      <c r="N147" s="3915"/>
      <c r="O147" s="3635"/>
      <c r="P147" s="3635"/>
    </row>
    <row r="148" spans="1:16" ht="12.75" hidden="1" customHeight="1">
      <c r="A148" s="3874"/>
      <c r="B148" s="1226" t="s">
        <v>17</v>
      </c>
      <c r="C148" s="3921"/>
      <c r="D148" s="801">
        <f>+D149</f>
        <v>0</v>
      </c>
      <c r="E148" s="807">
        <f>+E149</f>
        <v>0</v>
      </c>
      <c r="F148" s="807"/>
      <c r="G148" s="807"/>
      <c r="H148" s="801"/>
      <c r="I148" s="801"/>
      <c r="J148" s="801"/>
      <c r="K148" s="807"/>
      <c r="L148" s="807">
        <f t="shared" ref="L148" si="98">+L149</f>
        <v>0</v>
      </c>
      <c r="M148" s="802">
        <f>M149</f>
        <v>0</v>
      </c>
      <c r="N148" s="3915"/>
      <c r="O148" s="3635"/>
      <c r="P148" s="3635"/>
    </row>
    <row r="149" spans="1:16" ht="12" hidden="1" customHeight="1">
      <c r="A149" s="3874"/>
      <c r="B149" s="2958" t="s">
        <v>19</v>
      </c>
      <c r="C149" s="3922"/>
      <c r="D149" s="789">
        <f>E149+L149+K149+F149+G149+H149+I149+J149</f>
        <v>0</v>
      </c>
      <c r="E149" s="787"/>
      <c r="F149" s="810"/>
      <c r="G149" s="810"/>
      <c r="H149" s="812"/>
      <c r="I149" s="812"/>
      <c r="J149" s="812"/>
      <c r="K149" s="787"/>
      <c r="L149" s="787"/>
      <c r="M149" s="813">
        <f>SUM(F149:J149)</f>
        <v>0</v>
      </c>
      <c r="N149" s="3916"/>
      <c r="O149" s="3635"/>
      <c r="P149" s="3635"/>
    </row>
    <row r="150" spans="1:16" ht="23.25" hidden="1" customHeight="1" thickBot="1">
      <c r="A150" s="3875"/>
      <c r="B150" s="41" t="s">
        <v>20</v>
      </c>
      <c r="C150" s="3007" t="s">
        <v>271</v>
      </c>
      <c r="D150" s="42">
        <f t="shared" ref="D150" si="99">+D151+D153</f>
        <v>0</v>
      </c>
      <c r="E150" s="2817">
        <f>+E153</f>
        <v>0</v>
      </c>
      <c r="F150" s="2817"/>
      <c r="G150" s="2817"/>
      <c r="H150" s="2817"/>
      <c r="I150" s="2817"/>
      <c r="J150" s="2817"/>
      <c r="K150" s="2817"/>
      <c r="L150" s="2817">
        <f>+L151+L153</f>
        <v>0</v>
      </c>
      <c r="M150" s="3883" t="s">
        <v>21</v>
      </c>
      <c r="N150" s="3938" t="s">
        <v>90</v>
      </c>
      <c r="O150" s="3636"/>
      <c r="P150" s="3636">
        <v>-1435987</v>
      </c>
    </row>
    <row r="151" spans="1:16" ht="13.5" hidden="1" customHeight="1">
      <c r="A151" s="3875"/>
      <c r="B151" s="805" t="s">
        <v>22</v>
      </c>
      <c r="C151" s="3946" t="s">
        <v>183</v>
      </c>
      <c r="D151" s="2975">
        <f>+D152</f>
        <v>0</v>
      </c>
      <c r="E151" s="3027">
        <v>0</v>
      </c>
      <c r="F151" s="2975"/>
      <c r="G151" s="2975"/>
      <c r="H151" s="2975"/>
      <c r="I151" s="2975"/>
      <c r="J151" s="2975"/>
      <c r="K151" s="2975"/>
      <c r="L151" s="2975"/>
      <c r="M151" s="3881"/>
      <c r="N151" s="3939"/>
      <c r="O151" s="3635"/>
      <c r="P151" s="3635"/>
    </row>
    <row r="152" spans="1:16" ht="13.5" hidden="1" customHeight="1" thickBot="1">
      <c r="A152" s="3875"/>
      <c r="B152" s="2974" t="s">
        <v>14</v>
      </c>
      <c r="C152" s="3933"/>
      <c r="D152" s="766">
        <f>SUM(E152:G152)</f>
        <v>0</v>
      </c>
      <c r="E152" s="1978">
        <v>0</v>
      </c>
      <c r="F152" s="815"/>
      <c r="G152" s="815"/>
      <c r="H152" s="815"/>
      <c r="I152" s="815"/>
      <c r="J152" s="815"/>
      <c r="K152" s="815"/>
      <c r="L152" s="815"/>
      <c r="M152" s="3881"/>
      <c r="N152" s="3939"/>
      <c r="O152" s="3635"/>
      <c r="P152" s="3635"/>
    </row>
    <row r="153" spans="1:16" ht="12" hidden="1" customHeight="1">
      <c r="A153" s="3875"/>
      <c r="B153" s="823" t="s">
        <v>17</v>
      </c>
      <c r="C153" s="3933"/>
      <c r="D153" s="801">
        <f t="shared" ref="D153" si="100">+D154</f>
        <v>0</v>
      </c>
      <c r="E153" s="807">
        <f>+E154</f>
        <v>0</v>
      </c>
      <c r="F153" s="807"/>
      <c r="G153" s="807"/>
      <c r="H153" s="807"/>
      <c r="I153" s="807"/>
      <c r="J153" s="807"/>
      <c r="K153" s="807"/>
      <c r="L153" s="807">
        <f>+L154</f>
        <v>0</v>
      </c>
      <c r="M153" s="3881"/>
      <c r="N153" s="3939"/>
      <c r="O153" s="3635"/>
      <c r="P153" s="3635"/>
    </row>
    <row r="154" spans="1:16" ht="13.5" hidden="1" customHeight="1" thickBot="1">
      <c r="A154" s="3876"/>
      <c r="B154" s="473" t="s">
        <v>19</v>
      </c>
      <c r="C154" s="3934"/>
      <c r="D154" s="1142">
        <f>E154+L154+K154+F154+G154+H154+I154+J154</f>
        <v>0</v>
      </c>
      <c r="E154" s="1142"/>
      <c r="F154" s="1014"/>
      <c r="G154" s="1014"/>
      <c r="H154" s="1014"/>
      <c r="I154" s="1014"/>
      <c r="J154" s="1014"/>
      <c r="K154" s="1014"/>
      <c r="L154" s="1014"/>
      <c r="M154" s="3882"/>
      <c r="N154" s="3940"/>
      <c r="O154" s="3635"/>
      <c r="P154" s="3635"/>
    </row>
    <row r="155" spans="1:16" ht="24.75" hidden="1" thickBot="1">
      <c r="A155" s="3873" t="s">
        <v>55</v>
      </c>
      <c r="B155" s="32" t="s">
        <v>563</v>
      </c>
      <c r="C155" s="25" t="s">
        <v>70</v>
      </c>
      <c r="D155" s="652"/>
      <c r="E155" s="1477"/>
      <c r="F155" s="1477"/>
      <c r="G155" s="1477"/>
      <c r="H155" s="1477"/>
      <c r="I155" s="1477"/>
      <c r="J155" s="21"/>
      <c r="K155" s="1477"/>
      <c r="L155" s="1477"/>
      <c r="M155" s="22"/>
      <c r="N155" s="39"/>
      <c r="O155" s="3635"/>
      <c r="P155" s="3635"/>
    </row>
    <row r="156" spans="1:16" ht="12" hidden="1" customHeight="1">
      <c r="A156" s="3874"/>
      <c r="B156" s="1195" t="s">
        <v>9</v>
      </c>
      <c r="C156" s="1419"/>
      <c r="D156" s="2957">
        <f>+D157+D160</f>
        <v>0</v>
      </c>
      <c r="E156" s="830">
        <f t="shared" ref="E156" si="101">+E157+E160</f>
        <v>0</v>
      </c>
      <c r="F156" s="830"/>
      <c r="G156" s="830"/>
      <c r="H156" s="830"/>
      <c r="I156" s="830"/>
      <c r="J156" s="830"/>
      <c r="K156" s="830">
        <f>+K157+K160</f>
        <v>0</v>
      </c>
      <c r="L156" s="830">
        <f>+L157+L160</f>
        <v>0</v>
      </c>
      <c r="M156" s="799">
        <f>M157+M160</f>
        <v>0</v>
      </c>
      <c r="N156" s="3915" t="s">
        <v>75</v>
      </c>
      <c r="O156" s="3636"/>
      <c r="P156" s="3635"/>
    </row>
    <row r="157" spans="1:16" ht="13.5" hidden="1" thickBot="1">
      <c r="A157" s="3874"/>
      <c r="B157" s="1529" t="s">
        <v>22</v>
      </c>
      <c r="C157" s="3859" t="s">
        <v>73</v>
      </c>
      <c r="D157" s="811">
        <f>+D158+D159</f>
        <v>0</v>
      </c>
      <c r="E157" s="811">
        <f t="shared" ref="E157" si="102">+E158+E159</f>
        <v>0</v>
      </c>
      <c r="F157" s="811"/>
      <c r="G157" s="811"/>
      <c r="H157" s="811"/>
      <c r="I157" s="811"/>
      <c r="J157" s="811"/>
      <c r="K157" s="811">
        <f>+K158+K159</f>
        <v>0</v>
      </c>
      <c r="L157" s="811">
        <f>+L158+L159</f>
        <v>0</v>
      </c>
      <c r="M157" s="802">
        <f>M158</f>
        <v>0</v>
      </c>
      <c r="N157" s="3915"/>
      <c r="O157" s="3945" t="s">
        <v>299</v>
      </c>
      <c r="P157" s="3635"/>
    </row>
    <row r="158" spans="1:16" ht="11.25" hidden="1" customHeight="1">
      <c r="A158" s="3874"/>
      <c r="B158" s="1530" t="s">
        <v>11</v>
      </c>
      <c r="C158" s="3921"/>
      <c r="D158" s="766">
        <f>E158+L158+K158+F158+G158+H158+I158+J158</f>
        <v>0</v>
      </c>
      <c r="E158" s="787"/>
      <c r="F158" s="787"/>
      <c r="G158" s="787"/>
      <c r="H158" s="787"/>
      <c r="I158" s="787"/>
      <c r="J158" s="787"/>
      <c r="K158" s="787"/>
      <c r="L158" s="787"/>
      <c r="M158" s="813">
        <f>SUM(F158:J158)</f>
        <v>0</v>
      </c>
      <c r="N158" s="3915"/>
      <c r="O158" s="3945"/>
      <c r="P158" s="3635"/>
    </row>
    <row r="159" spans="1:16" ht="10.5" hidden="1" customHeight="1">
      <c r="A159" s="3874"/>
      <c r="B159" s="3028" t="s">
        <v>14</v>
      </c>
      <c r="C159" s="3921"/>
      <c r="D159" s="766">
        <f>SUM(E159:G159)</f>
        <v>0</v>
      </c>
      <c r="E159" s="821">
        <v>0</v>
      </c>
      <c r="F159" s="822"/>
      <c r="G159" s="822"/>
      <c r="H159" s="2960"/>
      <c r="I159" s="2960"/>
      <c r="J159" s="2960"/>
      <c r="K159" s="822"/>
      <c r="L159" s="822"/>
      <c r="M159" s="2961"/>
      <c r="N159" s="3915"/>
      <c r="O159" s="3945"/>
      <c r="P159" s="3635"/>
    </row>
    <row r="160" spans="1:16" ht="13.5" hidden="1" thickBot="1">
      <c r="A160" s="3874"/>
      <c r="B160" s="1658" t="s">
        <v>17</v>
      </c>
      <c r="C160" s="3921"/>
      <c r="D160" s="801">
        <f>+D161</f>
        <v>0</v>
      </c>
      <c r="E160" s="807">
        <f t="shared" ref="E160" si="103">+E161</f>
        <v>0</v>
      </c>
      <c r="F160" s="807"/>
      <c r="G160" s="807"/>
      <c r="H160" s="801"/>
      <c r="I160" s="801"/>
      <c r="J160" s="801"/>
      <c r="K160" s="807">
        <f>+K161</f>
        <v>0</v>
      </c>
      <c r="L160" s="807">
        <f>+L161</f>
        <v>0</v>
      </c>
      <c r="M160" s="802">
        <f>M161</f>
        <v>0</v>
      </c>
      <c r="N160" s="3915"/>
      <c r="O160" s="3945"/>
      <c r="P160" s="3635"/>
    </row>
    <row r="161" spans="1:16" ht="12" hidden="1" customHeight="1">
      <c r="A161" s="3874"/>
      <c r="B161" s="1530" t="s">
        <v>19</v>
      </c>
      <c r="C161" s="3922"/>
      <c r="D161" s="766">
        <f>E161+L161+K161+F161+G161+H161+I161+J161</f>
        <v>0</v>
      </c>
      <c r="E161" s="787"/>
      <c r="F161" s="810"/>
      <c r="G161" s="810"/>
      <c r="H161" s="812"/>
      <c r="I161" s="812"/>
      <c r="J161" s="812"/>
      <c r="K161" s="787"/>
      <c r="L161" s="787">
        <v>0</v>
      </c>
      <c r="M161" s="813">
        <f>SUM(F161:J161)</f>
        <v>0</v>
      </c>
      <c r="N161" s="3916"/>
      <c r="O161" s="3945"/>
      <c r="P161" s="3635"/>
    </row>
    <row r="162" spans="1:16" ht="12" hidden="1" customHeight="1">
      <c r="A162" s="3875"/>
      <c r="B162" s="650" t="s">
        <v>20</v>
      </c>
      <c r="C162" s="40"/>
      <c r="D162" s="42">
        <f t="shared" ref="D162" si="104">+D163+D165</f>
        <v>0</v>
      </c>
      <c r="E162" s="2817">
        <f>+E163+E165</f>
        <v>0</v>
      </c>
      <c r="F162" s="2817"/>
      <c r="G162" s="2817"/>
      <c r="H162" s="2817"/>
      <c r="I162" s="2817"/>
      <c r="J162" s="2817"/>
      <c r="K162" s="2817">
        <f>+K163+K165</f>
        <v>0</v>
      </c>
      <c r="L162" s="2817">
        <f>+L163+L165</f>
        <v>0</v>
      </c>
      <c r="M162" s="3883" t="s">
        <v>21</v>
      </c>
      <c r="N162" s="3938" t="s">
        <v>90</v>
      </c>
      <c r="O162" s="3635"/>
      <c r="P162" s="3635"/>
    </row>
    <row r="163" spans="1:16" ht="13.5" hidden="1" customHeight="1">
      <c r="A163" s="3875"/>
      <c r="B163" s="814" t="s">
        <v>22</v>
      </c>
      <c r="C163" s="3946" t="s">
        <v>183</v>
      </c>
      <c r="D163" s="2975">
        <f>+D164</f>
        <v>0</v>
      </c>
      <c r="E163" s="2975"/>
      <c r="F163" s="2975"/>
      <c r="G163" s="2975"/>
      <c r="H163" s="2975"/>
      <c r="I163" s="2975"/>
      <c r="J163" s="2975"/>
      <c r="K163" s="2975"/>
      <c r="L163" s="2975"/>
      <c r="M163" s="3881"/>
      <c r="N163" s="3939"/>
      <c r="O163" s="3635"/>
      <c r="P163" s="3635"/>
    </row>
    <row r="164" spans="1:16" ht="13.5" hidden="1" customHeight="1">
      <c r="A164" s="3875"/>
      <c r="B164" s="2974" t="s">
        <v>14</v>
      </c>
      <c r="C164" s="3933"/>
      <c r="D164" s="766">
        <f>SUM(E164:G164)</f>
        <v>0</v>
      </c>
      <c r="E164" s="815"/>
      <c r="F164" s="815"/>
      <c r="G164" s="815"/>
      <c r="H164" s="815"/>
      <c r="I164" s="815"/>
      <c r="J164" s="815"/>
      <c r="K164" s="815"/>
      <c r="L164" s="815"/>
      <c r="M164" s="3881"/>
      <c r="N164" s="3939"/>
      <c r="O164" s="3635"/>
      <c r="P164" s="3635"/>
    </row>
    <row r="165" spans="1:16" ht="12" hidden="1" customHeight="1">
      <c r="A165" s="3875"/>
      <c r="B165" s="1253" t="s">
        <v>17</v>
      </c>
      <c r="C165" s="3933"/>
      <c r="D165" s="801">
        <f t="shared" ref="D165:E165" si="105">+D166</f>
        <v>0</v>
      </c>
      <c r="E165" s="807">
        <f t="shared" si="105"/>
        <v>0</v>
      </c>
      <c r="F165" s="807"/>
      <c r="G165" s="807"/>
      <c r="H165" s="807"/>
      <c r="I165" s="807"/>
      <c r="J165" s="807"/>
      <c r="K165" s="807">
        <f>+K166</f>
        <v>0</v>
      </c>
      <c r="L165" s="807">
        <f>+L166</f>
        <v>0</v>
      </c>
      <c r="M165" s="3881"/>
      <c r="N165" s="3939"/>
      <c r="O165" s="3635"/>
      <c r="P165" s="3635"/>
    </row>
    <row r="166" spans="1:16" ht="13.5" hidden="1" customHeight="1" thickBot="1">
      <c r="A166" s="3876"/>
      <c r="B166" s="473" t="s">
        <v>19</v>
      </c>
      <c r="C166" s="3934"/>
      <c r="D166" s="1142">
        <f>E166+L166+K166+F166+G166+H166+I166+J166</f>
        <v>0</v>
      </c>
      <c r="E166" s="1142"/>
      <c r="F166" s="1014"/>
      <c r="G166" s="1014"/>
      <c r="H166" s="1014"/>
      <c r="I166" s="1014"/>
      <c r="J166" s="1014"/>
      <c r="K166" s="1014"/>
      <c r="L166" s="1014">
        <v>0</v>
      </c>
      <c r="M166" s="3882"/>
      <c r="N166" s="3940"/>
      <c r="O166" s="3635"/>
      <c r="P166" s="3635"/>
    </row>
    <row r="167" spans="1:16" ht="24.75" hidden="1" thickBot="1">
      <c r="A167" s="3873" t="s">
        <v>56</v>
      </c>
      <c r="B167" s="32" t="s">
        <v>564</v>
      </c>
      <c r="C167" s="25" t="s">
        <v>70</v>
      </c>
      <c r="D167" s="652"/>
      <c r="E167" s="1477"/>
      <c r="F167" s="1477"/>
      <c r="G167" s="1477"/>
      <c r="H167" s="1477"/>
      <c r="I167" s="1477"/>
      <c r="J167" s="21"/>
      <c r="K167" s="1477"/>
      <c r="L167" s="1477"/>
      <c r="M167" s="22"/>
      <c r="N167" s="39"/>
      <c r="O167" s="3635" t="s">
        <v>327</v>
      </c>
      <c r="P167" s="3635"/>
    </row>
    <row r="168" spans="1:16" ht="13.5" hidden="1" customHeight="1">
      <c r="A168" s="3874"/>
      <c r="B168" s="1212" t="s">
        <v>9</v>
      </c>
      <c r="C168" s="1419"/>
      <c r="D168" s="2957">
        <f>+D169+D172</f>
        <v>0</v>
      </c>
      <c r="E168" s="830">
        <f t="shared" ref="E168" si="106">+E169+E172</f>
        <v>0</v>
      </c>
      <c r="F168" s="830"/>
      <c r="G168" s="830"/>
      <c r="H168" s="830"/>
      <c r="I168" s="830"/>
      <c r="J168" s="830"/>
      <c r="K168" s="830">
        <f>+K169+K172</f>
        <v>0</v>
      </c>
      <c r="L168" s="830">
        <f>+L169+L172</f>
        <v>0</v>
      </c>
      <c r="M168" s="799">
        <f>M169+M172</f>
        <v>0</v>
      </c>
      <c r="N168" s="3915" t="s">
        <v>75</v>
      </c>
      <c r="O168" s="3636"/>
      <c r="P168" s="3635"/>
    </row>
    <row r="169" spans="1:16" ht="13.5" hidden="1" customHeight="1">
      <c r="A169" s="3874"/>
      <c r="B169" s="1225" t="s">
        <v>22</v>
      </c>
      <c r="C169" s="3859" t="s">
        <v>73</v>
      </c>
      <c r="D169" s="811">
        <f>+D170+D171</f>
        <v>0</v>
      </c>
      <c r="E169" s="811">
        <f t="shared" ref="E169" si="107">+E170+E171</f>
        <v>0</v>
      </c>
      <c r="F169" s="811"/>
      <c r="G169" s="811"/>
      <c r="H169" s="811"/>
      <c r="I169" s="811"/>
      <c r="J169" s="811"/>
      <c r="K169" s="811">
        <f>+K170+K171</f>
        <v>0</v>
      </c>
      <c r="L169" s="811">
        <f>+L170+L171</f>
        <v>0</v>
      </c>
      <c r="M169" s="802">
        <f>M170+M171</f>
        <v>0</v>
      </c>
      <c r="N169" s="3915"/>
      <c r="O169" s="3945"/>
      <c r="P169" s="3635"/>
    </row>
    <row r="170" spans="1:16" ht="13.5" hidden="1" thickBot="1">
      <c r="A170" s="3874"/>
      <c r="B170" s="2958" t="s">
        <v>11</v>
      </c>
      <c r="C170" s="3921"/>
      <c r="D170" s="766">
        <f>E170+L170+K170+F170+G170+H170+I170+J170</f>
        <v>0</v>
      </c>
      <c r="E170" s="787"/>
      <c r="F170" s="787"/>
      <c r="G170" s="787"/>
      <c r="H170" s="787"/>
      <c r="I170" s="787"/>
      <c r="J170" s="787"/>
      <c r="K170" s="787"/>
      <c r="L170" s="787">
        <v>0</v>
      </c>
      <c r="M170" s="813">
        <f>SUM(F170:J170)</f>
        <v>0</v>
      </c>
      <c r="N170" s="3915"/>
      <c r="O170" s="3945"/>
      <c r="P170" s="3635"/>
    </row>
    <row r="171" spans="1:16" ht="10.5" hidden="1" customHeight="1">
      <c r="A171" s="3874"/>
      <c r="B171" s="3026" t="s">
        <v>14</v>
      </c>
      <c r="C171" s="3921"/>
      <c r="D171" s="766">
        <f>SUM(E171:G171)</f>
        <v>0</v>
      </c>
      <c r="E171" s="822"/>
      <c r="F171" s="822"/>
      <c r="G171" s="822"/>
      <c r="H171" s="810"/>
      <c r="I171" s="810"/>
      <c r="J171" s="810"/>
      <c r="K171" s="822"/>
      <c r="L171" s="822">
        <v>0</v>
      </c>
      <c r="M171" s="813">
        <f>SUM(F171:J171)</f>
        <v>0</v>
      </c>
      <c r="N171" s="3915"/>
      <c r="O171" s="3945"/>
      <c r="P171" s="3635"/>
    </row>
    <row r="172" spans="1:16" ht="12.75" hidden="1" customHeight="1">
      <c r="A172" s="3874"/>
      <c r="B172" s="1226" t="s">
        <v>17</v>
      </c>
      <c r="C172" s="3921"/>
      <c r="D172" s="801">
        <f>+D173</f>
        <v>0</v>
      </c>
      <c r="E172" s="807">
        <f t="shared" ref="E172" si="108">+E173</f>
        <v>0</v>
      </c>
      <c r="F172" s="807"/>
      <c r="G172" s="807"/>
      <c r="H172" s="801"/>
      <c r="I172" s="801"/>
      <c r="J172" s="801"/>
      <c r="K172" s="807">
        <f>+K173</f>
        <v>0</v>
      </c>
      <c r="L172" s="807">
        <f>+L173</f>
        <v>0</v>
      </c>
      <c r="M172" s="802">
        <f>M173</f>
        <v>0</v>
      </c>
      <c r="N172" s="3915"/>
      <c r="O172" s="3945"/>
      <c r="P172" s="3635"/>
    </row>
    <row r="173" spans="1:16" ht="13.5" hidden="1" thickBot="1">
      <c r="A173" s="3874"/>
      <c r="B173" s="2958" t="s">
        <v>19</v>
      </c>
      <c r="C173" s="3922"/>
      <c r="D173" s="789">
        <f>E173+L173+K173+F173+G173+H173+I173+J173</f>
        <v>0</v>
      </c>
      <c r="E173" s="787"/>
      <c r="F173" s="810"/>
      <c r="G173" s="810"/>
      <c r="H173" s="812"/>
      <c r="I173" s="812"/>
      <c r="J173" s="812"/>
      <c r="K173" s="787"/>
      <c r="L173" s="787">
        <v>0</v>
      </c>
      <c r="M173" s="813">
        <f>SUM(F173:J173)</f>
        <v>0</v>
      </c>
      <c r="N173" s="3916"/>
      <c r="O173" s="3945"/>
      <c r="P173" s="3635"/>
    </row>
    <row r="174" spans="1:16" ht="13.5" hidden="1" thickBot="1">
      <c r="A174" s="3876"/>
      <c r="B174" s="41" t="s">
        <v>20</v>
      </c>
      <c r="C174" s="40"/>
      <c r="D174" s="42">
        <f t="shared" ref="D174" si="109">+D175+D177</f>
        <v>0</v>
      </c>
      <c r="E174" s="2817">
        <f>+E175+E177</f>
        <v>0</v>
      </c>
      <c r="F174" s="2817"/>
      <c r="G174" s="2817"/>
      <c r="H174" s="2817"/>
      <c r="I174" s="2817"/>
      <c r="J174" s="2817"/>
      <c r="K174" s="2817">
        <f>+K175+K177</f>
        <v>0</v>
      </c>
      <c r="L174" s="2817">
        <f>+L175+L177</f>
        <v>0</v>
      </c>
      <c r="M174" s="3883" t="s">
        <v>21</v>
      </c>
      <c r="N174" s="3938" t="s">
        <v>90</v>
      </c>
      <c r="O174" s="3635"/>
      <c r="P174" s="3635"/>
    </row>
    <row r="175" spans="1:16" ht="13.5" hidden="1" customHeight="1" thickBot="1">
      <c r="A175" s="3904"/>
      <c r="B175" s="805" t="s">
        <v>22</v>
      </c>
      <c r="C175" s="3946" t="s">
        <v>365</v>
      </c>
      <c r="D175" s="2975">
        <f>+D176</f>
        <v>0</v>
      </c>
      <c r="E175" s="2975">
        <f>E176</f>
        <v>0</v>
      </c>
      <c r="F175" s="2975"/>
      <c r="G175" s="2975"/>
      <c r="H175" s="2975"/>
      <c r="I175" s="2975"/>
      <c r="J175" s="2975"/>
      <c r="K175" s="2975">
        <f>K176</f>
        <v>0</v>
      </c>
      <c r="L175" s="2975">
        <f>L176</f>
        <v>0</v>
      </c>
      <c r="M175" s="3881"/>
      <c r="N175" s="3939"/>
      <c r="O175" s="3635"/>
      <c r="P175" s="3635"/>
    </row>
    <row r="176" spans="1:16" ht="13.5" hidden="1" customHeight="1" thickBot="1">
      <c r="A176" s="3904"/>
      <c r="B176" s="3029" t="s">
        <v>14</v>
      </c>
      <c r="C176" s="3933"/>
      <c r="D176" s="766">
        <f>SUM(E176:G176)</f>
        <v>0</v>
      </c>
      <c r="E176" s="815"/>
      <c r="F176" s="815"/>
      <c r="G176" s="815"/>
      <c r="H176" s="815"/>
      <c r="I176" s="815"/>
      <c r="J176" s="815"/>
      <c r="K176" s="815"/>
      <c r="L176" s="815">
        <v>0</v>
      </c>
      <c r="M176" s="3881"/>
      <c r="N176" s="3939"/>
      <c r="O176" s="3635"/>
      <c r="P176" s="3635"/>
    </row>
    <row r="177" spans="1:16" ht="12" hidden="1" customHeight="1" thickBot="1">
      <c r="A177" s="3904"/>
      <c r="B177" s="823" t="s">
        <v>17</v>
      </c>
      <c r="C177" s="3933"/>
      <c r="D177" s="801">
        <f t="shared" ref="D177:E177" si="110">+D178</f>
        <v>0</v>
      </c>
      <c r="E177" s="807">
        <f t="shared" si="110"/>
        <v>0</v>
      </c>
      <c r="F177" s="807"/>
      <c r="G177" s="807"/>
      <c r="H177" s="807"/>
      <c r="I177" s="807"/>
      <c r="J177" s="807"/>
      <c r="K177" s="807">
        <f>+K178</f>
        <v>0</v>
      </c>
      <c r="L177" s="807">
        <f>+L178</f>
        <v>0</v>
      </c>
      <c r="M177" s="3881"/>
      <c r="N177" s="3939"/>
      <c r="O177" s="3635"/>
      <c r="P177" s="3635"/>
    </row>
    <row r="178" spans="1:16" ht="13.5" hidden="1" customHeight="1" thickBot="1">
      <c r="A178" s="3918"/>
      <c r="B178" s="3030" t="s">
        <v>19</v>
      </c>
      <c r="C178" s="3933"/>
      <c r="D178" s="766">
        <f>E178+L178+K178+F178+G178+H178+I178+J178</f>
        <v>0</v>
      </c>
      <c r="E178" s="1014"/>
      <c r="F178" s="822"/>
      <c r="G178" s="822"/>
      <c r="H178" s="822"/>
      <c r="I178" s="1014"/>
      <c r="J178" s="1014"/>
      <c r="K178" s="822"/>
      <c r="L178" s="1014">
        <v>0</v>
      </c>
      <c r="M178" s="3881"/>
      <c r="N178" s="3939"/>
      <c r="O178" s="3635"/>
      <c r="P178" s="3635"/>
    </row>
    <row r="179" spans="1:16" ht="26.25" customHeight="1" thickBot="1">
      <c r="A179" s="3917" t="s">
        <v>54</v>
      </c>
      <c r="B179" s="3031" t="s">
        <v>565</v>
      </c>
      <c r="C179" s="3032" t="s">
        <v>70</v>
      </c>
      <c r="D179" s="3033"/>
      <c r="E179" s="1477"/>
      <c r="F179" s="3034"/>
      <c r="G179" s="3034"/>
      <c r="H179" s="3034"/>
      <c r="I179" s="1477"/>
      <c r="J179" s="21"/>
      <c r="K179" s="3034"/>
      <c r="L179" s="1477"/>
      <c r="M179" s="3035"/>
      <c r="N179" s="3036"/>
      <c r="O179" s="3635" t="s">
        <v>243</v>
      </c>
      <c r="P179" s="3635"/>
    </row>
    <row r="180" spans="1:16" ht="14.25" customHeight="1" thickBot="1">
      <c r="A180" s="3903"/>
      <c r="B180" s="1212" t="s">
        <v>9</v>
      </c>
      <c r="C180" s="1419"/>
      <c r="D180" s="2957">
        <f>+D181+D184</f>
        <v>44844867</v>
      </c>
      <c r="E180" s="830">
        <f>+E181+E184</f>
        <v>43744867</v>
      </c>
      <c r="F180" s="830">
        <f>+F181+F184</f>
        <v>1100000</v>
      </c>
      <c r="G180" s="2710">
        <f t="shared" ref="G180:J180" si="111">+G181+G184</f>
        <v>0</v>
      </c>
      <c r="H180" s="2710">
        <f t="shared" si="111"/>
        <v>0</v>
      </c>
      <c r="I180" s="2710">
        <f t="shared" si="111"/>
        <v>0</v>
      </c>
      <c r="J180" s="2710">
        <f t="shared" si="111"/>
        <v>0</v>
      </c>
      <c r="K180" s="830">
        <f>+K181+K184</f>
        <v>0</v>
      </c>
      <c r="L180" s="830">
        <f>+L181+L184</f>
        <v>0</v>
      </c>
      <c r="M180" s="799">
        <f>M181+M184</f>
        <v>1100000</v>
      </c>
      <c r="N180" s="3915" t="s">
        <v>75</v>
      </c>
      <c r="O180" s="3636"/>
      <c r="P180" s="3635"/>
    </row>
    <row r="181" spans="1:16" ht="13.5" customHeight="1" thickBot="1">
      <c r="A181" s="3903"/>
      <c r="B181" s="1225" t="s">
        <v>22</v>
      </c>
      <c r="C181" s="3859" t="s">
        <v>73</v>
      </c>
      <c r="D181" s="811">
        <f>+D182+D183</f>
        <v>9118478</v>
      </c>
      <c r="E181" s="811">
        <f>+E182+E183</f>
        <v>8018478</v>
      </c>
      <c r="F181" s="811">
        <f>+F182+F183</f>
        <v>1100000</v>
      </c>
      <c r="G181" s="2792">
        <f t="shared" ref="G181:J181" si="112">+G182+G183</f>
        <v>0</v>
      </c>
      <c r="H181" s="2792">
        <f t="shared" si="112"/>
        <v>0</v>
      </c>
      <c r="I181" s="2792">
        <f t="shared" si="112"/>
        <v>0</v>
      </c>
      <c r="J181" s="2792">
        <f t="shared" si="112"/>
        <v>0</v>
      </c>
      <c r="K181" s="811">
        <f>+K182+K183</f>
        <v>0</v>
      </c>
      <c r="L181" s="811">
        <f>+L182+L183</f>
        <v>0</v>
      </c>
      <c r="M181" s="802">
        <f>M182</f>
        <v>1100000</v>
      </c>
      <c r="N181" s="3915"/>
      <c r="O181" s="3636"/>
      <c r="P181" s="3635"/>
    </row>
    <row r="182" spans="1:16" ht="13.5" thickBot="1">
      <c r="A182" s="3903"/>
      <c r="B182" s="2958" t="s">
        <v>11</v>
      </c>
      <c r="C182" s="3921"/>
      <c r="D182" s="766">
        <f>E182+L182+K182+F182+G182+H182+I182+J182</f>
        <v>9118478</v>
      </c>
      <c r="E182" s="787">
        <f>4500000-1204062+1962312-2646991+749598+4657621</f>
        <v>8018478</v>
      </c>
      <c r="F182" s="787">
        <v>1100000</v>
      </c>
      <c r="G182" s="2695">
        <v>0</v>
      </c>
      <c r="H182" s="2695">
        <v>0</v>
      </c>
      <c r="I182" s="2695">
        <v>0</v>
      </c>
      <c r="J182" s="2695">
        <v>0</v>
      </c>
      <c r="K182" s="787"/>
      <c r="L182" s="787">
        <v>0</v>
      </c>
      <c r="M182" s="813">
        <f>SUM(F182:J182)</f>
        <v>1100000</v>
      </c>
      <c r="N182" s="3915"/>
      <c r="O182" s="3636"/>
      <c r="P182" s="3635"/>
    </row>
    <row r="183" spans="1:16" ht="10.5" hidden="1" customHeight="1">
      <c r="A183" s="3903"/>
      <c r="B183" s="3026" t="s">
        <v>14</v>
      </c>
      <c r="C183" s="3921"/>
      <c r="D183" s="766">
        <f>SUM(E183:G183)</f>
        <v>0</v>
      </c>
      <c r="E183" s="822"/>
      <c r="F183" s="822"/>
      <c r="G183" s="2814"/>
      <c r="H183" s="3015"/>
      <c r="I183" s="3015"/>
      <c r="J183" s="3015"/>
      <c r="K183" s="822"/>
      <c r="L183" s="822"/>
      <c r="M183" s="2961"/>
      <c r="N183" s="3915"/>
      <c r="O183" s="3635"/>
      <c r="P183" s="3635"/>
    </row>
    <row r="184" spans="1:16" ht="12.75" customHeight="1" thickBot="1">
      <c r="A184" s="3903"/>
      <c r="B184" s="1226" t="s">
        <v>17</v>
      </c>
      <c r="C184" s="3921"/>
      <c r="D184" s="801">
        <f>+D185</f>
        <v>35726389</v>
      </c>
      <c r="E184" s="807">
        <f t="shared" ref="E184:J184" si="113">+E185</f>
        <v>35726389</v>
      </c>
      <c r="F184" s="1047">
        <f t="shared" si="113"/>
        <v>0</v>
      </c>
      <c r="G184" s="1047">
        <f t="shared" si="113"/>
        <v>0</v>
      </c>
      <c r="H184" s="1047">
        <f t="shared" si="113"/>
        <v>0</v>
      </c>
      <c r="I184" s="1047">
        <f t="shared" si="113"/>
        <v>0</v>
      </c>
      <c r="J184" s="1047">
        <f t="shared" si="113"/>
        <v>0</v>
      </c>
      <c r="K184" s="807">
        <f>+K185</f>
        <v>0</v>
      </c>
      <c r="L184" s="807">
        <f>+L185</f>
        <v>0</v>
      </c>
      <c r="M184" s="3017">
        <f>M185</f>
        <v>0</v>
      </c>
      <c r="N184" s="3915"/>
      <c r="O184" s="3635"/>
      <c r="P184" s="3635"/>
    </row>
    <row r="185" spans="1:16" ht="13.5" thickBot="1">
      <c r="A185" s="3903"/>
      <c r="B185" s="187" t="s">
        <v>19</v>
      </c>
      <c r="C185" s="3922"/>
      <c r="D185" s="789">
        <f>E185+L185+K185+F185+G185+H185+I185+J185</f>
        <v>35726389</v>
      </c>
      <c r="E185" s="787">
        <f>38250000+85000-21335000+1110315-5313565-999837-749598+24679074</f>
        <v>35726389</v>
      </c>
      <c r="F185" s="2708">
        <v>0</v>
      </c>
      <c r="G185" s="2708">
        <v>0</v>
      </c>
      <c r="H185" s="2696">
        <v>0</v>
      </c>
      <c r="I185" s="2696">
        <v>0</v>
      </c>
      <c r="J185" s="2696">
        <v>0</v>
      </c>
      <c r="K185" s="787"/>
      <c r="L185" s="787">
        <v>0</v>
      </c>
      <c r="M185" s="3016">
        <f>SUM(F185:J185)</f>
        <v>0</v>
      </c>
      <c r="N185" s="3916"/>
      <c r="O185" s="3635"/>
      <c r="P185" s="3635"/>
    </row>
    <row r="186" spans="1:16" ht="13.5" customHeight="1" thickBot="1">
      <c r="A186" s="3904"/>
      <c r="B186" s="2869" t="s">
        <v>20</v>
      </c>
      <c r="C186" s="40"/>
      <c r="D186" s="42">
        <f t="shared" ref="D186:E186" si="114">+D187+D189</f>
        <v>35726389</v>
      </c>
      <c r="E186" s="2817">
        <f t="shared" si="114"/>
        <v>33696736</v>
      </c>
      <c r="F186" s="2817">
        <f>+F187+F189</f>
        <v>2029653</v>
      </c>
      <c r="G186" s="3037">
        <f t="shared" ref="G186:J186" si="115">+G187+G189</f>
        <v>0</v>
      </c>
      <c r="H186" s="3037">
        <f t="shared" si="115"/>
        <v>0</v>
      </c>
      <c r="I186" s="3037">
        <f t="shared" si="115"/>
        <v>0</v>
      </c>
      <c r="J186" s="3037">
        <f t="shared" si="115"/>
        <v>0</v>
      </c>
      <c r="K186" s="2817">
        <f>+K187+K189</f>
        <v>0</v>
      </c>
      <c r="L186" s="2817">
        <f>+L187+L189</f>
        <v>0</v>
      </c>
      <c r="M186" s="3883" t="s">
        <v>21</v>
      </c>
      <c r="N186" s="3938" t="s">
        <v>90</v>
      </c>
      <c r="O186" s="3635"/>
      <c r="P186" s="3635"/>
    </row>
    <row r="187" spans="1:16" ht="13.5" hidden="1" customHeight="1">
      <c r="A187" s="3904"/>
      <c r="B187" s="805" t="s">
        <v>22</v>
      </c>
      <c r="C187" s="3946" t="s">
        <v>183</v>
      </c>
      <c r="D187" s="2975">
        <f>+D188</f>
        <v>0</v>
      </c>
      <c r="E187" s="3027">
        <v>0</v>
      </c>
      <c r="F187" s="2975"/>
      <c r="G187" s="3038"/>
      <c r="H187" s="3038"/>
      <c r="I187" s="3038"/>
      <c r="J187" s="3038"/>
      <c r="K187" s="2975"/>
      <c r="L187" s="2975"/>
      <c r="M187" s="3881"/>
      <c r="N187" s="3939"/>
      <c r="O187" s="3635"/>
      <c r="P187" s="3635"/>
    </row>
    <row r="188" spans="1:16" ht="13.5" hidden="1" customHeight="1">
      <c r="A188" s="3904"/>
      <c r="B188" s="2974" t="s">
        <v>14</v>
      </c>
      <c r="C188" s="3933"/>
      <c r="D188" s="766">
        <f>SUM(E188:G188)</f>
        <v>0</v>
      </c>
      <c r="E188" s="1978">
        <v>0</v>
      </c>
      <c r="F188" s="815"/>
      <c r="G188" s="2709"/>
      <c r="H188" s="2709"/>
      <c r="I188" s="2709"/>
      <c r="J188" s="2709"/>
      <c r="K188" s="815"/>
      <c r="L188" s="815"/>
      <c r="M188" s="3881"/>
      <c r="N188" s="3939"/>
      <c r="O188" s="3635"/>
      <c r="P188" s="3635"/>
    </row>
    <row r="189" spans="1:16" ht="12" customHeight="1" thickBot="1">
      <c r="A189" s="3904"/>
      <c r="B189" s="823" t="s">
        <v>17</v>
      </c>
      <c r="C189" s="3933"/>
      <c r="D189" s="801">
        <f t="shared" ref="D189:J189" si="116">+D190</f>
        <v>35726389</v>
      </c>
      <c r="E189" s="807">
        <f t="shared" si="116"/>
        <v>33696736</v>
      </c>
      <c r="F189" s="807">
        <f t="shared" si="116"/>
        <v>2029653</v>
      </c>
      <c r="G189" s="1047">
        <f t="shared" si="116"/>
        <v>0</v>
      </c>
      <c r="H189" s="1047">
        <f t="shared" si="116"/>
        <v>0</v>
      </c>
      <c r="I189" s="1047">
        <f t="shared" si="116"/>
        <v>0</v>
      </c>
      <c r="J189" s="1047">
        <f t="shared" si="116"/>
        <v>0</v>
      </c>
      <c r="K189" s="807">
        <f>+K190</f>
        <v>0</v>
      </c>
      <c r="L189" s="807">
        <f>+L190</f>
        <v>0</v>
      </c>
      <c r="M189" s="3881"/>
      <c r="N189" s="3939"/>
      <c r="O189" s="3635"/>
      <c r="P189" s="3635"/>
    </row>
    <row r="190" spans="1:16" ht="13.5" customHeight="1" thickBot="1">
      <c r="A190" s="3904"/>
      <c r="B190" s="473" t="s">
        <v>19</v>
      </c>
      <c r="C190" s="3934"/>
      <c r="D190" s="1142">
        <f>E190+L190+K190+F190+G190+H190+I190+J190</f>
        <v>35726389</v>
      </c>
      <c r="E190" s="1142">
        <v>33696736</v>
      </c>
      <c r="F190" s="1014">
        <f>7452476-4214230-1208593</f>
        <v>2029653</v>
      </c>
      <c r="G190" s="1048">
        <v>0</v>
      </c>
      <c r="H190" s="1048">
        <v>0</v>
      </c>
      <c r="I190" s="1048">
        <v>0</v>
      </c>
      <c r="J190" s="1048">
        <v>0</v>
      </c>
      <c r="K190" s="1014"/>
      <c r="L190" s="1014">
        <f>38335000-21335000+1110315-18110315</f>
        <v>0</v>
      </c>
      <c r="M190" s="3882"/>
      <c r="N190" s="3940"/>
      <c r="O190" s="3635"/>
      <c r="P190" s="3635"/>
    </row>
    <row r="191" spans="1:16" ht="26.25" customHeight="1" thickBot="1">
      <c r="A191" s="3903" t="s">
        <v>55</v>
      </c>
      <c r="B191" s="32" t="s">
        <v>406</v>
      </c>
      <c r="C191" s="25" t="s">
        <v>70</v>
      </c>
      <c r="D191" s="652"/>
      <c r="E191" s="1477"/>
      <c r="F191" s="1477"/>
      <c r="G191" s="1477"/>
      <c r="H191" s="1477"/>
      <c r="I191" s="1477"/>
      <c r="J191" s="21"/>
      <c r="K191" s="1477"/>
      <c r="L191" s="1477"/>
      <c r="M191" s="22"/>
      <c r="N191" s="39"/>
      <c r="O191" s="3635"/>
      <c r="P191" s="3635"/>
    </row>
    <row r="192" spans="1:16" ht="15" customHeight="1" thickBot="1">
      <c r="A192" s="3903"/>
      <c r="B192" s="1212" t="s">
        <v>9</v>
      </c>
      <c r="C192" s="1419"/>
      <c r="D192" s="2957">
        <f>+D193+D196</f>
        <v>110000000</v>
      </c>
      <c r="E192" s="1975">
        <f t="shared" ref="E192" si="117">+E193+E196</f>
        <v>0</v>
      </c>
      <c r="F192" s="830">
        <f t="shared" ref="F192:H192" si="118">+F193+F196</f>
        <v>1189000</v>
      </c>
      <c r="G192" s="830">
        <f t="shared" si="118"/>
        <v>48811000</v>
      </c>
      <c r="H192" s="830">
        <f t="shared" si="118"/>
        <v>60000000</v>
      </c>
      <c r="I192" s="2710">
        <f t="shared" ref="I192:J192" si="119">+I193+I196</f>
        <v>0</v>
      </c>
      <c r="J192" s="2710">
        <f t="shared" si="119"/>
        <v>0</v>
      </c>
      <c r="K192" s="1975">
        <f>+K193+K196</f>
        <v>0</v>
      </c>
      <c r="L192" s="830">
        <f>+L193+L196</f>
        <v>0</v>
      </c>
      <c r="M192" s="799">
        <f>M193+M196</f>
        <v>110000000</v>
      </c>
      <c r="N192" s="3915" t="s">
        <v>75</v>
      </c>
      <c r="O192" s="3636"/>
      <c r="P192" s="3635"/>
    </row>
    <row r="193" spans="1:16" ht="13.5" customHeight="1" thickBot="1">
      <c r="A193" s="3903"/>
      <c r="B193" s="1225" t="s">
        <v>22</v>
      </c>
      <c r="C193" s="3859" t="s">
        <v>73</v>
      </c>
      <c r="D193" s="811">
        <f>+D194+D195</f>
        <v>16627500</v>
      </c>
      <c r="E193" s="1009">
        <f t="shared" ref="E193" si="120">+E194+E195</f>
        <v>0</v>
      </c>
      <c r="F193" s="811">
        <f t="shared" ref="F193:H193" si="121">+F194+F195</f>
        <v>178350</v>
      </c>
      <c r="G193" s="811">
        <f t="shared" si="121"/>
        <v>7449150</v>
      </c>
      <c r="H193" s="811">
        <f t="shared" si="121"/>
        <v>9000000</v>
      </c>
      <c r="I193" s="2792">
        <f t="shared" ref="I193:J193" si="122">+I194+I195</f>
        <v>0</v>
      </c>
      <c r="J193" s="2792">
        <f t="shared" si="122"/>
        <v>0</v>
      </c>
      <c r="K193" s="1009">
        <f>+K194+K195</f>
        <v>0</v>
      </c>
      <c r="L193" s="811">
        <f>+L194+L195</f>
        <v>0</v>
      </c>
      <c r="M193" s="802">
        <f>M194</f>
        <v>16627500</v>
      </c>
      <c r="N193" s="3915"/>
      <c r="O193" s="3636"/>
      <c r="P193" s="3635"/>
    </row>
    <row r="194" spans="1:16" ht="11.25" customHeight="1" thickBot="1">
      <c r="A194" s="3903"/>
      <c r="B194" s="2958" t="s">
        <v>11</v>
      </c>
      <c r="C194" s="3921"/>
      <c r="D194" s="766">
        <f>E194+L194+K194+F194+G194+H194+I194+J194</f>
        <v>16627500</v>
      </c>
      <c r="E194" s="1985">
        <v>0</v>
      </c>
      <c r="F194" s="787">
        <f>5875000+200000-5896650</f>
        <v>178350</v>
      </c>
      <c r="G194" s="787">
        <f>6052500+1396650</f>
        <v>7449150</v>
      </c>
      <c r="H194" s="787">
        <f>4500000+4500000</f>
        <v>9000000</v>
      </c>
      <c r="I194" s="2695">
        <v>0</v>
      </c>
      <c r="J194" s="2695">
        <v>0</v>
      </c>
      <c r="K194" s="1985">
        <f>200000-200000</f>
        <v>0</v>
      </c>
      <c r="L194" s="787"/>
      <c r="M194" s="813">
        <f>SUM(F194:J194)</f>
        <v>16627500</v>
      </c>
      <c r="N194" s="3915"/>
      <c r="O194" s="3636"/>
      <c r="P194" s="3635"/>
    </row>
    <row r="195" spans="1:16" ht="10.5" hidden="1" customHeight="1">
      <c r="A195" s="3903"/>
      <c r="B195" s="3026" t="s">
        <v>14</v>
      </c>
      <c r="C195" s="3921"/>
      <c r="D195" s="766">
        <f>SUM(E195:G195)</f>
        <v>0</v>
      </c>
      <c r="E195" s="821">
        <v>0</v>
      </c>
      <c r="F195" s="822"/>
      <c r="G195" s="822"/>
      <c r="H195" s="2960"/>
      <c r="I195" s="3015"/>
      <c r="J195" s="3015"/>
      <c r="K195" s="821"/>
      <c r="L195" s="822"/>
      <c r="M195" s="2961"/>
      <c r="N195" s="3915"/>
      <c r="O195" s="3635"/>
      <c r="P195" s="3635"/>
    </row>
    <row r="196" spans="1:16" ht="12.75" customHeight="1" thickBot="1">
      <c r="A196" s="3903"/>
      <c r="B196" s="1226" t="s">
        <v>17</v>
      </c>
      <c r="C196" s="3921"/>
      <c r="D196" s="801">
        <f>+D197</f>
        <v>93372500</v>
      </c>
      <c r="E196" s="833">
        <f t="shared" ref="E196:J196" si="123">+E197</f>
        <v>0</v>
      </c>
      <c r="F196" s="807">
        <f t="shared" si="123"/>
        <v>1010650</v>
      </c>
      <c r="G196" s="807">
        <f t="shared" si="123"/>
        <v>41361850</v>
      </c>
      <c r="H196" s="807">
        <f t="shared" si="123"/>
        <v>51000000</v>
      </c>
      <c r="I196" s="1047">
        <f t="shared" si="123"/>
        <v>0</v>
      </c>
      <c r="J196" s="1047">
        <f t="shared" si="123"/>
        <v>0</v>
      </c>
      <c r="K196" s="833">
        <f>+K197</f>
        <v>0</v>
      </c>
      <c r="L196" s="807">
        <f>+L197</f>
        <v>0</v>
      </c>
      <c r="M196" s="802">
        <f>M197</f>
        <v>93372500</v>
      </c>
      <c r="N196" s="3915"/>
      <c r="O196" s="3635"/>
      <c r="P196" s="3635"/>
    </row>
    <row r="197" spans="1:16" ht="12" customHeight="1" thickBot="1">
      <c r="A197" s="3903"/>
      <c r="B197" s="2958" t="s">
        <v>19</v>
      </c>
      <c r="C197" s="3922"/>
      <c r="D197" s="789">
        <f>E197+L197+K197+F197+G197+H197+I197+J197</f>
        <v>93372500</v>
      </c>
      <c r="E197" s="1985">
        <v>0</v>
      </c>
      <c r="F197" s="810">
        <f>32725000+850000-32564350</f>
        <v>1010650</v>
      </c>
      <c r="G197" s="810">
        <f>34297500+7064350</f>
        <v>41361850</v>
      </c>
      <c r="H197" s="812">
        <f>25500000+25500000</f>
        <v>51000000</v>
      </c>
      <c r="I197" s="2696">
        <v>0</v>
      </c>
      <c r="J197" s="2696">
        <v>0</v>
      </c>
      <c r="K197" s="1985">
        <f>850000-850000</f>
        <v>0</v>
      </c>
      <c r="L197" s="787"/>
      <c r="M197" s="813">
        <f>SUM(F197:J197)</f>
        <v>93372500</v>
      </c>
      <c r="N197" s="3916"/>
      <c r="O197" s="3635"/>
      <c r="P197" s="3635"/>
    </row>
    <row r="198" spans="1:16" ht="13.5" thickBot="1">
      <c r="A198" s="3904"/>
      <c r="B198" s="41" t="s">
        <v>20</v>
      </c>
      <c r="C198" s="40"/>
      <c r="D198" s="42">
        <f t="shared" ref="D198" si="124">+D199+D201</f>
        <v>93372500</v>
      </c>
      <c r="E198" s="3039">
        <f t="shared" ref="E198" si="125">+E199+E201</f>
        <v>0</v>
      </c>
      <c r="F198" s="2817">
        <f t="shared" ref="F198:J198" si="126">+F199+F201</f>
        <v>0</v>
      </c>
      <c r="G198" s="2817">
        <f t="shared" si="126"/>
        <v>42372500</v>
      </c>
      <c r="H198" s="2817">
        <f t="shared" si="126"/>
        <v>51000000</v>
      </c>
      <c r="I198" s="3037">
        <f t="shared" si="126"/>
        <v>0</v>
      </c>
      <c r="J198" s="3037">
        <f t="shared" si="126"/>
        <v>0</v>
      </c>
      <c r="K198" s="3039">
        <f>+K199+K201</f>
        <v>0</v>
      </c>
      <c r="L198" s="2817">
        <f>+L199+L201</f>
        <v>0</v>
      </c>
      <c r="M198" s="3883" t="s">
        <v>21</v>
      </c>
      <c r="N198" s="3938" t="s">
        <v>90</v>
      </c>
      <c r="O198" s="3635"/>
      <c r="P198" s="3635"/>
    </row>
    <row r="199" spans="1:16" ht="13.5" hidden="1" customHeight="1" thickBot="1">
      <c r="A199" s="3904"/>
      <c r="B199" s="805" t="s">
        <v>22</v>
      </c>
      <c r="C199" s="3946" t="s">
        <v>183</v>
      </c>
      <c r="D199" s="2975">
        <f>+D200</f>
        <v>0</v>
      </c>
      <c r="E199" s="3027">
        <f t="shared" ref="E199" si="127">+E200</f>
        <v>0</v>
      </c>
      <c r="F199" s="2975"/>
      <c r="G199" s="2975"/>
      <c r="H199" s="2975"/>
      <c r="I199" s="3038"/>
      <c r="J199" s="3038"/>
      <c r="K199" s="3027"/>
      <c r="L199" s="2975"/>
      <c r="M199" s="3882"/>
      <c r="N199" s="3940"/>
      <c r="O199" s="3635"/>
      <c r="P199" s="3635"/>
    </row>
    <row r="200" spans="1:16" ht="13.5" hidden="1" customHeight="1" thickBot="1">
      <c r="A200" s="3904"/>
      <c r="B200" s="2974" t="s">
        <v>14</v>
      </c>
      <c r="C200" s="3934"/>
      <c r="D200" s="766">
        <f>SUM(E200:G200)</f>
        <v>0</v>
      </c>
      <c r="E200" s="1978">
        <v>0</v>
      </c>
      <c r="F200" s="815"/>
      <c r="G200" s="815"/>
      <c r="H200" s="815"/>
      <c r="I200" s="2709"/>
      <c r="J200" s="2709"/>
      <c r="K200" s="1978"/>
      <c r="L200" s="815"/>
      <c r="M200" s="3990"/>
      <c r="N200" s="3989"/>
      <c r="O200" s="3635"/>
      <c r="P200" s="3635"/>
    </row>
    <row r="201" spans="1:16" ht="12" customHeight="1" thickBot="1">
      <c r="A201" s="3904"/>
      <c r="B201" s="823" t="s">
        <v>17</v>
      </c>
      <c r="C201" s="3988"/>
      <c r="D201" s="801">
        <f t="shared" ref="D201:J201" si="128">+D202</f>
        <v>93372500</v>
      </c>
      <c r="E201" s="833">
        <f t="shared" si="128"/>
        <v>0</v>
      </c>
      <c r="F201" s="807">
        <f t="shared" si="128"/>
        <v>0</v>
      </c>
      <c r="G201" s="807">
        <f t="shared" si="128"/>
        <v>42372500</v>
      </c>
      <c r="H201" s="807">
        <f t="shared" si="128"/>
        <v>51000000</v>
      </c>
      <c r="I201" s="1047">
        <f t="shared" si="128"/>
        <v>0</v>
      </c>
      <c r="J201" s="1047">
        <f t="shared" si="128"/>
        <v>0</v>
      </c>
      <c r="K201" s="833">
        <f>+K202</f>
        <v>0</v>
      </c>
      <c r="L201" s="807">
        <f>+L202</f>
        <v>0</v>
      </c>
      <c r="M201" s="3990"/>
      <c r="N201" s="3989"/>
      <c r="O201" s="3635"/>
      <c r="P201" s="3635"/>
    </row>
    <row r="202" spans="1:16" ht="13.5" thickBot="1">
      <c r="A202" s="3904"/>
      <c r="B202" s="473" t="s">
        <v>19</v>
      </c>
      <c r="C202" s="3988"/>
      <c r="D202" s="766">
        <f>E202+L202+K202+F202+G202+H202+I202+J202</f>
        <v>93372500</v>
      </c>
      <c r="E202" s="1985">
        <v>0</v>
      </c>
      <c r="F202" s="1014">
        <f>33575000-33575000</f>
        <v>0</v>
      </c>
      <c r="G202" s="1014">
        <f>34297500+8075000</f>
        <v>42372500</v>
      </c>
      <c r="H202" s="1014">
        <f>25500000+25500000</f>
        <v>51000000</v>
      </c>
      <c r="I202" s="1048">
        <v>0</v>
      </c>
      <c r="J202" s="1048">
        <v>0</v>
      </c>
      <c r="K202" s="1015">
        <v>0</v>
      </c>
      <c r="L202" s="1014">
        <v>0</v>
      </c>
      <c r="M202" s="3990"/>
      <c r="N202" s="3989"/>
      <c r="O202" s="3635"/>
      <c r="P202" s="3635"/>
    </row>
    <row r="203" spans="1:16" ht="26.25" customHeight="1" thickBot="1">
      <c r="A203" s="3873" t="s">
        <v>56</v>
      </c>
      <c r="B203" s="2952" t="s">
        <v>566</v>
      </c>
      <c r="C203" s="3040" t="s">
        <v>70</v>
      </c>
      <c r="D203" s="1493"/>
      <c r="E203" s="1477"/>
      <c r="F203" s="1477"/>
      <c r="G203" s="1477"/>
      <c r="H203" s="1477"/>
      <c r="I203" s="1477"/>
      <c r="J203" s="21"/>
      <c r="K203" s="1477"/>
      <c r="L203" s="1477"/>
      <c r="M203" s="3041"/>
      <c r="N203" s="3911" t="s">
        <v>75</v>
      </c>
      <c r="O203" s="3635"/>
      <c r="P203" s="3635"/>
    </row>
    <row r="204" spans="1:16" ht="14.25" customHeight="1" thickBot="1">
      <c r="A204" s="3874"/>
      <c r="B204" s="1195" t="s">
        <v>9</v>
      </c>
      <c r="C204" s="3042"/>
      <c r="D204" s="45">
        <f>+D205+D208</f>
        <v>23609839</v>
      </c>
      <c r="E204" s="45">
        <f>+E205+E208</f>
        <v>13168210</v>
      </c>
      <c r="F204" s="45">
        <f t="shared" ref="F204:J204" si="129">+F205+F208</f>
        <v>10441629</v>
      </c>
      <c r="G204" s="2669">
        <f t="shared" si="129"/>
        <v>0</v>
      </c>
      <c r="H204" s="2669">
        <f t="shared" si="129"/>
        <v>0</v>
      </c>
      <c r="I204" s="2669">
        <f t="shared" si="129"/>
        <v>0</v>
      </c>
      <c r="J204" s="2669">
        <f t="shared" si="129"/>
        <v>0</v>
      </c>
      <c r="K204" s="45">
        <f>+K205+K208</f>
        <v>0</v>
      </c>
      <c r="L204" s="45">
        <f>+L205+L208</f>
        <v>0</v>
      </c>
      <c r="M204" s="3043">
        <f>+M205+M208</f>
        <v>10441629</v>
      </c>
      <c r="N204" s="3911"/>
      <c r="O204" s="3635" t="s">
        <v>307</v>
      </c>
      <c r="P204" s="3635"/>
    </row>
    <row r="205" spans="1:16" ht="13.5" customHeight="1" thickBot="1">
      <c r="A205" s="3874"/>
      <c r="B205" s="1529" t="s">
        <v>22</v>
      </c>
      <c r="C205" s="3870" t="s">
        <v>73</v>
      </c>
      <c r="D205" s="824">
        <f>+D206+D207</f>
        <v>8761024</v>
      </c>
      <c r="E205" s="824">
        <f>+E206+E207</f>
        <v>4547471</v>
      </c>
      <c r="F205" s="824">
        <f>+F206+F207</f>
        <v>4213553</v>
      </c>
      <c r="G205" s="3044">
        <f t="shared" ref="G205:J205" si="130">+G206+G207</f>
        <v>0</v>
      </c>
      <c r="H205" s="3044">
        <f t="shared" si="130"/>
        <v>0</v>
      </c>
      <c r="I205" s="3044">
        <f t="shared" si="130"/>
        <v>0</v>
      </c>
      <c r="J205" s="3044">
        <f t="shared" si="130"/>
        <v>0</v>
      </c>
      <c r="K205" s="824">
        <f>+K206+K207</f>
        <v>0</v>
      </c>
      <c r="L205" s="824">
        <f>+L206+L207</f>
        <v>0</v>
      </c>
      <c r="M205" s="3005">
        <f>+M206+M207</f>
        <v>4213553</v>
      </c>
      <c r="N205" s="3911"/>
      <c r="O205" s="3636"/>
      <c r="P205" s="3635"/>
    </row>
    <row r="206" spans="1:16" ht="13.5" thickBot="1">
      <c r="A206" s="3874"/>
      <c r="B206" s="1530" t="s">
        <v>11</v>
      </c>
      <c r="C206" s="3871"/>
      <c r="D206" s="766">
        <f>E206+L206+K206+F206+G206+H206+I206+J206</f>
        <v>718614</v>
      </c>
      <c r="E206" s="787">
        <f>598614+6236+57644</f>
        <v>662494</v>
      </c>
      <c r="F206" s="812">
        <v>56120</v>
      </c>
      <c r="G206" s="2696">
        <v>0</v>
      </c>
      <c r="H206" s="2696">
        <v>0</v>
      </c>
      <c r="I206" s="2696">
        <v>0</v>
      </c>
      <c r="J206" s="2696">
        <v>0</v>
      </c>
      <c r="K206" s="812">
        <v>0</v>
      </c>
      <c r="L206" s="812"/>
      <c r="M206" s="813">
        <f>SUM(F206:J206)</f>
        <v>56120</v>
      </c>
      <c r="N206" s="3911"/>
      <c r="O206" s="3635"/>
      <c r="P206" s="3635"/>
    </row>
    <row r="207" spans="1:16" ht="13.5" thickBot="1">
      <c r="A207" s="3874"/>
      <c r="B207" s="1528" t="s">
        <v>14</v>
      </c>
      <c r="C207" s="3871"/>
      <c r="D207" s="766">
        <f>E207+L207+K207+F207+G207+H207+I207+J207</f>
        <v>8042410</v>
      </c>
      <c r="E207" s="477">
        <f>4895843-1267664-2000000-514078+2770876</f>
        <v>3884977</v>
      </c>
      <c r="F207" s="477">
        <f>2426653+1730780</f>
        <v>4157433</v>
      </c>
      <c r="G207" s="2797">
        <v>0</v>
      </c>
      <c r="H207" s="2797">
        <v>0</v>
      </c>
      <c r="I207" s="2797">
        <v>0</v>
      </c>
      <c r="J207" s="2797">
        <v>0</v>
      </c>
      <c r="K207" s="477">
        <v>0</v>
      </c>
      <c r="L207" s="477">
        <v>0</v>
      </c>
      <c r="M207" s="813">
        <f>SUM(F207:J207)</f>
        <v>4157433</v>
      </c>
      <c r="N207" s="3911"/>
      <c r="O207" s="3635"/>
      <c r="P207" s="3635"/>
    </row>
    <row r="208" spans="1:16" ht="13.5" customHeight="1" thickBot="1">
      <c r="A208" s="3874"/>
      <c r="B208" s="1658" t="s">
        <v>17</v>
      </c>
      <c r="C208" s="3871"/>
      <c r="D208" s="801">
        <f>+D209</f>
        <v>14848815</v>
      </c>
      <c r="E208" s="801">
        <f t="shared" ref="E208:J208" si="131">+E209</f>
        <v>8620739</v>
      </c>
      <c r="F208" s="801">
        <f t="shared" si="131"/>
        <v>6228076</v>
      </c>
      <c r="G208" s="2795">
        <f t="shared" si="131"/>
        <v>0</v>
      </c>
      <c r="H208" s="2795">
        <f t="shared" si="131"/>
        <v>0</v>
      </c>
      <c r="I208" s="2795">
        <f t="shared" si="131"/>
        <v>0</v>
      </c>
      <c r="J208" s="2795">
        <f t="shared" si="131"/>
        <v>0</v>
      </c>
      <c r="K208" s="801">
        <f>+K209</f>
        <v>0</v>
      </c>
      <c r="L208" s="801">
        <f>+L209</f>
        <v>0</v>
      </c>
      <c r="M208" s="802">
        <f>+M209</f>
        <v>6228076</v>
      </c>
      <c r="N208" s="3911"/>
      <c r="O208" s="3635"/>
      <c r="P208" s="3635"/>
    </row>
    <row r="209" spans="1:16">
      <c r="A209" s="3874"/>
      <c r="B209" s="1531" t="s">
        <v>19</v>
      </c>
      <c r="C209" s="3910"/>
      <c r="D209" s="766">
        <f>E209+L209+K209+F209+G209+H209+I209+J209</f>
        <v>14848815</v>
      </c>
      <c r="E209" s="812">
        <f>5649157-3777336-901038+7649956</f>
        <v>8620739</v>
      </c>
      <c r="F209" s="812">
        <f>6130656+97420</f>
        <v>6228076</v>
      </c>
      <c r="G209" s="2696">
        <v>0</v>
      </c>
      <c r="H209" s="2696">
        <v>0</v>
      </c>
      <c r="I209" s="2696">
        <v>0</v>
      </c>
      <c r="J209" s="2696">
        <v>0</v>
      </c>
      <c r="K209" s="812">
        <v>0</v>
      </c>
      <c r="L209" s="812">
        <v>0</v>
      </c>
      <c r="M209" s="813">
        <f>SUM(F209:J209)</f>
        <v>6228076</v>
      </c>
      <c r="N209" s="3912"/>
      <c r="O209" s="3635"/>
      <c r="P209" s="3635"/>
    </row>
    <row r="210" spans="1:16" ht="13.5" thickBot="1">
      <c r="A210" s="3874"/>
      <c r="B210" s="1195" t="s">
        <v>20</v>
      </c>
      <c r="C210" s="3007"/>
      <c r="D210" s="798">
        <f>+D213+D211</f>
        <v>22891225</v>
      </c>
      <c r="E210" s="798">
        <f t="shared" ref="E210" si="132">+E213+E211</f>
        <v>14255780</v>
      </c>
      <c r="F210" s="798">
        <f t="shared" ref="F210:J210" si="133">+F213+F211</f>
        <v>8635445</v>
      </c>
      <c r="G210" s="1046">
        <f t="shared" si="133"/>
        <v>0</v>
      </c>
      <c r="H210" s="1046">
        <f t="shared" si="133"/>
        <v>0</v>
      </c>
      <c r="I210" s="1046">
        <f t="shared" si="133"/>
        <v>0</v>
      </c>
      <c r="J210" s="1046">
        <f t="shared" si="133"/>
        <v>0</v>
      </c>
      <c r="K210" s="798">
        <f>+K213+K211</f>
        <v>0</v>
      </c>
      <c r="L210" s="798">
        <f>+L213+L211</f>
        <v>0</v>
      </c>
      <c r="M210" s="3864" t="s">
        <v>21</v>
      </c>
      <c r="N210" s="3869" t="s">
        <v>90</v>
      </c>
      <c r="O210" s="3636"/>
      <c r="P210" s="3636">
        <v>-1230552</v>
      </c>
    </row>
    <row r="211" spans="1:16" ht="12" customHeight="1" thickBot="1">
      <c r="A211" s="3874"/>
      <c r="B211" s="814" t="s">
        <v>22</v>
      </c>
      <c r="C211" s="3859" t="s">
        <v>364</v>
      </c>
      <c r="D211" s="801">
        <f>+D212</f>
        <v>8042410</v>
      </c>
      <c r="E211" s="801">
        <f t="shared" ref="E211:J211" si="134">+E212</f>
        <v>3884977</v>
      </c>
      <c r="F211" s="801">
        <f t="shared" si="134"/>
        <v>4157433</v>
      </c>
      <c r="G211" s="2795">
        <f t="shared" si="134"/>
        <v>0</v>
      </c>
      <c r="H211" s="2795">
        <f t="shared" si="134"/>
        <v>0</v>
      </c>
      <c r="I211" s="2795">
        <f t="shared" si="134"/>
        <v>0</v>
      </c>
      <c r="J211" s="2795">
        <f t="shared" si="134"/>
        <v>0</v>
      </c>
      <c r="K211" s="801">
        <f>+K212</f>
        <v>0</v>
      </c>
      <c r="L211" s="801">
        <f>+L212</f>
        <v>0</v>
      </c>
      <c r="M211" s="3865"/>
      <c r="N211" s="3892"/>
      <c r="O211" s="3635"/>
      <c r="P211" s="3635"/>
    </row>
    <row r="212" spans="1:16" ht="12" customHeight="1" thickBot="1">
      <c r="A212" s="3874"/>
      <c r="B212" s="818" t="s">
        <v>14</v>
      </c>
      <c r="C212" s="3908"/>
      <c r="D212" s="766">
        <f>E212+L212+K212+F212+G212+H212+I212+J212</f>
        <v>8042410</v>
      </c>
      <c r="E212" s="815">
        <f>4895843-1267664-2000000-514078+2770876</f>
        <v>3884977</v>
      </c>
      <c r="F212" s="815">
        <f>2426653+1730780</f>
        <v>4157433</v>
      </c>
      <c r="G212" s="2709">
        <v>0</v>
      </c>
      <c r="H212" s="2709">
        <v>0</v>
      </c>
      <c r="I212" s="2709">
        <v>0</v>
      </c>
      <c r="J212" s="2709">
        <v>0</v>
      </c>
      <c r="K212" s="815">
        <v>0</v>
      </c>
      <c r="L212" s="815">
        <v>0</v>
      </c>
      <c r="M212" s="3865"/>
      <c r="N212" s="3892"/>
      <c r="O212" s="3635"/>
      <c r="P212" s="3635"/>
    </row>
    <row r="213" spans="1:16" s="2951" customFormat="1">
      <c r="A213" s="3874"/>
      <c r="B213" s="1658" t="s">
        <v>17</v>
      </c>
      <c r="C213" s="3908"/>
      <c r="D213" s="816">
        <f>+D214</f>
        <v>14848815</v>
      </c>
      <c r="E213" s="816">
        <f t="shared" ref="E213:J213" si="135">+E214</f>
        <v>10370803</v>
      </c>
      <c r="F213" s="816">
        <f t="shared" si="135"/>
        <v>4478012</v>
      </c>
      <c r="G213" s="3020">
        <f t="shared" si="135"/>
        <v>0</v>
      </c>
      <c r="H213" s="3020">
        <f t="shared" si="135"/>
        <v>0</v>
      </c>
      <c r="I213" s="3020">
        <f t="shared" si="135"/>
        <v>0</v>
      </c>
      <c r="J213" s="3020">
        <f t="shared" si="135"/>
        <v>0</v>
      </c>
      <c r="K213" s="816">
        <f>+K214</f>
        <v>0</v>
      </c>
      <c r="L213" s="816">
        <f>+L214</f>
        <v>0</v>
      </c>
      <c r="M213" s="3865"/>
      <c r="N213" s="3901"/>
      <c r="O213" s="3638"/>
      <c r="P213" s="3638"/>
    </row>
    <row r="214" spans="1:16" s="2951" customFormat="1" ht="13.5" thickBot="1">
      <c r="A214" s="3913"/>
      <c r="B214" s="473" t="s">
        <v>19</v>
      </c>
      <c r="C214" s="3909"/>
      <c r="D214" s="1142">
        <f>E214+L214+K214+F214+G214+H214+I214+J214</f>
        <v>14848815</v>
      </c>
      <c r="E214" s="2999">
        <f>5649157-3777336-418+8499400</f>
        <v>10370803</v>
      </c>
      <c r="F214" s="2999">
        <f>6091962-1613950</f>
        <v>4478012</v>
      </c>
      <c r="G214" s="3045">
        <v>0</v>
      </c>
      <c r="H214" s="3045">
        <v>0</v>
      </c>
      <c r="I214" s="3045">
        <v>0</v>
      </c>
      <c r="J214" s="3045">
        <v>0</v>
      </c>
      <c r="K214" s="2999">
        <v>0</v>
      </c>
      <c r="L214" s="2999">
        <v>0</v>
      </c>
      <c r="M214" s="3866"/>
      <c r="N214" s="3869"/>
      <c r="O214" s="3638"/>
      <c r="P214" s="3638"/>
    </row>
    <row r="215" spans="1:16" ht="37.5" customHeight="1">
      <c r="A215" s="3873" t="s">
        <v>57</v>
      </c>
      <c r="B215" s="2952" t="s">
        <v>567</v>
      </c>
      <c r="C215" s="25" t="s">
        <v>70</v>
      </c>
      <c r="D215" s="1493"/>
      <c r="E215" s="1477"/>
      <c r="F215" s="1477"/>
      <c r="G215" s="1477"/>
      <c r="H215" s="1477"/>
      <c r="I215" s="1477"/>
      <c r="J215" s="21"/>
      <c r="K215" s="1477"/>
      <c r="L215" s="1477"/>
      <c r="M215" s="22"/>
      <c r="N215" s="3914" t="s">
        <v>75</v>
      </c>
      <c r="O215" s="3635"/>
      <c r="P215" s="3635"/>
    </row>
    <row r="216" spans="1:16">
      <c r="A216" s="3874"/>
      <c r="B216" s="1195" t="s">
        <v>9</v>
      </c>
      <c r="C216" s="3046"/>
      <c r="D216" s="2904">
        <f>+D217+D220</f>
        <v>24020246</v>
      </c>
      <c r="E216" s="2904">
        <f t="shared" ref="E216" si="136">+E217+E220</f>
        <v>2272341</v>
      </c>
      <c r="F216" s="2904">
        <f t="shared" ref="F216:J216" si="137">+F217+F220</f>
        <v>21747905</v>
      </c>
      <c r="G216" s="2905">
        <f t="shared" si="137"/>
        <v>0</v>
      </c>
      <c r="H216" s="2905">
        <f t="shared" si="137"/>
        <v>0</v>
      </c>
      <c r="I216" s="2905">
        <f t="shared" si="137"/>
        <v>0</v>
      </c>
      <c r="J216" s="2905">
        <f t="shared" si="137"/>
        <v>0</v>
      </c>
      <c r="K216" s="2904">
        <f>+K217+K220</f>
        <v>0</v>
      </c>
      <c r="L216" s="2904">
        <f t="shared" ref="L216" si="138">+L217+L220</f>
        <v>0</v>
      </c>
      <c r="M216" s="831">
        <f>+M217+M220</f>
        <v>21747905</v>
      </c>
      <c r="N216" s="3915"/>
      <c r="O216" s="3635" t="s">
        <v>243</v>
      </c>
      <c r="P216" s="3635"/>
    </row>
    <row r="217" spans="1:16" ht="13.5" customHeight="1">
      <c r="A217" s="3874"/>
      <c r="B217" s="1529" t="s">
        <v>22</v>
      </c>
      <c r="C217" s="3870" t="s">
        <v>73</v>
      </c>
      <c r="D217" s="824">
        <f>+D218+D219</f>
        <v>4975608</v>
      </c>
      <c r="E217" s="824">
        <f t="shared" ref="E217" si="139">+E218+E219</f>
        <v>1427703</v>
      </c>
      <c r="F217" s="824">
        <f>+F218+F219</f>
        <v>3547905</v>
      </c>
      <c r="G217" s="3044">
        <f t="shared" ref="G217:J217" si="140">+G218+G219</f>
        <v>0</v>
      </c>
      <c r="H217" s="3044">
        <f t="shared" si="140"/>
        <v>0</v>
      </c>
      <c r="I217" s="3044">
        <f t="shared" si="140"/>
        <v>0</v>
      </c>
      <c r="J217" s="3044">
        <f t="shared" si="140"/>
        <v>0</v>
      </c>
      <c r="K217" s="824">
        <f>+K218+K219</f>
        <v>0</v>
      </c>
      <c r="L217" s="824">
        <f>+L218+L219</f>
        <v>0</v>
      </c>
      <c r="M217" s="3005">
        <f>+M218</f>
        <v>3547905</v>
      </c>
      <c r="N217" s="3915"/>
      <c r="O217" s="3636"/>
      <c r="P217" s="3635"/>
    </row>
    <row r="218" spans="1:16" ht="13.5" customHeight="1">
      <c r="A218" s="3874"/>
      <c r="B218" s="1530" t="s">
        <v>11</v>
      </c>
      <c r="C218" s="3871"/>
      <c r="D218" s="766">
        <f>E218+L218+K218+F218+G218+H218+I218+J218</f>
        <v>3768350</v>
      </c>
      <c r="E218" s="787">
        <f>5494+46-5494+91808+128591</f>
        <v>220445</v>
      </c>
      <c r="F218" s="812">
        <f>518715+532459+1982022+635908+160251-281450</f>
        <v>3547905</v>
      </c>
      <c r="G218" s="2696">
        <v>0</v>
      </c>
      <c r="H218" s="2696">
        <v>0</v>
      </c>
      <c r="I218" s="2696">
        <v>0</v>
      </c>
      <c r="J218" s="2696">
        <v>0</v>
      </c>
      <c r="K218" s="812"/>
      <c r="L218" s="812"/>
      <c r="M218" s="813">
        <f>SUM(F218:J218)</f>
        <v>3547905</v>
      </c>
      <c r="N218" s="3915"/>
      <c r="O218" s="3635"/>
      <c r="P218" s="3635"/>
    </row>
    <row r="219" spans="1:16" ht="13.5" customHeight="1">
      <c r="A219" s="3874"/>
      <c r="B219" s="1528" t="s">
        <v>14</v>
      </c>
      <c r="C219" s="3871"/>
      <c r="D219" s="766">
        <f>E219+L219+K219+F219+G219+H219+I219+J219</f>
        <v>1207258</v>
      </c>
      <c r="E219" s="787">
        <f>807828+136+5494+393800</f>
        <v>1207258</v>
      </c>
      <c r="F219" s="2797">
        <v>0</v>
      </c>
      <c r="G219" s="2797">
        <v>0</v>
      </c>
      <c r="H219" s="2797">
        <v>0</v>
      </c>
      <c r="I219" s="2797">
        <v>0</v>
      </c>
      <c r="J219" s="2797">
        <v>0</v>
      </c>
      <c r="K219" s="477">
        <v>0</v>
      </c>
      <c r="L219" s="477"/>
      <c r="M219" s="3047">
        <f>SUM(F219:J219)</f>
        <v>0</v>
      </c>
      <c r="N219" s="3915"/>
      <c r="O219" s="3635"/>
      <c r="P219" s="3635"/>
    </row>
    <row r="220" spans="1:16" ht="13.5" customHeight="1">
      <c r="A220" s="3874"/>
      <c r="B220" s="1658" t="s">
        <v>17</v>
      </c>
      <c r="C220" s="3871"/>
      <c r="D220" s="801">
        <f>+D221</f>
        <v>19044638</v>
      </c>
      <c r="E220" s="801">
        <f t="shared" ref="E220:J220" si="141">+E221</f>
        <v>844638</v>
      </c>
      <c r="F220" s="801">
        <f t="shared" si="141"/>
        <v>18200000</v>
      </c>
      <c r="G220" s="2795">
        <f t="shared" si="141"/>
        <v>0</v>
      </c>
      <c r="H220" s="2795">
        <f t="shared" si="141"/>
        <v>0</v>
      </c>
      <c r="I220" s="2795">
        <f t="shared" si="141"/>
        <v>0</v>
      </c>
      <c r="J220" s="2795">
        <f t="shared" si="141"/>
        <v>0</v>
      </c>
      <c r="K220" s="801">
        <f>+K221</f>
        <v>0</v>
      </c>
      <c r="L220" s="801">
        <f>+L221</f>
        <v>0</v>
      </c>
      <c r="M220" s="3005">
        <f>+M221</f>
        <v>18200000</v>
      </c>
      <c r="N220" s="3915"/>
      <c r="O220" s="3635"/>
      <c r="P220" s="3635"/>
    </row>
    <row r="221" spans="1:16" ht="13.5" customHeight="1">
      <c r="A221" s="3874"/>
      <c r="B221" s="1531" t="s">
        <v>19</v>
      </c>
      <c r="C221" s="3910"/>
      <c r="D221" s="766">
        <f>E221+L221+K221+F221+G221+H221+I221+J221</f>
        <v>19044638</v>
      </c>
      <c r="E221" s="787">
        <f>150092+694546</f>
        <v>844638</v>
      </c>
      <c r="F221" s="812">
        <f>5319385+85000+11696459+3485953+908092-3294889</f>
        <v>18200000</v>
      </c>
      <c r="G221" s="2696">
        <v>0</v>
      </c>
      <c r="H221" s="2696">
        <v>0</v>
      </c>
      <c r="I221" s="2696">
        <v>0</v>
      </c>
      <c r="J221" s="2696">
        <v>0</v>
      </c>
      <c r="K221" s="812"/>
      <c r="L221" s="812"/>
      <c r="M221" s="813">
        <f>SUM(F221:J221)</f>
        <v>18200000</v>
      </c>
      <c r="N221" s="3916"/>
      <c r="O221" s="3635"/>
      <c r="P221" s="3635"/>
    </row>
    <row r="222" spans="1:16">
      <c r="A222" s="3874"/>
      <c r="B222" s="1195" t="s">
        <v>20</v>
      </c>
      <c r="C222" s="3007"/>
      <c r="D222" s="798">
        <f>+D225+D223</f>
        <v>20251896</v>
      </c>
      <c r="E222" s="798">
        <f t="shared" ref="E222" si="142">+E225+E223</f>
        <v>6554690</v>
      </c>
      <c r="F222" s="798">
        <f t="shared" ref="F222:J222" si="143">+F225+F223</f>
        <v>13697206</v>
      </c>
      <c r="G222" s="1046">
        <f t="shared" si="143"/>
        <v>0</v>
      </c>
      <c r="H222" s="1046">
        <f t="shared" si="143"/>
        <v>0</v>
      </c>
      <c r="I222" s="1046">
        <f t="shared" si="143"/>
        <v>0</v>
      </c>
      <c r="J222" s="1046">
        <f t="shared" si="143"/>
        <v>0</v>
      </c>
      <c r="K222" s="798">
        <f>+K225+K223</f>
        <v>0</v>
      </c>
      <c r="L222" s="798">
        <f>+L225+L223</f>
        <v>0</v>
      </c>
      <c r="M222" s="3864" t="s">
        <v>21</v>
      </c>
      <c r="N222" s="3867" t="s">
        <v>90</v>
      </c>
      <c r="O222" s="3636"/>
      <c r="P222" s="3636">
        <v>-1230552</v>
      </c>
    </row>
    <row r="223" spans="1:16" ht="12" customHeight="1">
      <c r="A223" s="3874"/>
      <c r="B223" s="814" t="s">
        <v>22</v>
      </c>
      <c r="C223" s="3859" t="s">
        <v>364</v>
      </c>
      <c r="D223" s="801">
        <f>+D224</f>
        <v>1207258</v>
      </c>
      <c r="E223" s="801">
        <f t="shared" ref="E223:J223" si="144">+E224</f>
        <v>1207258</v>
      </c>
      <c r="F223" s="2795">
        <f t="shared" si="144"/>
        <v>0</v>
      </c>
      <c r="G223" s="2795">
        <f t="shared" si="144"/>
        <v>0</v>
      </c>
      <c r="H223" s="2795">
        <f t="shared" si="144"/>
        <v>0</v>
      </c>
      <c r="I223" s="2795">
        <f t="shared" si="144"/>
        <v>0</v>
      </c>
      <c r="J223" s="2795">
        <f t="shared" si="144"/>
        <v>0</v>
      </c>
      <c r="K223" s="801">
        <f>+K224</f>
        <v>0</v>
      </c>
      <c r="L223" s="801">
        <f>+L224</f>
        <v>0</v>
      </c>
      <c r="M223" s="3865"/>
      <c r="N223" s="3868"/>
      <c r="O223" s="3635"/>
      <c r="P223" s="3635"/>
    </row>
    <row r="224" spans="1:16" ht="12" customHeight="1">
      <c r="A224" s="3874"/>
      <c r="B224" s="818" t="s">
        <v>14</v>
      </c>
      <c r="C224" s="3908"/>
      <c r="D224" s="766">
        <f>E224+L224+K224+F224+G224+H224+I224+J224</f>
        <v>1207258</v>
      </c>
      <c r="E224" s="787">
        <f>807828+136+399294</f>
        <v>1207258</v>
      </c>
      <c r="F224" s="2709">
        <v>0</v>
      </c>
      <c r="G224" s="2709">
        <v>0</v>
      </c>
      <c r="H224" s="2709">
        <v>0</v>
      </c>
      <c r="I224" s="2709">
        <v>0</v>
      </c>
      <c r="J224" s="2709">
        <v>0</v>
      </c>
      <c r="K224" s="815"/>
      <c r="L224" s="815"/>
      <c r="M224" s="3865"/>
      <c r="N224" s="3868"/>
      <c r="O224" s="3635"/>
      <c r="P224" s="3635"/>
    </row>
    <row r="225" spans="1:16" s="2951" customFormat="1" ht="13.5" customHeight="1">
      <c r="A225" s="3874"/>
      <c r="B225" s="1658" t="s">
        <v>17</v>
      </c>
      <c r="C225" s="3908"/>
      <c r="D225" s="816">
        <f>+D226</f>
        <v>19044638</v>
      </c>
      <c r="E225" s="816">
        <f t="shared" ref="E225:J225" si="145">+E226</f>
        <v>5347432</v>
      </c>
      <c r="F225" s="816">
        <f t="shared" si="145"/>
        <v>13697206</v>
      </c>
      <c r="G225" s="3020">
        <f t="shared" si="145"/>
        <v>0</v>
      </c>
      <c r="H225" s="3020">
        <f t="shared" si="145"/>
        <v>0</v>
      </c>
      <c r="I225" s="3020">
        <f t="shared" si="145"/>
        <v>0</v>
      </c>
      <c r="J225" s="3020">
        <f t="shared" si="145"/>
        <v>0</v>
      </c>
      <c r="K225" s="816">
        <f>+K226</f>
        <v>0</v>
      </c>
      <c r="L225" s="816">
        <f>+L226</f>
        <v>0</v>
      </c>
      <c r="M225" s="3865"/>
      <c r="N225" s="3868"/>
      <c r="O225" s="3638"/>
      <c r="P225" s="3638"/>
    </row>
    <row r="226" spans="1:16" s="2951" customFormat="1" ht="13.5" thickBot="1">
      <c r="A226" s="3913"/>
      <c r="B226" s="473" t="s">
        <v>19</v>
      </c>
      <c r="C226" s="3909"/>
      <c r="D226" s="1142">
        <f>E226+L226+K226+F226+G226+H226+I226+J226</f>
        <v>19044638</v>
      </c>
      <c r="E226" s="2999">
        <f>16872500+290615-85000-11696459-34224</f>
        <v>5347432</v>
      </c>
      <c r="F226" s="2999">
        <f>5319385+85000+11696459-108749-3294889</f>
        <v>13697206</v>
      </c>
      <c r="G226" s="3045">
        <v>0</v>
      </c>
      <c r="H226" s="3045">
        <v>0</v>
      </c>
      <c r="I226" s="3045">
        <v>0</v>
      </c>
      <c r="J226" s="3045">
        <v>0</v>
      </c>
      <c r="K226" s="2999"/>
      <c r="L226" s="2999">
        <f>5610000-5610000</f>
        <v>0</v>
      </c>
      <c r="M226" s="3866"/>
      <c r="N226" s="3869"/>
      <c r="O226" s="3638"/>
      <c r="P226" s="3638"/>
    </row>
    <row r="227" spans="1:16" ht="35.25" hidden="1" customHeight="1">
      <c r="A227" s="3873" t="s">
        <v>78</v>
      </c>
      <c r="B227" s="2952" t="s">
        <v>568</v>
      </c>
      <c r="C227" s="25" t="s">
        <v>70</v>
      </c>
      <c r="D227" s="1493"/>
      <c r="E227" s="1477"/>
      <c r="F227" s="1477"/>
      <c r="G227" s="1477"/>
      <c r="H227" s="1477"/>
      <c r="I227" s="1477"/>
      <c r="J227" s="21"/>
      <c r="K227" s="1477"/>
      <c r="L227" s="1477"/>
      <c r="M227" s="22"/>
      <c r="N227" s="3914" t="s">
        <v>75</v>
      </c>
      <c r="O227" s="3635"/>
      <c r="P227" s="3635"/>
    </row>
    <row r="228" spans="1:16" ht="13.5" hidden="1" customHeight="1">
      <c r="A228" s="3874"/>
      <c r="B228" s="1195" t="s">
        <v>9</v>
      </c>
      <c r="C228" s="3046"/>
      <c r="D228" s="2904">
        <f>+D229+D232</f>
        <v>0</v>
      </c>
      <c r="E228" s="2904">
        <f t="shared" ref="E228" si="146">+E229+E232</f>
        <v>0</v>
      </c>
      <c r="F228" s="2904"/>
      <c r="G228" s="2904"/>
      <c r="H228" s="2904"/>
      <c r="I228" s="2904"/>
      <c r="J228" s="2904"/>
      <c r="K228" s="2904">
        <f t="shared" ref="K228" si="147">+K229+K232</f>
        <v>0</v>
      </c>
      <c r="L228" s="2904">
        <f>+L229+L232</f>
        <v>0</v>
      </c>
      <c r="M228" s="831">
        <f>+M229+M232</f>
        <v>0</v>
      </c>
      <c r="N228" s="3915"/>
      <c r="O228" s="3635"/>
      <c r="P228" s="3635"/>
    </row>
    <row r="229" spans="1:16" ht="13.5" hidden="1" customHeight="1">
      <c r="A229" s="3874"/>
      <c r="B229" s="1529" t="s">
        <v>22</v>
      </c>
      <c r="C229" s="3870" t="s">
        <v>73</v>
      </c>
      <c r="D229" s="824">
        <f>+D230+D231</f>
        <v>0</v>
      </c>
      <c r="E229" s="824">
        <f>+E230+E231</f>
        <v>0</v>
      </c>
      <c r="F229" s="824"/>
      <c r="G229" s="824"/>
      <c r="H229" s="824"/>
      <c r="I229" s="824"/>
      <c r="J229" s="824"/>
      <c r="K229" s="824">
        <f>+K230+K231</f>
        <v>0</v>
      </c>
      <c r="L229" s="824">
        <f>+L230+L231</f>
        <v>0</v>
      </c>
      <c r="M229" s="3005">
        <f>+M230+M231</f>
        <v>0</v>
      </c>
      <c r="N229" s="3915"/>
      <c r="O229" s="3636"/>
      <c r="P229" s="3635"/>
    </row>
    <row r="230" spans="1:16" ht="13.5" hidden="1" thickBot="1">
      <c r="A230" s="3874"/>
      <c r="B230" s="1530" t="s">
        <v>11</v>
      </c>
      <c r="C230" s="3871"/>
      <c r="D230" s="766">
        <f>E230+L230+K230+F230+G230+H230+I230+J230</f>
        <v>0</v>
      </c>
      <c r="E230" s="812"/>
      <c r="F230" s="812"/>
      <c r="G230" s="812"/>
      <c r="H230" s="812"/>
      <c r="I230" s="812"/>
      <c r="J230" s="812"/>
      <c r="K230" s="812"/>
      <c r="L230" s="812">
        <v>0</v>
      </c>
      <c r="M230" s="813">
        <f>SUM(F230:J230)</f>
        <v>0</v>
      </c>
      <c r="N230" s="3915"/>
      <c r="O230" s="3635"/>
      <c r="P230" s="3635"/>
    </row>
    <row r="231" spans="1:16" ht="13.5" hidden="1" thickBot="1">
      <c r="A231" s="3874"/>
      <c r="B231" s="1528" t="s">
        <v>14</v>
      </c>
      <c r="C231" s="3871"/>
      <c r="D231" s="766">
        <f>E231+L231+K231+F231+G231+H231+I231+J231</f>
        <v>0</v>
      </c>
      <c r="E231" s="477"/>
      <c r="F231" s="477"/>
      <c r="G231" s="477"/>
      <c r="H231" s="477"/>
      <c r="I231" s="477"/>
      <c r="J231" s="477"/>
      <c r="K231" s="477"/>
      <c r="L231" s="477">
        <f>138882-138882</f>
        <v>0</v>
      </c>
      <c r="M231" s="813">
        <f>SUM(F231:J231)</f>
        <v>0</v>
      </c>
      <c r="N231" s="3915"/>
      <c r="O231" s="3635"/>
      <c r="P231" s="3635"/>
    </row>
    <row r="232" spans="1:16" ht="13.5" hidden="1" customHeight="1">
      <c r="A232" s="3874"/>
      <c r="B232" s="1658" t="s">
        <v>17</v>
      </c>
      <c r="C232" s="3871"/>
      <c r="D232" s="801">
        <f>+D233</f>
        <v>0</v>
      </c>
      <c r="E232" s="801">
        <f t="shared" ref="E232" si="148">+E233</f>
        <v>0</v>
      </c>
      <c r="F232" s="801"/>
      <c r="G232" s="801"/>
      <c r="H232" s="801"/>
      <c r="I232" s="801"/>
      <c r="J232" s="801"/>
      <c r="K232" s="801">
        <f>+K233</f>
        <v>0</v>
      </c>
      <c r="L232" s="801">
        <f>+L233</f>
        <v>0</v>
      </c>
      <c r="M232" s="802">
        <f>+M233</f>
        <v>0</v>
      </c>
      <c r="N232" s="3915"/>
      <c r="O232" s="3635"/>
      <c r="P232" s="3635"/>
    </row>
    <row r="233" spans="1:16" ht="13.5" hidden="1" thickBot="1">
      <c r="A233" s="3874"/>
      <c r="B233" s="1531" t="s">
        <v>19</v>
      </c>
      <c r="C233" s="3910"/>
      <c r="D233" s="766">
        <f>E233+L233+K233+F233+G233+H233+I233+J233</f>
        <v>0</v>
      </c>
      <c r="E233" s="812"/>
      <c r="F233" s="812"/>
      <c r="G233" s="812"/>
      <c r="H233" s="812"/>
      <c r="I233" s="812"/>
      <c r="J233" s="812"/>
      <c r="K233" s="812"/>
      <c r="L233" s="812">
        <v>0</v>
      </c>
      <c r="M233" s="813">
        <f>SUM(F233:J233)</f>
        <v>0</v>
      </c>
      <c r="N233" s="3916"/>
      <c r="O233" s="3635"/>
      <c r="P233" s="3635"/>
    </row>
    <row r="234" spans="1:16" ht="13.5" hidden="1" thickBot="1">
      <c r="A234" s="3874"/>
      <c r="B234" s="1195" t="s">
        <v>20</v>
      </c>
      <c r="C234" s="3007"/>
      <c r="D234" s="798">
        <f>+D237+D235</f>
        <v>0</v>
      </c>
      <c r="E234" s="798">
        <f t="shared" ref="E234" si="149">+E237+E235</f>
        <v>0</v>
      </c>
      <c r="F234" s="798"/>
      <c r="G234" s="798"/>
      <c r="H234" s="798"/>
      <c r="I234" s="798"/>
      <c r="J234" s="798"/>
      <c r="K234" s="798">
        <f t="shared" ref="K234" si="150">+K237+K235</f>
        <v>0</v>
      </c>
      <c r="L234" s="798">
        <f>+L237+L235</f>
        <v>0</v>
      </c>
      <c r="M234" s="3864" t="s">
        <v>21</v>
      </c>
      <c r="N234" s="3867" t="s">
        <v>90</v>
      </c>
      <c r="O234" s="3636"/>
      <c r="P234" s="3636">
        <v>-1230552</v>
      </c>
    </row>
    <row r="235" spans="1:16" ht="12" hidden="1" customHeight="1">
      <c r="A235" s="3874"/>
      <c r="B235" s="814" t="s">
        <v>22</v>
      </c>
      <c r="C235" s="3859" t="s">
        <v>364</v>
      </c>
      <c r="D235" s="801">
        <f>+D236</f>
        <v>0</v>
      </c>
      <c r="E235" s="801">
        <f t="shared" ref="E235" si="151">+E236</f>
        <v>0</v>
      </c>
      <c r="F235" s="801"/>
      <c r="G235" s="801"/>
      <c r="H235" s="801"/>
      <c r="I235" s="801"/>
      <c r="J235" s="801"/>
      <c r="K235" s="801">
        <f>+K236</f>
        <v>0</v>
      </c>
      <c r="L235" s="801">
        <f>+L236</f>
        <v>0</v>
      </c>
      <c r="M235" s="3865"/>
      <c r="N235" s="3868"/>
      <c r="O235" s="3635"/>
      <c r="P235" s="3635"/>
    </row>
    <row r="236" spans="1:16" ht="12" hidden="1" customHeight="1">
      <c r="A236" s="3874"/>
      <c r="B236" s="818" t="s">
        <v>14</v>
      </c>
      <c r="C236" s="3908"/>
      <c r="D236" s="766">
        <f>E236+L236+K236+F236+G236+H236+I236+J236</f>
        <v>0</v>
      </c>
      <c r="E236" s="815"/>
      <c r="F236" s="815"/>
      <c r="G236" s="815"/>
      <c r="H236" s="815"/>
      <c r="I236" s="815"/>
      <c r="J236" s="815"/>
      <c r="K236" s="815"/>
      <c r="L236" s="815">
        <f>138882-138882</f>
        <v>0</v>
      </c>
      <c r="M236" s="3865"/>
      <c r="N236" s="3868"/>
      <c r="O236" s="3635"/>
      <c r="P236" s="3635"/>
    </row>
    <row r="237" spans="1:16" s="2951" customFormat="1" ht="13.5" hidden="1" customHeight="1">
      <c r="A237" s="3874"/>
      <c r="B237" s="1658" t="s">
        <v>17</v>
      </c>
      <c r="C237" s="3908"/>
      <c r="D237" s="816">
        <f>+D238</f>
        <v>0</v>
      </c>
      <c r="E237" s="816">
        <f t="shared" ref="E237" si="152">+E238</f>
        <v>0</v>
      </c>
      <c r="F237" s="816"/>
      <c r="G237" s="816"/>
      <c r="H237" s="816"/>
      <c r="I237" s="816"/>
      <c r="J237" s="816"/>
      <c r="K237" s="816">
        <f>+K238</f>
        <v>0</v>
      </c>
      <c r="L237" s="816">
        <f>+L238</f>
        <v>0</v>
      </c>
      <c r="M237" s="3865"/>
      <c r="N237" s="3868"/>
      <c r="O237" s="3638"/>
      <c r="P237" s="3638"/>
    </row>
    <row r="238" spans="1:16" s="2951" customFormat="1" ht="13.5" hidden="1" thickBot="1">
      <c r="A238" s="3913"/>
      <c r="B238" s="473" t="s">
        <v>19</v>
      </c>
      <c r="C238" s="3909"/>
      <c r="D238" s="1142">
        <f>E238+L238+K238+F238+G238+H238+I238+J238</f>
        <v>0</v>
      </c>
      <c r="E238" s="2999"/>
      <c r="F238" s="2999"/>
      <c r="G238" s="2999"/>
      <c r="H238" s="2999"/>
      <c r="I238" s="2999"/>
      <c r="J238" s="2999"/>
      <c r="K238" s="2999"/>
      <c r="L238" s="2999">
        <v>0</v>
      </c>
      <c r="M238" s="3866"/>
      <c r="N238" s="3869"/>
      <c r="O238" s="3638"/>
      <c r="P238" s="3638"/>
    </row>
    <row r="239" spans="1:16" ht="28.5" customHeight="1">
      <c r="A239" s="3873" t="s">
        <v>103</v>
      </c>
      <c r="B239" s="2952" t="s">
        <v>569</v>
      </c>
      <c r="C239" s="25" t="s">
        <v>70</v>
      </c>
      <c r="D239" s="1493"/>
      <c r="E239" s="1477"/>
      <c r="F239" s="1477"/>
      <c r="G239" s="1477"/>
      <c r="H239" s="1477"/>
      <c r="I239" s="1477"/>
      <c r="J239" s="21"/>
      <c r="K239" s="1477"/>
      <c r="L239" s="1477"/>
      <c r="M239" s="22"/>
      <c r="N239" s="3914" t="s">
        <v>75</v>
      </c>
      <c r="O239" s="3635"/>
      <c r="P239" s="3635"/>
    </row>
    <row r="240" spans="1:16" ht="15.75" customHeight="1">
      <c r="A240" s="3874"/>
      <c r="B240" s="1195" t="s">
        <v>9</v>
      </c>
      <c r="C240" s="3046"/>
      <c r="D240" s="2904">
        <f>+D241+D244</f>
        <v>18032623</v>
      </c>
      <c r="E240" s="2904">
        <f t="shared" ref="E240" si="153">+E241+E244</f>
        <v>17782623</v>
      </c>
      <c r="F240" s="2904">
        <f t="shared" ref="F240:J240" si="154">+F241+F244</f>
        <v>250000</v>
      </c>
      <c r="G240" s="2905">
        <f t="shared" si="154"/>
        <v>0</v>
      </c>
      <c r="H240" s="2905">
        <f t="shared" si="154"/>
        <v>0</v>
      </c>
      <c r="I240" s="2905">
        <f t="shared" si="154"/>
        <v>0</v>
      </c>
      <c r="J240" s="2905">
        <f t="shared" si="154"/>
        <v>0</v>
      </c>
      <c r="K240" s="2904">
        <f>+K241+K244</f>
        <v>0</v>
      </c>
      <c r="L240" s="2904">
        <f>+L241+L244</f>
        <v>0</v>
      </c>
      <c r="M240" s="831">
        <f>+M241+M244</f>
        <v>250000</v>
      </c>
      <c r="N240" s="3915"/>
      <c r="O240" s="3635" t="s">
        <v>342</v>
      </c>
      <c r="P240" s="3635"/>
    </row>
    <row r="241" spans="1:16" ht="13.5" customHeight="1">
      <c r="A241" s="3874"/>
      <c r="B241" s="1529" t="s">
        <v>22</v>
      </c>
      <c r="C241" s="3870" t="s">
        <v>73</v>
      </c>
      <c r="D241" s="824">
        <f>+D242+D243</f>
        <v>2934158</v>
      </c>
      <c r="E241" s="824">
        <f>+E242+E243</f>
        <v>2684158</v>
      </c>
      <c r="F241" s="824">
        <f>+F242+F243</f>
        <v>250000</v>
      </c>
      <c r="G241" s="3044">
        <f t="shared" ref="G241:J241" si="155">+G242+G243</f>
        <v>0</v>
      </c>
      <c r="H241" s="3044">
        <f t="shared" si="155"/>
        <v>0</v>
      </c>
      <c r="I241" s="3044">
        <f t="shared" si="155"/>
        <v>0</v>
      </c>
      <c r="J241" s="3044">
        <f t="shared" si="155"/>
        <v>0</v>
      </c>
      <c r="K241" s="824">
        <f>+K242+K243</f>
        <v>0</v>
      </c>
      <c r="L241" s="824">
        <f>+L242+L243</f>
        <v>0</v>
      </c>
      <c r="M241" s="3005">
        <f>+M242</f>
        <v>250000</v>
      </c>
      <c r="N241" s="3915"/>
      <c r="O241" s="3636"/>
      <c r="P241" s="3635"/>
    </row>
    <row r="242" spans="1:16" ht="13.5" customHeight="1">
      <c r="A242" s="3874"/>
      <c r="B242" s="1530" t="s">
        <v>11</v>
      </c>
      <c r="C242" s="3871"/>
      <c r="D242" s="766">
        <f>E242+L242+K242+F242+G242+H242+I242+J242</f>
        <v>2934158</v>
      </c>
      <c r="E242" s="812">
        <f>824400-289400-195000+49500-96414+6578+2384494</f>
        <v>2684158</v>
      </c>
      <c r="F242" s="812">
        <v>250000</v>
      </c>
      <c r="G242" s="2696">
        <v>0</v>
      </c>
      <c r="H242" s="2696">
        <v>0</v>
      </c>
      <c r="I242" s="2696">
        <v>0</v>
      </c>
      <c r="J242" s="2696">
        <v>0</v>
      </c>
      <c r="K242" s="812"/>
      <c r="L242" s="812">
        <v>0</v>
      </c>
      <c r="M242" s="813">
        <f>SUM(F242:J242)</f>
        <v>250000</v>
      </c>
      <c r="N242" s="3915"/>
      <c r="O242" s="3635"/>
      <c r="P242" s="3635"/>
    </row>
    <row r="243" spans="1:16" ht="13.5" hidden="1" customHeight="1">
      <c r="A243" s="3874"/>
      <c r="B243" s="1528" t="s">
        <v>14</v>
      </c>
      <c r="C243" s="3871"/>
      <c r="D243" s="766">
        <f>E243+L243+K243+F243+G243+H243+I243+J243</f>
        <v>0</v>
      </c>
      <c r="E243" s="477">
        <v>0</v>
      </c>
      <c r="F243" s="477"/>
      <c r="G243" s="477"/>
      <c r="H243" s="477"/>
      <c r="I243" s="477"/>
      <c r="J243" s="477"/>
      <c r="K243" s="477">
        <v>0</v>
      </c>
      <c r="L243" s="477">
        <v>0</v>
      </c>
      <c r="M243" s="813">
        <f>SUM(F243:J243)</f>
        <v>0</v>
      </c>
      <c r="N243" s="3915"/>
      <c r="O243" s="3635"/>
      <c r="P243" s="3635"/>
    </row>
    <row r="244" spans="1:16" ht="13.5" customHeight="1">
      <c r="A244" s="3874"/>
      <c r="B244" s="1658" t="s">
        <v>17</v>
      </c>
      <c r="C244" s="3871"/>
      <c r="D244" s="801">
        <f>+D245</f>
        <v>15098465</v>
      </c>
      <c r="E244" s="801">
        <f t="shared" ref="E244:J244" si="156">+E245</f>
        <v>15098465</v>
      </c>
      <c r="F244" s="2795">
        <f t="shared" si="156"/>
        <v>0</v>
      </c>
      <c r="G244" s="2795">
        <f t="shared" si="156"/>
        <v>0</v>
      </c>
      <c r="H244" s="2795">
        <f t="shared" si="156"/>
        <v>0</v>
      </c>
      <c r="I244" s="2795">
        <f t="shared" si="156"/>
        <v>0</v>
      </c>
      <c r="J244" s="2795">
        <f t="shared" si="156"/>
        <v>0</v>
      </c>
      <c r="K244" s="801">
        <f>+K245</f>
        <v>0</v>
      </c>
      <c r="L244" s="801">
        <f>+L245</f>
        <v>0</v>
      </c>
      <c r="M244" s="3017">
        <f>+M245</f>
        <v>0</v>
      </c>
      <c r="N244" s="3915"/>
      <c r="O244" s="3635"/>
      <c r="P244" s="3635"/>
    </row>
    <row r="245" spans="1:16" ht="13.5" customHeight="1">
      <c r="A245" s="3874"/>
      <c r="B245" s="1531" t="s">
        <v>19</v>
      </c>
      <c r="C245" s="3910"/>
      <c r="D245" s="766">
        <f>E245+L245+K245+F245+G245+H245+I245+J245</f>
        <v>15098465</v>
      </c>
      <c r="E245" s="812">
        <f>4671600-2206600-1105000+450500-189277-6578+13483820</f>
        <v>15098465</v>
      </c>
      <c r="F245" s="2696">
        <v>0</v>
      </c>
      <c r="G245" s="2696">
        <v>0</v>
      </c>
      <c r="H245" s="2696">
        <v>0</v>
      </c>
      <c r="I245" s="2696">
        <v>0</v>
      </c>
      <c r="J245" s="2696">
        <v>0</v>
      </c>
      <c r="K245" s="812"/>
      <c r="L245" s="812">
        <v>0</v>
      </c>
      <c r="M245" s="3016">
        <f>SUM(F245:J245)</f>
        <v>0</v>
      </c>
      <c r="N245" s="3916"/>
      <c r="O245" s="3635"/>
      <c r="P245" s="3635"/>
    </row>
    <row r="246" spans="1:16" ht="13.5" thickBot="1">
      <c r="A246" s="3874"/>
      <c r="B246" s="1195" t="s">
        <v>20</v>
      </c>
      <c r="C246" s="3007"/>
      <c r="D246" s="798">
        <f>+D249+D247</f>
        <v>15098465</v>
      </c>
      <c r="E246" s="798">
        <f t="shared" ref="E246:J246" si="157">+E249+E247</f>
        <v>15098465</v>
      </c>
      <c r="F246" s="1046">
        <f t="shared" si="157"/>
        <v>0</v>
      </c>
      <c r="G246" s="1046">
        <f t="shared" si="157"/>
        <v>0</v>
      </c>
      <c r="H246" s="1046">
        <f t="shared" si="157"/>
        <v>0</v>
      </c>
      <c r="I246" s="1046">
        <f t="shared" si="157"/>
        <v>0</v>
      </c>
      <c r="J246" s="1046">
        <f t="shared" si="157"/>
        <v>0</v>
      </c>
      <c r="K246" s="798">
        <f t="shared" ref="K246" si="158">+K249+K247</f>
        <v>0</v>
      </c>
      <c r="L246" s="798">
        <f>+L249+L247</f>
        <v>0</v>
      </c>
      <c r="M246" s="3864" t="s">
        <v>21</v>
      </c>
      <c r="N246" s="3867" t="s">
        <v>90</v>
      </c>
      <c r="O246" s="3636"/>
      <c r="P246" s="3636">
        <v>-1230552</v>
      </c>
    </row>
    <row r="247" spans="1:16" ht="12" hidden="1" customHeight="1">
      <c r="A247" s="3874"/>
      <c r="B247" s="814" t="s">
        <v>22</v>
      </c>
      <c r="C247" s="3859" t="s">
        <v>174</v>
      </c>
      <c r="D247" s="801">
        <f>+D248</f>
        <v>0</v>
      </c>
      <c r="E247" s="801">
        <f t="shared" ref="E247:J247" si="159">+E248</f>
        <v>0</v>
      </c>
      <c r="F247" s="2795">
        <f t="shared" si="159"/>
        <v>0</v>
      </c>
      <c r="G247" s="2795">
        <f t="shared" si="159"/>
        <v>0</v>
      </c>
      <c r="H247" s="2795">
        <f t="shared" si="159"/>
        <v>0</v>
      </c>
      <c r="I247" s="2795">
        <f t="shared" si="159"/>
        <v>0</v>
      </c>
      <c r="J247" s="2795">
        <f t="shared" si="159"/>
        <v>0</v>
      </c>
      <c r="K247" s="801">
        <f>+K248</f>
        <v>0</v>
      </c>
      <c r="L247" s="801">
        <f>+L248</f>
        <v>0</v>
      </c>
      <c r="M247" s="3865"/>
      <c r="N247" s="3869"/>
      <c r="O247" s="3635"/>
      <c r="P247" s="3635"/>
    </row>
    <row r="248" spans="1:16" ht="12" hidden="1" customHeight="1">
      <c r="A248" s="3874"/>
      <c r="B248" s="818" t="s">
        <v>14</v>
      </c>
      <c r="C248" s="3908"/>
      <c r="D248" s="766">
        <f>E248+L248+K248+F248+G248+H248+I248+J248</f>
        <v>0</v>
      </c>
      <c r="E248" s="815"/>
      <c r="F248" s="2709"/>
      <c r="G248" s="2709"/>
      <c r="H248" s="2709"/>
      <c r="I248" s="2709"/>
      <c r="J248" s="2709"/>
      <c r="K248" s="815"/>
      <c r="L248" s="815"/>
      <c r="M248" s="3865"/>
      <c r="N248" s="3892"/>
      <c r="O248" s="3635"/>
      <c r="P248" s="3635"/>
    </row>
    <row r="249" spans="1:16" s="2951" customFormat="1" ht="13.5" customHeight="1" thickBot="1">
      <c r="A249" s="3874"/>
      <c r="B249" s="1658" t="s">
        <v>17</v>
      </c>
      <c r="C249" s="3908"/>
      <c r="D249" s="816">
        <f>+D250</f>
        <v>15098465</v>
      </c>
      <c r="E249" s="816">
        <f t="shared" ref="E249:J249" si="160">+E250</f>
        <v>15098465</v>
      </c>
      <c r="F249" s="3020">
        <f t="shared" si="160"/>
        <v>0</v>
      </c>
      <c r="G249" s="3020">
        <f t="shared" si="160"/>
        <v>0</v>
      </c>
      <c r="H249" s="3020">
        <f t="shared" si="160"/>
        <v>0</v>
      </c>
      <c r="I249" s="3020">
        <f t="shared" si="160"/>
        <v>0</v>
      </c>
      <c r="J249" s="3020">
        <f t="shared" si="160"/>
        <v>0</v>
      </c>
      <c r="K249" s="816">
        <f>+K250</f>
        <v>0</v>
      </c>
      <c r="L249" s="816">
        <f>+L250</f>
        <v>0</v>
      </c>
      <c r="M249" s="3865"/>
      <c r="N249" s="3892"/>
      <c r="O249" s="3638"/>
      <c r="P249" s="3638"/>
    </row>
    <row r="250" spans="1:16" s="2951" customFormat="1" ht="13.5" thickBot="1">
      <c r="A250" s="3913"/>
      <c r="B250" s="473" t="s">
        <v>19</v>
      </c>
      <c r="C250" s="3909"/>
      <c r="D250" s="1142">
        <f>E250+L250+K250+F250+G250+H250+I250+J250</f>
        <v>15098465</v>
      </c>
      <c r="E250" s="2999">
        <f>4671600-2206600-1105000+450500-6579+13294544</f>
        <v>15098465</v>
      </c>
      <c r="F250" s="3045">
        <v>0</v>
      </c>
      <c r="G250" s="3045">
        <v>0</v>
      </c>
      <c r="H250" s="3045">
        <v>0</v>
      </c>
      <c r="I250" s="3045">
        <v>0</v>
      </c>
      <c r="J250" s="3045">
        <v>0</v>
      </c>
      <c r="K250" s="2999"/>
      <c r="L250" s="2999">
        <v>0</v>
      </c>
      <c r="M250" s="3866"/>
      <c r="N250" s="3892"/>
      <c r="O250" s="3638"/>
      <c r="P250" s="3638"/>
    </row>
    <row r="251" spans="1:16" s="2951" customFormat="1" ht="27" customHeight="1" thickBot="1">
      <c r="A251" s="3873" t="s">
        <v>76</v>
      </c>
      <c r="B251" s="2952" t="s">
        <v>570</v>
      </c>
      <c r="C251" s="25" t="s">
        <v>70</v>
      </c>
      <c r="D251" s="1493"/>
      <c r="E251" s="1477"/>
      <c r="F251" s="1477"/>
      <c r="G251" s="1477"/>
      <c r="H251" s="1477"/>
      <c r="I251" s="1477"/>
      <c r="J251" s="21"/>
      <c r="K251" s="1477"/>
      <c r="L251" s="1477"/>
      <c r="M251" s="22"/>
      <c r="N251" s="3911" t="s">
        <v>75</v>
      </c>
      <c r="O251" s="3638"/>
      <c r="P251" s="3638"/>
    </row>
    <row r="252" spans="1:16" s="2951" customFormat="1" ht="13.5" thickBot="1">
      <c r="A252" s="3874"/>
      <c r="B252" s="1195" t="s">
        <v>9</v>
      </c>
      <c r="C252" s="3046"/>
      <c r="D252" s="2904">
        <f>+D253+D256</f>
        <v>100250000</v>
      </c>
      <c r="E252" s="2904">
        <f t="shared" ref="E252" si="161">+E253+E256</f>
        <v>1431258</v>
      </c>
      <c r="F252" s="2904">
        <f t="shared" ref="F252:G252" si="162">+F253+F256</f>
        <v>45619660</v>
      </c>
      <c r="G252" s="2904">
        <f t="shared" si="162"/>
        <v>53199082</v>
      </c>
      <c r="H252" s="2905">
        <f t="shared" ref="H252:J252" si="163">+H253+H256</f>
        <v>0</v>
      </c>
      <c r="I252" s="2905">
        <f t="shared" si="163"/>
        <v>0</v>
      </c>
      <c r="J252" s="2905">
        <f t="shared" si="163"/>
        <v>0</v>
      </c>
      <c r="K252" s="2904">
        <f>+K253+K256</f>
        <v>0</v>
      </c>
      <c r="L252" s="2904">
        <f>+L253+L256</f>
        <v>0</v>
      </c>
      <c r="M252" s="831">
        <f>+M253+M256</f>
        <v>98818742</v>
      </c>
      <c r="N252" s="3911"/>
      <c r="O252" s="3638"/>
      <c r="P252" s="3638"/>
    </row>
    <row r="253" spans="1:16" s="2951" customFormat="1" ht="13.5" thickBot="1">
      <c r="A253" s="3874"/>
      <c r="B253" s="1529" t="s">
        <v>22</v>
      </c>
      <c r="C253" s="3870" t="s">
        <v>73</v>
      </c>
      <c r="D253" s="824">
        <f t="shared" ref="D253:G253" si="164">+D254+D255</f>
        <v>15132500</v>
      </c>
      <c r="E253" s="824">
        <f t="shared" si="164"/>
        <v>285781</v>
      </c>
      <c r="F253" s="824">
        <f t="shared" si="164"/>
        <v>6866857</v>
      </c>
      <c r="G253" s="824">
        <f t="shared" si="164"/>
        <v>7979862</v>
      </c>
      <c r="H253" s="3044">
        <f t="shared" ref="H253:J253" si="165">+H254+H255</f>
        <v>0</v>
      </c>
      <c r="I253" s="3044">
        <f t="shared" si="165"/>
        <v>0</v>
      </c>
      <c r="J253" s="3044">
        <f t="shared" si="165"/>
        <v>0</v>
      </c>
      <c r="K253" s="824">
        <f>+K254+K255</f>
        <v>0</v>
      </c>
      <c r="L253" s="824">
        <f>+L254+L255</f>
        <v>0</v>
      </c>
      <c r="M253" s="3005">
        <f>+M254</f>
        <v>14846719</v>
      </c>
      <c r="N253" s="3911"/>
      <c r="O253" s="3638"/>
      <c r="P253" s="3638"/>
    </row>
    <row r="254" spans="1:16" s="2951" customFormat="1" ht="13.5" thickBot="1">
      <c r="A254" s="3874"/>
      <c r="B254" s="1530" t="s">
        <v>11</v>
      </c>
      <c r="C254" s="3871"/>
      <c r="D254" s="766">
        <f>E254+L254+K254+F254+G254+H254+I254+J254</f>
        <v>15132500</v>
      </c>
      <c r="E254" s="812">
        <f>88875-13737+210643</f>
        <v>285781</v>
      </c>
      <c r="F254" s="812">
        <f>4654440+2178060+34357</f>
        <v>6866857</v>
      </c>
      <c r="G254" s="812">
        <v>7979862</v>
      </c>
      <c r="H254" s="2696">
        <v>0</v>
      </c>
      <c r="I254" s="2696">
        <v>0</v>
      </c>
      <c r="J254" s="2696">
        <v>0</v>
      </c>
      <c r="K254" s="812"/>
      <c r="L254" s="812">
        <v>0</v>
      </c>
      <c r="M254" s="813">
        <f>SUM(F254:J254)</f>
        <v>14846719</v>
      </c>
      <c r="N254" s="3911"/>
      <c r="O254" s="3638"/>
      <c r="P254" s="3638"/>
    </row>
    <row r="255" spans="1:16" s="2951" customFormat="1" ht="13.5" hidden="1" thickBot="1">
      <c r="A255" s="3874"/>
      <c r="B255" s="1528" t="s">
        <v>14</v>
      </c>
      <c r="C255" s="3871"/>
      <c r="D255" s="766">
        <f>E255+L255+K255+F255+G255+H255+I255+J255</f>
        <v>0</v>
      </c>
      <c r="E255" s="477">
        <v>0</v>
      </c>
      <c r="F255" s="477"/>
      <c r="G255" s="477"/>
      <c r="H255" s="2797"/>
      <c r="I255" s="2797"/>
      <c r="J255" s="2797"/>
      <c r="K255" s="477">
        <v>0</v>
      </c>
      <c r="L255" s="477">
        <v>0</v>
      </c>
      <c r="M255" s="813">
        <f>SUM(F255:J255)</f>
        <v>0</v>
      </c>
      <c r="N255" s="3911"/>
      <c r="O255" s="3638"/>
      <c r="P255" s="3638"/>
    </row>
    <row r="256" spans="1:16" s="2951" customFormat="1" ht="13.5" thickBot="1">
      <c r="A256" s="3874"/>
      <c r="B256" s="1226" t="s">
        <v>17</v>
      </c>
      <c r="C256" s="3871"/>
      <c r="D256" s="801">
        <f>+D257</f>
        <v>85117500</v>
      </c>
      <c r="E256" s="801">
        <f t="shared" ref="E256:J256" si="166">+E257</f>
        <v>1145477</v>
      </c>
      <c r="F256" s="801">
        <f t="shared" si="166"/>
        <v>38752803</v>
      </c>
      <c r="G256" s="801">
        <f t="shared" si="166"/>
        <v>45219220</v>
      </c>
      <c r="H256" s="2795">
        <f t="shared" si="166"/>
        <v>0</v>
      </c>
      <c r="I256" s="2795">
        <f t="shared" si="166"/>
        <v>0</v>
      </c>
      <c r="J256" s="2795">
        <f t="shared" si="166"/>
        <v>0</v>
      </c>
      <c r="K256" s="801">
        <f>+K257</f>
        <v>0</v>
      </c>
      <c r="L256" s="801">
        <f>+L257</f>
        <v>0</v>
      </c>
      <c r="M256" s="802">
        <f>+M257</f>
        <v>83972023</v>
      </c>
      <c r="N256" s="3911"/>
      <c r="O256" s="3638"/>
      <c r="P256" s="3638"/>
    </row>
    <row r="257" spans="1:16" s="2951" customFormat="1" ht="13.5" thickBot="1">
      <c r="A257" s="3874"/>
      <c r="B257" s="1531" t="s">
        <v>19</v>
      </c>
      <c r="C257" s="3910"/>
      <c r="D257" s="766">
        <f>E257+L257+K257+F257+G257+H257+I257+J257</f>
        <v>85117500</v>
      </c>
      <c r="E257" s="812">
        <f>503625-77845+719697</f>
        <v>1145477</v>
      </c>
      <c r="F257" s="812">
        <f>26375160+12342340+35303</f>
        <v>38752803</v>
      </c>
      <c r="G257" s="812">
        <v>45219220</v>
      </c>
      <c r="H257" s="2696">
        <v>0</v>
      </c>
      <c r="I257" s="2696">
        <v>0</v>
      </c>
      <c r="J257" s="2696">
        <v>0</v>
      </c>
      <c r="K257" s="812"/>
      <c r="L257" s="812">
        <v>0</v>
      </c>
      <c r="M257" s="813">
        <f>SUM(F257:J257)</f>
        <v>83972023</v>
      </c>
      <c r="N257" s="3911"/>
      <c r="O257" s="3638"/>
      <c r="P257" s="3638"/>
    </row>
    <row r="258" spans="1:16" s="2951" customFormat="1" ht="13.5" thickBot="1">
      <c r="A258" s="3874"/>
      <c r="B258" s="1195" t="s">
        <v>20</v>
      </c>
      <c r="C258" s="3007"/>
      <c r="D258" s="798">
        <f>+D261+D259</f>
        <v>85117500</v>
      </c>
      <c r="E258" s="798">
        <f t="shared" ref="E258" si="167">+E261+E259</f>
        <v>1180780</v>
      </c>
      <c r="F258" s="798">
        <f t="shared" ref="F258:J258" si="168">+F261+F259</f>
        <v>38717500</v>
      </c>
      <c r="G258" s="798">
        <f t="shared" si="168"/>
        <v>45219220</v>
      </c>
      <c r="H258" s="1046">
        <f t="shared" si="168"/>
        <v>0</v>
      </c>
      <c r="I258" s="1046">
        <f t="shared" si="168"/>
        <v>0</v>
      </c>
      <c r="J258" s="1046">
        <f t="shared" si="168"/>
        <v>0</v>
      </c>
      <c r="K258" s="798">
        <f>+K261+K259</f>
        <v>0</v>
      </c>
      <c r="L258" s="798">
        <f>+L261+L259</f>
        <v>0</v>
      </c>
      <c r="M258" s="3864" t="s">
        <v>21</v>
      </c>
      <c r="N258" s="3892" t="s">
        <v>90</v>
      </c>
      <c r="O258" s="3638"/>
      <c r="P258" s="3638"/>
    </row>
    <row r="259" spans="1:16" s="2951" customFormat="1" ht="13.5" hidden="1" customHeight="1" thickBot="1">
      <c r="A259" s="3874"/>
      <c r="B259" s="805" t="s">
        <v>22</v>
      </c>
      <c r="C259" s="3859" t="s">
        <v>174</v>
      </c>
      <c r="D259" s="801">
        <f>+D260</f>
        <v>0</v>
      </c>
      <c r="E259" s="801">
        <f t="shared" ref="E259" si="169">+E260</f>
        <v>0</v>
      </c>
      <c r="F259" s="801"/>
      <c r="G259" s="801"/>
      <c r="H259" s="2795"/>
      <c r="I259" s="2795"/>
      <c r="J259" s="2795"/>
      <c r="K259" s="801">
        <f>+K260</f>
        <v>0</v>
      </c>
      <c r="L259" s="801">
        <f>+L260</f>
        <v>0</v>
      </c>
      <c r="M259" s="3865"/>
      <c r="N259" s="3892"/>
      <c r="O259" s="3638"/>
      <c r="P259" s="3638"/>
    </row>
    <row r="260" spans="1:16" s="2951" customFormat="1" ht="13.5" hidden="1" customHeight="1" thickBot="1">
      <c r="A260" s="3874"/>
      <c r="B260" s="818" t="s">
        <v>14</v>
      </c>
      <c r="C260" s="3908"/>
      <c r="D260" s="766">
        <f>E260+L260+K260+F260+G260+H260+I260+J260</f>
        <v>0</v>
      </c>
      <c r="E260" s="815"/>
      <c r="F260" s="815"/>
      <c r="G260" s="815"/>
      <c r="H260" s="2709"/>
      <c r="I260" s="2709"/>
      <c r="J260" s="2709"/>
      <c r="K260" s="815"/>
      <c r="L260" s="815"/>
      <c r="M260" s="3865"/>
      <c r="N260" s="3892"/>
      <c r="O260" s="3638"/>
      <c r="P260" s="3638"/>
    </row>
    <row r="261" spans="1:16" s="2951" customFormat="1">
      <c r="A261" s="3874"/>
      <c r="B261" s="1658" t="s">
        <v>17</v>
      </c>
      <c r="C261" s="3908"/>
      <c r="D261" s="816">
        <f>+D262</f>
        <v>85117500</v>
      </c>
      <c r="E261" s="816">
        <f t="shared" ref="E261:J261" si="170">+E262</f>
        <v>1180780</v>
      </c>
      <c r="F261" s="816">
        <f t="shared" si="170"/>
        <v>38717500</v>
      </c>
      <c r="G261" s="816">
        <f t="shared" si="170"/>
        <v>45219220</v>
      </c>
      <c r="H261" s="3020">
        <f t="shared" si="170"/>
        <v>0</v>
      </c>
      <c r="I261" s="3020">
        <f t="shared" si="170"/>
        <v>0</v>
      </c>
      <c r="J261" s="3020">
        <f t="shared" si="170"/>
        <v>0</v>
      </c>
      <c r="K261" s="816">
        <f>+K262</f>
        <v>0</v>
      </c>
      <c r="L261" s="816">
        <f>+L262</f>
        <v>0</v>
      </c>
      <c r="M261" s="3865"/>
      <c r="N261" s="3901"/>
      <c r="O261" s="3638"/>
      <c r="P261" s="3638"/>
    </row>
    <row r="262" spans="1:16" s="2951" customFormat="1" ht="13.5" thickBot="1">
      <c r="A262" s="3913"/>
      <c r="B262" s="473" t="s">
        <v>19</v>
      </c>
      <c r="C262" s="3909"/>
      <c r="D262" s="1142">
        <f>E262+L262+K262+F262+G262+H262+I262+J262</f>
        <v>85117500</v>
      </c>
      <c r="E262" s="2999">
        <f>38021365-36840585</f>
        <v>1180780</v>
      </c>
      <c r="F262" s="2999">
        <f>30375160+8342340</f>
        <v>38717500</v>
      </c>
      <c r="G262" s="2999">
        <v>45219220</v>
      </c>
      <c r="H262" s="3045">
        <v>0</v>
      </c>
      <c r="I262" s="3045">
        <v>0</v>
      </c>
      <c r="J262" s="3045">
        <v>0</v>
      </c>
      <c r="K262" s="2999"/>
      <c r="L262" s="2999"/>
      <c r="M262" s="3866"/>
      <c r="N262" s="3869"/>
      <c r="O262" s="3638"/>
      <c r="P262" s="3638"/>
    </row>
    <row r="263" spans="1:16" s="2951" customFormat="1" ht="38.25" customHeight="1">
      <c r="A263" s="3873" t="s">
        <v>77</v>
      </c>
      <c r="B263" s="2952" t="s">
        <v>372</v>
      </c>
      <c r="C263" s="25" t="s">
        <v>70</v>
      </c>
      <c r="D263" s="1493"/>
      <c r="E263" s="1477"/>
      <c r="F263" s="1477"/>
      <c r="G263" s="1477"/>
      <c r="H263" s="1477"/>
      <c r="I263" s="1477"/>
      <c r="J263" s="21"/>
      <c r="K263" s="1477"/>
      <c r="L263" s="1477"/>
      <c r="M263" s="22"/>
      <c r="N263" s="3914" t="s">
        <v>75</v>
      </c>
      <c r="O263" s="3638"/>
      <c r="P263" s="3638"/>
    </row>
    <row r="264" spans="1:16" s="2951" customFormat="1">
      <c r="A264" s="3874"/>
      <c r="B264" s="1195" t="s">
        <v>9</v>
      </c>
      <c r="C264" s="3046"/>
      <c r="D264" s="2904">
        <f>+D265+D268</f>
        <v>40700000</v>
      </c>
      <c r="E264" s="2904">
        <f t="shared" ref="E264:G264" si="171">+E265+E268</f>
        <v>5542478</v>
      </c>
      <c r="F264" s="2904">
        <f t="shared" si="171"/>
        <v>31157522</v>
      </c>
      <c r="G264" s="2904">
        <f t="shared" si="171"/>
        <v>4000000</v>
      </c>
      <c r="H264" s="2905">
        <f t="shared" ref="H264:J264" si="172">+H265+H268</f>
        <v>0</v>
      </c>
      <c r="I264" s="2905">
        <f t="shared" si="172"/>
        <v>0</v>
      </c>
      <c r="J264" s="2905">
        <f t="shared" si="172"/>
        <v>0</v>
      </c>
      <c r="K264" s="2904">
        <f>+K265+K268</f>
        <v>0</v>
      </c>
      <c r="L264" s="2904">
        <f>+L265+L268</f>
        <v>0</v>
      </c>
      <c r="M264" s="831">
        <f>+M265+M268</f>
        <v>35157522</v>
      </c>
      <c r="N264" s="3915"/>
      <c r="O264" s="3638"/>
      <c r="P264" s="3638"/>
    </row>
    <row r="265" spans="1:16" s="2951" customFormat="1">
      <c r="A265" s="3874"/>
      <c r="B265" s="1529" t="s">
        <v>22</v>
      </c>
      <c r="C265" s="3870" t="s">
        <v>73</v>
      </c>
      <c r="D265" s="824">
        <f>+D266+D267</f>
        <v>6275110</v>
      </c>
      <c r="E265" s="824">
        <f t="shared" ref="E265" si="173">+E266+E267</f>
        <v>915588</v>
      </c>
      <c r="F265" s="824">
        <f>+F266+F267</f>
        <v>4759511</v>
      </c>
      <c r="G265" s="824">
        <f>+G266+G267</f>
        <v>600011</v>
      </c>
      <c r="H265" s="3044">
        <f t="shared" ref="H265:J265" si="174">+H266+H267</f>
        <v>0</v>
      </c>
      <c r="I265" s="3044">
        <f t="shared" si="174"/>
        <v>0</v>
      </c>
      <c r="J265" s="3044">
        <f t="shared" si="174"/>
        <v>0</v>
      </c>
      <c r="K265" s="824">
        <f>+K266+K267</f>
        <v>0</v>
      </c>
      <c r="L265" s="824">
        <f>+L266+L267</f>
        <v>0</v>
      </c>
      <c r="M265" s="3005">
        <f>+M266</f>
        <v>5359522</v>
      </c>
      <c r="N265" s="3915"/>
      <c r="O265" s="3638"/>
      <c r="P265" s="3638"/>
    </row>
    <row r="266" spans="1:16" s="2951" customFormat="1">
      <c r="A266" s="3874"/>
      <c r="B266" s="1530" t="s">
        <v>11</v>
      </c>
      <c r="C266" s="3871"/>
      <c r="D266" s="766">
        <f>E266+L266+K266+F266+G266+H266+I266+J266</f>
        <v>6275110</v>
      </c>
      <c r="E266" s="787">
        <f>144271+77226+694091</f>
        <v>915588</v>
      </c>
      <c r="F266" s="812">
        <f>3300000+675000-299895+100928+983478</f>
        <v>4759511</v>
      </c>
      <c r="G266" s="812">
        <f>1583489-983478</f>
        <v>600011</v>
      </c>
      <c r="H266" s="2696">
        <v>0</v>
      </c>
      <c r="I266" s="2696">
        <v>0</v>
      </c>
      <c r="J266" s="2696">
        <v>0</v>
      </c>
      <c r="K266" s="812"/>
      <c r="L266" s="812">
        <v>0</v>
      </c>
      <c r="M266" s="813">
        <f>SUM(F266:J266)</f>
        <v>5359522</v>
      </c>
      <c r="N266" s="3915"/>
      <c r="O266" s="3638"/>
      <c r="P266" s="3638"/>
    </row>
    <row r="267" spans="1:16" s="2951" customFormat="1">
      <c r="A267" s="3874"/>
      <c r="B267" s="1528" t="s">
        <v>14</v>
      </c>
      <c r="C267" s="3871"/>
      <c r="D267" s="766">
        <f>E267+L267+K267+F267+G267+H267+I267+J267</f>
        <v>0</v>
      </c>
      <c r="E267" s="3048">
        <v>0</v>
      </c>
      <c r="F267" s="477"/>
      <c r="G267" s="477"/>
      <c r="H267" s="2797"/>
      <c r="I267" s="2797"/>
      <c r="J267" s="2797"/>
      <c r="K267" s="477">
        <v>0</v>
      </c>
      <c r="L267" s="477">
        <v>0</v>
      </c>
      <c r="M267" s="3049">
        <f>SUM(F267:J267)</f>
        <v>0</v>
      </c>
      <c r="N267" s="3915"/>
      <c r="O267" s="3638"/>
      <c r="P267" s="3638"/>
    </row>
    <row r="268" spans="1:16" s="2951" customFormat="1">
      <c r="A268" s="3874"/>
      <c r="B268" s="1658" t="s">
        <v>17</v>
      </c>
      <c r="C268" s="3871"/>
      <c r="D268" s="801">
        <f>+D269</f>
        <v>34424890</v>
      </c>
      <c r="E268" s="801">
        <f t="shared" ref="E268:J268" si="175">+E269</f>
        <v>4626890</v>
      </c>
      <c r="F268" s="801">
        <f t="shared" si="175"/>
        <v>26398011</v>
      </c>
      <c r="G268" s="801">
        <f t="shared" si="175"/>
        <v>3399989</v>
      </c>
      <c r="H268" s="2795">
        <f t="shared" si="175"/>
        <v>0</v>
      </c>
      <c r="I268" s="2795">
        <f t="shared" si="175"/>
        <v>0</v>
      </c>
      <c r="J268" s="2795">
        <f t="shared" si="175"/>
        <v>0</v>
      </c>
      <c r="K268" s="801">
        <f>+K269</f>
        <v>0</v>
      </c>
      <c r="L268" s="801">
        <f>+L269</f>
        <v>0</v>
      </c>
      <c r="M268" s="3005">
        <f>+M269</f>
        <v>29798000</v>
      </c>
      <c r="N268" s="3915"/>
      <c r="O268" s="3638"/>
      <c r="P268" s="3638"/>
    </row>
    <row r="269" spans="1:16" s="2951" customFormat="1">
      <c r="A269" s="3874"/>
      <c r="B269" s="1531" t="s">
        <v>19</v>
      </c>
      <c r="C269" s="3910"/>
      <c r="D269" s="766">
        <f>E269+L269+K269+F269+G269+H269+I269+J269</f>
        <v>34424890</v>
      </c>
      <c r="E269" s="787">
        <f>730122+411773+3484995</f>
        <v>4626890</v>
      </c>
      <c r="F269" s="812">
        <f>18700000+3825000-1700105+5573116</f>
        <v>26398011</v>
      </c>
      <c r="G269" s="812">
        <f>8973105-5573116</f>
        <v>3399989</v>
      </c>
      <c r="H269" s="2696">
        <v>0</v>
      </c>
      <c r="I269" s="2696">
        <v>0</v>
      </c>
      <c r="J269" s="2696">
        <v>0</v>
      </c>
      <c r="K269" s="812"/>
      <c r="L269" s="812">
        <v>0</v>
      </c>
      <c r="M269" s="813">
        <f>SUM(F269:J269)</f>
        <v>29798000</v>
      </c>
      <c r="N269" s="3916"/>
      <c r="O269" s="3638"/>
      <c r="P269" s="3638"/>
    </row>
    <row r="270" spans="1:16" s="2951" customFormat="1">
      <c r="A270" s="3874"/>
      <c r="B270" s="1195" t="s">
        <v>20</v>
      </c>
      <c r="C270" s="3007"/>
      <c r="D270" s="798">
        <f>+D273+D271</f>
        <v>34424890</v>
      </c>
      <c r="E270" s="1011">
        <f t="shared" ref="E270:J270" si="176">+E273+E271</f>
        <v>0</v>
      </c>
      <c r="F270" s="798">
        <f t="shared" si="176"/>
        <v>31024901</v>
      </c>
      <c r="G270" s="798">
        <f t="shared" si="176"/>
        <v>3399989</v>
      </c>
      <c r="H270" s="1046">
        <f t="shared" si="176"/>
        <v>0</v>
      </c>
      <c r="I270" s="1046">
        <f t="shared" si="176"/>
        <v>0</v>
      </c>
      <c r="J270" s="1046">
        <f t="shared" si="176"/>
        <v>0</v>
      </c>
      <c r="K270" s="798">
        <f>+K273+K271</f>
        <v>0</v>
      </c>
      <c r="L270" s="798">
        <f>+L273+L271</f>
        <v>0</v>
      </c>
      <c r="M270" s="3883" t="s">
        <v>21</v>
      </c>
      <c r="N270" s="3867" t="s">
        <v>90</v>
      </c>
      <c r="O270" s="3638"/>
      <c r="P270" s="3638"/>
    </row>
    <row r="271" spans="1:16" s="2951" customFormat="1" ht="12.75" hidden="1" customHeight="1">
      <c r="A271" s="3874"/>
      <c r="B271" s="814" t="s">
        <v>22</v>
      </c>
      <c r="C271" s="3859" t="s">
        <v>174</v>
      </c>
      <c r="D271" s="801">
        <f>+D272</f>
        <v>0</v>
      </c>
      <c r="E271" s="1010">
        <f t="shared" ref="E271" si="177">+E272</f>
        <v>0</v>
      </c>
      <c r="F271" s="801"/>
      <c r="G271" s="801"/>
      <c r="H271" s="2795"/>
      <c r="I271" s="2795"/>
      <c r="J271" s="2795"/>
      <c r="K271" s="801">
        <f>+K272</f>
        <v>0</v>
      </c>
      <c r="L271" s="801">
        <f>+L272</f>
        <v>0</v>
      </c>
      <c r="M271" s="3881"/>
      <c r="N271" s="3868"/>
      <c r="O271" s="3638"/>
      <c r="P271" s="3638"/>
    </row>
    <row r="272" spans="1:16" s="2951" customFormat="1" ht="12.75" hidden="1" customHeight="1">
      <c r="A272" s="3874"/>
      <c r="B272" s="818" t="s">
        <v>14</v>
      </c>
      <c r="C272" s="3908"/>
      <c r="D272" s="766">
        <f>E272+L272+K272+F272+G272+H272+I272+J272</f>
        <v>0</v>
      </c>
      <c r="E272" s="1978"/>
      <c r="F272" s="815"/>
      <c r="G272" s="815"/>
      <c r="H272" s="2709"/>
      <c r="I272" s="2709"/>
      <c r="J272" s="2709"/>
      <c r="K272" s="815"/>
      <c r="L272" s="815"/>
      <c r="M272" s="3881"/>
      <c r="N272" s="3868"/>
      <c r="O272" s="3638"/>
      <c r="P272" s="3638"/>
    </row>
    <row r="273" spans="1:16" s="2951" customFormat="1">
      <c r="A273" s="3874"/>
      <c r="B273" s="1658" t="s">
        <v>17</v>
      </c>
      <c r="C273" s="3908"/>
      <c r="D273" s="816">
        <f>+D274</f>
        <v>34424890</v>
      </c>
      <c r="E273" s="1012">
        <f t="shared" ref="E273:J273" si="178">+E274</f>
        <v>0</v>
      </c>
      <c r="F273" s="816">
        <f t="shared" si="178"/>
        <v>31024901</v>
      </c>
      <c r="G273" s="816">
        <f t="shared" si="178"/>
        <v>3399989</v>
      </c>
      <c r="H273" s="3020">
        <f t="shared" si="178"/>
        <v>0</v>
      </c>
      <c r="I273" s="3020">
        <f t="shared" si="178"/>
        <v>0</v>
      </c>
      <c r="J273" s="3020">
        <f t="shared" si="178"/>
        <v>0</v>
      </c>
      <c r="K273" s="816">
        <f>+K274</f>
        <v>0</v>
      </c>
      <c r="L273" s="816">
        <f>+L274</f>
        <v>0</v>
      </c>
      <c r="M273" s="3881"/>
      <c r="N273" s="3868"/>
      <c r="O273" s="3638"/>
      <c r="P273" s="3638"/>
    </row>
    <row r="274" spans="1:16" s="2951" customFormat="1" ht="13.5" thickBot="1">
      <c r="A274" s="3913"/>
      <c r="B274" s="473" t="s">
        <v>19</v>
      </c>
      <c r="C274" s="3909"/>
      <c r="D274" s="1142">
        <f>E274+L274+K274+F274+G274+H274+I274+J274</f>
        <v>34424890</v>
      </c>
      <c r="E274" s="1360">
        <v>0</v>
      </c>
      <c r="F274" s="2999">
        <f>18700000+3825000+2926895-110+5573116</f>
        <v>31024901</v>
      </c>
      <c r="G274" s="2999">
        <f>8973105-5573116</f>
        <v>3399989</v>
      </c>
      <c r="H274" s="3045">
        <v>0</v>
      </c>
      <c r="I274" s="3045">
        <v>0</v>
      </c>
      <c r="J274" s="3045">
        <v>0</v>
      </c>
      <c r="K274" s="2999">
        <f>1785000+1141895-2926895</f>
        <v>0</v>
      </c>
      <c r="L274" s="1142">
        <v>0</v>
      </c>
      <c r="M274" s="3882"/>
      <c r="N274" s="3869"/>
      <c r="O274" s="3638"/>
      <c r="P274" s="3638"/>
    </row>
    <row r="275" spans="1:16" s="2951" customFormat="1" ht="26.25" customHeight="1">
      <c r="A275" s="3873" t="s">
        <v>78</v>
      </c>
      <c r="B275" s="2952" t="s">
        <v>368</v>
      </c>
      <c r="C275" s="25" t="s">
        <v>70</v>
      </c>
      <c r="D275" s="1493"/>
      <c r="E275" s="3050"/>
      <c r="F275" s="1477"/>
      <c r="G275" s="1477"/>
      <c r="H275" s="1477"/>
      <c r="I275" s="1477"/>
      <c r="J275" s="21"/>
      <c r="K275" s="1477"/>
      <c r="L275" s="1477"/>
      <c r="M275" s="22"/>
      <c r="N275" s="3914" t="s">
        <v>75</v>
      </c>
      <c r="O275" s="3638"/>
      <c r="P275" s="3638"/>
    </row>
    <row r="276" spans="1:16" s="2951" customFormat="1">
      <c r="A276" s="3874"/>
      <c r="B276" s="1195" t="s">
        <v>9</v>
      </c>
      <c r="C276" s="3046"/>
      <c r="D276" s="2904">
        <f>+D277+D280</f>
        <v>17100000</v>
      </c>
      <c r="E276" s="2904">
        <f t="shared" ref="E276" si="179">+E277+E280</f>
        <v>1206536</v>
      </c>
      <c r="F276" s="2904">
        <f t="shared" ref="F276:J276" si="180">+F277+F280</f>
        <v>15893464</v>
      </c>
      <c r="G276" s="2905">
        <f t="shared" si="180"/>
        <v>0</v>
      </c>
      <c r="H276" s="2905">
        <f t="shared" si="180"/>
        <v>0</v>
      </c>
      <c r="I276" s="2905">
        <f t="shared" si="180"/>
        <v>0</v>
      </c>
      <c r="J276" s="2905">
        <f t="shared" si="180"/>
        <v>0</v>
      </c>
      <c r="K276" s="2904">
        <f>+K277+K280</f>
        <v>0</v>
      </c>
      <c r="L276" s="2904">
        <f>+L277+L280</f>
        <v>0</v>
      </c>
      <c r="M276" s="831">
        <f>+M277+M280</f>
        <v>15893464</v>
      </c>
      <c r="N276" s="3915"/>
      <c r="O276" s="3638"/>
      <c r="P276" s="3638"/>
    </row>
    <row r="277" spans="1:16" s="2951" customFormat="1">
      <c r="A277" s="3874"/>
      <c r="B277" s="1529" t="s">
        <v>22</v>
      </c>
      <c r="C277" s="3870" t="s">
        <v>73</v>
      </c>
      <c r="D277" s="824">
        <f>+D278+D279</f>
        <v>2650000</v>
      </c>
      <c r="E277" s="824">
        <f>+E278+E279</f>
        <v>190492</v>
      </c>
      <c r="F277" s="824">
        <f>+F278+F279</f>
        <v>2459508</v>
      </c>
      <c r="G277" s="3044">
        <f t="shared" ref="G277:J277" si="181">+G278+G279</f>
        <v>0</v>
      </c>
      <c r="H277" s="3044">
        <f t="shared" si="181"/>
        <v>0</v>
      </c>
      <c r="I277" s="3044">
        <f t="shared" si="181"/>
        <v>0</v>
      </c>
      <c r="J277" s="3044">
        <f t="shared" si="181"/>
        <v>0</v>
      </c>
      <c r="K277" s="824">
        <f>+K278+K279</f>
        <v>0</v>
      </c>
      <c r="L277" s="824">
        <f>+L278+L279</f>
        <v>0</v>
      </c>
      <c r="M277" s="3005">
        <f>+M278</f>
        <v>2459508</v>
      </c>
      <c r="N277" s="3915"/>
      <c r="O277" s="3638"/>
      <c r="P277" s="3638"/>
    </row>
    <row r="278" spans="1:16" s="2951" customFormat="1">
      <c r="A278" s="3874"/>
      <c r="B278" s="1530" t="s">
        <v>11</v>
      </c>
      <c r="C278" s="3871"/>
      <c r="D278" s="766">
        <f>E278+L278+K278+F278+G278+H278+I278+J278</f>
        <v>2650000</v>
      </c>
      <c r="E278" s="812">
        <f>428598-238106</f>
        <v>190492</v>
      </c>
      <c r="F278" s="812">
        <f>2326402+238106-105000</f>
        <v>2459508</v>
      </c>
      <c r="G278" s="2696">
        <v>0</v>
      </c>
      <c r="H278" s="2696">
        <v>0</v>
      </c>
      <c r="I278" s="2696">
        <v>0</v>
      </c>
      <c r="J278" s="2696">
        <v>0</v>
      </c>
      <c r="K278" s="812"/>
      <c r="L278" s="812"/>
      <c r="M278" s="813">
        <f>SUM(F278:J278)</f>
        <v>2459508</v>
      </c>
      <c r="N278" s="3915"/>
      <c r="O278" s="3638"/>
      <c r="P278" s="3638"/>
    </row>
    <row r="279" spans="1:16" s="2951" customFormat="1" hidden="1">
      <c r="A279" s="3874"/>
      <c r="B279" s="1528" t="s">
        <v>14</v>
      </c>
      <c r="C279" s="3871"/>
      <c r="D279" s="766">
        <f>E279+L279+K279+F279+G279+H279+I279+J279</f>
        <v>0</v>
      </c>
      <c r="E279" s="477">
        <v>0</v>
      </c>
      <c r="F279" s="477"/>
      <c r="G279" s="2797"/>
      <c r="H279" s="2797"/>
      <c r="I279" s="2797"/>
      <c r="J279" s="2797"/>
      <c r="K279" s="477">
        <v>0</v>
      </c>
      <c r="L279" s="477">
        <v>0</v>
      </c>
      <c r="M279" s="813">
        <f>SUM(F279:J279)</f>
        <v>0</v>
      </c>
      <c r="N279" s="3915"/>
      <c r="O279" s="3638"/>
      <c r="P279" s="3638"/>
    </row>
    <row r="280" spans="1:16" s="2951" customFormat="1">
      <c r="A280" s="3874"/>
      <c r="B280" s="1226" t="s">
        <v>17</v>
      </c>
      <c r="C280" s="3871"/>
      <c r="D280" s="801">
        <f>+D281</f>
        <v>14450000</v>
      </c>
      <c r="E280" s="801">
        <f t="shared" ref="E280:J280" si="182">+E281</f>
        <v>1016044</v>
      </c>
      <c r="F280" s="801">
        <f t="shared" si="182"/>
        <v>13433956</v>
      </c>
      <c r="G280" s="2795">
        <f t="shared" si="182"/>
        <v>0</v>
      </c>
      <c r="H280" s="2795">
        <f t="shared" si="182"/>
        <v>0</v>
      </c>
      <c r="I280" s="2795">
        <f t="shared" si="182"/>
        <v>0</v>
      </c>
      <c r="J280" s="2795">
        <f t="shared" si="182"/>
        <v>0</v>
      </c>
      <c r="K280" s="801">
        <f>+K281</f>
        <v>0</v>
      </c>
      <c r="L280" s="801">
        <f>+L281</f>
        <v>0</v>
      </c>
      <c r="M280" s="802">
        <f>+M281</f>
        <v>13433956</v>
      </c>
      <c r="N280" s="3915"/>
      <c r="O280" s="3638"/>
      <c r="P280" s="3638"/>
    </row>
    <row r="281" spans="1:16" s="2951" customFormat="1">
      <c r="A281" s="3874"/>
      <c r="B281" s="1531" t="s">
        <v>19</v>
      </c>
      <c r="C281" s="3910"/>
      <c r="D281" s="766">
        <f>E281+L281+K281+F281+G281+H281+I281+J281</f>
        <v>14450000</v>
      </c>
      <c r="E281" s="812">
        <f>1862052-846008</f>
        <v>1016044</v>
      </c>
      <c r="F281" s="812">
        <f>13182948+846008-595000</f>
        <v>13433956</v>
      </c>
      <c r="G281" s="2696">
        <v>0</v>
      </c>
      <c r="H281" s="2696">
        <v>0</v>
      </c>
      <c r="I281" s="2696">
        <v>0</v>
      </c>
      <c r="J281" s="2696">
        <v>0</v>
      </c>
      <c r="K281" s="812"/>
      <c r="L281" s="812"/>
      <c r="M281" s="813">
        <f>SUM(F281:J281)</f>
        <v>13433956</v>
      </c>
      <c r="N281" s="3916"/>
      <c r="O281" s="3638"/>
      <c r="P281" s="3638"/>
    </row>
    <row r="282" spans="1:16" s="2951" customFormat="1">
      <c r="A282" s="3874"/>
      <c r="B282" s="1195" t="s">
        <v>20</v>
      </c>
      <c r="C282" s="3007"/>
      <c r="D282" s="798">
        <f>+D285+D283</f>
        <v>14450000</v>
      </c>
      <c r="E282" s="1011">
        <f t="shared" ref="E282:J282" si="183">+E285+E283</f>
        <v>0</v>
      </c>
      <c r="F282" s="798">
        <f t="shared" si="183"/>
        <v>14450000</v>
      </c>
      <c r="G282" s="1046">
        <f t="shared" si="183"/>
        <v>0</v>
      </c>
      <c r="H282" s="1046">
        <f t="shared" si="183"/>
        <v>0</v>
      </c>
      <c r="I282" s="1046">
        <f t="shared" si="183"/>
        <v>0</v>
      </c>
      <c r="J282" s="1046">
        <f t="shared" si="183"/>
        <v>0</v>
      </c>
      <c r="K282" s="798">
        <f>+K285+K283</f>
        <v>0</v>
      </c>
      <c r="L282" s="798">
        <f>+L285+L283</f>
        <v>0</v>
      </c>
      <c r="M282" s="3864" t="s">
        <v>21</v>
      </c>
      <c r="N282" s="3867" t="s">
        <v>90</v>
      </c>
      <c r="O282" s="3638"/>
      <c r="P282" s="3638"/>
    </row>
    <row r="283" spans="1:16" s="2951" customFormat="1" ht="12.75" hidden="1" customHeight="1">
      <c r="A283" s="3874"/>
      <c r="B283" s="805" t="s">
        <v>22</v>
      </c>
      <c r="C283" s="3859" t="s">
        <v>174</v>
      </c>
      <c r="D283" s="801">
        <f>+D284</f>
        <v>0</v>
      </c>
      <c r="E283" s="1010">
        <f t="shared" ref="E283:F283" si="184">+E284</f>
        <v>0</v>
      </c>
      <c r="F283" s="801">
        <f t="shared" si="184"/>
        <v>0</v>
      </c>
      <c r="G283" s="2795"/>
      <c r="H283" s="2795"/>
      <c r="I283" s="2795"/>
      <c r="J283" s="2795"/>
      <c r="K283" s="801">
        <f>+K284</f>
        <v>0</v>
      </c>
      <c r="L283" s="801">
        <f>+L284</f>
        <v>0</v>
      </c>
      <c r="M283" s="3865"/>
      <c r="N283" s="3868"/>
      <c r="O283" s="3638"/>
      <c r="P283" s="3638"/>
    </row>
    <row r="284" spans="1:16" s="2951" customFormat="1" ht="12.75" hidden="1" customHeight="1">
      <c r="A284" s="3874"/>
      <c r="B284" s="818" t="s">
        <v>14</v>
      </c>
      <c r="C284" s="3908"/>
      <c r="D284" s="766">
        <f>E284+L284+K284+F284+G284+H284+I284+J284</f>
        <v>0</v>
      </c>
      <c r="E284" s="1978"/>
      <c r="F284" s="815"/>
      <c r="G284" s="2709"/>
      <c r="H284" s="2709"/>
      <c r="I284" s="2709"/>
      <c r="J284" s="2709"/>
      <c r="K284" s="815"/>
      <c r="L284" s="815"/>
      <c r="M284" s="3865"/>
      <c r="N284" s="3868"/>
      <c r="O284" s="3638"/>
      <c r="P284" s="3638"/>
    </row>
    <row r="285" spans="1:16" s="2951" customFormat="1">
      <c r="A285" s="3874"/>
      <c r="B285" s="1658" t="s">
        <v>17</v>
      </c>
      <c r="C285" s="3908"/>
      <c r="D285" s="816">
        <f>+D286</f>
        <v>14450000</v>
      </c>
      <c r="E285" s="1012">
        <f t="shared" ref="E285:J285" si="185">+E286</f>
        <v>0</v>
      </c>
      <c r="F285" s="816">
        <f t="shared" si="185"/>
        <v>14450000</v>
      </c>
      <c r="G285" s="3020">
        <f t="shared" si="185"/>
        <v>0</v>
      </c>
      <c r="H285" s="3020">
        <f t="shared" si="185"/>
        <v>0</v>
      </c>
      <c r="I285" s="3020">
        <f t="shared" si="185"/>
        <v>0</v>
      </c>
      <c r="J285" s="3020">
        <f t="shared" si="185"/>
        <v>0</v>
      </c>
      <c r="K285" s="816">
        <f>+K286</f>
        <v>0</v>
      </c>
      <c r="L285" s="816">
        <f>+L286</f>
        <v>0</v>
      </c>
      <c r="M285" s="3865"/>
      <c r="N285" s="3868"/>
      <c r="O285" s="3638"/>
      <c r="P285" s="3638"/>
    </row>
    <row r="286" spans="1:16" s="2951" customFormat="1" ht="13.5" thickBot="1">
      <c r="A286" s="3913"/>
      <c r="B286" s="473" t="s">
        <v>19</v>
      </c>
      <c r="C286" s="3909"/>
      <c r="D286" s="1142">
        <f>E286+L286+K286+F286+G286+H286+I286+J286</f>
        <v>14450000</v>
      </c>
      <c r="E286" s="1360">
        <v>0</v>
      </c>
      <c r="F286" s="2999">
        <f>13182948+1862052-595000</f>
        <v>14450000</v>
      </c>
      <c r="G286" s="3045">
        <v>0</v>
      </c>
      <c r="H286" s="3045">
        <v>0</v>
      </c>
      <c r="I286" s="3045">
        <v>0</v>
      </c>
      <c r="J286" s="3045">
        <v>0</v>
      </c>
      <c r="K286" s="2999">
        <f>1862052-1862052</f>
        <v>0</v>
      </c>
      <c r="L286" s="1142">
        <v>0</v>
      </c>
      <c r="M286" s="3866"/>
      <c r="N286" s="3869"/>
      <c r="O286" s="3638"/>
      <c r="P286" s="3638"/>
    </row>
    <row r="287" spans="1:16" s="2951" customFormat="1" ht="25.5" customHeight="1">
      <c r="A287" s="3873" t="s">
        <v>79</v>
      </c>
      <c r="B287" s="2952" t="s">
        <v>443</v>
      </c>
      <c r="C287" s="25" t="s">
        <v>70</v>
      </c>
      <c r="D287" s="1493"/>
      <c r="E287" s="3050"/>
      <c r="F287" s="1477"/>
      <c r="G287" s="1477"/>
      <c r="H287" s="1477"/>
      <c r="I287" s="1477"/>
      <c r="J287" s="21"/>
      <c r="K287" s="1477"/>
      <c r="L287" s="1477"/>
      <c r="M287" s="22"/>
      <c r="N287" s="3914" t="s">
        <v>75</v>
      </c>
      <c r="O287" s="3638"/>
      <c r="P287" s="3638"/>
    </row>
    <row r="288" spans="1:16" s="2951" customFormat="1">
      <c r="A288" s="3874"/>
      <c r="B288" s="1195" t="s">
        <v>9</v>
      </c>
      <c r="C288" s="3046"/>
      <c r="D288" s="2904">
        <f>+D289+D292</f>
        <v>64768293</v>
      </c>
      <c r="E288" s="3051">
        <f t="shared" ref="E288:F288" si="186">+E289+E292</f>
        <v>0</v>
      </c>
      <c r="F288" s="2904">
        <f t="shared" si="186"/>
        <v>1533269</v>
      </c>
      <c r="G288" s="2904">
        <f t="shared" ref="G288:H288" si="187">+G289+G292</f>
        <v>45835216</v>
      </c>
      <c r="H288" s="2904">
        <f t="shared" si="187"/>
        <v>17399808</v>
      </c>
      <c r="I288" s="2905">
        <f t="shared" ref="I288:J288" si="188">+I289+I292</f>
        <v>0</v>
      </c>
      <c r="J288" s="2905">
        <f t="shared" si="188"/>
        <v>0</v>
      </c>
      <c r="K288" s="3051">
        <f>+K289+K292</f>
        <v>0</v>
      </c>
      <c r="L288" s="2904">
        <f>+L289+L292</f>
        <v>0</v>
      </c>
      <c r="M288" s="831">
        <f>+M289+M292</f>
        <v>55800000</v>
      </c>
      <c r="N288" s="3915"/>
      <c r="O288" s="3638"/>
      <c r="P288" s="3638"/>
    </row>
    <row r="289" spans="1:16" s="2951" customFormat="1">
      <c r="A289" s="3874"/>
      <c r="B289" s="1529" t="s">
        <v>22</v>
      </c>
      <c r="C289" s="3870" t="s">
        <v>73</v>
      </c>
      <c r="D289" s="824">
        <f>+D290+D291</f>
        <v>17423293</v>
      </c>
      <c r="E289" s="2132">
        <f t="shared" ref="E289" si="189">+E290+E291</f>
        <v>0</v>
      </c>
      <c r="F289" s="824">
        <f>+F290+F291</f>
        <v>343269</v>
      </c>
      <c r="G289" s="824">
        <f>+G290+G291</f>
        <v>14130216</v>
      </c>
      <c r="H289" s="824">
        <f>+H290+H291</f>
        <v>2949808</v>
      </c>
      <c r="I289" s="3044">
        <f t="shared" ref="I289:J289" si="190">+I290+I291</f>
        <v>0</v>
      </c>
      <c r="J289" s="3044">
        <f t="shared" si="190"/>
        <v>0</v>
      </c>
      <c r="K289" s="2132">
        <f>+K290+K291</f>
        <v>0</v>
      </c>
      <c r="L289" s="824">
        <f>+L290+L291</f>
        <v>0</v>
      </c>
      <c r="M289" s="3005">
        <f>+M290</f>
        <v>8455000</v>
      </c>
      <c r="N289" s="3915"/>
      <c r="O289" s="3638"/>
      <c r="P289" s="3638"/>
    </row>
    <row r="290" spans="1:16" s="2951" customFormat="1" ht="13.5" customHeight="1">
      <c r="A290" s="3874"/>
      <c r="B290" s="1530" t="s">
        <v>11</v>
      </c>
      <c r="C290" s="3871"/>
      <c r="D290" s="766">
        <f>E290+L290+K290+F290+G290+H290+I290+J290</f>
        <v>8455000</v>
      </c>
      <c r="E290" s="1985"/>
      <c r="F290" s="812">
        <f>1050000+205000-1045000</f>
        <v>210000</v>
      </c>
      <c r="G290" s="812">
        <f>4650000+1045000</f>
        <v>5695000</v>
      </c>
      <c r="H290" s="812">
        <v>2550000</v>
      </c>
      <c r="I290" s="2696">
        <v>0</v>
      </c>
      <c r="J290" s="2696">
        <v>0</v>
      </c>
      <c r="K290" s="825"/>
      <c r="L290" s="812"/>
      <c r="M290" s="813">
        <f>SUM(F290:J290)</f>
        <v>8455000</v>
      </c>
      <c r="N290" s="3915"/>
      <c r="O290" s="3638"/>
      <c r="P290" s="3638"/>
    </row>
    <row r="291" spans="1:16" s="2951" customFormat="1">
      <c r="A291" s="3874"/>
      <c r="B291" s="1528" t="s">
        <v>14</v>
      </c>
      <c r="C291" s="3871"/>
      <c r="D291" s="766">
        <f>E291+L291+K291+F291+G291+H291+I291+J291</f>
        <v>8968293</v>
      </c>
      <c r="E291" s="1016">
        <v>0</v>
      </c>
      <c r="F291" s="3641">
        <v>133269</v>
      </c>
      <c r="G291" s="3641">
        <v>8435216</v>
      </c>
      <c r="H291" s="3641">
        <v>399808</v>
      </c>
      <c r="I291" s="2797"/>
      <c r="J291" s="2797"/>
      <c r="K291" s="1879">
        <v>0</v>
      </c>
      <c r="L291" s="477">
        <v>0</v>
      </c>
      <c r="M291" s="813">
        <f>SUM(F291:J291)</f>
        <v>8968293</v>
      </c>
      <c r="N291" s="3915"/>
      <c r="O291" s="3638"/>
      <c r="P291" s="3638"/>
    </row>
    <row r="292" spans="1:16" s="2951" customFormat="1">
      <c r="A292" s="3874"/>
      <c r="B292" s="1226" t="s">
        <v>17</v>
      </c>
      <c r="C292" s="3871"/>
      <c r="D292" s="801">
        <f>+D293</f>
        <v>47345000</v>
      </c>
      <c r="E292" s="1010">
        <f t="shared" ref="E292:J292" si="191">+E293</f>
        <v>0</v>
      </c>
      <c r="F292" s="801">
        <f t="shared" si="191"/>
        <v>1190000</v>
      </c>
      <c r="G292" s="801">
        <f t="shared" si="191"/>
        <v>31705000</v>
      </c>
      <c r="H292" s="801">
        <f t="shared" si="191"/>
        <v>14450000</v>
      </c>
      <c r="I292" s="2795">
        <f t="shared" si="191"/>
        <v>0</v>
      </c>
      <c r="J292" s="2795">
        <f t="shared" si="191"/>
        <v>0</v>
      </c>
      <c r="K292" s="1010">
        <f>+K293</f>
        <v>0</v>
      </c>
      <c r="L292" s="801">
        <f>+L293</f>
        <v>0</v>
      </c>
      <c r="M292" s="802">
        <f>+M293</f>
        <v>47345000</v>
      </c>
      <c r="N292" s="3915"/>
      <c r="O292" s="3638"/>
      <c r="P292" s="3638"/>
    </row>
    <row r="293" spans="1:16" s="2951" customFormat="1">
      <c r="A293" s="3874"/>
      <c r="B293" s="1531" t="s">
        <v>19</v>
      </c>
      <c r="C293" s="3910"/>
      <c r="D293" s="766">
        <f>E293+L293+K293+F293+G293+H293+I293+J293</f>
        <v>47345000</v>
      </c>
      <c r="E293" s="1985"/>
      <c r="F293" s="812">
        <f>5950000+595000-5355000</f>
        <v>1190000</v>
      </c>
      <c r="G293" s="812">
        <f>26350000+5355000</f>
        <v>31705000</v>
      </c>
      <c r="H293" s="812">
        <v>14450000</v>
      </c>
      <c r="I293" s="2696">
        <v>0</v>
      </c>
      <c r="J293" s="2696">
        <v>0</v>
      </c>
      <c r="K293" s="825"/>
      <c r="L293" s="812"/>
      <c r="M293" s="813">
        <f>SUM(F293:J293)</f>
        <v>47345000</v>
      </c>
      <c r="N293" s="3916"/>
      <c r="O293" s="3638"/>
      <c r="P293" s="3638"/>
    </row>
    <row r="294" spans="1:16" s="2951" customFormat="1">
      <c r="A294" s="3874"/>
      <c r="B294" s="1195" t="s">
        <v>20</v>
      </c>
      <c r="C294" s="3052"/>
      <c r="D294" s="798">
        <f>+D297+D295</f>
        <v>56313293</v>
      </c>
      <c r="E294" s="1011">
        <f t="shared" ref="E294:L294" si="192">+E297+E295</f>
        <v>0</v>
      </c>
      <c r="F294" s="2904">
        <f t="shared" si="192"/>
        <v>133269</v>
      </c>
      <c r="G294" s="798">
        <f t="shared" si="192"/>
        <v>28330216</v>
      </c>
      <c r="H294" s="798">
        <f t="shared" si="192"/>
        <v>27849808</v>
      </c>
      <c r="I294" s="1046">
        <f t="shared" si="192"/>
        <v>0</v>
      </c>
      <c r="J294" s="1046">
        <f t="shared" si="192"/>
        <v>0</v>
      </c>
      <c r="K294" s="798">
        <f t="shared" si="192"/>
        <v>0</v>
      </c>
      <c r="L294" s="798">
        <f t="shared" si="192"/>
        <v>0</v>
      </c>
      <c r="M294" s="3864" t="s">
        <v>21</v>
      </c>
      <c r="N294" s="3867" t="s">
        <v>90</v>
      </c>
      <c r="O294" s="3638"/>
      <c r="P294" s="3638"/>
    </row>
    <row r="295" spans="1:16" s="2951" customFormat="1" ht="12.75" customHeight="1">
      <c r="A295" s="3874"/>
      <c r="B295" s="805" t="s">
        <v>22</v>
      </c>
      <c r="C295" s="3870" t="s">
        <v>174</v>
      </c>
      <c r="D295" s="824">
        <f>+D296</f>
        <v>8968293</v>
      </c>
      <c r="E295" s="2132">
        <f t="shared" ref="E295:F295" si="193">+E296</f>
        <v>0</v>
      </c>
      <c r="F295" s="824">
        <f t="shared" si="193"/>
        <v>133269</v>
      </c>
      <c r="G295" s="824">
        <f>+G296</f>
        <v>8435216</v>
      </c>
      <c r="H295" s="824">
        <f>+H296</f>
        <v>399808</v>
      </c>
      <c r="I295" s="2795"/>
      <c r="J295" s="2795"/>
      <c r="K295" s="1010">
        <f>+K296</f>
        <v>0</v>
      </c>
      <c r="L295" s="801">
        <f>+L296</f>
        <v>0</v>
      </c>
      <c r="M295" s="3865"/>
      <c r="N295" s="3868"/>
      <c r="O295" s="3638"/>
      <c r="P295" s="3638"/>
    </row>
    <row r="296" spans="1:16" s="2951" customFormat="1" ht="12.75" customHeight="1">
      <c r="A296" s="3874"/>
      <c r="B296" s="818" t="s">
        <v>14</v>
      </c>
      <c r="C296" s="3871"/>
      <c r="D296" s="766">
        <f>E296+L296+K296+F296+G296+H296+I296+J296</f>
        <v>8968293</v>
      </c>
      <c r="E296" s="1016"/>
      <c r="F296" s="3641">
        <v>133269</v>
      </c>
      <c r="G296" s="3641">
        <v>8435216</v>
      </c>
      <c r="H296" s="3641">
        <v>399808</v>
      </c>
      <c r="I296" s="2709"/>
      <c r="J296" s="2709"/>
      <c r="K296" s="1978"/>
      <c r="L296" s="815"/>
      <c r="M296" s="3865"/>
      <c r="N296" s="3868"/>
      <c r="O296" s="3638"/>
      <c r="P296" s="3638"/>
    </row>
    <row r="297" spans="1:16" s="2951" customFormat="1">
      <c r="A297" s="3874"/>
      <c r="B297" s="1658" t="s">
        <v>17</v>
      </c>
      <c r="C297" s="3871"/>
      <c r="D297" s="816">
        <f>+D298</f>
        <v>47345000</v>
      </c>
      <c r="E297" s="1012">
        <f t="shared" ref="E297:J297" si="194">+E298</f>
        <v>0</v>
      </c>
      <c r="F297" s="1012">
        <f t="shared" si="194"/>
        <v>0</v>
      </c>
      <c r="G297" s="816">
        <f t="shared" si="194"/>
        <v>19895000</v>
      </c>
      <c r="H297" s="816">
        <f t="shared" si="194"/>
        <v>27450000</v>
      </c>
      <c r="I297" s="3020">
        <f t="shared" si="194"/>
        <v>0</v>
      </c>
      <c r="J297" s="3020">
        <f t="shared" si="194"/>
        <v>0</v>
      </c>
      <c r="K297" s="1012">
        <f>+K298</f>
        <v>0</v>
      </c>
      <c r="L297" s="816">
        <f>+L298</f>
        <v>0</v>
      </c>
      <c r="M297" s="3865"/>
      <c r="N297" s="3868"/>
      <c r="O297" s="3638"/>
      <c r="P297" s="3638"/>
    </row>
    <row r="298" spans="1:16" s="2951" customFormat="1" ht="13.5" thickBot="1">
      <c r="A298" s="3913"/>
      <c r="B298" s="473" t="s">
        <v>19</v>
      </c>
      <c r="C298" s="3872"/>
      <c r="D298" s="1142">
        <f>E298+L298+K298+F298+G298+H298+I298+J298</f>
        <v>47345000</v>
      </c>
      <c r="E298" s="1360">
        <v>0</v>
      </c>
      <c r="F298" s="3053">
        <f>2950000+595000-3545000</f>
        <v>0</v>
      </c>
      <c r="G298" s="2999">
        <f>16350000+3545000</f>
        <v>19895000</v>
      </c>
      <c r="H298" s="2999">
        <v>27450000</v>
      </c>
      <c r="I298" s="3045">
        <v>0</v>
      </c>
      <c r="J298" s="3045">
        <v>0</v>
      </c>
      <c r="K298" s="3053">
        <f>1862052-1862052</f>
        <v>0</v>
      </c>
      <c r="L298" s="1142">
        <v>0</v>
      </c>
      <c r="M298" s="3866"/>
      <c r="N298" s="3869"/>
      <c r="O298" s="3638"/>
      <c r="P298" s="3638"/>
    </row>
    <row r="299" spans="1:16" s="2951" customFormat="1" ht="24">
      <c r="A299" s="3873" t="s">
        <v>80</v>
      </c>
      <c r="B299" s="2952" t="s">
        <v>571</v>
      </c>
      <c r="C299" s="25" t="s">
        <v>70</v>
      </c>
      <c r="D299" s="1493"/>
      <c r="E299" s="1477"/>
      <c r="F299" s="1477"/>
      <c r="G299" s="1477"/>
      <c r="H299" s="1477"/>
      <c r="I299" s="1477"/>
      <c r="J299" s="21"/>
      <c r="K299" s="1477"/>
      <c r="L299" s="1477"/>
      <c r="M299" s="22"/>
      <c r="N299" s="3914" t="s">
        <v>75</v>
      </c>
      <c r="O299" s="3638"/>
      <c r="P299" s="3638"/>
    </row>
    <row r="300" spans="1:16" s="2951" customFormat="1">
      <c r="A300" s="3874"/>
      <c r="B300" s="246" t="s">
        <v>9</v>
      </c>
      <c r="C300" s="3054"/>
      <c r="D300" s="2904">
        <f>+D301+D304</f>
        <v>25310000</v>
      </c>
      <c r="E300" s="3051">
        <f t="shared" ref="E300:H300" si="195">+E301+E304</f>
        <v>0</v>
      </c>
      <c r="F300" s="2904">
        <f>+F301+F304</f>
        <v>210000</v>
      </c>
      <c r="G300" s="2904">
        <f t="shared" si="195"/>
        <v>13400000</v>
      </c>
      <c r="H300" s="2904">
        <f t="shared" si="195"/>
        <v>11700000</v>
      </c>
      <c r="I300" s="2905">
        <f t="shared" ref="I300:J300" si="196">+I301+I304</f>
        <v>0</v>
      </c>
      <c r="J300" s="2905">
        <f t="shared" si="196"/>
        <v>0</v>
      </c>
      <c r="K300" s="3051">
        <f>+K301+K304</f>
        <v>0</v>
      </c>
      <c r="L300" s="2904">
        <f>+L301+L304</f>
        <v>0</v>
      </c>
      <c r="M300" s="831">
        <f>+M301+M304</f>
        <v>25310000</v>
      </c>
      <c r="N300" s="3915"/>
      <c r="O300" s="3638"/>
      <c r="P300" s="3638"/>
    </row>
    <row r="301" spans="1:16" s="2951" customFormat="1">
      <c r="A301" s="3874"/>
      <c r="B301" s="341" t="s">
        <v>22</v>
      </c>
      <c r="C301" s="3870" t="s">
        <v>73</v>
      </c>
      <c r="D301" s="824">
        <f>+D302+D303</f>
        <v>3881500</v>
      </c>
      <c r="E301" s="2132">
        <f t="shared" ref="E301" si="197">+E302+E303</f>
        <v>0</v>
      </c>
      <c r="F301" s="824">
        <f>+F302+F303</f>
        <v>31500</v>
      </c>
      <c r="G301" s="824">
        <f>+G302+G303</f>
        <v>2095000</v>
      </c>
      <c r="H301" s="824">
        <f>+H302+H303</f>
        <v>1755000</v>
      </c>
      <c r="I301" s="3044">
        <f t="shared" ref="I301:J301" si="198">+I302+I303</f>
        <v>0</v>
      </c>
      <c r="J301" s="3044">
        <f t="shared" si="198"/>
        <v>0</v>
      </c>
      <c r="K301" s="2132">
        <f>+K302+K303</f>
        <v>0</v>
      </c>
      <c r="L301" s="824">
        <f>+L302+L303</f>
        <v>0</v>
      </c>
      <c r="M301" s="3005">
        <f>+M302</f>
        <v>3881500</v>
      </c>
      <c r="N301" s="3915"/>
      <c r="O301" s="3638"/>
      <c r="P301" s="3638"/>
    </row>
    <row r="302" spans="1:16" s="2951" customFormat="1">
      <c r="A302" s="3874"/>
      <c r="B302" s="3055" t="s">
        <v>11</v>
      </c>
      <c r="C302" s="3871"/>
      <c r="D302" s="766">
        <f>E302+L302+K302+F302+G302+H302+I302+J302</f>
        <v>3881500</v>
      </c>
      <c r="E302" s="1985"/>
      <c r="F302" s="812">
        <f>900000+131500-1000000</f>
        <v>31500</v>
      </c>
      <c r="G302" s="812">
        <f>2850000-755000</f>
        <v>2095000</v>
      </c>
      <c r="H302" s="812">
        <v>1755000</v>
      </c>
      <c r="I302" s="2696">
        <v>0</v>
      </c>
      <c r="J302" s="2696">
        <v>0</v>
      </c>
      <c r="K302" s="825"/>
      <c r="L302" s="812"/>
      <c r="M302" s="3056">
        <f>SUM(F302:J302)</f>
        <v>3881500</v>
      </c>
      <c r="N302" s="3915"/>
      <c r="O302" s="3638"/>
      <c r="P302" s="3638"/>
    </row>
    <row r="303" spans="1:16" s="2951" customFormat="1" hidden="1">
      <c r="A303" s="3874"/>
      <c r="B303" s="1528" t="s">
        <v>14</v>
      </c>
      <c r="C303" s="3871"/>
      <c r="D303" s="766">
        <f>E303+L303+K303+F303+G303+H303+I303+J303</f>
        <v>0</v>
      </c>
      <c r="E303" s="3048">
        <v>0</v>
      </c>
      <c r="F303" s="477"/>
      <c r="G303" s="477"/>
      <c r="H303" s="477"/>
      <c r="I303" s="2797"/>
      <c r="J303" s="2797"/>
      <c r="K303" s="1879">
        <v>0</v>
      </c>
      <c r="L303" s="477">
        <v>0</v>
      </c>
      <c r="M303" s="813">
        <f>SUM(F303:J303)</f>
        <v>0</v>
      </c>
      <c r="N303" s="3915"/>
      <c r="O303" s="3638"/>
      <c r="P303" s="3638"/>
    </row>
    <row r="304" spans="1:16" s="2951" customFormat="1">
      <c r="A304" s="3874"/>
      <c r="B304" s="3057" t="s">
        <v>17</v>
      </c>
      <c r="C304" s="3871"/>
      <c r="D304" s="801">
        <f>+D305</f>
        <v>21428500</v>
      </c>
      <c r="E304" s="1010">
        <f t="shared" ref="E304:J304" si="199">+E305</f>
        <v>0</v>
      </c>
      <c r="F304" s="801">
        <f t="shared" si="199"/>
        <v>178500</v>
      </c>
      <c r="G304" s="801">
        <f t="shared" si="199"/>
        <v>11305000</v>
      </c>
      <c r="H304" s="801">
        <f t="shared" si="199"/>
        <v>9945000</v>
      </c>
      <c r="I304" s="2795">
        <f t="shared" si="199"/>
        <v>0</v>
      </c>
      <c r="J304" s="2795">
        <f t="shared" si="199"/>
        <v>0</v>
      </c>
      <c r="K304" s="1010">
        <f>+K305</f>
        <v>0</v>
      </c>
      <c r="L304" s="801">
        <f>+L305</f>
        <v>0</v>
      </c>
      <c r="M304" s="802">
        <f>+M305</f>
        <v>21428500</v>
      </c>
      <c r="N304" s="3915"/>
      <c r="O304" s="3638"/>
      <c r="P304" s="3638"/>
    </row>
    <row r="305" spans="1:16" s="2951" customFormat="1">
      <c r="A305" s="3874"/>
      <c r="B305" s="1531" t="s">
        <v>19</v>
      </c>
      <c r="C305" s="3910"/>
      <c r="D305" s="766">
        <f>E305+L305+K305+F305+G305+H305+I305+J305</f>
        <v>21428500</v>
      </c>
      <c r="E305" s="1985"/>
      <c r="F305" s="812">
        <f>5100000+178500-5100000</f>
        <v>178500</v>
      </c>
      <c r="G305" s="812">
        <f>16150000-4845000</f>
        <v>11305000</v>
      </c>
      <c r="H305" s="812">
        <v>9945000</v>
      </c>
      <c r="I305" s="2696">
        <v>0</v>
      </c>
      <c r="J305" s="2696">
        <v>0</v>
      </c>
      <c r="K305" s="825"/>
      <c r="L305" s="812"/>
      <c r="M305" s="3056">
        <f>SUM(F305:J305)</f>
        <v>21428500</v>
      </c>
      <c r="N305" s="3916"/>
      <c r="O305" s="3638"/>
      <c r="P305" s="3638"/>
    </row>
    <row r="306" spans="1:16" s="2951" customFormat="1">
      <c r="A306" s="3874"/>
      <c r="B306" s="246" t="s">
        <v>20</v>
      </c>
      <c r="C306" s="3052"/>
      <c r="D306" s="798">
        <f>+D309+D307</f>
        <v>21428500</v>
      </c>
      <c r="E306" s="1011">
        <f t="shared" ref="E306:J306" si="200">+E309+E307</f>
        <v>0</v>
      </c>
      <c r="F306" s="1011">
        <f t="shared" si="200"/>
        <v>0</v>
      </c>
      <c r="G306" s="798">
        <f t="shared" si="200"/>
        <v>11483500</v>
      </c>
      <c r="H306" s="798">
        <f t="shared" si="200"/>
        <v>9945000</v>
      </c>
      <c r="I306" s="1046">
        <f t="shared" si="200"/>
        <v>0</v>
      </c>
      <c r="J306" s="1046">
        <f t="shared" si="200"/>
        <v>0</v>
      </c>
      <c r="K306" s="1011">
        <f>+K309+K307</f>
        <v>0</v>
      </c>
      <c r="L306" s="798">
        <f>+L309+L307</f>
        <v>0</v>
      </c>
      <c r="M306" s="3864" t="s">
        <v>21</v>
      </c>
      <c r="N306" s="3867" t="s">
        <v>90</v>
      </c>
      <c r="O306" s="3638"/>
      <c r="P306" s="3638"/>
    </row>
    <row r="307" spans="1:16" s="2951" customFormat="1" ht="12.75" hidden="1" customHeight="1">
      <c r="A307" s="3874"/>
      <c r="B307" s="805" t="s">
        <v>22</v>
      </c>
      <c r="C307" s="3870" t="s">
        <v>174</v>
      </c>
      <c r="D307" s="801">
        <f>+D308</f>
        <v>0</v>
      </c>
      <c r="E307" s="1010">
        <f t="shared" ref="E307:F307" si="201">+E308</f>
        <v>0</v>
      </c>
      <c r="F307" s="1010">
        <f t="shared" si="201"/>
        <v>0</v>
      </c>
      <c r="G307" s="801"/>
      <c r="H307" s="801"/>
      <c r="I307" s="2795"/>
      <c r="J307" s="2795"/>
      <c r="K307" s="1010">
        <f>+K308</f>
        <v>0</v>
      </c>
      <c r="L307" s="801">
        <f>+L308</f>
        <v>0</v>
      </c>
      <c r="M307" s="3865"/>
      <c r="N307" s="3868"/>
      <c r="O307" s="3638"/>
      <c r="P307" s="3638"/>
    </row>
    <row r="308" spans="1:16" s="2951" customFormat="1" ht="12.75" hidden="1" customHeight="1">
      <c r="A308" s="3874"/>
      <c r="B308" s="818" t="s">
        <v>14</v>
      </c>
      <c r="C308" s="3871"/>
      <c r="D308" s="766">
        <f>E308+L308+K308+F308+G308+H308+I308+J308</f>
        <v>0</v>
      </c>
      <c r="E308" s="1978"/>
      <c r="F308" s="1978"/>
      <c r="G308" s="815"/>
      <c r="H308" s="815"/>
      <c r="I308" s="2709"/>
      <c r="J308" s="2709"/>
      <c r="K308" s="1978"/>
      <c r="L308" s="815"/>
      <c r="M308" s="3865"/>
      <c r="N308" s="3868"/>
      <c r="O308" s="3638"/>
      <c r="P308" s="3638"/>
    </row>
    <row r="309" spans="1:16" s="2951" customFormat="1">
      <c r="A309" s="3874"/>
      <c r="B309" s="343" t="s">
        <v>17</v>
      </c>
      <c r="C309" s="3871"/>
      <c r="D309" s="816">
        <f>+D310</f>
        <v>21428500</v>
      </c>
      <c r="E309" s="1012">
        <f t="shared" ref="E309:J309" si="202">+E310</f>
        <v>0</v>
      </c>
      <c r="F309" s="1012">
        <f t="shared" si="202"/>
        <v>0</v>
      </c>
      <c r="G309" s="816">
        <f t="shared" si="202"/>
        <v>11483500</v>
      </c>
      <c r="H309" s="816">
        <f t="shared" si="202"/>
        <v>9945000</v>
      </c>
      <c r="I309" s="3020">
        <f t="shared" si="202"/>
        <v>0</v>
      </c>
      <c r="J309" s="3020">
        <f t="shared" si="202"/>
        <v>0</v>
      </c>
      <c r="K309" s="1012">
        <f>+K310</f>
        <v>0</v>
      </c>
      <c r="L309" s="816">
        <f>+L310</f>
        <v>0</v>
      </c>
      <c r="M309" s="3865"/>
      <c r="N309" s="3868"/>
      <c r="O309" s="3638"/>
      <c r="P309" s="3638"/>
    </row>
    <row r="310" spans="1:16" s="2951" customFormat="1" ht="13.5" thickBot="1">
      <c r="A310" s="3913"/>
      <c r="B310" s="473" t="s">
        <v>19</v>
      </c>
      <c r="C310" s="3872"/>
      <c r="D310" s="856">
        <f>E310+L310+K310+F310+G310+H310+I310+J310</f>
        <v>21428500</v>
      </c>
      <c r="E310" s="3058">
        <v>0</v>
      </c>
      <c r="F310" s="3053">
        <f>3500000+178500-3678500</f>
        <v>0</v>
      </c>
      <c r="G310" s="2999">
        <f>11250000+233500</f>
        <v>11483500</v>
      </c>
      <c r="H310" s="2999">
        <f>6500000+3445000</f>
        <v>9945000</v>
      </c>
      <c r="I310" s="3045">
        <v>0</v>
      </c>
      <c r="J310" s="3045">
        <v>0</v>
      </c>
      <c r="K310" s="3053">
        <f>1862052-1862052</f>
        <v>0</v>
      </c>
      <c r="L310" s="856">
        <v>0</v>
      </c>
      <c r="M310" s="3866"/>
      <c r="N310" s="3869"/>
      <c r="O310" s="3638"/>
      <c r="P310" s="3638"/>
    </row>
    <row r="311" spans="1:16" ht="24.75" customHeight="1">
      <c r="A311" s="3873" t="s">
        <v>81</v>
      </c>
      <c r="B311" s="3059" t="s">
        <v>572</v>
      </c>
      <c r="C311" s="25" t="s">
        <v>70</v>
      </c>
      <c r="D311" s="1493"/>
      <c r="E311" s="1477"/>
      <c r="F311" s="1477"/>
      <c r="G311" s="1477"/>
      <c r="H311" s="1477"/>
      <c r="I311" s="1477"/>
      <c r="J311" s="21"/>
      <c r="K311" s="1477"/>
      <c r="L311" s="1477"/>
      <c r="M311" s="22"/>
      <c r="N311" s="3914" t="s">
        <v>75</v>
      </c>
      <c r="O311" s="3635" t="s">
        <v>243</v>
      </c>
      <c r="P311" s="3635"/>
    </row>
    <row r="312" spans="1:16" ht="12" customHeight="1">
      <c r="A312" s="3874"/>
      <c r="B312" s="796" t="s">
        <v>9</v>
      </c>
      <c r="C312" s="3060"/>
      <c r="D312" s="3061">
        <f t="shared" ref="D312" si="203">+D313+D316</f>
        <v>8669270</v>
      </c>
      <c r="E312" s="3062">
        <f>+E313+E316</f>
        <v>322280</v>
      </c>
      <c r="F312" s="3062">
        <f>+F313+F316</f>
        <v>6556990</v>
      </c>
      <c r="G312" s="3062">
        <f>+G313+G316</f>
        <v>1140000</v>
      </c>
      <c r="H312" s="3062">
        <f>+H313+H316</f>
        <v>650000</v>
      </c>
      <c r="I312" s="3063">
        <f t="shared" ref="I312:J312" si="204">+I313+I316</f>
        <v>0</v>
      </c>
      <c r="J312" s="3063">
        <f t="shared" si="204"/>
        <v>0</v>
      </c>
      <c r="K312" s="3064">
        <f>+K313+K316</f>
        <v>0</v>
      </c>
      <c r="L312" s="3062">
        <f>+L313+L316</f>
        <v>0</v>
      </c>
      <c r="M312" s="3065">
        <f>M313+M316</f>
        <v>8346990</v>
      </c>
      <c r="N312" s="3915"/>
      <c r="O312" s="3636"/>
      <c r="P312" s="3635"/>
    </row>
    <row r="313" spans="1:16" ht="13.5" customHeight="1">
      <c r="A313" s="3874"/>
      <c r="B313" s="805" t="s">
        <v>22</v>
      </c>
      <c r="C313" s="3859" t="s">
        <v>73</v>
      </c>
      <c r="D313" s="3066">
        <f>+D314+D315</f>
        <v>8669270</v>
      </c>
      <c r="E313" s="3066">
        <f t="shared" ref="E313:J313" si="205">+E314</f>
        <v>322280</v>
      </c>
      <c r="F313" s="3066">
        <f t="shared" si="205"/>
        <v>6556990</v>
      </c>
      <c r="G313" s="3066">
        <f t="shared" si="205"/>
        <v>1140000</v>
      </c>
      <c r="H313" s="3066">
        <f t="shared" si="205"/>
        <v>650000</v>
      </c>
      <c r="I313" s="3067">
        <f t="shared" si="205"/>
        <v>0</v>
      </c>
      <c r="J313" s="3067">
        <f t="shared" si="205"/>
        <v>0</v>
      </c>
      <c r="K313" s="3068">
        <f>+K314</f>
        <v>0</v>
      </c>
      <c r="L313" s="3066">
        <f>+L314</f>
        <v>0</v>
      </c>
      <c r="M313" s="802">
        <f>M314</f>
        <v>8346990</v>
      </c>
      <c r="N313" s="3915"/>
      <c r="O313" s="3636"/>
      <c r="P313" s="3635"/>
    </row>
    <row r="314" spans="1:16" ht="12" customHeight="1">
      <c r="A314" s="3874"/>
      <c r="B314" s="848" t="s">
        <v>11</v>
      </c>
      <c r="C314" s="3921"/>
      <c r="D314" s="3069">
        <f>E314+L314+K314+F314+G314+H314+I314+J314</f>
        <v>8669270</v>
      </c>
      <c r="E314" s="812">
        <f>3200000-1940000+1520081+249090-73261-57720-385500-592500-1597849-273999+273938</f>
        <v>322280</v>
      </c>
      <c r="F314" s="812">
        <f>7814990-910000-348000</f>
        <v>6556990</v>
      </c>
      <c r="G314" s="812">
        <f>420000+720000</f>
        <v>1140000</v>
      </c>
      <c r="H314" s="812">
        <v>650000</v>
      </c>
      <c r="I314" s="2689">
        <v>0</v>
      </c>
      <c r="J314" s="2689">
        <v>0</v>
      </c>
      <c r="K314" s="825">
        <f>4984499+500000+710922+57720+385500+1597849-126001-28598-20000-246901-7814990</f>
        <v>0</v>
      </c>
      <c r="L314" s="812">
        <v>0</v>
      </c>
      <c r="M314" s="3056">
        <f>SUM(F314:J314)</f>
        <v>8346990</v>
      </c>
      <c r="N314" s="3915"/>
      <c r="O314" s="3635"/>
      <c r="P314" s="3635"/>
    </row>
    <row r="315" spans="1:16" hidden="1">
      <c r="A315" s="3874"/>
      <c r="B315" s="3029" t="s">
        <v>14</v>
      </c>
      <c r="C315" s="3921"/>
      <c r="D315" s="766">
        <f>E315+L315+K315+F315+G315+H315+I315+J315</f>
        <v>0</v>
      </c>
      <c r="E315" s="822"/>
      <c r="F315" s="822"/>
      <c r="G315" s="822"/>
      <c r="H315" s="2960"/>
      <c r="I315" s="3070"/>
      <c r="J315" s="3070"/>
      <c r="K315" s="821"/>
      <c r="L315" s="822"/>
      <c r="M315" s="2961"/>
      <c r="N315" s="3915"/>
      <c r="O315" s="3635"/>
      <c r="P315" s="3635"/>
    </row>
    <row r="316" spans="1:16" ht="13.5" customHeight="1">
      <c r="A316" s="3874"/>
      <c r="B316" s="823" t="s">
        <v>17</v>
      </c>
      <c r="C316" s="3921"/>
      <c r="D316" s="809">
        <f>+D317</f>
        <v>0</v>
      </c>
      <c r="E316" s="3067">
        <f t="shared" ref="E316:J316" si="206">+E317</f>
        <v>0</v>
      </c>
      <c r="F316" s="3071">
        <f t="shared" si="206"/>
        <v>0</v>
      </c>
      <c r="G316" s="3071">
        <f t="shared" si="206"/>
        <v>0</v>
      </c>
      <c r="H316" s="3071">
        <f t="shared" si="206"/>
        <v>0</v>
      </c>
      <c r="I316" s="3071">
        <f t="shared" si="206"/>
        <v>0</v>
      </c>
      <c r="J316" s="3071">
        <f t="shared" si="206"/>
        <v>0</v>
      </c>
      <c r="K316" s="3068">
        <f>+K317</f>
        <v>0</v>
      </c>
      <c r="L316" s="3066">
        <f>+L317</f>
        <v>0</v>
      </c>
      <c r="M316" s="3017">
        <f>M317</f>
        <v>0</v>
      </c>
      <c r="N316" s="3915"/>
      <c r="O316" s="3635"/>
      <c r="P316" s="3635"/>
    </row>
    <row r="317" spans="1:16">
      <c r="A317" s="3874"/>
      <c r="B317" s="474" t="s">
        <v>19</v>
      </c>
      <c r="C317" s="3922"/>
      <c r="D317" s="3072">
        <f>E317+L317+K317+F317+G317+H317+I317+J317</f>
        <v>0</v>
      </c>
      <c r="E317" s="2689">
        <f>1617722-288485-415148-640151-273938</f>
        <v>0</v>
      </c>
      <c r="F317" s="3073">
        <f>1900090-569500-416501-914089</f>
        <v>0</v>
      </c>
      <c r="G317" s="3073">
        <f>1900090-569500-416501-914089</f>
        <v>0</v>
      </c>
      <c r="H317" s="2689">
        <v>0</v>
      </c>
      <c r="I317" s="2689">
        <v>0</v>
      </c>
      <c r="J317" s="2689">
        <v>0</v>
      </c>
      <c r="K317" s="825">
        <f>640151-162052-478099</f>
        <v>0</v>
      </c>
      <c r="L317" s="812">
        <v>0</v>
      </c>
      <c r="M317" s="3074">
        <f>SUM(F317:J317)</f>
        <v>0</v>
      </c>
      <c r="N317" s="3916"/>
      <c r="O317" s="3635"/>
      <c r="P317" s="3635"/>
    </row>
    <row r="318" spans="1:16" ht="12" customHeight="1">
      <c r="A318" s="3875"/>
      <c r="B318" s="796" t="s">
        <v>20</v>
      </c>
      <c r="C318" s="40"/>
      <c r="D318" s="2778">
        <f>+D321+D319</f>
        <v>0</v>
      </c>
      <c r="E318" s="3075">
        <f t="shared" ref="E318" si="207">+E321+E319</f>
        <v>0</v>
      </c>
      <c r="F318" s="2778">
        <f t="shared" ref="F318:J318" si="208">+F321+F319</f>
        <v>0</v>
      </c>
      <c r="G318" s="2778">
        <f t="shared" si="208"/>
        <v>0</v>
      </c>
      <c r="H318" s="2778">
        <f t="shared" si="208"/>
        <v>0</v>
      </c>
      <c r="I318" s="2778">
        <f t="shared" si="208"/>
        <v>0</v>
      </c>
      <c r="J318" s="2778">
        <f t="shared" si="208"/>
        <v>0</v>
      </c>
      <c r="K318" s="1716">
        <f>+K321+K319</f>
        <v>0</v>
      </c>
      <c r="L318" s="1716">
        <f>+L321+L319</f>
        <v>0</v>
      </c>
      <c r="M318" s="3994" t="s">
        <v>21</v>
      </c>
      <c r="N318" s="3938" t="s">
        <v>90</v>
      </c>
      <c r="O318" s="3635"/>
      <c r="P318" s="3635"/>
    </row>
    <row r="319" spans="1:16" ht="13.5" hidden="1" customHeight="1">
      <c r="A319" s="3875"/>
      <c r="B319" s="805" t="s">
        <v>22</v>
      </c>
      <c r="C319" s="3859" t="s">
        <v>174</v>
      </c>
      <c r="D319" s="3076">
        <f>+D320</f>
        <v>0</v>
      </c>
      <c r="E319" s="3077">
        <f t="shared" ref="E319" si="209">+E320</f>
        <v>0</v>
      </c>
      <c r="F319" s="3076"/>
      <c r="G319" s="3076"/>
      <c r="H319" s="3076"/>
      <c r="I319" s="3076"/>
      <c r="J319" s="3076"/>
      <c r="K319" s="3027"/>
      <c r="L319" s="3027"/>
      <c r="M319" s="3995"/>
      <c r="N319" s="3939"/>
      <c r="O319" s="3635"/>
      <c r="P319" s="3635"/>
    </row>
    <row r="320" spans="1:16" ht="12.75" hidden="1" customHeight="1">
      <c r="A320" s="3875"/>
      <c r="B320" s="3029" t="s">
        <v>14</v>
      </c>
      <c r="C320" s="3908"/>
      <c r="D320" s="2431">
        <f>E320+L320+K320+F320+G320+H320+I320+J320</f>
        <v>0</v>
      </c>
      <c r="E320" s="3078">
        <v>0</v>
      </c>
      <c r="F320" s="3079"/>
      <c r="G320" s="3079"/>
      <c r="H320" s="3079"/>
      <c r="I320" s="3079"/>
      <c r="J320" s="3079"/>
      <c r="K320" s="3080"/>
      <c r="L320" s="3080"/>
      <c r="M320" s="3995"/>
      <c r="N320" s="3939"/>
      <c r="O320" s="3635"/>
      <c r="P320" s="3635"/>
    </row>
    <row r="321" spans="1:16" ht="12" customHeight="1">
      <c r="A321" s="3875"/>
      <c r="B321" s="823" t="s">
        <v>17</v>
      </c>
      <c r="C321" s="3908"/>
      <c r="D321" s="809">
        <f t="shared" ref="D321:J321" si="210">+D322</f>
        <v>0</v>
      </c>
      <c r="E321" s="3071">
        <f t="shared" si="210"/>
        <v>0</v>
      </c>
      <c r="F321" s="3081">
        <f t="shared" si="210"/>
        <v>0</v>
      </c>
      <c r="G321" s="3081">
        <f t="shared" si="210"/>
        <v>0</v>
      </c>
      <c r="H321" s="3081">
        <f t="shared" si="210"/>
        <v>0</v>
      </c>
      <c r="I321" s="3081">
        <f t="shared" si="210"/>
        <v>0</v>
      </c>
      <c r="J321" s="3081">
        <f t="shared" si="210"/>
        <v>0</v>
      </c>
      <c r="K321" s="3082">
        <f>+K322</f>
        <v>0</v>
      </c>
      <c r="L321" s="3082">
        <f>+L322</f>
        <v>0</v>
      </c>
      <c r="M321" s="3995"/>
      <c r="N321" s="3939"/>
      <c r="O321" s="3635"/>
      <c r="P321" s="3635"/>
    </row>
    <row r="322" spans="1:16" ht="13.5" customHeight="1" thickBot="1">
      <c r="A322" s="3876"/>
      <c r="B322" s="441" t="s">
        <v>19</v>
      </c>
      <c r="C322" s="3909"/>
      <c r="D322" s="3083">
        <f>E322+L322+K322+F322+G322+H322+I322+J322</f>
        <v>0</v>
      </c>
      <c r="E322" s="3084">
        <v>0</v>
      </c>
      <c r="F322" s="3085">
        <f>273938-273938</f>
        <v>0</v>
      </c>
      <c r="G322" s="3086">
        <v>0</v>
      </c>
      <c r="H322" s="3086">
        <v>0</v>
      </c>
      <c r="I322" s="3086">
        <v>0</v>
      </c>
      <c r="J322" s="3086">
        <v>0</v>
      </c>
      <c r="K322" s="3087">
        <f>914089-162052-752037</f>
        <v>0</v>
      </c>
      <c r="L322" s="3087">
        <f>1900090-569500-416501-914089</f>
        <v>0</v>
      </c>
      <c r="M322" s="3996"/>
      <c r="N322" s="3940"/>
      <c r="O322" s="3635"/>
      <c r="P322" s="3635"/>
    </row>
    <row r="323" spans="1:16" ht="29.25" hidden="1" customHeight="1">
      <c r="A323" s="3873"/>
      <c r="B323" s="32" t="s">
        <v>573</v>
      </c>
      <c r="C323" s="25" t="s">
        <v>70</v>
      </c>
      <c r="D323" s="3088"/>
      <c r="E323" s="3089"/>
      <c r="F323" s="3089"/>
      <c r="G323" s="3089"/>
      <c r="H323" s="2955"/>
      <c r="I323" s="2955"/>
      <c r="J323" s="2955"/>
      <c r="K323" s="3089"/>
      <c r="L323" s="3089"/>
      <c r="M323" s="22"/>
      <c r="N323" s="3901" t="s">
        <v>90</v>
      </c>
      <c r="O323" s="3635" t="s">
        <v>243</v>
      </c>
      <c r="P323" s="3635"/>
    </row>
    <row r="324" spans="1:16" ht="13.5" hidden="1" customHeight="1">
      <c r="A324" s="3874"/>
      <c r="B324" s="339" t="s">
        <v>9</v>
      </c>
      <c r="C324" s="386"/>
      <c r="D324" s="368">
        <f t="shared" ref="D324" si="211">+D325+D328</f>
        <v>0</v>
      </c>
      <c r="E324" s="375">
        <v>0</v>
      </c>
      <c r="F324" s="369"/>
      <c r="G324" s="369"/>
      <c r="H324" s="369"/>
      <c r="I324" s="369"/>
      <c r="J324" s="369"/>
      <c r="K324" s="369"/>
      <c r="L324" s="369">
        <f>+L325+L328</f>
        <v>0</v>
      </c>
      <c r="M324" s="3090">
        <f>M325+M328</f>
        <v>0</v>
      </c>
      <c r="N324" s="3868"/>
      <c r="O324" s="3636"/>
      <c r="P324" s="3635"/>
    </row>
    <row r="325" spans="1:16" ht="14.25" hidden="1" customHeight="1">
      <c r="A325" s="3874"/>
      <c r="B325" s="3091" t="s">
        <v>22</v>
      </c>
      <c r="C325" s="3930" t="s">
        <v>87</v>
      </c>
      <c r="D325" s="3092">
        <f t="shared" ref="D325" si="212">+D326+D327</f>
        <v>0</v>
      </c>
      <c r="E325" s="351">
        <v>0</v>
      </c>
      <c r="F325" s="3092"/>
      <c r="G325" s="3092"/>
      <c r="H325" s="3092"/>
      <c r="I325" s="3092"/>
      <c r="J325" s="3092"/>
      <c r="K325" s="3092"/>
      <c r="L325" s="3092">
        <f>+L326+L327</f>
        <v>0</v>
      </c>
      <c r="M325" s="330">
        <f>+M326+M327</f>
        <v>0</v>
      </c>
      <c r="N325" s="3868"/>
      <c r="O325" s="3636"/>
      <c r="P325" s="3635"/>
    </row>
    <row r="326" spans="1:16" ht="12.75" hidden="1" customHeight="1">
      <c r="A326" s="3874"/>
      <c r="B326" s="649" t="s">
        <v>11</v>
      </c>
      <c r="C326" s="3921"/>
      <c r="D326" s="468">
        <f>SUM(E326:J326)</f>
        <v>0</v>
      </c>
      <c r="E326" s="346"/>
      <c r="F326" s="3093"/>
      <c r="G326" s="3093"/>
      <c r="H326" s="3093"/>
      <c r="I326" s="3093"/>
      <c r="J326" s="3093"/>
      <c r="K326" s="3093"/>
      <c r="L326" s="3093"/>
      <c r="M326" s="3094"/>
      <c r="N326" s="3868"/>
      <c r="O326" s="3635"/>
      <c r="P326" s="3635"/>
    </row>
    <row r="327" spans="1:16" ht="11.25" hidden="1" customHeight="1">
      <c r="A327" s="3874"/>
      <c r="B327" s="302" t="s">
        <v>94</v>
      </c>
      <c r="C327" s="3921"/>
      <c r="D327" s="124">
        <f>E327+L327+K327+F327+G327+H327+I327+J327</f>
        <v>0</v>
      </c>
      <c r="E327" s="346">
        <v>0</v>
      </c>
      <c r="F327" s="3093"/>
      <c r="G327" s="3095"/>
      <c r="H327" s="3093"/>
      <c r="I327" s="3093"/>
      <c r="J327" s="3093"/>
      <c r="K327" s="3093"/>
      <c r="L327" s="3095">
        <f>5400000-5400000</f>
        <v>0</v>
      </c>
      <c r="M327" s="3056">
        <f>SUM(F327:J327)</f>
        <v>0</v>
      </c>
      <c r="N327" s="3868"/>
      <c r="O327" s="3635"/>
      <c r="P327" s="3635"/>
    </row>
    <row r="328" spans="1:16" ht="11.25" hidden="1" customHeight="1">
      <c r="A328" s="3874"/>
      <c r="B328" s="3096" t="s">
        <v>17</v>
      </c>
      <c r="C328" s="3921"/>
      <c r="D328" s="331">
        <f t="shared" ref="D328" si="213">+D329</f>
        <v>0</v>
      </c>
      <c r="E328" s="475">
        <v>0</v>
      </c>
      <c r="F328" s="469"/>
      <c r="G328" s="469"/>
      <c r="H328" s="469"/>
      <c r="I328" s="469"/>
      <c r="J328" s="469"/>
      <c r="K328" s="469"/>
      <c r="L328" s="469">
        <f>+L329</f>
        <v>0</v>
      </c>
      <c r="M328" s="330">
        <f>M329</f>
        <v>0</v>
      </c>
      <c r="N328" s="3868"/>
      <c r="O328" s="3635"/>
      <c r="P328" s="3635"/>
    </row>
    <row r="329" spans="1:16" ht="13.5" hidden="1" customHeight="1">
      <c r="A329" s="3874"/>
      <c r="B329" s="3097" t="s">
        <v>19</v>
      </c>
      <c r="C329" s="3922"/>
      <c r="D329" s="124">
        <f>E329+L329+K329+F329+G329+H329+I329+J329</f>
        <v>0</v>
      </c>
      <c r="E329" s="346">
        <v>0</v>
      </c>
      <c r="F329" s="372"/>
      <c r="G329" s="3093"/>
      <c r="H329" s="372"/>
      <c r="I329" s="372"/>
      <c r="J329" s="372"/>
      <c r="K329" s="3093"/>
      <c r="L329" s="3093">
        <f>30600000-30600000</f>
        <v>0</v>
      </c>
      <c r="M329" s="3056">
        <f>SUM(F329:J329)</f>
        <v>0</v>
      </c>
      <c r="N329" s="3868"/>
      <c r="O329" s="3635"/>
      <c r="P329" s="3635"/>
    </row>
    <row r="330" spans="1:16" ht="13.5" hidden="1" customHeight="1">
      <c r="A330" s="3875"/>
      <c r="B330" s="650" t="s">
        <v>20</v>
      </c>
      <c r="C330" s="40"/>
      <c r="D330" s="42">
        <f>+D333+D331</f>
        <v>0</v>
      </c>
      <c r="E330" s="1716">
        <v>0</v>
      </c>
      <c r="F330" s="42"/>
      <c r="G330" s="42"/>
      <c r="H330" s="42"/>
      <c r="I330" s="42"/>
      <c r="J330" s="42"/>
      <c r="K330" s="42"/>
      <c r="L330" s="42">
        <f t="shared" ref="L330" si="214">+L333+L331</f>
        <v>0</v>
      </c>
      <c r="M330" s="3991" t="s">
        <v>21</v>
      </c>
      <c r="N330" s="3868"/>
      <c r="O330" s="3635"/>
      <c r="P330" s="3635"/>
    </row>
    <row r="331" spans="1:16" ht="13.5" hidden="1" customHeight="1">
      <c r="A331" s="3875"/>
      <c r="B331" s="472" t="s">
        <v>22</v>
      </c>
      <c r="C331" s="3930" t="s">
        <v>242</v>
      </c>
      <c r="D331" s="3098">
        <f>D332</f>
        <v>0</v>
      </c>
      <c r="E331" s="3099">
        <v>0</v>
      </c>
      <c r="F331" s="3098"/>
      <c r="G331" s="3098"/>
      <c r="H331" s="3098"/>
      <c r="I331" s="3098"/>
      <c r="J331" s="3098"/>
      <c r="K331" s="3098"/>
      <c r="L331" s="3098">
        <f t="shared" ref="L331" si="215">L332</f>
        <v>0</v>
      </c>
      <c r="M331" s="3881"/>
      <c r="N331" s="3868"/>
      <c r="O331" s="3635"/>
      <c r="P331" s="3635"/>
    </row>
    <row r="332" spans="1:16" ht="13.5" hidden="1" customHeight="1">
      <c r="A332" s="3875"/>
      <c r="B332" s="302" t="s">
        <v>94</v>
      </c>
      <c r="C332" s="3908"/>
      <c r="D332" s="124">
        <f>E332+L332+K332+F332+G332+H332+I332+J332</f>
        <v>0</v>
      </c>
      <c r="E332" s="346">
        <v>0</v>
      </c>
      <c r="F332" s="3100"/>
      <c r="G332" s="3100"/>
      <c r="H332" s="3098"/>
      <c r="I332" s="3098"/>
      <c r="J332" s="3098"/>
      <c r="K332" s="3098"/>
      <c r="L332" s="3100">
        <v>0</v>
      </c>
      <c r="M332" s="3881"/>
      <c r="N332" s="3868"/>
      <c r="O332" s="3635"/>
      <c r="P332" s="3635"/>
    </row>
    <row r="333" spans="1:16" ht="12" hidden="1" customHeight="1">
      <c r="A333" s="3875"/>
      <c r="B333" s="347" t="s">
        <v>17</v>
      </c>
      <c r="C333" s="3908"/>
      <c r="D333" s="331">
        <f>+D334</f>
        <v>0</v>
      </c>
      <c r="E333" s="475">
        <v>0</v>
      </c>
      <c r="F333" s="469"/>
      <c r="G333" s="469"/>
      <c r="H333" s="469"/>
      <c r="I333" s="469"/>
      <c r="J333" s="469"/>
      <c r="K333" s="469"/>
      <c r="L333" s="469">
        <f t="shared" ref="L333" si="216">+L334</f>
        <v>0</v>
      </c>
      <c r="M333" s="3881"/>
      <c r="N333" s="3868"/>
      <c r="O333" s="3635"/>
      <c r="P333" s="3635"/>
    </row>
    <row r="334" spans="1:16" ht="13.5" hidden="1" customHeight="1" thickBot="1">
      <c r="A334" s="3876"/>
      <c r="B334" s="473" t="s">
        <v>19</v>
      </c>
      <c r="C334" s="3909"/>
      <c r="D334" s="124">
        <f>E334+L334+K334+F334+G334+H334+I334+J334</f>
        <v>0</v>
      </c>
      <c r="E334" s="3101">
        <v>0</v>
      </c>
      <c r="F334" s="2976"/>
      <c r="G334" s="2976"/>
      <c r="H334" s="2976"/>
      <c r="I334" s="2976"/>
      <c r="J334" s="2976"/>
      <c r="K334" s="2976"/>
      <c r="L334" s="2976">
        <f>30600000-30600000</f>
        <v>0</v>
      </c>
      <c r="M334" s="3882"/>
      <c r="N334" s="3869"/>
      <c r="O334" s="3635"/>
      <c r="P334" s="3635"/>
    </row>
    <row r="335" spans="1:16" ht="24.75" hidden="1" customHeight="1">
      <c r="A335" s="3873"/>
      <c r="B335" s="32"/>
      <c r="C335" s="25" t="s">
        <v>70</v>
      </c>
      <c r="D335" s="3102"/>
      <c r="E335" s="2972"/>
      <c r="F335" s="2972"/>
      <c r="G335" s="2972"/>
      <c r="H335" s="2972"/>
      <c r="I335" s="2972"/>
      <c r="J335" s="2973"/>
      <c r="K335" s="2972"/>
      <c r="L335" s="2972"/>
      <c r="M335" s="22"/>
      <c r="N335" s="3901" t="s">
        <v>90</v>
      </c>
      <c r="O335" s="3635"/>
      <c r="P335" s="3635"/>
    </row>
    <row r="336" spans="1:16" ht="13.5" hidden="1" customHeight="1">
      <c r="A336" s="3874"/>
      <c r="B336" s="478" t="s">
        <v>9</v>
      </c>
      <c r="C336" s="260"/>
      <c r="D336" s="377">
        <f t="shared" ref="D336" si="217">+D337+D341</f>
        <v>0</v>
      </c>
      <c r="E336" s="1092">
        <f>+E337+E341</f>
        <v>0</v>
      </c>
      <c r="F336" s="3103">
        <f>+F337+F341</f>
        <v>0</v>
      </c>
      <c r="G336" s="3103">
        <f>+G337+G341</f>
        <v>0</v>
      </c>
      <c r="H336" s="1092"/>
      <c r="I336" s="1092"/>
      <c r="J336" s="1092"/>
      <c r="K336" s="1092">
        <f>+K337+K341</f>
        <v>0</v>
      </c>
      <c r="L336" s="1092">
        <f>+L337+L341</f>
        <v>0</v>
      </c>
      <c r="M336" s="1088">
        <f>+M337+M341</f>
        <v>0</v>
      </c>
      <c r="N336" s="3868"/>
      <c r="O336" s="3635"/>
      <c r="P336" s="3636"/>
    </row>
    <row r="337" spans="1:16" ht="13.5" hidden="1" customHeight="1">
      <c r="A337" s="3874"/>
      <c r="B337" s="472" t="s">
        <v>22</v>
      </c>
      <c r="C337" s="3930" t="s">
        <v>87</v>
      </c>
      <c r="D337" s="3104">
        <f>+D338+D340+D339</f>
        <v>0</v>
      </c>
      <c r="E337" s="3104">
        <f t="shared" ref="E337" si="218">+E338+E340+E339</f>
        <v>0</v>
      </c>
      <c r="F337" s="3105">
        <f>+F338+F340+F339</f>
        <v>0</v>
      </c>
      <c r="G337" s="3105">
        <f>+G338+G340+G339</f>
        <v>0</v>
      </c>
      <c r="H337" s="3104"/>
      <c r="I337" s="3104"/>
      <c r="J337" s="3104"/>
      <c r="K337" s="3104">
        <f t="shared" ref="K337" si="219">+K338+K340+K339</f>
        <v>0</v>
      </c>
      <c r="L337" s="3104">
        <f>+L338+L340+L339</f>
        <v>0</v>
      </c>
      <c r="M337" s="330">
        <f>+M338+M340+M339</f>
        <v>0</v>
      </c>
      <c r="N337" s="3868"/>
      <c r="O337" s="3635"/>
      <c r="P337" s="3636"/>
    </row>
    <row r="338" spans="1:16" ht="13.5" hidden="1" thickBot="1">
      <c r="A338" s="3874"/>
      <c r="B338" s="3106" t="s">
        <v>11</v>
      </c>
      <c r="C338" s="3921"/>
      <c r="D338" s="468">
        <f>E338+L338+K338+F338+G338+H338+I338+J338</f>
        <v>0</v>
      </c>
      <c r="E338" s="372"/>
      <c r="F338" s="470">
        <v>0</v>
      </c>
      <c r="G338" s="3107">
        <v>0</v>
      </c>
      <c r="H338" s="372"/>
      <c r="I338" s="372"/>
      <c r="J338" s="372"/>
      <c r="K338" s="3108"/>
      <c r="L338" s="372">
        <v>0</v>
      </c>
      <c r="M338" s="3056">
        <f>SUM(F338:J338)</f>
        <v>0</v>
      </c>
      <c r="N338" s="3868"/>
      <c r="O338" s="3635"/>
      <c r="P338" s="3635"/>
    </row>
    <row r="339" spans="1:16" ht="12.75" hidden="1" customHeight="1">
      <c r="A339" s="3874"/>
      <c r="B339" s="302" t="s">
        <v>94</v>
      </c>
      <c r="C339" s="3921"/>
      <c r="D339" s="468">
        <f>E339+L339+K339+F339+G339+H339+I339+J339</f>
        <v>0</v>
      </c>
      <c r="E339" s="2139">
        <f>15546856-2076856-13470000</f>
        <v>0</v>
      </c>
      <c r="F339" s="3109">
        <v>0</v>
      </c>
      <c r="G339" s="3110">
        <f>2076000-2076000</f>
        <v>0</v>
      </c>
      <c r="H339" s="2139"/>
      <c r="I339" s="2139"/>
      <c r="J339" s="2139"/>
      <c r="K339" s="3111">
        <f>8419285+6619715-15039000</f>
        <v>0</v>
      </c>
      <c r="L339" s="2139">
        <f>15546856-2076856-13470000</f>
        <v>0</v>
      </c>
      <c r="M339" s="3056">
        <f>SUM(F339:J339)</f>
        <v>0</v>
      </c>
      <c r="N339" s="3868"/>
      <c r="O339" s="3635"/>
      <c r="P339" s="3635"/>
    </row>
    <row r="340" spans="1:16" ht="13.5" hidden="1" customHeight="1">
      <c r="A340" s="3874"/>
      <c r="B340" s="2974" t="s">
        <v>14</v>
      </c>
      <c r="C340" s="3921"/>
      <c r="D340" s="468">
        <f>SUM(E340:G340)</f>
        <v>0</v>
      </c>
      <c r="E340" s="2139">
        <v>0</v>
      </c>
      <c r="F340" s="3109"/>
      <c r="G340" s="3109"/>
      <c r="H340" s="2139"/>
      <c r="I340" s="2139"/>
      <c r="J340" s="2139"/>
      <c r="K340" s="2139">
        <v>0</v>
      </c>
      <c r="L340" s="2139">
        <v>0</v>
      </c>
      <c r="M340" s="2961"/>
      <c r="N340" s="3868"/>
      <c r="O340" s="3635"/>
      <c r="P340" s="3635"/>
    </row>
    <row r="341" spans="1:16" ht="13.5" hidden="1" customHeight="1">
      <c r="A341" s="3874"/>
      <c r="B341" s="3112" t="s">
        <v>17</v>
      </c>
      <c r="C341" s="3921"/>
      <c r="D341" s="331">
        <f>+D342</f>
        <v>0</v>
      </c>
      <c r="E341" s="2140">
        <f t="shared" ref="E341:M341" si="220">+E342</f>
        <v>0</v>
      </c>
      <c r="F341" s="3113">
        <f t="shared" si="220"/>
        <v>0</v>
      </c>
      <c r="G341" s="3113">
        <f t="shared" si="220"/>
        <v>0</v>
      </c>
      <c r="H341" s="2140"/>
      <c r="I341" s="2140"/>
      <c r="J341" s="2140"/>
      <c r="K341" s="2140">
        <f>+K342</f>
        <v>0</v>
      </c>
      <c r="L341" s="2140">
        <f>+L342</f>
        <v>0</v>
      </c>
      <c r="M341" s="330">
        <f t="shared" si="220"/>
        <v>0</v>
      </c>
      <c r="N341" s="3868"/>
      <c r="O341" s="3635"/>
      <c r="P341" s="3635"/>
    </row>
    <row r="342" spans="1:16" ht="13.5" hidden="1" thickBot="1">
      <c r="A342" s="3874"/>
      <c r="B342" s="348" t="s">
        <v>19</v>
      </c>
      <c r="C342" s="3922"/>
      <c r="D342" s="468">
        <f>E342+L342+K342+F342+G342+H342+I342+J342</f>
        <v>0</v>
      </c>
      <c r="E342" s="2139"/>
      <c r="F342" s="3109">
        <v>0</v>
      </c>
      <c r="G342" s="3109">
        <f>11764000-11764000</f>
        <v>0</v>
      </c>
      <c r="H342" s="2139"/>
      <c r="I342" s="2139"/>
      <c r="J342" s="2139"/>
      <c r="K342" s="2139"/>
      <c r="L342" s="2139">
        <v>0</v>
      </c>
      <c r="M342" s="3056">
        <f>SUM(F342:J342)</f>
        <v>0</v>
      </c>
      <c r="N342" s="3868"/>
      <c r="O342" s="3635"/>
      <c r="P342" s="3635"/>
    </row>
    <row r="343" spans="1:16" ht="13.5" hidden="1" customHeight="1">
      <c r="A343" s="3875"/>
      <c r="B343" s="478" t="s">
        <v>20</v>
      </c>
      <c r="C343" s="260"/>
      <c r="D343" s="368">
        <f>+D344+D347</f>
        <v>0</v>
      </c>
      <c r="E343" s="1093">
        <f t="shared" ref="E343" si="221">+E344+E347</f>
        <v>0</v>
      </c>
      <c r="F343" s="3114">
        <f t="shared" ref="F343:G343" si="222">+F344+F347</f>
        <v>0</v>
      </c>
      <c r="G343" s="3114">
        <f t="shared" si="222"/>
        <v>0</v>
      </c>
      <c r="H343" s="1093"/>
      <c r="I343" s="1093"/>
      <c r="J343" s="1093"/>
      <c r="K343" s="1093">
        <f>+K344+K347</f>
        <v>0</v>
      </c>
      <c r="L343" s="1093">
        <f>+L344+L347</f>
        <v>0</v>
      </c>
      <c r="M343" s="3115"/>
      <c r="N343" s="3868"/>
      <c r="O343" s="3635"/>
      <c r="P343" s="3635"/>
    </row>
    <row r="344" spans="1:16" ht="13.5" hidden="1" thickBot="1">
      <c r="A344" s="3875"/>
      <c r="B344" s="472" t="s">
        <v>22</v>
      </c>
      <c r="C344" s="3931" t="s">
        <v>291</v>
      </c>
      <c r="D344" s="2975">
        <f>+D346+D345</f>
        <v>0</v>
      </c>
      <c r="E344" s="2975">
        <f t="shared" ref="E344" si="223">+E346+E345</f>
        <v>0</v>
      </c>
      <c r="F344" s="3027">
        <f>+F346+F345</f>
        <v>0</v>
      </c>
      <c r="G344" s="3027">
        <f>+G346+G345</f>
        <v>0</v>
      </c>
      <c r="H344" s="2975"/>
      <c r="I344" s="2975"/>
      <c r="J344" s="2975"/>
      <c r="K344" s="2975">
        <f t="shared" ref="K344" si="224">+K346+K345</f>
        <v>0</v>
      </c>
      <c r="L344" s="2975">
        <f>+L346+L345</f>
        <v>0</v>
      </c>
      <c r="M344" s="3608"/>
      <c r="N344" s="3868"/>
      <c r="O344" s="3635"/>
      <c r="P344" s="3635"/>
    </row>
    <row r="345" spans="1:16" ht="13.5" hidden="1" customHeight="1">
      <c r="A345" s="3875"/>
      <c r="B345" s="302" t="s">
        <v>94</v>
      </c>
      <c r="C345" s="3932"/>
      <c r="D345" s="468">
        <f>E345+L345+K345+F345+G345+H345+I345+J345</f>
        <v>0</v>
      </c>
      <c r="E345" s="3010">
        <f>8419285-8419285</f>
        <v>0</v>
      </c>
      <c r="F345" s="3116">
        <v>0</v>
      </c>
      <c r="G345" s="3027">
        <v>0</v>
      </c>
      <c r="H345" s="2975"/>
      <c r="I345" s="2975"/>
      <c r="J345" s="2975"/>
      <c r="K345" s="3010">
        <f>8419285-8419285</f>
        <v>0</v>
      </c>
      <c r="L345" s="3010">
        <f>8419285-8419285</f>
        <v>0</v>
      </c>
      <c r="M345" s="3608"/>
      <c r="N345" s="3868"/>
      <c r="O345" s="3635"/>
      <c r="P345" s="3635"/>
    </row>
    <row r="346" spans="1:16" ht="12.75" hidden="1" customHeight="1">
      <c r="A346" s="3875"/>
      <c r="B346" s="2974" t="s">
        <v>14</v>
      </c>
      <c r="C346" s="3933"/>
      <c r="D346" s="468">
        <f>SUM(E346:G346)</f>
        <v>0</v>
      </c>
      <c r="E346" s="2984"/>
      <c r="F346" s="3117"/>
      <c r="G346" s="3117"/>
      <c r="H346" s="2984"/>
      <c r="I346" s="2984"/>
      <c r="J346" s="2984"/>
      <c r="K346" s="2984"/>
      <c r="L346" s="2984"/>
      <c r="M346" s="3608"/>
      <c r="N346" s="3868"/>
      <c r="O346" s="3635"/>
      <c r="P346" s="3635"/>
    </row>
    <row r="347" spans="1:16" ht="14.25" hidden="1" customHeight="1">
      <c r="A347" s="3875"/>
      <c r="B347" s="3112" t="s">
        <v>17</v>
      </c>
      <c r="C347" s="3933"/>
      <c r="D347" s="331">
        <f t="shared" ref="D347:G347" si="225">+D348</f>
        <v>0</v>
      </c>
      <c r="E347" s="2140">
        <f t="shared" si="225"/>
        <v>0</v>
      </c>
      <c r="F347" s="3113">
        <f t="shared" si="225"/>
        <v>0</v>
      </c>
      <c r="G347" s="3113">
        <f t="shared" si="225"/>
        <v>0</v>
      </c>
      <c r="H347" s="2140"/>
      <c r="I347" s="2140"/>
      <c r="J347" s="2140"/>
      <c r="K347" s="2140">
        <f>+K348</f>
        <v>0</v>
      </c>
      <c r="L347" s="2140">
        <f>+L348</f>
        <v>0</v>
      </c>
      <c r="M347" s="3608"/>
      <c r="N347" s="3868"/>
      <c r="O347" s="3635"/>
      <c r="P347" s="3635"/>
    </row>
    <row r="348" spans="1:16" ht="12.75" hidden="1" customHeight="1" thickBot="1">
      <c r="A348" s="3876"/>
      <c r="B348" s="473" t="s">
        <v>19</v>
      </c>
      <c r="C348" s="3934"/>
      <c r="D348" s="1041">
        <f>E348+L348+K348+F348+G348+H348+I348+J348</f>
        <v>0</v>
      </c>
      <c r="E348" s="2976"/>
      <c r="F348" s="3087">
        <v>0</v>
      </c>
      <c r="G348" s="3087">
        <f>11764000-11764000</f>
        <v>0</v>
      </c>
      <c r="H348" s="2976"/>
      <c r="I348" s="2976"/>
      <c r="J348" s="2976"/>
      <c r="K348" s="2976"/>
      <c r="L348" s="2976">
        <v>0</v>
      </c>
      <c r="M348" s="3609"/>
      <c r="N348" s="3869"/>
      <c r="O348" s="3635"/>
      <c r="P348" s="3635"/>
    </row>
    <row r="349" spans="1:16" ht="28.5" hidden="1" customHeight="1">
      <c r="A349" s="3873"/>
      <c r="B349" s="32"/>
      <c r="C349" s="25" t="s">
        <v>97</v>
      </c>
      <c r="D349" s="652"/>
      <c r="E349" s="1477"/>
      <c r="F349" s="1477"/>
      <c r="G349" s="1477"/>
      <c r="H349" s="1477"/>
      <c r="I349" s="1477"/>
      <c r="J349" s="21"/>
      <c r="K349" s="1477"/>
      <c r="L349" s="1477"/>
      <c r="M349" s="22"/>
      <c r="N349" s="3901" t="s">
        <v>90</v>
      </c>
      <c r="O349" s="3635"/>
      <c r="P349" s="3635"/>
    </row>
    <row r="350" spans="1:16" ht="12.75" hidden="1" customHeight="1">
      <c r="A350" s="3874"/>
      <c r="B350" s="478" t="s">
        <v>9</v>
      </c>
      <c r="C350" s="797"/>
      <c r="D350" s="3118">
        <f>+D351+D354</f>
        <v>0</v>
      </c>
      <c r="E350" s="3119">
        <f t="shared" ref="E350" si="226">+E351+E354</f>
        <v>0</v>
      </c>
      <c r="F350" s="3118"/>
      <c r="G350" s="3118"/>
      <c r="H350" s="3118"/>
      <c r="I350" s="3118"/>
      <c r="J350" s="3118"/>
      <c r="K350" s="3118">
        <f>+K351+K354</f>
        <v>0</v>
      </c>
      <c r="L350" s="3119">
        <f>+L351+L354</f>
        <v>0</v>
      </c>
      <c r="M350" s="1088">
        <f>M351+M354</f>
        <v>0</v>
      </c>
      <c r="N350" s="3868"/>
      <c r="O350" s="3635"/>
      <c r="P350" s="3635"/>
    </row>
    <row r="351" spans="1:16" ht="12.75" hidden="1" customHeight="1">
      <c r="A351" s="3874"/>
      <c r="B351" s="472" t="s">
        <v>22</v>
      </c>
      <c r="C351" s="3930" t="s">
        <v>87</v>
      </c>
      <c r="D351" s="3120">
        <f>+D352+D353</f>
        <v>0</v>
      </c>
      <c r="E351" s="1038">
        <f t="shared" ref="E351" si="227">+E352+E353</f>
        <v>0</v>
      </c>
      <c r="F351" s="3120"/>
      <c r="G351" s="3120"/>
      <c r="H351" s="3120"/>
      <c r="I351" s="3120"/>
      <c r="J351" s="3120"/>
      <c r="K351" s="3120">
        <f>+K352+K353</f>
        <v>0</v>
      </c>
      <c r="L351" s="1038">
        <f>+L352+L353</f>
        <v>0</v>
      </c>
      <c r="M351" s="330">
        <f>+M352+M353</f>
        <v>0</v>
      </c>
      <c r="N351" s="3868"/>
      <c r="O351" s="3635"/>
      <c r="P351" s="3635"/>
    </row>
    <row r="352" spans="1:16" ht="12.75" hidden="1" customHeight="1">
      <c r="A352" s="3874"/>
      <c r="B352" s="3121" t="s">
        <v>11</v>
      </c>
      <c r="C352" s="3921"/>
      <c r="D352" s="468">
        <f>E352+L352+K352+F352+G352+H352+I352+J352</f>
        <v>0</v>
      </c>
      <c r="E352" s="3122">
        <v>0</v>
      </c>
      <c r="F352" s="470"/>
      <c r="G352" s="470"/>
      <c r="H352" s="470"/>
      <c r="I352" s="470"/>
      <c r="J352" s="470"/>
      <c r="K352" s="468"/>
      <c r="L352" s="3122">
        <v>0</v>
      </c>
      <c r="M352" s="3056">
        <f>SUM(F352:J352)</f>
        <v>0</v>
      </c>
      <c r="N352" s="3868"/>
      <c r="O352" s="3635"/>
      <c r="P352" s="3635"/>
    </row>
    <row r="353" spans="1:16" ht="12.75" hidden="1" customHeight="1">
      <c r="A353" s="3874"/>
      <c r="B353" s="3123" t="s">
        <v>16</v>
      </c>
      <c r="C353" s="3921"/>
      <c r="D353" s="468">
        <f>E353+L353+K353+F353+G353+H353+I353+J353</f>
        <v>0</v>
      </c>
      <c r="E353" s="3122">
        <v>0</v>
      </c>
      <c r="F353" s="372"/>
      <c r="G353" s="372"/>
      <c r="H353" s="372"/>
      <c r="I353" s="372"/>
      <c r="J353" s="372"/>
      <c r="K353" s="468"/>
      <c r="L353" s="3122">
        <v>0</v>
      </c>
      <c r="M353" s="3056">
        <f>SUM(F353:J353)</f>
        <v>0</v>
      </c>
      <c r="N353" s="3868"/>
      <c r="O353" s="3635"/>
      <c r="P353" s="3635"/>
    </row>
    <row r="354" spans="1:16" ht="12.75" hidden="1" customHeight="1">
      <c r="A354" s="3874"/>
      <c r="B354" s="1226" t="s">
        <v>17</v>
      </c>
      <c r="C354" s="3921"/>
      <c r="D354" s="331">
        <f>+D355</f>
        <v>0</v>
      </c>
      <c r="E354" s="471">
        <f t="shared" ref="E354" si="228">+E355</f>
        <v>0</v>
      </c>
      <c r="F354" s="331"/>
      <c r="G354" s="331"/>
      <c r="H354" s="331"/>
      <c r="I354" s="331"/>
      <c r="J354" s="331"/>
      <c r="K354" s="331">
        <f>+K355</f>
        <v>0</v>
      </c>
      <c r="L354" s="471">
        <f>+L355</f>
        <v>0</v>
      </c>
      <c r="M354" s="330">
        <f>M355</f>
        <v>0</v>
      </c>
      <c r="N354" s="3868"/>
      <c r="O354" s="3635"/>
      <c r="P354" s="3635"/>
    </row>
    <row r="355" spans="1:16" ht="12.75" hidden="1" customHeight="1">
      <c r="A355" s="3874"/>
      <c r="B355" s="3124" t="s">
        <v>19</v>
      </c>
      <c r="C355" s="3921"/>
      <c r="D355" s="468">
        <f>E355+L355+K355+F355+G355+H355+I355+J355</f>
        <v>0</v>
      </c>
      <c r="E355" s="3125">
        <v>0</v>
      </c>
      <c r="F355" s="372"/>
      <c r="G355" s="372"/>
      <c r="H355" s="372"/>
      <c r="I355" s="372"/>
      <c r="J355" s="372"/>
      <c r="K355" s="1090"/>
      <c r="L355" s="3125">
        <v>0</v>
      </c>
      <c r="M355" s="3056">
        <f>SUM(F355:J355)</f>
        <v>0</v>
      </c>
      <c r="N355" s="3902"/>
      <c r="O355" s="3635"/>
      <c r="P355" s="3635"/>
    </row>
    <row r="356" spans="1:16" ht="12.75" hidden="1" customHeight="1">
      <c r="A356" s="3875"/>
      <c r="B356" s="1212" t="s">
        <v>20</v>
      </c>
      <c r="C356" s="797"/>
      <c r="D356" s="368">
        <f>+D359+D357</f>
        <v>0</v>
      </c>
      <c r="E356" s="387">
        <f t="shared" ref="E356" si="229">+E359+E357</f>
        <v>0</v>
      </c>
      <c r="F356" s="368"/>
      <c r="G356" s="368"/>
      <c r="H356" s="368"/>
      <c r="I356" s="368"/>
      <c r="J356" s="368"/>
      <c r="K356" s="368">
        <f>+K359+K357</f>
        <v>0</v>
      </c>
      <c r="L356" s="387">
        <f>+L359+L357</f>
        <v>0</v>
      </c>
      <c r="M356" s="3900" t="s">
        <v>21</v>
      </c>
      <c r="N356" s="3867" t="s">
        <v>373</v>
      </c>
      <c r="O356" s="3635"/>
      <c r="P356" s="3635"/>
    </row>
    <row r="357" spans="1:16" ht="12.75" hidden="1" customHeight="1">
      <c r="A357" s="3875"/>
      <c r="B357" s="472" t="s">
        <v>22</v>
      </c>
      <c r="C357" s="3930" t="s">
        <v>291</v>
      </c>
      <c r="D357" s="3126">
        <f>D358</f>
        <v>0</v>
      </c>
      <c r="E357" s="3127">
        <f t="shared" ref="E357" si="230">E358</f>
        <v>0</v>
      </c>
      <c r="F357" s="3126"/>
      <c r="G357" s="3126"/>
      <c r="H357" s="3126"/>
      <c r="I357" s="3126"/>
      <c r="J357" s="3126"/>
      <c r="K357" s="3126">
        <f>K358</f>
        <v>0</v>
      </c>
      <c r="L357" s="3127">
        <f>L358</f>
        <v>0</v>
      </c>
      <c r="M357" s="3865"/>
      <c r="N357" s="3868"/>
      <c r="O357" s="3635"/>
      <c r="P357" s="3635"/>
    </row>
    <row r="358" spans="1:16" ht="12.75" hidden="1" customHeight="1">
      <c r="A358" s="3875"/>
      <c r="B358" s="302" t="s">
        <v>16</v>
      </c>
      <c r="C358" s="3908"/>
      <c r="D358" s="1145">
        <f>E358+L358+K358+F358+G358+H358+I358+J358</f>
        <v>0</v>
      </c>
      <c r="E358" s="3125">
        <v>0</v>
      </c>
      <c r="F358" s="3126"/>
      <c r="G358" s="3126"/>
      <c r="H358" s="3126"/>
      <c r="I358" s="3126"/>
      <c r="J358" s="3126"/>
      <c r="K358" s="1145"/>
      <c r="L358" s="3125">
        <v>0</v>
      </c>
      <c r="M358" s="3865"/>
      <c r="N358" s="3868"/>
      <c r="O358" s="3635"/>
      <c r="P358" s="3635"/>
    </row>
    <row r="359" spans="1:16" ht="12.75" hidden="1" customHeight="1">
      <c r="A359" s="3875"/>
      <c r="B359" s="1226" t="s">
        <v>17</v>
      </c>
      <c r="C359" s="3908"/>
      <c r="D359" s="3128">
        <f>+D360</f>
        <v>0</v>
      </c>
      <c r="E359" s="3129">
        <f t="shared" ref="E359" si="231">+E360</f>
        <v>0</v>
      </c>
      <c r="F359" s="3092"/>
      <c r="G359" s="3092"/>
      <c r="H359" s="3092"/>
      <c r="I359" s="3092"/>
      <c r="J359" s="3092"/>
      <c r="K359" s="3128">
        <f>+K360</f>
        <v>0</v>
      </c>
      <c r="L359" s="3129">
        <f>+L360</f>
        <v>0</v>
      </c>
      <c r="M359" s="3865"/>
      <c r="N359" s="3868"/>
      <c r="O359" s="3635"/>
      <c r="P359" s="3635"/>
    </row>
    <row r="360" spans="1:16" ht="12.75" hidden="1" customHeight="1" thickBot="1">
      <c r="A360" s="3876"/>
      <c r="B360" s="187" t="s">
        <v>19</v>
      </c>
      <c r="C360" s="3909"/>
      <c r="D360" s="1142">
        <f>E360+L360+K360+F360+G360+H360+I360+J360</f>
        <v>0</v>
      </c>
      <c r="E360" s="1017">
        <v>0</v>
      </c>
      <c r="F360" s="2999"/>
      <c r="G360" s="2999"/>
      <c r="H360" s="2999"/>
      <c r="I360" s="2999"/>
      <c r="J360" s="2999"/>
      <c r="K360" s="1003"/>
      <c r="L360" s="1017">
        <v>0</v>
      </c>
      <c r="M360" s="3866"/>
      <c r="N360" s="3869"/>
      <c r="O360" s="3635"/>
      <c r="P360" s="3635"/>
    </row>
    <row r="361" spans="1:16">
      <c r="A361" s="4008" t="s">
        <v>179</v>
      </c>
      <c r="B361" s="3130" t="s">
        <v>382</v>
      </c>
      <c r="C361" s="3131"/>
      <c r="D361" s="3132"/>
      <c r="E361" s="3133"/>
      <c r="F361" s="3133"/>
      <c r="G361" s="3133"/>
      <c r="H361" s="3134"/>
      <c r="I361" s="3135"/>
      <c r="J361" s="3135"/>
      <c r="K361" s="3133"/>
      <c r="L361" s="3133"/>
      <c r="M361" s="3136"/>
      <c r="N361" s="3992"/>
      <c r="O361" s="3635"/>
      <c r="P361" s="3635"/>
    </row>
    <row r="362" spans="1:16" s="3138" customFormat="1">
      <c r="A362" s="4009"/>
      <c r="B362" s="478" t="s">
        <v>9</v>
      </c>
      <c r="C362" s="40"/>
      <c r="D362" s="45">
        <f>+D363+D366</f>
        <v>35604915</v>
      </c>
      <c r="E362" s="45">
        <f t="shared" ref="E362:M362" si="232">+E363+E366</f>
        <v>859228</v>
      </c>
      <c r="F362" s="45">
        <f t="shared" si="232"/>
        <v>19697649</v>
      </c>
      <c r="G362" s="45">
        <f t="shared" si="232"/>
        <v>15048038</v>
      </c>
      <c r="H362" s="2669">
        <f t="shared" si="232"/>
        <v>0</v>
      </c>
      <c r="I362" s="2669">
        <f t="shared" si="232"/>
        <v>0</v>
      </c>
      <c r="J362" s="2669">
        <f t="shared" si="232"/>
        <v>0</v>
      </c>
      <c r="K362" s="45">
        <f>+K363+K366</f>
        <v>0</v>
      </c>
      <c r="L362" s="45">
        <f>+L363+L366</f>
        <v>0</v>
      </c>
      <c r="M362" s="3137">
        <f t="shared" si="232"/>
        <v>34745687</v>
      </c>
      <c r="N362" s="3993"/>
      <c r="O362" s="3636">
        <f>E362+K362+F362+G362+H362+I362+J362-D362</f>
        <v>0</v>
      </c>
      <c r="P362" s="3642"/>
    </row>
    <row r="363" spans="1:16" s="3143" customFormat="1" ht="13.5" customHeight="1">
      <c r="A363" s="4009"/>
      <c r="B363" s="3139" t="s">
        <v>10</v>
      </c>
      <c r="C363" s="3140"/>
      <c r="D363" s="3141">
        <f>+D364+D365</f>
        <v>19037251</v>
      </c>
      <c r="E363" s="3141">
        <f>+E364+E365</f>
        <v>466140</v>
      </c>
      <c r="F363" s="3141">
        <f t="shared" ref="F363:J363" si="233">+F364</f>
        <v>9899996</v>
      </c>
      <c r="G363" s="3141">
        <f t="shared" si="233"/>
        <v>8671115</v>
      </c>
      <c r="H363" s="3142">
        <f t="shared" si="233"/>
        <v>0</v>
      </c>
      <c r="I363" s="3142">
        <f t="shared" si="233"/>
        <v>0</v>
      </c>
      <c r="J363" s="3142">
        <f t="shared" si="233"/>
        <v>0</v>
      </c>
      <c r="K363" s="3141">
        <f>+K364</f>
        <v>0</v>
      </c>
      <c r="L363" s="3141">
        <f>+L364</f>
        <v>0</v>
      </c>
      <c r="M363" s="330">
        <f>+M364</f>
        <v>18571111</v>
      </c>
      <c r="N363" s="3993"/>
      <c r="P363" s="3642"/>
    </row>
    <row r="364" spans="1:16" s="3138" customFormat="1" ht="11.25" customHeight="1">
      <c r="A364" s="4009"/>
      <c r="B364" s="2930" t="s">
        <v>11</v>
      </c>
      <c r="C364" s="2931"/>
      <c r="D364" s="3144">
        <f>++D379+D436++D388+D400+D409+D418+D427+D451</f>
        <v>18980248</v>
      </c>
      <c r="E364" s="3144">
        <f>+E379+E436++E388+E400+E409+E418+E427+E451</f>
        <v>409137</v>
      </c>
      <c r="F364" s="3144">
        <f t="shared" ref="F364:J364" si="234">+F379+F436++F388+F400+F409+F418+F427+F451</f>
        <v>9899996</v>
      </c>
      <c r="G364" s="3144">
        <f t="shared" si="234"/>
        <v>8671115</v>
      </c>
      <c r="H364" s="3145">
        <f t="shared" si="234"/>
        <v>0</v>
      </c>
      <c r="I364" s="3145">
        <f t="shared" si="234"/>
        <v>0</v>
      </c>
      <c r="J364" s="3145">
        <f t="shared" si="234"/>
        <v>0</v>
      </c>
      <c r="K364" s="3144">
        <f>+K379+K436++K388+K400+K409+K418+K427+K451</f>
        <v>0</v>
      </c>
      <c r="L364" s="3144">
        <f>+L379+L436++L388+L400+L409+L418+L427+L451</f>
        <v>0</v>
      </c>
      <c r="M364" s="3056">
        <f>SUM(F364:J364)</f>
        <v>18571111</v>
      </c>
      <c r="N364" s="3993"/>
      <c r="O364" s="3642"/>
      <c r="P364" s="3642"/>
    </row>
    <row r="365" spans="1:16" s="3138" customFormat="1" ht="11.25" customHeight="1">
      <c r="A365" s="4009"/>
      <c r="B365" s="2930" t="s">
        <v>14</v>
      </c>
      <c r="C365" s="2931"/>
      <c r="D365" s="3144">
        <f>+D389</f>
        <v>57003</v>
      </c>
      <c r="E365" s="3144">
        <f t="shared" ref="E365:J365" si="235">+E389</f>
        <v>57003</v>
      </c>
      <c r="F365" s="3145">
        <f t="shared" si="235"/>
        <v>0</v>
      </c>
      <c r="G365" s="3145">
        <f t="shared" si="235"/>
        <v>0</v>
      </c>
      <c r="H365" s="3145">
        <f t="shared" si="235"/>
        <v>0</v>
      </c>
      <c r="I365" s="3145">
        <f t="shared" si="235"/>
        <v>0</v>
      </c>
      <c r="J365" s="3145">
        <f t="shared" si="235"/>
        <v>0</v>
      </c>
      <c r="K365" s="3144">
        <f>+K389</f>
        <v>0</v>
      </c>
      <c r="L365" s="3144">
        <f>+L389</f>
        <v>0</v>
      </c>
      <c r="M365" s="3074">
        <f>SUM(F365:J365)</f>
        <v>0</v>
      </c>
      <c r="N365" s="3993"/>
      <c r="O365" s="3642"/>
      <c r="P365" s="3642"/>
    </row>
    <row r="366" spans="1:16" s="3143" customFormat="1" ht="13.5" customHeight="1">
      <c r="A366" s="4009"/>
      <c r="B366" s="3146" t="s">
        <v>89</v>
      </c>
      <c r="C366" s="3147"/>
      <c r="D366" s="3148">
        <f>+D367+D368</f>
        <v>16567664</v>
      </c>
      <c r="E366" s="3148">
        <f>+E367+E368</f>
        <v>393088</v>
      </c>
      <c r="F366" s="3148">
        <f t="shared" ref="F366:J366" si="236">+F367+F368</f>
        <v>9797653</v>
      </c>
      <c r="G366" s="3148">
        <f t="shared" si="236"/>
        <v>6376923</v>
      </c>
      <c r="H366" s="3149">
        <f t="shared" si="236"/>
        <v>0</v>
      </c>
      <c r="I366" s="3149">
        <f t="shared" si="236"/>
        <v>0</v>
      </c>
      <c r="J366" s="3149">
        <f t="shared" si="236"/>
        <v>0</v>
      </c>
      <c r="K366" s="3148">
        <f>+K367+K368</f>
        <v>0</v>
      </c>
      <c r="L366" s="3148">
        <f>+L367+L368</f>
        <v>0</v>
      </c>
      <c r="M366" s="330">
        <f>+M367+M368</f>
        <v>16174576</v>
      </c>
      <c r="N366" s="3993"/>
      <c r="P366" s="3642"/>
    </row>
    <row r="367" spans="1:16" s="3138" customFormat="1" ht="12.75" hidden="1" customHeight="1">
      <c r="A367" s="4009"/>
      <c r="B367" s="2930" t="s">
        <v>18</v>
      </c>
      <c r="C367" s="2931"/>
      <c r="D367" s="3144"/>
      <c r="E367" s="3144"/>
      <c r="F367" s="3144"/>
      <c r="G367" s="3144"/>
      <c r="H367" s="3145"/>
      <c r="I367" s="3145">
        <f>I441+I456</f>
        <v>0</v>
      </c>
      <c r="J367" s="3145">
        <f>J441+J456</f>
        <v>0</v>
      </c>
      <c r="K367" s="3144"/>
      <c r="L367" s="3144"/>
      <c r="M367" s="3056">
        <f>SUM(F367:J367)</f>
        <v>0</v>
      </c>
      <c r="N367" s="3993"/>
      <c r="O367" s="3642"/>
      <c r="P367" s="3642"/>
    </row>
    <row r="368" spans="1:16" s="3138" customFormat="1" ht="12.75" customHeight="1">
      <c r="A368" s="4009"/>
      <c r="B368" s="2930" t="s">
        <v>19</v>
      </c>
      <c r="C368" s="2931"/>
      <c r="D368" s="2914">
        <f>D381+D391+D420+D429+D441+D456</f>
        <v>16567664</v>
      </c>
      <c r="E368" s="2914">
        <f>E381+E391+E420+E429+E441+E456</f>
        <v>393088</v>
      </c>
      <c r="F368" s="2914">
        <f t="shared" ref="F368:J368" si="237">F381+F391+F420+F429+F441+F456</f>
        <v>9797653</v>
      </c>
      <c r="G368" s="2914">
        <f t="shared" si="237"/>
        <v>6376923</v>
      </c>
      <c r="H368" s="2915">
        <f t="shared" si="237"/>
        <v>0</v>
      </c>
      <c r="I368" s="2915">
        <f t="shared" si="237"/>
        <v>0</v>
      </c>
      <c r="J368" s="2915">
        <f t="shared" si="237"/>
        <v>0</v>
      </c>
      <c r="K368" s="2914">
        <f>K381+K391+K420+K429+K441+K456</f>
        <v>0</v>
      </c>
      <c r="L368" s="2914">
        <f>L381+L391+L420+L429+L441+L456</f>
        <v>0</v>
      </c>
      <c r="M368" s="3056">
        <f>SUM(F368:J368)</f>
        <v>16174576</v>
      </c>
      <c r="N368" s="3589"/>
      <c r="O368" s="3642"/>
      <c r="P368" s="3642"/>
    </row>
    <row r="369" spans="1:16" s="3138" customFormat="1">
      <c r="A369" s="4009"/>
      <c r="B369" s="336" t="s">
        <v>20</v>
      </c>
      <c r="C369" s="386"/>
      <c r="D369" s="3118">
        <f>+D372+D370</f>
        <v>16624667</v>
      </c>
      <c r="E369" s="3118">
        <f t="shared" ref="E369:J369" si="238">+E372+E370</f>
        <v>232002</v>
      </c>
      <c r="F369" s="3118">
        <f t="shared" si="238"/>
        <v>5152238</v>
      </c>
      <c r="G369" s="3118">
        <f t="shared" si="238"/>
        <v>6509864</v>
      </c>
      <c r="H369" s="3118">
        <f t="shared" si="238"/>
        <v>4730563</v>
      </c>
      <c r="I369" s="3150">
        <f t="shared" si="238"/>
        <v>0</v>
      </c>
      <c r="J369" s="3150">
        <f t="shared" si="238"/>
        <v>0</v>
      </c>
      <c r="K369" s="3118">
        <f>+K372+K370</f>
        <v>0</v>
      </c>
      <c r="L369" s="3118">
        <f>+L372+L370</f>
        <v>0</v>
      </c>
      <c r="M369" s="3935" t="s">
        <v>21</v>
      </c>
      <c r="N369" s="3151"/>
      <c r="O369" s="3642"/>
      <c r="P369" s="3643"/>
    </row>
    <row r="370" spans="1:16" s="3138" customFormat="1" ht="12" customHeight="1">
      <c r="A370" s="4009"/>
      <c r="B370" s="3139" t="s">
        <v>22</v>
      </c>
      <c r="C370" s="3140"/>
      <c r="D370" s="3141">
        <f>+D371</f>
        <v>57003</v>
      </c>
      <c r="E370" s="3141">
        <f t="shared" ref="E370:J370" si="239">+E371</f>
        <v>57003</v>
      </c>
      <c r="F370" s="3142">
        <f t="shared" si="239"/>
        <v>0</v>
      </c>
      <c r="G370" s="3142">
        <f t="shared" si="239"/>
        <v>0</v>
      </c>
      <c r="H370" s="3142">
        <f t="shared" si="239"/>
        <v>0</v>
      </c>
      <c r="I370" s="3142">
        <f t="shared" si="239"/>
        <v>0</v>
      </c>
      <c r="J370" s="3142">
        <f t="shared" si="239"/>
        <v>0</v>
      </c>
      <c r="K370" s="3141"/>
      <c r="L370" s="3141"/>
      <c r="M370" s="3936"/>
      <c r="N370" s="3151"/>
      <c r="O370" s="3642"/>
      <c r="P370" s="3643"/>
    </row>
    <row r="371" spans="1:16" s="3138" customFormat="1" ht="12" customHeight="1">
      <c r="A371" s="4009"/>
      <c r="B371" s="2930" t="s">
        <v>14</v>
      </c>
      <c r="C371" s="2931"/>
      <c r="D371" s="3144">
        <f>+D394</f>
        <v>57003</v>
      </c>
      <c r="E371" s="3144">
        <f>+E389</f>
        <v>57003</v>
      </c>
      <c r="F371" s="3145">
        <f t="shared" ref="F371:I371" si="240">+F389</f>
        <v>0</v>
      </c>
      <c r="G371" s="3145">
        <f t="shared" si="240"/>
        <v>0</v>
      </c>
      <c r="H371" s="3145">
        <f t="shared" si="240"/>
        <v>0</v>
      </c>
      <c r="I371" s="3145">
        <f t="shared" si="240"/>
        <v>0</v>
      </c>
      <c r="J371" s="3145">
        <f t="shared" ref="J371" si="241">+J394</f>
        <v>0</v>
      </c>
      <c r="K371" s="3144">
        <f>+K389</f>
        <v>0</v>
      </c>
      <c r="L371" s="3144">
        <f>+L389</f>
        <v>0</v>
      </c>
      <c r="M371" s="3936"/>
      <c r="N371" s="3151"/>
      <c r="O371" s="3642"/>
      <c r="P371" s="3643"/>
    </row>
    <row r="372" spans="1:16" s="3138" customFormat="1" ht="12.75" customHeight="1">
      <c r="A372" s="4009"/>
      <c r="B372" s="3152" t="s">
        <v>17</v>
      </c>
      <c r="C372" s="3153"/>
      <c r="D372" s="3154">
        <f t="shared" ref="D372:J372" si="242">+D373+D374</f>
        <v>16567664</v>
      </c>
      <c r="E372" s="3154">
        <f t="shared" si="242"/>
        <v>174999</v>
      </c>
      <c r="F372" s="3154">
        <f t="shared" si="242"/>
        <v>5152238</v>
      </c>
      <c r="G372" s="3154">
        <f t="shared" si="242"/>
        <v>6509864</v>
      </c>
      <c r="H372" s="3154">
        <f t="shared" si="242"/>
        <v>4730563</v>
      </c>
      <c r="I372" s="3155">
        <f t="shared" si="242"/>
        <v>0</v>
      </c>
      <c r="J372" s="3155">
        <f t="shared" si="242"/>
        <v>0</v>
      </c>
      <c r="K372" s="3154">
        <f>+K373+K374</f>
        <v>0</v>
      </c>
      <c r="L372" s="3154">
        <f>+L373+L374</f>
        <v>0</v>
      </c>
      <c r="M372" s="3936"/>
      <c r="N372" s="3589"/>
      <c r="O372" s="3642"/>
      <c r="P372" s="3643"/>
    </row>
    <row r="373" spans="1:16" s="3138" customFormat="1" ht="13.5" hidden="1" customHeight="1" thickBot="1">
      <c r="A373" s="4009"/>
      <c r="B373" s="3156" t="s">
        <v>18</v>
      </c>
      <c r="C373" s="3157"/>
      <c r="D373" s="3158"/>
      <c r="E373" s="3158"/>
      <c r="F373" s="3158"/>
      <c r="G373" s="3158"/>
      <c r="H373" s="3158">
        <f>H447+H462</f>
        <v>0</v>
      </c>
      <c r="I373" s="3159">
        <f>I447+I462</f>
        <v>0</v>
      </c>
      <c r="J373" s="3159">
        <f>J447+J462</f>
        <v>0</v>
      </c>
      <c r="K373" s="3158"/>
      <c r="L373" s="3158"/>
      <c r="M373" s="3936"/>
      <c r="N373" s="3589"/>
      <c r="O373" s="3642">
        <f>D373-D367</f>
        <v>0</v>
      </c>
      <c r="P373" s="3643"/>
    </row>
    <row r="374" spans="1:16" ht="12" customHeight="1" thickBot="1">
      <c r="A374" s="4010"/>
      <c r="B374" s="3160" t="s">
        <v>19</v>
      </c>
      <c r="C374" s="3161"/>
      <c r="D374" s="3162">
        <f>D384+D396+D423+D432+D447+D462</f>
        <v>16567664</v>
      </c>
      <c r="E374" s="3162">
        <f t="shared" ref="E374" si="243">E384+E396+E423+E432+E447+E462</f>
        <v>174999</v>
      </c>
      <c r="F374" s="3162">
        <f t="shared" ref="F374:J374" si="244">F384+F396+F423+F432+F447+F462</f>
        <v>5152238</v>
      </c>
      <c r="G374" s="3162">
        <f t="shared" si="244"/>
        <v>6509864</v>
      </c>
      <c r="H374" s="3162">
        <f t="shared" si="244"/>
        <v>4730563</v>
      </c>
      <c r="I374" s="3163">
        <f t="shared" si="244"/>
        <v>0</v>
      </c>
      <c r="J374" s="3163">
        <f t="shared" si="244"/>
        <v>0</v>
      </c>
      <c r="K374" s="3162">
        <f>K384+K396+K423+K432+K447+K462</f>
        <v>0</v>
      </c>
      <c r="L374" s="3162">
        <f>L384+L396+L423+L432+L447+L462</f>
        <v>0</v>
      </c>
      <c r="M374" s="3937"/>
      <c r="N374" s="3164"/>
      <c r="O374" s="3635"/>
      <c r="P374" s="3635"/>
    </row>
    <row r="375" spans="1:16" ht="15" customHeight="1" thickBot="1">
      <c r="A375" s="3644"/>
      <c r="B375" s="2944" t="s">
        <v>388</v>
      </c>
      <c r="C375" s="3585"/>
      <c r="D375" s="3165"/>
      <c r="E375" s="3166"/>
      <c r="F375" s="3166"/>
      <c r="G375" s="3166"/>
      <c r="H375" s="3166"/>
      <c r="I375" s="3166"/>
      <c r="J375" s="3167"/>
      <c r="K375" s="3166"/>
      <c r="L375" s="3168"/>
      <c r="M375" s="3169"/>
      <c r="N375" s="3584"/>
      <c r="O375" s="3635"/>
      <c r="P375" s="3635"/>
    </row>
    <row r="376" spans="1:16" ht="28.5" hidden="1" customHeight="1">
      <c r="A376" s="3873" t="s">
        <v>86</v>
      </c>
      <c r="B376" s="3059" t="s">
        <v>383</v>
      </c>
      <c r="C376" s="25" t="s">
        <v>70</v>
      </c>
      <c r="D376" s="3170"/>
      <c r="E376" s="1477"/>
      <c r="F376" s="1477"/>
      <c r="G376" s="1477"/>
      <c r="H376" s="1477"/>
      <c r="I376" s="1477"/>
      <c r="J376" s="21"/>
      <c r="K376" s="1477"/>
      <c r="L376" s="1477"/>
      <c r="M376" s="2968"/>
      <c r="N376" s="3898" t="s">
        <v>75</v>
      </c>
      <c r="O376" s="3635"/>
      <c r="P376" s="3635"/>
    </row>
    <row r="377" spans="1:16" ht="13.5" hidden="1" thickBot="1">
      <c r="A377" s="3874"/>
      <c r="B377" s="336" t="s">
        <v>9</v>
      </c>
      <c r="C377" s="797"/>
      <c r="D377" s="3171">
        <f>+D378+D380</f>
        <v>0</v>
      </c>
      <c r="E377" s="3171">
        <f t="shared" ref="E377" si="245">+E378+E380</f>
        <v>0</v>
      </c>
      <c r="F377" s="3171"/>
      <c r="G377" s="3171"/>
      <c r="H377" s="3171"/>
      <c r="I377" s="3171"/>
      <c r="J377" s="3171"/>
      <c r="K377" s="3171">
        <f>+K378+K380</f>
        <v>0</v>
      </c>
      <c r="L377" s="3171">
        <f>+L378+L380</f>
        <v>0</v>
      </c>
      <c r="M377" s="799">
        <f>+M378+M380</f>
        <v>0</v>
      </c>
      <c r="N377" s="3857"/>
      <c r="O377" s="3636"/>
      <c r="P377" s="3635"/>
    </row>
    <row r="378" spans="1:16" ht="13.5" hidden="1" thickBot="1">
      <c r="A378" s="3874"/>
      <c r="B378" s="326" t="s">
        <v>22</v>
      </c>
      <c r="C378" s="3859" t="s">
        <v>73</v>
      </c>
      <c r="D378" s="3172">
        <f>+D379</f>
        <v>0</v>
      </c>
      <c r="E378" s="3172">
        <f t="shared" ref="E378" si="246">+E379</f>
        <v>0</v>
      </c>
      <c r="F378" s="3172"/>
      <c r="G378" s="3172"/>
      <c r="H378" s="3172"/>
      <c r="I378" s="3172"/>
      <c r="J378" s="3172"/>
      <c r="K378" s="3172">
        <f>+K379</f>
        <v>0</v>
      </c>
      <c r="L378" s="3172">
        <f>+L379</f>
        <v>0</v>
      </c>
      <c r="M378" s="802">
        <f>+M379</f>
        <v>0</v>
      </c>
      <c r="N378" s="3857"/>
      <c r="O378" s="3635"/>
      <c r="P378" s="3635"/>
    </row>
    <row r="379" spans="1:16" ht="13.5" hidden="1" thickBot="1">
      <c r="A379" s="3874"/>
      <c r="B379" s="474" t="s">
        <v>11</v>
      </c>
      <c r="C379" s="3885"/>
      <c r="D379" s="766"/>
      <c r="E379" s="787"/>
      <c r="F379" s="2959"/>
      <c r="G379" s="2959"/>
      <c r="H379" s="2959"/>
      <c r="I379" s="2959"/>
      <c r="J379" s="2959"/>
      <c r="K379" s="2959"/>
      <c r="L379" s="2959">
        <v>0</v>
      </c>
      <c r="M379" s="3056">
        <f>SUM(F379:J379)</f>
        <v>0</v>
      </c>
      <c r="N379" s="3857"/>
      <c r="O379" s="3635"/>
      <c r="P379" s="3635"/>
    </row>
    <row r="380" spans="1:16" ht="13.5" hidden="1" thickBot="1">
      <c r="A380" s="3874"/>
      <c r="B380" s="3057" t="s">
        <v>17</v>
      </c>
      <c r="C380" s="3885"/>
      <c r="D380" s="801">
        <f>+D381</f>
        <v>0</v>
      </c>
      <c r="E380" s="801">
        <f t="shared" ref="E380" si="247">+E381</f>
        <v>0</v>
      </c>
      <c r="F380" s="801"/>
      <c r="G380" s="801"/>
      <c r="H380" s="801"/>
      <c r="I380" s="801"/>
      <c r="J380" s="801"/>
      <c r="K380" s="801">
        <f>+K381</f>
        <v>0</v>
      </c>
      <c r="L380" s="801">
        <f>+L381</f>
        <v>0</v>
      </c>
      <c r="M380" s="802">
        <f>+M381</f>
        <v>0</v>
      </c>
      <c r="N380" s="3857"/>
      <c r="O380" s="3635"/>
      <c r="P380" s="3635"/>
    </row>
    <row r="381" spans="1:16" ht="13.5" hidden="1" thickBot="1">
      <c r="A381" s="3874"/>
      <c r="B381" s="3030" t="s">
        <v>19</v>
      </c>
      <c r="C381" s="3886"/>
      <c r="D381" s="766"/>
      <c r="E381" s="2959"/>
      <c r="F381" s="2959"/>
      <c r="G381" s="2959"/>
      <c r="H381" s="2959"/>
      <c r="I381" s="2959"/>
      <c r="J381" s="2959"/>
      <c r="K381" s="2959"/>
      <c r="L381" s="2959">
        <v>0</v>
      </c>
      <c r="M381" s="3056">
        <f>SUM(F381:J381)</f>
        <v>0</v>
      </c>
      <c r="N381" s="3899"/>
      <c r="O381" s="3636"/>
      <c r="P381" s="3635"/>
    </row>
    <row r="382" spans="1:16" ht="13.5" hidden="1" thickBot="1">
      <c r="A382" s="3875"/>
      <c r="B382" s="336" t="s">
        <v>20</v>
      </c>
      <c r="C382" s="797"/>
      <c r="D382" s="798">
        <f>+D383</f>
        <v>0</v>
      </c>
      <c r="E382" s="1011">
        <f t="shared" ref="E382:F383" si="248">+E383</f>
        <v>0</v>
      </c>
      <c r="F382" s="798">
        <f t="shared" si="248"/>
        <v>0</v>
      </c>
      <c r="G382" s="798"/>
      <c r="H382" s="798"/>
      <c r="I382" s="798"/>
      <c r="J382" s="798"/>
      <c r="K382" s="798">
        <f>+K383</f>
        <v>0</v>
      </c>
      <c r="L382" s="1011">
        <f>+L383</f>
        <v>0</v>
      </c>
      <c r="M382" s="3864" t="s">
        <v>21</v>
      </c>
      <c r="N382" s="3867" t="s">
        <v>90</v>
      </c>
      <c r="O382" s="3636"/>
      <c r="P382" s="3635"/>
    </row>
    <row r="383" spans="1:16" s="2951" customFormat="1" ht="12.75" hidden="1" customHeight="1">
      <c r="A383" s="3875"/>
      <c r="B383" s="3057" t="s">
        <v>17</v>
      </c>
      <c r="C383" s="3859" t="s">
        <v>73</v>
      </c>
      <c r="D383" s="816">
        <f>+D384</f>
        <v>0</v>
      </c>
      <c r="E383" s="3173">
        <v>0</v>
      </c>
      <c r="F383" s="2998">
        <f t="shared" si="248"/>
        <v>0</v>
      </c>
      <c r="G383" s="816"/>
      <c r="H383" s="816"/>
      <c r="I383" s="816"/>
      <c r="J383" s="816"/>
      <c r="K383" s="2998">
        <f>+K384</f>
        <v>0</v>
      </c>
      <c r="L383" s="3173">
        <f>+L384</f>
        <v>0</v>
      </c>
      <c r="M383" s="3865"/>
      <c r="N383" s="3868"/>
      <c r="O383" s="3638"/>
      <c r="P383" s="3638"/>
    </row>
    <row r="384" spans="1:16" ht="12" hidden="1" customHeight="1" thickBot="1">
      <c r="A384" s="3876"/>
      <c r="B384" s="441" t="s">
        <v>19</v>
      </c>
      <c r="C384" s="3929"/>
      <c r="D384" s="856">
        <f>E384+L384+K384+F384+G384+H384+I384+J384</f>
        <v>0</v>
      </c>
      <c r="E384" s="3058"/>
      <c r="F384" s="1014"/>
      <c r="G384" s="1014"/>
      <c r="H384" s="1014"/>
      <c r="I384" s="1014"/>
      <c r="J384" s="1014"/>
      <c r="K384" s="1014"/>
      <c r="L384" s="1015">
        <v>0</v>
      </c>
      <c r="M384" s="3866"/>
      <c r="N384" s="3869"/>
      <c r="O384" s="3635"/>
      <c r="P384" s="3635"/>
    </row>
    <row r="385" spans="1:16" ht="24">
      <c r="A385" s="3873" t="s">
        <v>82</v>
      </c>
      <c r="B385" s="3059" t="s">
        <v>501</v>
      </c>
      <c r="C385" s="25" t="s">
        <v>70</v>
      </c>
      <c r="D385" s="3170"/>
      <c r="E385" s="1477"/>
      <c r="F385" s="1477"/>
      <c r="G385" s="1477"/>
      <c r="H385" s="1477"/>
      <c r="I385" s="1477"/>
      <c r="J385" s="21"/>
      <c r="K385" s="3050"/>
      <c r="L385" s="1477"/>
      <c r="M385" s="2968"/>
      <c r="N385" s="3898" t="s">
        <v>75</v>
      </c>
      <c r="O385" s="3635"/>
      <c r="P385" s="3635"/>
    </row>
    <row r="386" spans="1:16">
      <c r="A386" s="3874"/>
      <c r="B386" s="336" t="s">
        <v>9</v>
      </c>
      <c r="C386" s="260"/>
      <c r="D386" s="3174">
        <f>+D387+D390</f>
        <v>16624366</v>
      </c>
      <c r="E386" s="3174">
        <f t="shared" ref="E386" si="249">+E387+E390</f>
        <v>395660</v>
      </c>
      <c r="F386" s="3174">
        <f t="shared" ref="F386" si="250">+F387+F390</f>
        <v>9337224</v>
      </c>
      <c r="G386" s="3174">
        <f t="shared" ref="G386:J386" si="251">+G387+G390</f>
        <v>6891482</v>
      </c>
      <c r="H386" s="3175">
        <f t="shared" si="251"/>
        <v>0</v>
      </c>
      <c r="I386" s="3175">
        <f t="shared" si="251"/>
        <v>0</v>
      </c>
      <c r="J386" s="3175">
        <f t="shared" si="251"/>
        <v>0</v>
      </c>
      <c r="K386" s="3176">
        <f>+K387+K390</f>
        <v>0</v>
      </c>
      <c r="L386" s="3176">
        <f>+L387+L390</f>
        <v>0</v>
      </c>
      <c r="M386" s="1088">
        <f>+M387+M390</f>
        <v>16228706</v>
      </c>
      <c r="N386" s="3857"/>
      <c r="O386" s="3636"/>
      <c r="P386" s="3635"/>
    </row>
    <row r="387" spans="1:16">
      <c r="A387" s="3874"/>
      <c r="B387" s="326" t="s">
        <v>22</v>
      </c>
      <c r="C387" s="3930" t="s">
        <v>73</v>
      </c>
      <c r="D387" s="3177">
        <f>+D388+D389</f>
        <v>9805666</v>
      </c>
      <c r="E387" s="3177">
        <f t="shared" ref="E387" si="252">+E388+E389</f>
        <v>395660</v>
      </c>
      <c r="F387" s="3177">
        <f>+F388+F389</f>
        <v>5246004</v>
      </c>
      <c r="G387" s="3177">
        <f>+G388+G389</f>
        <v>4164002</v>
      </c>
      <c r="H387" s="3178">
        <f t="shared" ref="H387:J387" si="253">+H388+H389</f>
        <v>0</v>
      </c>
      <c r="I387" s="3178">
        <f t="shared" si="253"/>
        <v>0</v>
      </c>
      <c r="J387" s="3178">
        <f t="shared" si="253"/>
        <v>0</v>
      </c>
      <c r="K387" s="3179">
        <f>+K388+K389</f>
        <v>0</v>
      </c>
      <c r="L387" s="3179">
        <v>0</v>
      </c>
      <c r="M387" s="330">
        <f>+M388</f>
        <v>9410006</v>
      </c>
      <c r="N387" s="3857"/>
      <c r="O387" s="3635"/>
      <c r="P387" s="3635"/>
    </row>
    <row r="388" spans="1:16">
      <c r="A388" s="3874"/>
      <c r="B388" s="474" t="s">
        <v>11</v>
      </c>
      <c r="C388" s="3885"/>
      <c r="D388" s="468">
        <f>E388+L388+K388+F388+G388+H388+I388+J388</f>
        <v>9748663</v>
      </c>
      <c r="E388" s="3180">
        <v>338657</v>
      </c>
      <c r="F388" s="3108">
        <f>601650+4147356+375000+5286000-4164002-1000000</f>
        <v>5246004</v>
      </c>
      <c r="G388" s="3108">
        <v>4164002</v>
      </c>
      <c r="H388" s="3181">
        <v>0</v>
      </c>
      <c r="I388" s="3181">
        <v>0</v>
      </c>
      <c r="J388" s="3181">
        <v>0</v>
      </c>
      <c r="K388" s="3107">
        <f>1887021+23820-1309191-151650-375000-75000</f>
        <v>0</v>
      </c>
      <c r="L388" s="3110">
        <v>0</v>
      </c>
      <c r="M388" s="3056">
        <f>SUM(F388:J388)</f>
        <v>9410006</v>
      </c>
      <c r="N388" s="3857"/>
      <c r="O388" s="3635"/>
      <c r="P388" s="3635"/>
    </row>
    <row r="389" spans="1:16" ht="12" customHeight="1">
      <c r="A389" s="3874"/>
      <c r="B389" s="474" t="s">
        <v>14</v>
      </c>
      <c r="C389" s="3885"/>
      <c r="D389" s="468">
        <f>E389+L389+K389+F389+G389+H389+I389+J389</f>
        <v>57003</v>
      </c>
      <c r="E389" s="3180">
        <v>57003</v>
      </c>
      <c r="F389" s="3110">
        <v>0</v>
      </c>
      <c r="G389" s="3110">
        <v>0</v>
      </c>
      <c r="H389" s="3182">
        <v>0</v>
      </c>
      <c r="I389" s="3182">
        <v>0</v>
      </c>
      <c r="J389" s="3182">
        <v>0</v>
      </c>
      <c r="K389" s="3110">
        <v>0</v>
      </c>
      <c r="L389" s="3110">
        <v>0</v>
      </c>
      <c r="M389" s="3183">
        <f>SUM(F389:J389)</f>
        <v>0</v>
      </c>
      <c r="N389" s="3857"/>
      <c r="O389" s="3635"/>
      <c r="P389" s="3635"/>
    </row>
    <row r="390" spans="1:16">
      <c r="A390" s="3874"/>
      <c r="B390" s="3057" t="s">
        <v>17</v>
      </c>
      <c r="C390" s="3885"/>
      <c r="D390" s="331">
        <f>+D391</f>
        <v>6818700</v>
      </c>
      <c r="E390" s="471">
        <f t="shared" ref="E390:J390" si="254">+E391</f>
        <v>0</v>
      </c>
      <c r="F390" s="331">
        <f t="shared" si="254"/>
        <v>4091220</v>
      </c>
      <c r="G390" s="331">
        <f t="shared" si="254"/>
        <v>2727480</v>
      </c>
      <c r="H390" s="3184">
        <f t="shared" si="254"/>
        <v>0</v>
      </c>
      <c r="I390" s="3184">
        <f t="shared" si="254"/>
        <v>0</v>
      </c>
      <c r="J390" s="3184">
        <f t="shared" si="254"/>
        <v>0</v>
      </c>
      <c r="K390" s="471">
        <f>+K391</f>
        <v>0</v>
      </c>
      <c r="L390" s="3179">
        <v>0</v>
      </c>
      <c r="M390" s="330">
        <f>+M391</f>
        <v>6818700</v>
      </c>
      <c r="N390" s="3857"/>
      <c r="O390" s="3635"/>
      <c r="P390" s="3635"/>
    </row>
    <row r="391" spans="1:16" ht="12" customHeight="1">
      <c r="A391" s="3874"/>
      <c r="B391" s="438" t="s">
        <v>19</v>
      </c>
      <c r="C391" s="3886"/>
      <c r="D391" s="468">
        <f>E391+L391+K391+F391+G391+H391+I391+J391</f>
        <v>6818700</v>
      </c>
      <c r="E391" s="346">
        <v>0</v>
      </c>
      <c r="F391" s="3108">
        <f>3409350+859350+2125000+425000-2727480</f>
        <v>4091220</v>
      </c>
      <c r="G391" s="3108">
        <v>2727480</v>
      </c>
      <c r="H391" s="3181">
        <v>0</v>
      </c>
      <c r="I391" s="3181">
        <v>0</v>
      </c>
      <c r="J391" s="3181">
        <v>0</v>
      </c>
      <c r="K391" s="3107">
        <f>6034979+76180-2701809-859350-2125000-425000</f>
        <v>0</v>
      </c>
      <c r="L391" s="3110">
        <v>0</v>
      </c>
      <c r="M391" s="3056">
        <f>SUM(F391:J391)</f>
        <v>6818700</v>
      </c>
      <c r="N391" s="3899"/>
      <c r="O391" s="3636"/>
      <c r="P391" s="3635"/>
    </row>
    <row r="392" spans="1:16" ht="11.25" customHeight="1">
      <c r="A392" s="3875"/>
      <c r="B392" s="336" t="s">
        <v>20</v>
      </c>
      <c r="C392" s="260"/>
      <c r="D392" s="368">
        <f>+D393+D395</f>
        <v>6875703</v>
      </c>
      <c r="E392" s="368">
        <f t="shared" ref="E392" si="255">+E393+E395</f>
        <v>57003</v>
      </c>
      <c r="F392" s="368">
        <f t="shared" ref="F392:J392" si="256">+F393+F395</f>
        <v>2045610</v>
      </c>
      <c r="G392" s="368">
        <f t="shared" si="256"/>
        <v>2727480</v>
      </c>
      <c r="H392" s="368">
        <f t="shared" si="256"/>
        <v>2045610</v>
      </c>
      <c r="I392" s="3185">
        <f t="shared" si="256"/>
        <v>0</v>
      </c>
      <c r="J392" s="3185">
        <f t="shared" si="256"/>
        <v>0</v>
      </c>
      <c r="K392" s="387">
        <f>+K393+K395</f>
        <v>0</v>
      </c>
      <c r="L392" s="387">
        <f>+L393+L395</f>
        <v>0</v>
      </c>
      <c r="M392" s="3900" t="s">
        <v>21</v>
      </c>
      <c r="N392" s="3941" t="s">
        <v>90</v>
      </c>
      <c r="O392" s="3635"/>
      <c r="P392" s="3635"/>
    </row>
    <row r="393" spans="1:16">
      <c r="A393" s="3875"/>
      <c r="B393" s="3057" t="s">
        <v>22</v>
      </c>
      <c r="C393" s="4014" t="s">
        <v>73</v>
      </c>
      <c r="D393" s="3177">
        <f>+D394</f>
        <v>57003</v>
      </c>
      <c r="E393" s="3177">
        <f t="shared" ref="E393" si="257">+E394</f>
        <v>57003</v>
      </c>
      <c r="F393" s="3179">
        <v>0</v>
      </c>
      <c r="G393" s="3179">
        <v>0</v>
      </c>
      <c r="H393" s="3179">
        <v>0</v>
      </c>
      <c r="I393" s="3186"/>
      <c r="J393" s="3186"/>
      <c r="K393" s="3179">
        <v>0</v>
      </c>
      <c r="L393" s="3179">
        <v>0</v>
      </c>
      <c r="M393" s="3865"/>
      <c r="N393" s="3868"/>
      <c r="O393" s="3635"/>
      <c r="P393" s="3635"/>
    </row>
    <row r="394" spans="1:16">
      <c r="A394" s="3875"/>
      <c r="B394" s="438" t="s">
        <v>14</v>
      </c>
      <c r="C394" s="4015"/>
      <c r="D394" s="468">
        <f>E394+L394+K394+F394+G394+H394+I394+J394</f>
        <v>57003</v>
      </c>
      <c r="E394" s="3180">
        <v>57003</v>
      </c>
      <c r="F394" s="3110">
        <v>0</v>
      </c>
      <c r="G394" s="3110">
        <v>0</v>
      </c>
      <c r="H394" s="3110">
        <v>0</v>
      </c>
      <c r="I394" s="3182">
        <v>0</v>
      </c>
      <c r="J394" s="3182">
        <v>0</v>
      </c>
      <c r="K394" s="3110">
        <v>0</v>
      </c>
      <c r="L394" s="3110">
        <v>0</v>
      </c>
      <c r="M394" s="3865"/>
      <c r="N394" s="3868"/>
      <c r="O394" s="3635"/>
      <c r="P394" s="3635"/>
    </row>
    <row r="395" spans="1:16" s="2951" customFormat="1" ht="12.75" customHeight="1">
      <c r="A395" s="3875"/>
      <c r="B395" s="3057" t="s">
        <v>17</v>
      </c>
      <c r="C395" s="4015"/>
      <c r="D395" s="3092">
        <f>+D396</f>
        <v>6818700</v>
      </c>
      <c r="E395" s="3187">
        <f t="shared" ref="E395:J395" si="258">+E396</f>
        <v>0</v>
      </c>
      <c r="F395" s="3128">
        <f t="shared" si="258"/>
        <v>2045610</v>
      </c>
      <c r="G395" s="3128">
        <f t="shared" si="258"/>
        <v>2727480</v>
      </c>
      <c r="H395" s="3128">
        <f t="shared" si="258"/>
        <v>2045610</v>
      </c>
      <c r="I395" s="3188">
        <f t="shared" si="258"/>
        <v>0</v>
      </c>
      <c r="J395" s="3188">
        <f t="shared" si="258"/>
        <v>0</v>
      </c>
      <c r="K395" s="3129">
        <f>+K396</f>
        <v>0</v>
      </c>
      <c r="L395" s="3179">
        <v>0</v>
      </c>
      <c r="M395" s="3865"/>
      <c r="N395" s="3868"/>
      <c r="O395" s="3638"/>
      <c r="P395" s="3638"/>
    </row>
    <row r="396" spans="1:16" ht="12" customHeight="1" thickBot="1">
      <c r="A396" s="3876"/>
      <c r="B396" s="441" t="s">
        <v>19</v>
      </c>
      <c r="C396" s="4016"/>
      <c r="D396" s="1041">
        <f>E396+L396+K396+F396+G396+H396+I396+J396</f>
        <v>6818700</v>
      </c>
      <c r="E396" s="3189">
        <v>0</v>
      </c>
      <c r="F396" s="1014">
        <f>2413992+2904708-1227480-2045610</f>
        <v>2045610</v>
      </c>
      <c r="G396" s="1014">
        <v>2727480</v>
      </c>
      <c r="H396" s="1014">
        <v>2045610</v>
      </c>
      <c r="I396" s="1055">
        <v>0</v>
      </c>
      <c r="J396" s="1055">
        <v>0</v>
      </c>
      <c r="K396" s="1015">
        <f>2555629+1141538-2197167-1500000</f>
        <v>0</v>
      </c>
      <c r="L396" s="3190">
        <v>0</v>
      </c>
      <c r="M396" s="3866"/>
      <c r="N396" s="3869"/>
      <c r="O396" s="3635"/>
      <c r="P396" s="3635"/>
    </row>
    <row r="397" spans="1:16" ht="24.75" hidden="1" customHeight="1">
      <c r="A397" s="3873" t="s">
        <v>88</v>
      </c>
      <c r="B397" s="3059"/>
      <c r="C397" s="25" t="s">
        <v>70</v>
      </c>
      <c r="D397" s="3191"/>
      <c r="E397" s="3192"/>
      <c r="F397" s="2967"/>
      <c r="G397" s="21"/>
      <c r="H397" s="2967"/>
      <c r="I397" s="2967"/>
      <c r="J397" s="2967"/>
      <c r="K397" s="2955"/>
      <c r="L397" s="2955"/>
      <c r="M397" s="2968"/>
      <c r="N397" s="3898" t="s">
        <v>75</v>
      </c>
      <c r="O397" s="3635" t="s">
        <v>243</v>
      </c>
      <c r="P397" s="3635"/>
    </row>
    <row r="398" spans="1:16" ht="13.5" hidden="1" thickBot="1">
      <c r="A398" s="3874"/>
      <c r="B398" s="1212" t="s">
        <v>9</v>
      </c>
      <c r="C398" s="797"/>
      <c r="D398" s="3174">
        <f>+D399+D401</f>
        <v>0</v>
      </c>
      <c r="E398" s="3174">
        <f t="shared" ref="E398" si="259">+E399+E401</f>
        <v>0</v>
      </c>
      <c r="F398" s="3174">
        <f t="shared" ref="F398" si="260">+F399+F401</f>
        <v>0</v>
      </c>
      <c r="G398" s="3174"/>
      <c r="H398" s="3174"/>
      <c r="I398" s="3174"/>
      <c r="J398" s="3174"/>
      <c r="K398" s="3174">
        <f>+K399+K401</f>
        <v>0</v>
      </c>
      <c r="L398" s="3174">
        <f>+L399+L401</f>
        <v>0</v>
      </c>
      <c r="M398" s="1088">
        <f>+M399+M401</f>
        <v>0</v>
      </c>
      <c r="N398" s="3857"/>
      <c r="O398" s="3635"/>
      <c r="P398" s="3635"/>
    </row>
    <row r="399" spans="1:16" ht="13.5" hidden="1" thickBot="1">
      <c r="A399" s="3874"/>
      <c r="B399" s="1225" t="s">
        <v>22</v>
      </c>
      <c r="C399" s="3930" t="s">
        <v>73</v>
      </c>
      <c r="D399" s="3177">
        <f>+D400</f>
        <v>0</v>
      </c>
      <c r="E399" s="3177">
        <f t="shared" ref="E399:F399" si="261">+E400</f>
        <v>0</v>
      </c>
      <c r="F399" s="3177">
        <f t="shared" si="261"/>
        <v>0</v>
      </c>
      <c r="G399" s="3177"/>
      <c r="H399" s="3177"/>
      <c r="I399" s="3177"/>
      <c r="J399" s="3177"/>
      <c r="K399" s="3177">
        <f>+K400</f>
        <v>0</v>
      </c>
      <c r="L399" s="3177">
        <f>+L400</f>
        <v>0</v>
      </c>
      <c r="M399" s="330">
        <f>+M400</f>
        <v>0</v>
      </c>
      <c r="N399" s="3857"/>
      <c r="O399" s="3635"/>
      <c r="P399" s="3635"/>
    </row>
    <row r="400" spans="1:16" ht="13.5" hidden="1" thickBot="1">
      <c r="A400" s="3874"/>
      <c r="B400" s="2958" t="s">
        <v>11</v>
      </c>
      <c r="C400" s="3885"/>
      <c r="D400" s="468"/>
      <c r="E400" s="3180"/>
      <c r="F400" s="3108">
        <f>1550169-1550169</f>
        <v>0</v>
      </c>
      <c r="G400" s="3108"/>
      <c r="H400" s="3108"/>
      <c r="I400" s="3108"/>
      <c r="J400" s="3108"/>
      <c r="K400" s="3108">
        <f>1854503+17167-1310168-561502</f>
        <v>0</v>
      </c>
      <c r="L400" s="3108"/>
      <c r="M400" s="3056">
        <f>SUM(F400:J400)</f>
        <v>0</v>
      </c>
      <c r="N400" s="3857"/>
      <c r="O400" s="3635"/>
      <c r="P400" s="3635"/>
    </row>
    <row r="401" spans="1:16" ht="13.5" hidden="1" thickBot="1">
      <c r="A401" s="3874"/>
      <c r="B401" s="1226" t="s">
        <v>17</v>
      </c>
      <c r="C401" s="3885"/>
      <c r="D401" s="331">
        <f>+D402</f>
        <v>0</v>
      </c>
      <c r="E401" s="331">
        <f t="shared" ref="E401:F401" si="262">+E402</f>
        <v>0</v>
      </c>
      <c r="F401" s="331">
        <f t="shared" si="262"/>
        <v>0</v>
      </c>
      <c r="G401" s="331"/>
      <c r="H401" s="331"/>
      <c r="I401" s="331"/>
      <c r="J401" s="331"/>
      <c r="K401" s="331">
        <f>+K402</f>
        <v>0</v>
      </c>
      <c r="L401" s="331">
        <f>+L402</f>
        <v>0</v>
      </c>
      <c r="M401" s="330">
        <f>+M402</f>
        <v>0</v>
      </c>
      <c r="N401" s="3857"/>
      <c r="O401" s="3635"/>
      <c r="P401" s="3635"/>
    </row>
    <row r="402" spans="1:16" ht="13.5" hidden="1" thickBot="1">
      <c r="A402" s="3874"/>
      <c r="B402" s="438" t="s">
        <v>19</v>
      </c>
      <c r="C402" s="3886"/>
      <c r="D402" s="468">
        <f>E402+L402+K402+F402+G402+H402+I402+J402</f>
        <v>0</v>
      </c>
      <c r="E402" s="3180">
        <f>4205-4205</f>
        <v>0</v>
      </c>
      <c r="F402" s="3108">
        <f>5046825-5046825</f>
        <v>0</v>
      </c>
      <c r="G402" s="3108"/>
      <c r="H402" s="3108"/>
      <c r="I402" s="3108"/>
      <c r="J402" s="3108"/>
      <c r="K402" s="3108">
        <f>6124035-4286825-1837210</f>
        <v>0</v>
      </c>
      <c r="L402" s="3108">
        <f>5928372+953820+1843-6884035</f>
        <v>0</v>
      </c>
      <c r="M402" s="3056">
        <f>SUM(F402:J402)</f>
        <v>0</v>
      </c>
      <c r="N402" s="3899"/>
      <c r="O402" s="3636"/>
      <c r="P402" s="3635"/>
    </row>
    <row r="403" spans="1:16" ht="12.75" hidden="1" customHeight="1">
      <c r="A403" s="3875"/>
      <c r="B403" s="1212" t="s">
        <v>20</v>
      </c>
      <c r="C403" s="797"/>
      <c r="D403" s="368">
        <f>+D404</f>
        <v>0</v>
      </c>
      <c r="E403" s="368">
        <f t="shared" ref="E403:G404" si="263">+E404</f>
        <v>0</v>
      </c>
      <c r="F403" s="368">
        <f t="shared" si="263"/>
        <v>0</v>
      </c>
      <c r="G403" s="368">
        <f t="shared" si="263"/>
        <v>0</v>
      </c>
      <c r="H403" s="368"/>
      <c r="I403" s="368"/>
      <c r="J403" s="368"/>
      <c r="K403" s="368">
        <f>+K404</f>
        <v>0</v>
      </c>
      <c r="L403" s="368">
        <f>+L404</f>
        <v>0</v>
      </c>
      <c r="M403" s="3900" t="s">
        <v>21</v>
      </c>
      <c r="N403" s="3941" t="s">
        <v>90</v>
      </c>
      <c r="O403" s="3635"/>
      <c r="P403" s="3635"/>
    </row>
    <row r="404" spans="1:16" s="2951" customFormat="1" ht="12.75" hidden="1" customHeight="1">
      <c r="A404" s="3875"/>
      <c r="B404" s="1226" t="s">
        <v>17</v>
      </c>
      <c r="C404" s="3930" t="s">
        <v>73</v>
      </c>
      <c r="D404" s="3092">
        <f>+D405</f>
        <v>0</v>
      </c>
      <c r="E404" s="3128">
        <f t="shared" si="263"/>
        <v>0</v>
      </c>
      <c r="F404" s="3128">
        <f t="shared" si="263"/>
        <v>0</v>
      </c>
      <c r="G404" s="3128">
        <f t="shared" si="263"/>
        <v>0</v>
      </c>
      <c r="H404" s="3092"/>
      <c r="I404" s="3092"/>
      <c r="J404" s="3092"/>
      <c r="K404" s="3128">
        <f>+K405</f>
        <v>0</v>
      </c>
      <c r="L404" s="3128">
        <f>+L405</f>
        <v>0</v>
      </c>
      <c r="M404" s="3865"/>
      <c r="N404" s="3868"/>
      <c r="O404" s="3638"/>
      <c r="P404" s="3638"/>
    </row>
    <row r="405" spans="1:16" ht="13.5" hidden="1" customHeight="1" thickBot="1">
      <c r="A405" s="3876"/>
      <c r="B405" s="441" t="s">
        <v>19</v>
      </c>
      <c r="C405" s="3929"/>
      <c r="D405" s="1142">
        <f>E405+L405+K405+F405+G405+H405+I405+J405</f>
        <v>0</v>
      </c>
      <c r="E405" s="1142">
        <v>0</v>
      </c>
      <c r="F405" s="1014">
        <f>2218360+760000-2978360</f>
        <v>0</v>
      </c>
      <c r="G405" s="1014">
        <f>3909880-3909880</f>
        <v>0</v>
      </c>
      <c r="H405" s="1014"/>
      <c r="I405" s="1014"/>
      <c r="J405" s="1014"/>
      <c r="K405" s="1014">
        <f>2978360+931520-3909880</f>
        <v>0</v>
      </c>
      <c r="L405" s="1014">
        <f>3909880-3909880</f>
        <v>0</v>
      </c>
      <c r="M405" s="3866"/>
      <c r="N405" s="3869"/>
      <c r="O405" s="3635"/>
      <c r="P405" s="3635"/>
    </row>
    <row r="406" spans="1:16" ht="22.5" hidden="1" customHeight="1">
      <c r="A406" s="3873" t="s">
        <v>92</v>
      </c>
      <c r="B406" s="3059" t="s">
        <v>361</v>
      </c>
      <c r="C406" s="25" t="s">
        <v>70</v>
      </c>
      <c r="D406" s="3191"/>
      <c r="E406" s="3192"/>
      <c r="F406" s="2967"/>
      <c r="G406" s="21"/>
      <c r="H406" s="2967"/>
      <c r="I406" s="2967"/>
      <c r="J406" s="2967"/>
      <c r="K406" s="2955"/>
      <c r="L406" s="2955"/>
      <c r="M406" s="2968"/>
      <c r="N406" s="3898" t="s">
        <v>75</v>
      </c>
      <c r="O406" s="3635" t="s">
        <v>243</v>
      </c>
      <c r="P406" s="3635"/>
    </row>
    <row r="407" spans="1:16" ht="12" hidden="1" customHeight="1">
      <c r="A407" s="3874"/>
      <c r="B407" s="336" t="s">
        <v>9</v>
      </c>
      <c r="C407" s="3060"/>
      <c r="D407" s="3171">
        <f>+D408+D410</f>
        <v>0</v>
      </c>
      <c r="E407" s="3171">
        <f t="shared" ref="E407" si="264">+E408+E410</f>
        <v>0</v>
      </c>
      <c r="F407" s="3171"/>
      <c r="G407" s="3171"/>
      <c r="H407" s="3171"/>
      <c r="I407" s="3171"/>
      <c r="J407" s="3171"/>
      <c r="K407" s="3171">
        <f t="shared" ref="K407" si="265">+K408+K410</f>
        <v>0</v>
      </c>
      <c r="L407" s="3171">
        <f>+L408+L410</f>
        <v>0</v>
      </c>
      <c r="M407" s="799">
        <f>+M408+M410</f>
        <v>0</v>
      </c>
      <c r="N407" s="3857"/>
      <c r="O407" s="3635"/>
      <c r="P407" s="3635"/>
    </row>
    <row r="408" spans="1:16" ht="13.5" hidden="1" thickBot="1">
      <c r="A408" s="3874"/>
      <c r="B408" s="326" t="s">
        <v>22</v>
      </c>
      <c r="C408" s="3930" t="s">
        <v>73</v>
      </c>
      <c r="D408" s="3172">
        <f>+D409</f>
        <v>0</v>
      </c>
      <c r="E408" s="3172">
        <f t="shared" ref="E408" si="266">+E409</f>
        <v>0</v>
      </c>
      <c r="F408" s="3172"/>
      <c r="G408" s="3172"/>
      <c r="H408" s="3172"/>
      <c r="I408" s="3172"/>
      <c r="J408" s="3172"/>
      <c r="K408" s="3172">
        <f>+K409</f>
        <v>0</v>
      </c>
      <c r="L408" s="3172">
        <f>+L409</f>
        <v>0</v>
      </c>
      <c r="M408" s="802">
        <f>+M409</f>
        <v>0</v>
      </c>
      <c r="N408" s="3857"/>
      <c r="O408" s="3635"/>
      <c r="P408" s="3635"/>
    </row>
    <row r="409" spans="1:16" ht="13.5" hidden="1" thickBot="1">
      <c r="A409" s="3874"/>
      <c r="B409" s="474" t="s">
        <v>11</v>
      </c>
      <c r="C409" s="3885"/>
      <c r="D409" s="468">
        <f>E409+L409+K409+F409+G409+H409+I409+J409</f>
        <v>0</v>
      </c>
      <c r="E409" s="787">
        <v>0</v>
      </c>
      <c r="F409" s="2959"/>
      <c r="G409" s="2959"/>
      <c r="H409" s="2959"/>
      <c r="I409" s="2959"/>
      <c r="J409" s="2959"/>
      <c r="K409" s="2959">
        <f>938336-938336</f>
        <v>0</v>
      </c>
      <c r="L409" s="2959">
        <v>0</v>
      </c>
      <c r="M409" s="813">
        <f>SUM(F409:J409)</f>
        <v>0</v>
      </c>
      <c r="N409" s="3857"/>
      <c r="O409" s="3635"/>
      <c r="P409" s="3635"/>
    </row>
    <row r="410" spans="1:16" ht="13.5" hidden="1" thickBot="1">
      <c r="A410" s="3874"/>
      <c r="B410" s="3057" t="s">
        <v>17</v>
      </c>
      <c r="C410" s="3885"/>
      <c r="D410" s="801">
        <f>+D411</f>
        <v>0</v>
      </c>
      <c r="E410" s="801">
        <f t="shared" ref="E410" si="267">+E411</f>
        <v>0</v>
      </c>
      <c r="F410" s="801"/>
      <c r="G410" s="801"/>
      <c r="H410" s="801"/>
      <c r="I410" s="801"/>
      <c r="J410" s="801"/>
      <c r="K410" s="801">
        <f>+K411</f>
        <v>0</v>
      </c>
      <c r="L410" s="801">
        <f>+L411</f>
        <v>0</v>
      </c>
      <c r="M410" s="802">
        <f>+M411</f>
        <v>0</v>
      </c>
      <c r="N410" s="3857"/>
      <c r="O410" s="3635"/>
      <c r="P410" s="3635"/>
    </row>
    <row r="411" spans="1:16" ht="13.5" hidden="1" thickBot="1">
      <c r="A411" s="3874"/>
      <c r="B411" s="438" t="s">
        <v>187</v>
      </c>
      <c r="C411" s="3886"/>
      <c r="D411" s="468">
        <f>E411+L411+K411+F411+G411+H411+I411+J411</f>
        <v>0</v>
      </c>
      <c r="E411" s="787">
        <v>0</v>
      </c>
      <c r="F411" s="2959"/>
      <c r="G411" s="2959"/>
      <c r="H411" s="2959"/>
      <c r="I411" s="2959"/>
      <c r="J411" s="2959"/>
      <c r="K411" s="2959">
        <f>3019942-3019942</f>
        <v>0</v>
      </c>
      <c r="L411" s="2959">
        <v>0</v>
      </c>
      <c r="M411" s="813">
        <f>SUM(F411:J411)</f>
        <v>0</v>
      </c>
      <c r="N411" s="3899"/>
      <c r="O411" s="3636"/>
      <c r="P411" s="3635"/>
    </row>
    <row r="412" spans="1:16" ht="12.75" hidden="1" customHeight="1">
      <c r="A412" s="3875"/>
      <c r="B412" s="336" t="s">
        <v>20</v>
      </c>
      <c r="C412" s="3060"/>
      <c r="D412" s="798">
        <f>+D413</f>
        <v>0</v>
      </c>
      <c r="E412" s="798">
        <f t="shared" ref="E412:F413" si="268">+E413</f>
        <v>0</v>
      </c>
      <c r="F412" s="798">
        <f t="shared" si="268"/>
        <v>0</v>
      </c>
      <c r="G412" s="798"/>
      <c r="H412" s="798"/>
      <c r="I412" s="798"/>
      <c r="J412" s="798"/>
      <c r="K412" s="798">
        <f>+K413</f>
        <v>0</v>
      </c>
      <c r="L412" s="798">
        <f>+L413</f>
        <v>0</v>
      </c>
      <c r="M412" s="3900" t="s">
        <v>21</v>
      </c>
      <c r="N412" s="3941" t="s">
        <v>90</v>
      </c>
      <c r="O412" s="3635"/>
      <c r="P412" s="3635"/>
    </row>
    <row r="413" spans="1:16" s="2951" customFormat="1" ht="12.75" hidden="1" customHeight="1">
      <c r="A413" s="3875"/>
      <c r="B413" s="3057" t="s">
        <v>17</v>
      </c>
      <c r="C413" s="3930" t="s">
        <v>73</v>
      </c>
      <c r="D413" s="816">
        <f>+D414</f>
        <v>0</v>
      </c>
      <c r="E413" s="2998">
        <f t="shared" si="268"/>
        <v>0</v>
      </c>
      <c r="F413" s="2998">
        <f t="shared" si="268"/>
        <v>0</v>
      </c>
      <c r="G413" s="816"/>
      <c r="H413" s="816"/>
      <c r="I413" s="816"/>
      <c r="J413" s="816"/>
      <c r="K413" s="2998">
        <f>+K414</f>
        <v>0</v>
      </c>
      <c r="L413" s="2998">
        <f>+L414</f>
        <v>0</v>
      </c>
      <c r="M413" s="3865"/>
      <c r="N413" s="3868"/>
      <c r="O413" s="3638"/>
      <c r="P413" s="3638"/>
    </row>
    <row r="414" spans="1:16" ht="12" hidden="1" customHeight="1" thickBot="1">
      <c r="A414" s="3876"/>
      <c r="B414" s="441" t="s">
        <v>18</v>
      </c>
      <c r="C414" s="3929"/>
      <c r="D414" s="465">
        <f>E414+L414+K414+F414+G414+H414+I414+J414</f>
        <v>0</v>
      </c>
      <c r="E414" s="465">
        <v>0</v>
      </c>
      <c r="F414" s="244">
        <v>0</v>
      </c>
      <c r="G414" s="244"/>
      <c r="H414" s="244"/>
      <c r="I414" s="244"/>
      <c r="J414" s="244"/>
      <c r="K414" s="244">
        <f>1025310+1308918-2334228</f>
        <v>0</v>
      </c>
      <c r="L414" s="244">
        <f>2334228-2334228</f>
        <v>0</v>
      </c>
      <c r="M414" s="3866"/>
      <c r="N414" s="3869"/>
      <c r="O414" s="3635"/>
      <c r="P414" s="3635"/>
    </row>
    <row r="415" spans="1:16" ht="26.25" customHeight="1" thickBot="1">
      <c r="A415" s="3903" t="s">
        <v>83</v>
      </c>
      <c r="B415" s="3059" t="s">
        <v>384</v>
      </c>
      <c r="C415" s="25" t="s">
        <v>70</v>
      </c>
      <c r="D415" s="3170"/>
      <c r="E415" s="3050"/>
      <c r="F415" s="1477"/>
      <c r="G415" s="1477"/>
      <c r="H415" s="1477"/>
      <c r="I415" s="1477"/>
      <c r="J415" s="21"/>
      <c r="K415" s="1477"/>
      <c r="L415" s="1477"/>
      <c r="M415" s="2968"/>
      <c r="N415" s="3898" t="s">
        <v>75</v>
      </c>
      <c r="O415" s="3635" t="s">
        <v>243</v>
      </c>
      <c r="P415" s="3635"/>
    </row>
    <row r="416" spans="1:16" ht="13.5" thickBot="1">
      <c r="A416" s="3903"/>
      <c r="B416" s="16" t="s">
        <v>9</v>
      </c>
      <c r="C416" s="17"/>
      <c r="D416" s="3193">
        <f>+D417+D419</f>
        <v>18035962</v>
      </c>
      <c r="E416" s="3194">
        <f t="shared" ref="E416" si="269">+E417+E419</f>
        <v>0</v>
      </c>
      <c r="F416" s="3193">
        <f>+F417+F419</f>
        <v>9961578</v>
      </c>
      <c r="G416" s="3193">
        <f>+G417+G419</f>
        <v>8074384</v>
      </c>
      <c r="H416" s="3195">
        <f t="shared" ref="H416:J416" si="270">+H417+H419</f>
        <v>0</v>
      </c>
      <c r="I416" s="3195">
        <f t="shared" si="270"/>
        <v>0</v>
      </c>
      <c r="J416" s="3195">
        <f t="shared" si="270"/>
        <v>0</v>
      </c>
      <c r="K416" s="3194">
        <f>+K417+K419</f>
        <v>0</v>
      </c>
      <c r="L416" s="3194">
        <f>+L417+L419</f>
        <v>0</v>
      </c>
      <c r="M416" s="3196">
        <f>+M417+M419</f>
        <v>18035962</v>
      </c>
      <c r="N416" s="3857"/>
      <c r="O416" s="3636"/>
      <c r="P416" s="3635"/>
    </row>
    <row r="417" spans="1:16" ht="13.5" customHeight="1" thickBot="1">
      <c r="A417" s="3903"/>
      <c r="B417" s="73" t="s">
        <v>22</v>
      </c>
      <c r="C417" s="3884" t="s">
        <v>73</v>
      </c>
      <c r="D417" s="3197">
        <f>+D418</f>
        <v>9086120</v>
      </c>
      <c r="E417" s="3198">
        <f t="shared" ref="E417:J417" si="271">+E418</f>
        <v>0</v>
      </c>
      <c r="F417" s="3197">
        <f t="shared" si="271"/>
        <v>4591673</v>
      </c>
      <c r="G417" s="3197">
        <f t="shared" si="271"/>
        <v>4494447</v>
      </c>
      <c r="H417" s="3199">
        <f t="shared" si="271"/>
        <v>0</v>
      </c>
      <c r="I417" s="3199">
        <f t="shared" si="271"/>
        <v>0</v>
      </c>
      <c r="J417" s="3199">
        <f t="shared" si="271"/>
        <v>0</v>
      </c>
      <c r="K417" s="3198">
        <f>+K418</f>
        <v>0</v>
      </c>
      <c r="L417" s="3198">
        <f>+L418</f>
        <v>0</v>
      </c>
      <c r="M417" s="330">
        <f>+M418</f>
        <v>9086120</v>
      </c>
      <c r="N417" s="3857"/>
      <c r="O417" s="3635"/>
      <c r="P417" s="3635"/>
    </row>
    <row r="418" spans="1:16" ht="13.5" thickBot="1">
      <c r="A418" s="3903"/>
      <c r="B418" s="3200" t="s">
        <v>11</v>
      </c>
      <c r="C418" s="3885"/>
      <c r="D418" s="124">
        <f>E418+L418+K418+F418+G418+H418+I418+J418</f>
        <v>9086120</v>
      </c>
      <c r="E418" s="3201">
        <v>0</v>
      </c>
      <c r="F418" s="3202">
        <f>1058866+787322+1465206+2780279-1500000</f>
        <v>4591673</v>
      </c>
      <c r="G418" s="3202">
        <f>2461974+2032473</f>
        <v>4494447</v>
      </c>
      <c r="H418" s="3203">
        <v>0</v>
      </c>
      <c r="I418" s="3203">
        <v>0</v>
      </c>
      <c r="J418" s="3204">
        <v>0</v>
      </c>
      <c r="K418" s="3201">
        <f>621874-435312-186562</f>
        <v>0</v>
      </c>
      <c r="L418" s="3201">
        <v>0</v>
      </c>
      <c r="M418" s="3056">
        <f>SUM(F418:J418)</f>
        <v>9086120</v>
      </c>
      <c r="N418" s="3857"/>
      <c r="O418" s="3635"/>
      <c r="P418" s="3635"/>
    </row>
    <row r="419" spans="1:16" ht="13.5" thickBot="1">
      <c r="A419" s="3903"/>
      <c r="B419" s="237" t="s">
        <v>17</v>
      </c>
      <c r="C419" s="3885"/>
      <c r="D419" s="3205">
        <f>+D420</f>
        <v>8949842</v>
      </c>
      <c r="E419" s="3206">
        <f t="shared" ref="E419:J419" si="272">+E420</f>
        <v>0</v>
      </c>
      <c r="F419" s="3205">
        <f t="shared" si="272"/>
        <v>5369905</v>
      </c>
      <c r="G419" s="3205">
        <f t="shared" si="272"/>
        <v>3579937</v>
      </c>
      <c r="H419" s="3207">
        <f t="shared" si="272"/>
        <v>0</v>
      </c>
      <c r="I419" s="3207">
        <f t="shared" si="272"/>
        <v>0</v>
      </c>
      <c r="J419" s="3207">
        <f t="shared" si="272"/>
        <v>0</v>
      </c>
      <c r="K419" s="3206">
        <f>+K420</f>
        <v>0</v>
      </c>
      <c r="L419" s="3206">
        <f>+L420</f>
        <v>0</v>
      </c>
      <c r="M419" s="330">
        <f>+M420</f>
        <v>8949842</v>
      </c>
      <c r="N419" s="3857"/>
      <c r="O419" s="3635"/>
      <c r="P419" s="3635"/>
    </row>
    <row r="420" spans="1:16" ht="11.25" customHeight="1" thickBot="1">
      <c r="A420" s="3903"/>
      <c r="B420" s="3208" t="s">
        <v>19</v>
      </c>
      <c r="C420" s="3886"/>
      <c r="D420" s="124">
        <f>E420+L420+K420+F420+G420+H420+I420+J420</f>
        <v>8949842</v>
      </c>
      <c r="E420" s="3201">
        <v>0</v>
      </c>
      <c r="F420" s="3202">
        <f>3386414+2522163-2597182+2058510</f>
        <v>5369905</v>
      </c>
      <c r="G420" s="3202">
        <f>1953218+1626719</f>
        <v>3579937</v>
      </c>
      <c r="H420" s="3203">
        <v>0</v>
      </c>
      <c r="I420" s="3203">
        <v>0</v>
      </c>
      <c r="J420" s="3204">
        <v>0</v>
      </c>
      <c r="K420" s="3201">
        <f>1988846-1392192-596654</f>
        <v>0</v>
      </c>
      <c r="L420" s="3201">
        <v>0</v>
      </c>
      <c r="M420" s="3056">
        <f>SUM(F420:J420)</f>
        <v>8949842</v>
      </c>
      <c r="N420" s="3899"/>
      <c r="O420" s="3636"/>
      <c r="P420" s="3635"/>
    </row>
    <row r="421" spans="1:16" ht="13.5" thickBot="1">
      <c r="A421" s="3904"/>
      <c r="B421" s="16" t="s">
        <v>20</v>
      </c>
      <c r="C421" s="17"/>
      <c r="D421" s="3209">
        <f>+D422</f>
        <v>8949842</v>
      </c>
      <c r="E421" s="3210">
        <f t="shared" ref="E421:J422" si="273">+E422</f>
        <v>0</v>
      </c>
      <c r="F421" s="3209">
        <f t="shared" si="273"/>
        <v>2684953</v>
      </c>
      <c r="G421" s="3209">
        <f t="shared" si="273"/>
        <v>3579936</v>
      </c>
      <c r="H421" s="3209">
        <f t="shared" si="273"/>
        <v>2684953</v>
      </c>
      <c r="I421" s="3211">
        <f t="shared" si="273"/>
        <v>0</v>
      </c>
      <c r="J421" s="3211">
        <f t="shared" si="273"/>
        <v>0</v>
      </c>
      <c r="K421" s="3210">
        <f>+K422</f>
        <v>0</v>
      </c>
      <c r="L421" s="3210">
        <f>+L422</f>
        <v>0</v>
      </c>
      <c r="M421" s="3887" t="s">
        <v>21</v>
      </c>
      <c r="N421" s="3891" t="s">
        <v>90</v>
      </c>
      <c r="O421" s="3635"/>
      <c r="P421" s="3635"/>
    </row>
    <row r="422" spans="1:16" s="2951" customFormat="1" ht="13.5" thickBot="1">
      <c r="A422" s="3904"/>
      <c r="B422" s="237" t="s">
        <v>17</v>
      </c>
      <c r="C422" s="3893" t="s">
        <v>73</v>
      </c>
      <c r="D422" s="3212">
        <f>+D423</f>
        <v>8949842</v>
      </c>
      <c r="E422" s="3213">
        <f t="shared" si="273"/>
        <v>0</v>
      </c>
      <c r="F422" s="3214">
        <f t="shared" si="273"/>
        <v>2684953</v>
      </c>
      <c r="G422" s="3214">
        <f t="shared" si="273"/>
        <v>3579936</v>
      </c>
      <c r="H422" s="3214">
        <f t="shared" si="273"/>
        <v>2684953</v>
      </c>
      <c r="I422" s="3215">
        <f t="shared" si="273"/>
        <v>0</v>
      </c>
      <c r="J422" s="3215">
        <f t="shared" si="273"/>
        <v>0</v>
      </c>
      <c r="K422" s="3213">
        <f>+K423</f>
        <v>0</v>
      </c>
      <c r="L422" s="3213">
        <f>+L423</f>
        <v>0</v>
      </c>
      <c r="M422" s="3888"/>
      <c r="N422" s="3892"/>
      <c r="O422" s="3638"/>
      <c r="P422" s="3638"/>
    </row>
    <row r="423" spans="1:16" ht="12" customHeight="1" thickBot="1">
      <c r="A423" s="3904"/>
      <c r="B423" s="3216" t="s">
        <v>19</v>
      </c>
      <c r="C423" s="3894"/>
      <c r="D423" s="1142">
        <f>E423+L423+K423+F423+G423+H423+I423+J423</f>
        <v>8949842</v>
      </c>
      <c r="E423" s="1015">
        <v>0</v>
      </c>
      <c r="F423" s="1014">
        <f>3657763-2604840+1632030</f>
        <v>2684953</v>
      </c>
      <c r="G423" s="1014">
        <f>1717497+1129971+311300+421168</f>
        <v>3579936</v>
      </c>
      <c r="H423" s="1014">
        <f>1052922+1632031</f>
        <v>2684953</v>
      </c>
      <c r="I423" s="1048">
        <v>0</v>
      </c>
      <c r="J423" s="1048">
        <v>0</v>
      </c>
      <c r="K423" s="1015">
        <v>0</v>
      </c>
      <c r="L423" s="1015">
        <v>0</v>
      </c>
      <c r="M423" s="3888"/>
      <c r="N423" s="3892"/>
      <c r="O423" s="3635"/>
      <c r="P423" s="3635"/>
    </row>
    <row r="424" spans="1:16" ht="24.75" hidden="1" thickBot="1">
      <c r="A424" s="3903" t="s">
        <v>92</v>
      </c>
      <c r="B424" s="3059" t="s">
        <v>385</v>
      </c>
      <c r="C424" s="25" t="s">
        <v>70</v>
      </c>
      <c r="D424" s="3170"/>
      <c r="E424" s="3050"/>
      <c r="F424" s="1477"/>
      <c r="G424" s="1477"/>
      <c r="H424" s="1477"/>
      <c r="I424" s="1477"/>
      <c r="J424" s="21"/>
      <c r="K424" s="1477"/>
      <c r="L424" s="3050"/>
      <c r="M424" s="2968"/>
      <c r="N424" s="3889" t="s">
        <v>75</v>
      </c>
      <c r="O424" s="3635" t="s">
        <v>243</v>
      </c>
      <c r="P424" s="3635"/>
    </row>
    <row r="425" spans="1:16" ht="10.5" hidden="1" customHeight="1" thickBot="1">
      <c r="A425" s="3903"/>
      <c r="B425" s="336" t="s">
        <v>9</v>
      </c>
      <c r="C425" s="797"/>
      <c r="D425" s="3171">
        <f>+D426+D428</f>
        <v>0</v>
      </c>
      <c r="E425" s="3171">
        <f t="shared" ref="E425" si="274">+E426+E428</f>
        <v>0</v>
      </c>
      <c r="F425" s="3171">
        <f t="shared" ref="F425:G425" si="275">+F426+F428</f>
        <v>0</v>
      </c>
      <c r="G425" s="3171">
        <f t="shared" si="275"/>
        <v>0</v>
      </c>
      <c r="H425" s="3171"/>
      <c r="I425" s="3171"/>
      <c r="J425" s="3171"/>
      <c r="K425" s="3171">
        <f>+K426+K428</f>
        <v>0</v>
      </c>
      <c r="L425" s="3217">
        <f>+L426+L428</f>
        <v>0</v>
      </c>
      <c r="M425" s="835">
        <f>+M426+M428</f>
        <v>0</v>
      </c>
      <c r="N425" s="3889"/>
      <c r="O425" s="3635"/>
      <c r="P425" s="3635"/>
    </row>
    <row r="426" spans="1:16" ht="13.5" hidden="1" thickBot="1">
      <c r="A426" s="3903"/>
      <c r="B426" s="326" t="s">
        <v>22</v>
      </c>
      <c r="C426" s="3859" t="s">
        <v>73</v>
      </c>
      <c r="D426" s="3172">
        <f>+D427</f>
        <v>0</v>
      </c>
      <c r="E426" s="3172">
        <f t="shared" ref="E426:G426" si="276">+E427</f>
        <v>0</v>
      </c>
      <c r="F426" s="3172">
        <f t="shared" si="276"/>
        <v>0</v>
      </c>
      <c r="G426" s="3172">
        <f t="shared" si="276"/>
        <v>0</v>
      </c>
      <c r="H426" s="3172"/>
      <c r="I426" s="3172"/>
      <c r="J426" s="3172"/>
      <c r="K426" s="3172">
        <f>+K427</f>
        <v>0</v>
      </c>
      <c r="L426" s="3218">
        <f>+L427</f>
        <v>0</v>
      </c>
      <c r="M426" s="802">
        <f>+M427</f>
        <v>0</v>
      </c>
      <c r="N426" s="3889"/>
      <c r="O426" s="3635"/>
      <c r="P426" s="3635"/>
    </row>
    <row r="427" spans="1:16" ht="11.25" hidden="1" customHeight="1" thickBot="1">
      <c r="A427" s="3903"/>
      <c r="B427" s="474" t="s">
        <v>11</v>
      </c>
      <c r="C427" s="3885"/>
      <c r="D427" s="766">
        <f>E427+L427+K427+F427+G427+H427+I427+J427</f>
        <v>0</v>
      </c>
      <c r="E427" s="2959">
        <f>47545-47545</f>
        <v>0</v>
      </c>
      <c r="F427" s="2959"/>
      <c r="G427" s="2959"/>
      <c r="H427" s="2959"/>
      <c r="I427" s="2959"/>
      <c r="J427" s="2959"/>
      <c r="K427" s="2959">
        <f>455300-318710-136590</f>
        <v>0</v>
      </c>
      <c r="L427" s="776">
        <v>0</v>
      </c>
      <c r="M427" s="3056">
        <f>SUM(F427:J427)</f>
        <v>0</v>
      </c>
      <c r="N427" s="3889"/>
      <c r="O427" s="3635"/>
      <c r="P427" s="3635"/>
    </row>
    <row r="428" spans="1:16" ht="13.5" hidden="1" thickBot="1">
      <c r="A428" s="3903"/>
      <c r="B428" s="3057" t="s">
        <v>17</v>
      </c>
      <c r="C428" s="3885"/>
      <c r="D428" s="801">
        <f>+D429</f>
        <v>0</v>
      </c>
      <c r="E428" s="801">
        <f t="shared" ref="E428:G428" si="277">+E429</f>
        <v>0</v>
      </c>
      <c r="F428" s="801">
        <f t="shared" si="277"/>
        <v>0</v>
      </c>
      <c r="G428" s="801">
        <f t="shared" si="277"/>
        <v>0</v>
      </c>
      <c r="H428" s="801"/>
      <c r="I428" s="801"/>
      <c r="J428" s="801"/>
      <c r="K428" s="801">
        <f>+K429</f>
        <v>0</v>
      </c>
      <c r="L428" s="1010">
        <f>+L429</f>
        <v>0</v>
      </c>
      <c r="M428" s="802">
        <f>+M429</f>
        <v>0</v>
      </c>
      <c r="N428" s="3889"/>
      <c r="O428" s="3635"/>
      <c r="P428" s="3635"/>
    </row>
    <row r="429" spans="1:16" ht="13.5" hidden="1" thickBot="1">
      <c r="A429" s="3903"/>
      <c r="B429" s="3030" t="s">
        <v>19</v>
      </c>
      <c r="C429" s="3886"/>
      <c r="D429" s="766">
        <f>E429+L429+K429+F429+G429+H429+I429+J429</f>
        <v>0</v>
      </c>
      <c r="E429" s="787">
        <v>0</v>
      </c>
      <c r="F429" s="2959"/>
      <c r="G429" s="2959"/>
      <c r="H429" s="2959"/>
      <c r="I429" s="2959"/>
      <c r="J429" s="2959"/>
      <c r="K429" s="2959">
        <f>1456120-1019284-436836</f>
        <v>0</v>
      </c>
      <c r="L429" s="776">
        <v>0</v>
      </c>
      <c r="M429" s="3056">
        <f>SUM(F429:J429)</f>
        <v>0</v>
      </c>
      <c r="N429" s="3890"/>
      <c r="O429" s="3636"/>
      <c r="P429" s="3635"/>
    </row>
    <row r="430" spans="1:16" ht="12" hidden="1" customHeight="1" thickBot="1">
      <c r="A430" s="3904"/>
      <c r="B430" s="336" t="s">
        <v>20</v>
      </c>
      <c r="C430" s="797"/>
      <c r="D430" s="798">
        <f>+D431</f>
        <v>0</v>
      </c>
      <c r="E430" s="798">
        <f t="shared" ref="E430:H431" si="278">+E431</f>
        <v>0</v>
      </c>
      <c r="F430" s="798">
        <f t="shared" si="278"/>
        <v>0</v>
      </c>
      <c r="G430" s="798">
        <f t="shared" si="278"/>
        <v>0</v>
      </c>
      <c r="H430" s="798">
        <f t="shared" si="278"/>
        <v>0</v>
      </c>
      <c r="I430" s="798"/>
      <c r="J430" s="798"/>
      <c r="K430" s="798">
        <f>+K431</f>
        <v>0</v>
      </c>
      <c r="L430" s="1011">
        <f>+L431</f>
        <v>0</v>
      </c>
      <c r="M430" s="3864" t="s">
        <v>21</v>
      </c>
      <c r="N430" s="3867" t="s">
        <v>90</v>
      </c>
      <c r="O430" s="3635"/>
      <c r="P430" s="3635"/>
    </row>
    <row r="431" spans="1:16" s="2951" customFormat="1" ht="12.75" hidden="1" customHeight="1" thickBot="1">
      <c r="A431" s="3904"/>
      <c r="B431" s="3057" t="s">
        <v>17</v>
      </c>
      <c r="C431" s="3859" t="s">
        <v>73</v>
      </c>
      <c r="D431" s="816">
        <f>+D432</f>
        <v>0</v>
      </c>
      <c r="E431" s="2998">
        <f t="shared" si="278"/>
        <v>0</v>
      </c>
      <c r="F431" s="2998">
        <f t="shared" si="278"/>
        <v>0</v>
      </c>
      <c r="G431" s="2998">
        <f t="shared" si="278"/>
        <v>0</v>
      </c>
      <c r="H431" s="2998">
        <f t="shared" si="278"/>
        <v>0</v>
      </c>
      <c r="I431" s="816"/>
      <c r="J431" s="816"/>
      <c r="K431" s="2998">
        <f>+K432</f>
        <v>0</v>
      </c>
      <c r="L431" s="3173">
        <f>+L432</f>
        <v>0</v>
      </c>
      <c r="M431" s="3865"/>
      <c r="N431" s="3868"/>
      <c r="O431" s="3638"/>
      <c r="P431" s="3638"/>
    </row>
    <row r="432" spans="1:16" ht="12" hidden="1" customHeight="1" thickBot="1">
      <c r="A432" s="3904"/>
      <c r="B432" s="441" t="s">
        <v>19</v>
      </c>
      <c r="C432" s="3929"/>
      <c r="D432" s="856">
        <f>E432+L432+K432+F432+G432+H432+I432+J432</f>
        <v>0</v>
      </c>
      <c r="E432" s="856">
        <v>0</v>
      </c>
      <c r="F432" s="1014"/>
      <c r="G432" s="1014"/>
      <c r="H432" s="1014"/>
      <c r="I432" s="1014"/>
      <c r="J432" s="1014"/>
      <c r="K432" s="1014">
        <v>0</v>
      </c>
      <c r="L432" s="1015">
        <v>0</v>
      </c>
      <c r="M432" s="3866"/>
      <c r="N432" s="3869"/>
      <c r="O432" s="3635"/>
      <c r="P432" s="3635"/>
    </row>
    <row r="433" spans="1:16" ht="27.75" customHeight="1">
      <c r="A433" s="3895" t="s">
        <v>84</v>
      </c>
      <c r="B433" s="3059" t="s">
        <v>386</v>
      </c>
      <c r="C433" s="25" t="s">
        <v>97</v>
      </c>
      <c r="D433" s="3089"/>
      <c r="E433" s="3089"/>
      <c r="F433" s="3089"/>
      <c r="G433" s="1477"/>
      <c r="H433" s="1477"/>
      <c r="I433" s="1477"/>
      <c r="J433" s="21"/>
      <c r="K433" s="3089"/>
      <c r="L433" s="1477"/>
      <c r="M433" s="2968"/>
      <c r="N433" s="3898" t="s">
        <v>499</v>
      </c>
      <c r="O433" s="3635"/>
      <c r="P433" s="3635"/>
    </row>
    <row r="434" spans="1:16" ht="15.75" customHeight="1">
      <c r="A434" s="3896"/>
      <c r="B434" s="336" t="s">
        <v>9</v>
      </c>
      <c r="C434" s="260"/>
      <c r="D434" s="3174">
        <f>+D435+D440</f>
        <v>454666</v>
      </c>
      <c r="E434" s="3174">
        <f t="shared" ref="E434" si="279">+E435+E440</f>
        <v>325318</v>
      </c>
      <c r="F434" s="3174">
        <f>+F435+F440</f>
        <v>129348</v>
      </c>
      <c r="G434" s="3176">
        <v>0</v>
      </c>
      <c r="H434" s="3176">
        <v>0</v>
      </c>
      <c r="I434" s="3176">
        <v>0</v>
      </c>
      <c r="J434" s="3176">
        <v>0</v>
      </c>
      <c r="K434" s="3174">
        <f>+K435+K440</f>
        <v>0</v>
      </c>
      <c r="L434" s="3174">
        <f>+L435+L440</f>
        <v>0</v>
      </c>
      <c r="M434" s="1088">
        <f>+M435+M440</f>
        <v>129348</v>
      </c>
      <c r="N434" s="3857"/>
      <c r="O434" s="3635"/>
      <c r="P434" s="3635"/>
    </row>
    <row r="435" spans="1:16" ht="12.75" customHeight="1">
      <c r="A435" s="3896"/>
      <c r="B435" s="326" t="s">
        <v>22</v>
      </c>
      <c r="C435" s="3930" t="s">
        <v>309</v>
      </c>
      <c r="D435" s="3177">
        <f>+D436</f>
        <v>70277</v>
      </c>
      <c r="E435" s="3177">
        <f t="shared" ref="E435" si="280">+E436</f>
        <v>49557</v>
      </c>
      <c r="F435" s="3177">
        <f>+F436</f>
        <v>20720</v>
      </c>
      <c r="G435" s="3179">
        <v>0</v>
      </c>
      <c r="H435" s="3179">
        <v>0</v>
      </c>
      <c r="I435" s="3179">
        <v>0</v>
      </c>
      <c r="J435" s="3179">
        <v>0</v>
      </c>
      <c r="K435" s="3177">
        <f>+K436</f>
        <v>0</v>
      </c>
      <c r="L435" s="3177">
        <f>+L436</f>
        <v>0</v>
      </c>
      <c r="M435" s="330">
        <f>M436</f>
        <v>20720</v>
      </c>
      <c r="N435" s="3857"/>
      <c r="O435" s="3635"/>
      <c r="P435" s="3635"/>
    </row>
    <row r="436" spans="1:16" ht="12.75" customHeight="1">
      <c r="A436" s="3896"/>
      <c r="B436" s="474" t="s">
        <v>11</v>
      </c>
      <c r="C436" s="3885"/>
      <c r="D436" s="468">
        <f>E436+L436+K436+F436+G436+H436+I436+J436</f>
        <v>70277</v>
      </c>
      <c r="E436" s="3180">
        <f>+E438+E439</f>
        <v>49557</v>
      </c>
      <c r="F436" s="3108">
        <f>+F438+F439</f>
        <v>20720</v>
      </c>
      <c r="G436" s="3107">
        <v>0</v>
      </c>
      <c r="H436" s="3107">
        <v>0</v>
      </c>
      <c r="I436" s="3107">
        <v>0</v>
      </c>
      <c r="J436" s="3107">
        <v>0</v>
      </c>
      <c r="K436" s="3108">
        <f>+K438+K439</f>
        <v>0</v>
      </c>
      <c r="L436" s="3108">
        <f>+L438+L439</f>
        <v>0</v>
      </c>
      <c r="M436" s="3056">
        <f>SUM(F436:J436)</f>
        <v>20720</v>
      </c>
      <c r="N436" s="3857"/>
      <c r="O436" s="3635"/>
      <c r="P436" s="3635"/>
    </row>
    <row r="437" spans="1:16" ht="12.75" hidden="1" customHeight="1">
      <c r="A437" s="3896"/>
      <c r="B437" s="474" t="s">
        <v>135</v>
      </c>
      <c r="C437" s="3885"/>
      <c r="D437" s="468"/>
      <c r="E437" s="346"/>
      <c r="F437" s="3108"/>
      <c r="G437" s="3107"/>
      <c r="H437" s="3107"/>
      <c r="I437" s="3107"/>
      <c r="J437" s="3107"/>
      <c r="K437" s="3108"/>
      <c r="L437" s="3108"/>
      <c r="M437" s="3056"/>
      <c r="N437" s="3857"/>
      <c r="O437" s="3635"/>
      <c r="P437" s="3635"/>
    </row>
    <row r="438" spans="1:16" ht="18" hidden="1" customHeight="1">
      <c r="A438" s="3896"/>
      <c r="B438" s="474" t="s">
        <v>494</v>
      </c>
      <c r="C438" s="3885"/>
      <c r="D438" s="468">
        <f>SUM(E438:F438)</f>
        <v>54138</v>
      </c>
      <c r="E438" s="3108">
        <f>3466+15069+17194</f>
        <v>35729</v>
      </c>
      <c r="F438" s="3108">
        <f>2242+500+12550+3117</f>
        <v>18409</v>
      </c>
      <c r="G438" s="3107"/>
      <c r="H438" s="3107"/>
      <c r="I438" s="3107"/>
      <c r="J438" s="3107"/>
      <c r="K438" s="3108"/>
      <c r="L438" s="3108">
        <v>0</v>
      </c>
      <c r="M438" s="3056">
        <f>SUM(F438:F438)</f>
        <v>18409</v>
      </c>
      <c r="N438" s="3857"/>
      <c r="O438" s="3635"/>
      <c r="P438" s="3635"/>
    </row>
    <row r="439" spans="1:16" ht="18" hidden="1" customHeight="1">
      <c r="A439" s="3896"/>
      <c r="B439" s="474" t="s">
        <v>237</v>
      </c>
      <c r="C439" s="3885"/>
      <c r="D439" s="468">
        <f>SUM(E439:F439)</f>
        <v>16139</v>
      </c>
      <c r="E439" s="3108">
        <f>3291+791+4694+5052</f>
        <v>13828</v>
      </c>
      <c r="F439" s="3108">
        <f>995+924+392</f>
        <v>2311</v>
      </c>
      <c r="G439" s="3107"/>
      <c r="H439" s="3107"/>
      <c r="I439" s="3107"/>
      <c r="J439" s="3107"/>
      <c r="K439" s="3108"/>
      <c r="L439" s="3108">
        <v>0</v>
      </c>
      <c r="M439" s="3056">
        <f>SUM(F439:F439)</f>
        <v>2311</v>
      </c>
      <c r="N439" s="3857"/>
      <c r="O439" s="3635"/>
      <c r="P439" s="3635"/>
    </row>
    <row r="440" spans="1:16" ht="12.75" customHeight="1">
      <c r="A440" s="3896"/>
      <c r="B440" s="3057" t="s">
        <v>17</v>
      </c>
      <c r="C440" s="3885"/>
      <c r="D440" s="331">
        <f>+D441</f>
        <v>384389</v>
      </c>
      <c r="E440" s="331">
        <f t="shared" ref="E440" si="281">+E441</f>
        <v>275761</v>
      </c>
      <c r="F440" s="331">
        <f>+F441</f>
        <v>108628</v>
      </c>
      <c r="G440" s="471">
        <v>0</v>
      </c>
      <c r="H440" s="471">
        <v>0</v>
      </c>
      <c r="I440" s="471">
        <v>0</v>
      </c>
      <c r="J440" s="471">
        <v>0</v>
      </c>
      <c r="K440" s="331">
        <f>+K441</f>
        <v>0</v>
      </c>
      <c r="L440" s="331">
        <f>+L441</f>
        <v>0</v>
      </c>
      <c r="M440" s="330">
        <f>+M441</f>
        <v>108628</v>
      </c>
      <c r="N440" s="3857"/>
      <c r="O440" s="3635"/>
      <c r="P440" s="3635"/>
    </row>
    <row r="441" spans="1:16" ht="12.75" customHeight="1">
      <c r="A441" s="3896"/>
      <c r="B441" s="2958" t="s">
        <v>19</v>
      </c>
      <c r="C441" s="3886"/>
      <c r="D441" s="468">
        <f>E441+L441+K441+F441+G441+H441+I441+J441</f>
        <v>384389</v>
      </c>
      <c r="E441" s="3180">
        <f>+E443+E444</f>
        <v>275761</v>
      </c>
      <c r="F441" s="3108">
        <f>+F443+F444</f>
        <v>108628</v>
      </c>
      <c r="G441" s="3107">
        <v>0</v>
      </c>
      <c r="H441" s="3107">
        <v>0</v>
      </c>
      <c r="I441" s="3107">
        <v>0</v>
      </c>
      <c r="J441" s="3107">
        <v>0</v>
      </c>
      <c r="K441" s="3108">
        <f>+K443+K444</f>
        <v>0</v>
      </c>
      <c r="L441" s="3108">
        <f>+L443+L444</f>
        <v>0</v>
      </c>
      <c r="M441" s="3056">
        <f>SUM(F441:J441)</f>
        <v>108628</v>
      </c>
      <c r="N441" s="3899"/>
      <c r="O441" s="3635"/>
      <c r="P441" s="3635"/>
    </row>
    <row r="442" spans="1:16" ht="12.75" hidden="1" customHeight="1">
      <c r="A442" s="3896"/>
      <c r="B442" s="1094" t="s">
        <v>135</v>
      </c>
      <c r="C442" s="3583"/>
      <c r="D442" s="468"/>
      <c r="E442" s="346"/>
      <c r="F442" s="3108"/>
      <c r="G442" s="3107"/>
      <c r="H442" s="3107"/>
      <c r="I442" s="3107"/>
      <c r="J442" s="3107"/>
      <c r="K442" s="3108"/>
      <c r="L442" s="3108"/>
      <c r="M442" s="3219"/>
      <c r="N442" s="3220"/>
      <c r="O442" s="3635"/>
      <c r="P442" s="3635"/>
    </row>
    <row r="443" spans="1:16" ht="21" hidden="1" customHeight="1">
      <c r="A443" s="3896"/>
      <c r="B443" s="474" t="s">
        <v>494</v>
      </c>
      <c r="C443" s="3221"/>
      <c r="D443" s="468">
        <f>+L443+K443+F443+E443</f>
        <v>292933</v>
      </c>
      <c r="E443" s="3108">
        <f>17695+84613+95090</f>
        <v>197398</v>
      </c>
      <c r="F443" s="3108">
        <f>12704+66586+16245</f>
        <v>95535</v>
      </c>
      <c r="G443" s="3107"/>
      <c r="H443" s="3107"/>
      <c r="I443" s="3107"/>
      <c r="J443" s="3107"/>
      <c r="K443" s="3108"/>
      <c r="L443" s="3108">
        <v>0</v>
      </c>
      <c r="M443" s="3056">
        <f>SUM(F443:F443)</f>
        <v>95535</v>
      </c>
      <c r="N443" s="3220"/>
      <c r="O443" s="3635"/>
      <c r="P443" s="3635"/>
    </row>
    <row r="444" spans="1:16" ht="14.25" hidden="1" customHeight="1">
      <c r="A444" s="3896"/>
      <c r="B444" s="474" t="s">
        <v>237</v>
      </c>
      <c r="C444" s="3221"/>
      <c r="D444" s="468">
        <f>+L444+K444+F444+E444</f>
        <v>91456</v>
      </c>
      <c r="E444" s="3108">
        <f>18646+4485+26600+28632</f>
        <v>78363</v>
      </c>
      <c r="F444" s="3108">
        <f>5644+5235+2214</f>
        <v>13093</v>
      </c>
      <c r="G444" s="3107"/>
      <c r="H444" s="3107"/>
      <c r="I444" s="3107"/>
      <c r="J444" s="3107"/>
      <c r="K444" s="3108"/>
      <c r="L444" s="3108"/>
      <c r="M444" s="3056">
        <f>SUM(F444:F444)</f>
        <v>13093</v>
      </c>
      <c r="N444" s="3220"/>
      <c r="O444" s="3635"/>
      <c r="P444" s="3635"/>
    </row>
    <row r="445" spans="1:16" ht="15.75" customHeight="1">
      <c r="A445" s="3896"/>
      <c r="B445" s="336" t="s">
        <v>20</v>
      </c>
      <c r="C445" s="260"/>
      <c r="D445" s="368">
        <f>SUM(E445:J445)</f>
        <v>384389</v>
      </c>
      <c r="E445" s="368">
        <f t="shared" ref="E445:G446" si="282">+E446</f>
        <v>174999</v>
      </c>
      <c r="F445" s="368">
        <f t="shared" si="282"/>
        <v>209390</v>
      </c>
      <c r="G445" s="387">
        <f t="shared" si="282"/>
        <v>0</v>
      </c>
      <c r="H445" s="387">
        <v>0</v>
      </c>
      <c r="I445" s="387">
        <v>0</v>
      </c>
      <c r="J445" s="387">
        <v>0</v>
      </c>
      <c r="K445" s="368">
        <f>+K446</f>
        <v>0</v>
      </c>
      <c r="L445" s="368">
        <f>+L446</f>
        <v>0</v>
      </c>
      <c r="M445" s="3900" t="s">
        <v>21</v>
      </c>
      <c r="N445" s="3857" t="s">
        <v>495</v>
      </c>
      <c r="O445" s="3635"/>
      <c r="P445" s="3635"/>
    </row>
    <row r="446" spans="1:16" ht="12.75" customHeight="1">
      <c r="A446" s="3896"/>
      <c r="B446" s="3057" t="s">
        <v>17</v>
      </c>
      <c r="C446" s="3930" t="s">
        <v>99</v>
      </c>
      <c r="D446" s="3092">
        <f>+D447</f>
        <v>384389</v>
      </c>
      <c r="E446" s="3128">
        <f t="shared" si="282"/>
        <v>174999</v>
      </c>
      <c r="F446" s="3128">
        <f t="shared" si="282"/>
        <v>209390</v>
      </c>
      <c r="G446" s="3129">
        <f t="shared" si="282"/>
        <v>0</v>
      </c>
      <c r="H446" s="351">
        <v>0</v>
      </c>
      <c r="I446" s="351">
        <v>0</v>
      </c>
      <c r="J446" s="351">
        <v>0</v>
      </c>
      <c r="K446" s="3128">
        <f>+K447</f>
        <v>0</v>
      </c>
      <c r="L446" s="3128">
        <f>+L447</f>
        <v>0</v>
      </c>
      <c r="M446" s="3865"/>
      <c r="N446" s="3857"/>
      <c r="O446" s="3635"/>
      <c r="P446" s="3635"/>
    </row>
    <row r="447" spans="1:16" ht="12" customHeight="1" thickBot="1">
      <c r="A447" s="3897"/>
      <c r="B447" s="441" t="s">
        <v>19</v>
      </c>
      <c r="C447" s="3929"/>
      <c r="D447" s="1041">
        <f>E447+L447+K447+F447+G447+H447+I447+J447</f>
        <v>384389</v>
      </c>
      <c r="E447" s="1014">
        <f>20632+7848+17417-163+129265</f>
        <v>174999</v>
      </c>
      <c r="F447" s="1014">
        <f>229775-109440-20901+74446+35030+480</f>
        <v>209390</v>
      </c>
      <c r="G447" s="1015">
        <f>34694-34694</f>
        <v>0</v>
      </c>
      <c r="H447" s="1015">
        <v>0</v>
      </c>
      <c r="I447" s="1015">
        <v>0</v>
      </c>
      <c r="J447" s="1015">
        <v>0</v>
      </c>
      <c r="K447" s="1014"/>
      <c r="L447" s="1014">
        <v>0</v>
      </c>
      <c r="M447" s="3866"/>
      <c r="N447" s="3858"/>
      <c r="O447" s="3636">
        <f>D447-D441</f>
        <v>0</v>
      </c>
      <c r="P447" s="3635"/>
    </row>
    <row r="448" spans="1:16" ht="27.75" customHeight="1">
      <c r="A448" s="3895" t="s">
        <v>85</v>
      </c>
      <c r="B448" s="3059" t="s">
        <v>387</v>
      </c>
      <c r="C448" s="25" t="s">
        <v>97</v>
      </c>
      <c r="D448" s="3170"/>
      <c r="E448" s="3170"/>
      <c r="F448" s="3170"/>
      <c r="G448" s="3170"/>
      <c r="H448" s="1477"/>
      <c r="I448" s="1477"/>
      <c r="J448" s="21"/>
      <c r="K448" s="3170"/>
      <c r="L448" s="1477"/>
      <c r="M448" s="2968"/>
      <c r="N448" s="3898" t="s">
        <v>499</v>
      </c>
      <c r="O448" s="3635"/>
      <c r="P448" s="3635"/>
    </row>
    <row r="449" spans="1:16" ht="15.75" customHeight="1">
      <c r="A449" s="3896"/>
      <c r="B449" s="336" t="s">
        <v>9</v>
      </c>
      <c r="C449" s="386"/>
      <c r="D449" s="3174">
        <f>+D450+D455</f>
        <v>489921</v>
      </c>
      <c r="E449" s="3174">
        <f>+E450+E455</f>
        <v>138250</v>
      </c>
      <c r="F449" s="3174">
        <f t="shared" ref="F449:G449" si="283">+F450+F455</f>
        <v>269499</v>
      </c>
      <c r="G449" s="3174">
        <f t="shared" si="283"/>
        <v>82172</v>
      </c>
      <c r="H449" s="3176">
        <v>0</v>
      </c>
      <c r="I449" s="3176">
        <v>0</v>
      </c>
      <c r="J449" s="3176">
        <v>0</v>
      </c>
      <c r="K449" s="3174">
        <f>+K450+K455</f>
        <v>0</v>
      </c>
      <c r="L449" s="3174">
        <f>+L450+L455</f>
        <v>0</v>
      </c>
      <c r="M449" s="3065">
        <f>+M450+M455</f>
        <v>351671</v>
      </c>
      <c r="N449" s="3857"/>
      <c r="O449" s="3635"/>
      <c r="P449" s="3635"/>
    </row>
    <row r="450" spans="1:16" ht="12.75" customHeight="1">
      <c r="A450" s="3896"/>
      <c r="B450" s="326" t="s">
        <v>22</v>
      </c>
      <c r="C450" s="3859" t="s">
        <v>309</v>
      </c>
      <c r="D450" s="3172">
        <f>D451</f>
        <v>75188</v>
      </c>
      <c r="E450" s="3172">
        <f>+E451</f>
        <v>20923</v>
      </c>
      <c r="F450" s="3172">
        <f t="shared" ref="F450:G450" si="284">+F451</f>
        <v>41599</v>
      </c>
      <c r="G450" s="3172">
        <f t="shared" si="284"/>
        <v>12666</v>
      </c>
      <c r="H450" s="3218">
        <v>0</v>
      </c>
      <c r="I450" s="3218">
        <v>0</v>
      </c>
      <c r="J450" s="3218">
        <v>0</v>
      </c>
      <c r="K450" s="3172">
        <f>+K451</f>
        <v>0</v>
      </c>
      <c r="L450" s="3172">
        <f>+L451</f>
        <v>0</v>
      </c>
      <c r="M450" s="802">
        <f>+M451</f>
        <v>54265</v>
      </c>
      <c r="N450" s="3857"/>
      <c r="O450" s="3635"/>
      <c r="P450" s="3635"/>
    </row>
    <row r="451" spans="1:16" ht="12.75" customHeight="1">
      <c r="A451" s="3896"/>
      <c r="B451" s="474" t="s">
        <v>11</v>
      </c>
      <c r="C451" s="3885"/>
      <c r="D451" s="468">
        <f>E451+L451+K451+F451+G451+H451+I451+J451</f>
        <v>75188</v>
      </c>
      <c r="E451" s="2959">
        <f>+E452</f>
        <v>20923</v>
      </c>
      <c r="F451" s="2959">
        <f t="shared" ref="F451:G451" si="285">+F452</f>
        <v>41599</v>
      </c>
      <c r="G451" s="2959">
        <f t="shared" si="285"/>
        <v>12666</v>
      </c>
      <c r="H451" s="776">
        <v>0</v>
      </c>
      <c r="I451" s="776">
        <v>0</v>
      </c>
      <c r="J451" s="776">
        <v>0</v>
      </c>
      <c r="K451" s="2959">
        <f>+K452</f>
        <v>0</v>
      </c>
      <c r="L451" s="2959">
        <f>+L452</f>
        <v>0</v>
      </c>
      <c r="M451" s="3056">
        <f>SUM(F451:J451)</f>
        <v>54265</v>
      </c>
      <c r="N451" s="3857"/>
      <c r="O451" s="3635"/>
      <c r="P451" s="3635"/>
    </row>
    <row r="452" spans="1:16" ht="12.75" hidden="1" customHeight="1">
      <c r="A452" s="3896"/>
      <c r="B452" s="474" t="s">
        <v>135</v>
      </c>
      <c r="C452" s="3885"/>
      <c r="D452" s="2959">
        <f>+L452+K452+F452+G452+E452</f>
        <v>75188</v>
      </c>
      <c r="E452" s="2959">
        <f>+E453+E454</f>
        <v>20923</v>
      </c>
      <c r="F452" s="2959">
        <f t="shared" ref="F452:G452" si="286">+F453+F454</f>
        <v>41599</v>
      </c>
      <c r="G452" s="2959">
        <f t="shared" si="286"/>
        <v>12666</v>
      </c>
      <c r="H452" s="776">
        <v>0</v>
      </c>
      <c r="I452" s="776">
        <v>0</v>
      </c>
      <c r="J452" s="776">
        <v>0</v>
      </c>
      <c r="K452" s="2959">
        <f>+K453+K454</f>
        <v>0</v>
      </c>
      <c r="L452" s="2959">
        <f>+L453+L454</f>
        <v>0</v>
      </c>
      <c r="M452" s="813">
        <f>+F452+G452</f>
        <v>54265</v>
      </c>
      <c r="N452" s="3857"/>
      <c r="O452" s="3635"/>
      <c r="P452" s="3635"/>
    </row>
    <row r="453" spans="1:16" ht="12.75" hidden="1" customHeight="1">
      <c r="A453" s="3896"/>
      <c r="B453" s="474" t="s">
        <v>494</v>
      </c>
      <c r="C453" s="3885"/>
      <c r="D453" s="468">
        <f>E453+L453+K453+F453+G453+H453+I453+J453</f>
        <v>61857</v>
      </c>
      <c r="E453" s="2959">
        <f>10714-1427-8380+13728</f>
        <v>14635</v>
      </c>
      <c r="F453" s="2959">
        <f>21679-604+15727</f>
        <v>36802</v>
      </c>
      <c r="G453" s="2959">
        <f>10713-293</f>
        <v>10420</v>
      </c>
      <c r="H453" s="776">
        <v>0</v>
      </c>
      <c r="I453" s="776">
        <v>0</v>
      </c>
      <c r="J453" s="776">
        <v>0</v>
      </c>
      <c r="K453" s="2959"/>
      <c r="L453" s="2959"/>
      <c r="M453" s="813">
        <f>+F453+G453</f>
        <v>47222</v>
      </c>
      <c r="N453" s="3857"/>
      <c r="O453" s="3635"/>
      <c r="P453" s="3635"/>
    </row>
    <row r="454" spans="1:16" ht="12.75" hidden="1" customHeight="1">
      <c r="A454" s="3896"/>
      <c r="B454" s="474" t="s">
        <v>237</v>
      </c>
      <c r="C454" s="3885"/>
      <c r="D454" s="468">
        <f>E454+L454+K454+F454+G454+H454+I454+J454</f>
        <v>13331</v>
      </c>
      <c r="E454" s="2959">
        <f>1959+294-172+4207</f>
        <v>6288</v>
      </c>
      <c r="F454" s="2959">
        <f>4030+604+163</f>
        <v>4797</v>
      </c>
      <c r="G454" s="2959">
        <f>1953+293</f>
        <v>2246</v>
      </c>
      <c r="H454" s="776">
        <v>0</v>
      </c>
      <c r="I454" s="776">
        <v>0</v>
      </c>
      <c r="J454" s="776">
        <v>0</v>
      </c>
      <c r="K454" s="2959"/>
      <c r="L454" s="2959"/>
      <c r="M454" s="813">
        <f>+F454+G454</f>
        <v>7043</v>
      </c>
      <c r="N454" s="3857"/>
      <c r="O454" s="3635"/>
      <c r="P454" s="3635"/>
    </row>
    <row r="455" spans="1:16" ht="12.75" customHeight="1">
      <c r="A455" s="3896"/>
      <c r="B455" s="3057" t="s">
        <v>17</v>
      </c>
      <c r="C455" s="3885"/>
      <c r="D455" s="801">
        <f>+E455+L455+K455+F455+G455+H455+I455+J455</f>
        <v>414733</v>
      </c>
      <c r="E455" s="801">
        <f>+E456</f>
        <v>117327</v>
      </c>
      <c r="F455" s="801">
        <f t="shared" ref="F455:G455" si="287">+F456</f>
        <v>227900</v>
      </c>
      <c r="G455" s="801">
        <f t="shared" si="287"/>
        <v>69506</v>
      </c>
      <c r="H455" s="1010">
        <v>0</v>
      </c>
      <c r="I455" s="1010">
        <v>0</v>
      </c>
      <c r="J455" s="1010">
        <v>0</v>
      </c>
      <c r="K455" s="801">
        <f>+K456</f>
        <v>0</v>
      </c>
      <c r="L455" s="801">
        <f>+L456</f>
        <v>0</v>
      </c>
      <c r="M455" s="802">
        <f>+M456</f>
        <v>297406</v>
      </c>
      <c r="N455" s="3857"/>
      <c r="O455" s="3635"/>
      <c r="P455" s="3635"/>
    </row>
    <row r="456" spans="1:16" ht="12.75" customHeight="1">
      <c r="A456" s="3896"/>
      <c r="B456" s="2958" t="s">
        <v>19</v>
      </c>
      <c r="C456" s="3886"/>
      <c r="D456" s="468">
        <f>E456+L456+K456+F456+G456+H456+I456+J456</f>
        <v>414733</v>
      </c>
      <c r="E456" s="2959">
        <f>+E457</f>
        <v>117327</v>
      </c>
      <c r="F456" s="2959">
        <f t="shared" ref="F456:G456" si="288">+F457</f>
        <v>227900</v>
      </c>
      <c r="G456" s="2959">
        <f t="shared" si="288"/>
        <v>69506</v>
      </c>
      <c r="H456" s="776">
        <v>0</v>
      </c>
      <c r="I456" s="776">
        <v>0</v>
      </c>
      <c r="J456" s="776">
        <v>0</v>
      </c>
      <c r="K456" s="2959">
        <f>+K457</f>
        <v>0</v>
      </c>
      <c r="L456" s="2959">
        <f>+L457</f>
        <v>0</v>
      </c>
      <c r="M456" s="3056">
        <f>SUM(F456:J456)</f>
        <v>297406</v>
      </c>
      <c r="N456" s="3857"/>
      <c r="O456" s="3636">
        <f>+L453+L458</f>
        <v>0</v>
      </c>
      <c r="P456" s="3635"/>
    </row>
    <row r="457" spans="1:16" ht="12.75" hidden="1" customHeight="1">
      <c r="A457" s="3896"/>
      <c r="B457" s="1094" t="s">
        <v>135</v>
      </c>
      <c r="C457" s="3583"/>
      <c r="D457" s="468">
        <f>E457+L457+K457+F457+G457+H457+I457+J457</f>
        <v>414733</v>
      </c>
      <c r="E457" s="2959">
        <f>+E458+E459</f>
        <v>117327</v>
      </c>
      <c r="F457" s="2959">
        <f>+F458+F459</f>
        <v>227900</v>
      </c>
      <c r="G457" s="2959">
        <f>+G458+G459</f>
        <v>69506</v>
      </c>
      <c r="H457" s="776">
        <v>0</v>
      </c>
      <c r="I457" s="776">
        <v>0</v>
      </c>
      <c r="J457" s="776">
        <v>0</v>
      </c>
      <c r="K457" s="2959">
        <f>+K458+K459</f>
        <v>0</v>
      </c>
      <c r="L457" s="2959">
        <f>+L458+L459</f>
        <v>0</v>
      </c>
      <c r="M457" s="813">
        <f>+G457+F457+L457</f>
        <v>297406</v>
      </c>
      <c r="N457" s="3857"/>
      <c r="O457" s="3635"/>
      <c r="P457" s="3635"/>
    </row>
    <row r="458" spans="1:16" ht="12.75" hidden="1" customHeight="1">
      <c r="A458" s="3896"/>
      <c r="B458" s="474" t="s">
        <v>494</v>
      </c>
      <c r="C458" s="3221"/>
      <c r="D458" s="468">
        <f>E458+L458+K458+F458+G458+H458+I458+J458</f>
        <v>339192</v>
      </c>
      <c r="E458" s="2959">
        <f>58446-8085-45409+76741</f>
        <v>81693</v>
      </c>
      <c r="F458" s="2959">
        <f>119450-3425+84693</f>
        <v>200718</v>
      </c>
      <c r="G458" s="2959">
        <f>58441-1660</f>
        <v>56781</v>
      </c>
      <c r="H458" s="776">
        <v>0</v>
      </c>
      <c r="I458" s="776">
        <v>0</v>
      </c>
      <c r="J458" s="776">
        <v>0</v>
      </c>
      <c r="K458" s="2959"/>
      <c r="L458" s="2959"/>
      <c r="M458" s="813">
        <f t="shared" ref="M458:M459" si="289">+G458+F458+L458</f>
        <v>257499</v>
      </c>
      <c r="N458" s="3857"/>
      <c r="O458" s="3635"/>
      <c r="P458" s="3635"/>
    </row>
    <row r="459" spans="1:16" ht="12" hidden="1" customHeight="1">
      <c r="A459" s="3896"/>
      <c r="B459" s="474" t="s">
        <v>237</v>
      </c>
      <c r="C459" s="3221"/>
      <c r="D459" s="468">
        <f>E459+L459+K459+F459+G459+H459+I459+J459</f>
        <v>75541</v>
      </c>
      <c r="E459" s="2959">
        <f>11101+1665-972+23840</f>
        <v>35634</v>
      </c>
      <c r="F459" s="2959">
        <f>22832+3425+925</f>
        <v>27182</v>
      </c>
      <c r="G459" s="2959">
        <f>11065+1660</f>
        <v>12725</v>
      </c>
      <c r="H459" s="776">
        <v>0</v>
      </c>
      <c r="I459" s="776">
        <v>0</v>
      </c>
      <c r="J459" s="776">
        <v>0</v>
      </c>
      <c r="K459" s="2959"/>
      <c r="L459" s="2959"/>
      <c r="M459" s="813">
        <f t="shared" si="289"/>
        <v>39907</v>
      </c>
      <c r="N459" s="3899"/>
      <c r="O459" s="3635"/>
      <c r="P459" s="3635"/>
    </row>
    <row r="460" spans="1:16" ht="15.75" customHeight="1">
      <c r="A460" s="3896"/>
      <c r="B460" s="336" t="s">
        <v>20</v>
      </c>
      <c r="C460" s="797"/>
      <c r="D460" s="798">
        <f t="shared" ref="D460:E461" si="290">+D461</f>
        <v>414733</v>
      </c>
      <c r="E460" s="1046">
        <f t="shared" si="290"/>
        <v>0</v>
      </c>
      <c r="F460" s="798">
        <f t="shared" ref="F460:G460" si="291">+F461</f>
        <v>212285</v>
      </c>
      <c r="G460" s="798">
        <f t="shared" si="291"/>
        <v>202448</v>
      </c>
      <c r="H460" s="1011">
        <v>0</v>
      </c>
      <c r="I460" s="1011">
        <v>0</v>
      </c>
      <c r="J460" s="1011">
        <v>0</v>
      </c>
      <c r="K460" s="798">
        <f>+K461</f>
        <v>0</v>
      </c>
      <c r="L460" s="1011">
        <v>0</v>
      </c>
      <c r="M460" s="3864" t="s">
        <v>21</v>
      </c>
      <c r="N460" s="4040" t="s">
        <v>523</v>
      </c>
      <c r="O460" s="3635"/>
      <c r="P460" s="3635"/>
    </row>
    <row r="461" spans="1:16" ht="12.75" customHeight="1">
      <c r="A461" s="3896"/>
      <c r="B461" s="3057" t="s">
        <v>17</v>
      </c>
      <c r="C461" s="3859" t="s">
        <v>308</v>
      </c>
      <c r="D461" s="816">
        <f t="shared" si="290"/>
        <v>414733</v>
      </c>
      <c r="E461" s="3222">
        <f t="shared" si="290"/>
        <v>0</v>
      </c>
      <c r="F461" s="2998">
        <f t="shared" ref="F461:G461" si="292">+F462</f>
        <v>212285</v>
      </c>
      <c r="G461" s="2998">
        <f t="shared" si="292"/>
        <v>202448</v>
      </c>
      <c r="H461" s="1012">
        <v>0</v>
      </c>
      <c r="I461" s="1012">
        <v>0</v>
      </c>
      <c r="J461" s="1012">
        <v>0</v>
      </c>
      <c r="K461" s="2998">
        <f>+K462</f>
        <v>0</v>
      </c>
      <c r="L461" s="3173">
        <v>0</v>
      </c>
      <c r="M461" s="3865"/>
      <c r="N461" s="3857"/>
      <c r="O461" s="3635"/>
      <c r="P461" s="3635"/>
    </row>
    <row r="462" spans="1:16" ht="12.75" customHeight="1" thickBot="1">
      <c r="A462" s="3897"/>
      <c r="B462" s="441" t="s">
        <v>19</v>
      </c>
      <c r="C462" s="3929"/>
      <c r="D462" s="1003">
        <f>E462+L462+K462+F462+G462+H462+I462+J462</f>
        <v>414733</v>
      </c>
      <c r="E462" s="3223">
        <v>0</v>
      </c>
      <c r="F462" s="3224">
        <f>140845+27055+44385</f>
        <v>212285</v>
      </c>
      <c r="G462" s="3225">
        <f>152504+49944</f>
        <v>202448</v>
      </c>
      <c r="H462" s="1015">
        <v>0</v>
      </c>
      <c r="I462" s="1015">
        <v>0</v>
      </c>
      <c r="J462" s="1015">
        <v>0</v>
      </c>
      <c r="K462" s="3224">
        <f>127804-6420-27055-94329</f>
        <v>0</v>
      </c>
      <c r="L462" s="1015">
        <v>0</v>
      </c>
      <c r="M462" s="3866"/>
      <c r="N462" s="3858"/>
      <c r="O462" s="3635"/>
      <c r="P462" s="3635"/>
    </row>
    <row r="463" spans="1:16" ht="26.25" hidden="1" customHeight="1">
      <c r="A463" s="4056" t="s">
        <v>214</v>
      </c>
      <c r="B463" s="3226" t="s">
        <v>91</v>
      </c>
      <c r="C463" s="3227"/>
      <c r="D463" s="3228"/>
      <c r="E463" s="3229"/>
      <c r="F463" s="3229"/>
      <c r="G463" s="3229"/>
      <c r="H463" s="3229"/>
      <c r="I463" s="3229"/>
      <c r="J463" s="3229"/>
      <c r="K463" s="3229"/>
      <c r="L463" s="3229"/>
      <c r="M463" s="3230"/>
      <c r="N463" s="4021"/>
      <c r="O463" s="3635"/>
      <c r="P463" s="3635"/>
    </row>
    <row r="464" spans="1:16" ht="12" hidden="1" customHeight="1">
      <c r="A464" s="4057"/>
      <c r="B464" s="16" t="s">
        <v>9</v>
      </c>
      <c r="C464" s="17"/>
      <c r="D464" s="3231">
        <f>+D465+D469</f>
        <v>0</v>
      </c>
      <c r="E464" s="3231">
        <f>+E465+E469</f>
        <v>0</v>
      </c>
      <c r="F464" s="3231">
        <f t="shared" ref="F464:M464" si="293">+F465+F469</f>
        <v>0</v>
      </c>
      <c r="G464" s="3231">
        <f t="shared" si="293"/>
        <v>0</v>
      </c>
      <c r="H464" s="3231">
        <f t="shared" si="293"/>
        <v>0</v>
      </c>
      <c r="I464" s="3231">
        <f t="shared" si="293"/>
        <v>0</v>
      </c>
      <c r="J464" s="3231">
        <f t="shared" si="293"/>
        <v>0</v>
      </c>
      <c r="K464" s="3231">
        <f t="shared" ref="K464" si="294">+K465+K469</f>
        <v>0</v>
      </c>
      <c r="L464" s="3231">
        <f>+L465+L469</f>
        <v>0</v>
      </c>
      <c r="M464" s="3232">
        <f t="shared" si="293"/>
        <v>0</v>
      </c>
      <c r="N464" s="4022"/>
      <c r="O464" s="3636" t="e">
        <f>+#REF!+#REF!</f>
        <v>#REF!</v>
      </c>
      <c r="P464" s="3636"/>
    </row>
    <row r="465" spans="1:16" s="455" customFormat="1" ht="12" hidden="1" customHeight="1">
      <c r="A465" s="4057"/>
      <c r="B465" s="3233" t="s">
        <v>10</v>
      </c>
      <c r="C465" s="3234"/>
      <c r="D465" s="3235">
        <f>+D466+D467+D468</f>
        <v>0</v>
      </c>
      <c r="E465" s="3235">
        <f>+E466+E467+E468</f>
        <v>0</v>
      </c>
      <c r="F465" s="3235">
        <f t="shared" ref="F465:M465" si="295">+F466+F467+F468</f>
        <v>0</v>
      </c>
      <c r="G465" s="3235">
        <f t="shared" si="295"/>
        <v>0</v>
      </c>
      <c r="H465" s="3235">
        <f t="shared" si="295"/>
        <v>0</v>
      </c>
      <c r="I465" s="3235">
        <f t="shared" si="295"/>
        <v>0</v>
      </c>
      <c r="J465" s="3235">
        <f t="shared" si="295"/>
        <v>0</v>
      </c>
      <c r="K465" s="3235">
        <f t="shared" ref="K465" si="296">+K466+K467+K468</f>
        <v>0</v>
      </c>
      <c r="L465" s="3235">
        <f>+L466+L467+L468</f>
        <v>0</v>
      </c>
      <c r="M465" s="3236">
        <f t="shared" si="295"/>
        <v>0</v>
      </c>
      <c r="N465" s="4022"/>
      <c r="P465" s="3636"/>
    </row>
    <row r="466" spans="1:16" ht="12" hidden="1" customHeight="1">
      <c r="A466" s="4057"/>
      <c r="B466" s="3237" t="s">
        <v>11</v>
      </c>
      <c r="C466" s="3238"/>
      <c r="D466" s="3239">
        <f>+D482+D500</f>
        <v>0</v>
      </c>
      <c r="E466" s="3239">
        <f>+E482+E500</f>
        <v>0</v>
      </c>
      <c r="F466" s="3239">
        <f t="shared" ref="F466:L466" si="297">+F482+F500</f>
        <v>0</v>
      </c>
      <c r="G466" s="3239">
        <f t="shared" si="297"/>
        <v>0</v>
      </c>
      <c r="H466" s="3239">
        <f t="shared" si="297"/>
        <v>0</v>
      </c>
      <c r="I466" s="3239">
        <f t="shared" si="297"/>
        <v>0</v>
      </c>
      <c r="J466" s="3239">
        <f t="shared" si="297"/>
        <v>0</v>
      </c>
      <c r="K466" s="3239">
        <f t="shared" ref="K466" si="298">+K482+K500</f>
        <v>0</v>
      </c>
      <c r="L466" s="3239">
        <f t="shared" si="297"/>
        <v>0</v>
      </c>
      <c r="M466" s="3240">
        <f>SUM(F466:G466)</f>
        <v>0</v>
      </c>
      <c r="N466" s="4022"/>
      <c r="O466" s="3636"/>
      <c r="P466" s="3636"/>
    </row>
    <row r="467" spans="1:16" ht="12" hidden="1" customHeight="1">
      <c r="A467" s="4057"/>
      <c r="B467" s="3241" t="s">
        <v>67</v>
      </c>
      <c r="C467" s="3242"/>
      <c r="D467" s="3239">
        <f>+D483</f>
        <v>0</v>
      </c>
      <c r="E467" s="3239">
        <f>+E483</f>
        <v>0</v>
      </c>
      <c r="F467" s="3239">
        <f t="shared" ref="F467:J468" si="299">+F483</f>
        <v>0</v>
      </c>
      <c r="G467" s="3239">
        <f t="shared" si="299"/>
        <v>0</v>
      </c>
      <c r="H467" s="3239">
        <f t="shared" si="299"/>
        <v>0</v>
      </c>
      <c r="I467" s="3239">
        <f t="shared" si="299"/>
        <v>0</v>
      </c>
      <c r="J467" s="3239">
        <f t="shared" si="299"/>
        <v>0</v>
      </c>
      <c r="K467" s="3239">
        <f t="shared" ref="K467:K468" si="300">+K483</f>
        <v>0</v>
      </c>
      <c r="L467" s="3239">
        <f>+L483</f>
        <v>0</v>
      </c>
      <c r="M467" s="3240">
        <f>SUM(F467:G467)</f>
        <v>0</v>
      </c>
      <c r="N467" s="4022"/>
      <c r="O467" s="3635"/>
      <c r="P467" s="3636"/>
    </row>
    <row r="468" spans="1:16" ht="12" hidden="1" customHeight="1">
      <c r="A468" s="4057"/>
      <c r="B468" s="3243" t="s">
        <v>48</v>
      </c>
      <c r="C468" s="3157"/>
      <c r="D468" s="3239">
        <f>+D484</f>
        <v>0</v>
      </c>
      <c r="E468" s="3239">
        <f>+E484</f>
        <v>0</v>
      </c>
      <c r="F468" s="3239">
        <f t="shared" si="299"/>
        <v>0</v>
      </c>
      <c r="G468" s="3239">
        <f t="shared" si="299"/>
        <v>0</v>
      </c>
      <c r="H468" s="3239">
        <f t="shared" si="299"/>
        <v>0</v>
      </c>
      <c r="I468" s="3239">
        <f t="shared" si="299"/>
        <v>0</v>
      </c>
      <c r="J468" s="3239">
        <f t="shared" si="299"/>
        <v>0</v>
      </c>
      <c r="K468" s="3239">
        <f t="shared" si="300"/>
        <v>0</v>
      </c>
      <c r="L468" s="3239">
        <f>+L484</f>
        <v>0</v>
      </c>
      <c r="M468" s="3240">
        <f>SUM(F468:G468)</f>
        <v>0</v>
      </c>
      <c r="N468" s="4022"/>
      <c r="O468" s="3636"/>
      <c r="P468" s="3636"/>
    </row>
    <row r="469" spans="1:16" s="3248" customFormat="1" ht="12" hidden="1" customHeight="1">
      <c r="A469" s="4057"/>
      <c r="B469" s="3244" t="s">
        <v>17</v>
      </c>
      <c r="C469" s="3245"/>
      <c r="D469" s="3246">
        <f>+D470+D471</f>
        <v>0</v>
      </c>
      <c r="E469" s="3246">
        <f>+E470+E471</f>
        <v>0</v>
      </c>
      <c r="F469" s="3246">
        <f t="shared" ref="F469:M469" si="301">+F470+F471</f>
        <v>0</v>
      </c>
      <c r="G469" s="3246">
        <f t="shared" si="301"/>
        <v>0</v>
      </c>
      <c r="H469" s="3246">
        <f t="shared" si="301"/>
        <v>0</v>
      </c>
      <c r="I469" s="3246">
        <f t="shared" si="301"/>
        <v>0</v>
      </c>
      <c r="J469" s="3246">
        <f t="shared" si="301"/>
        <v>0</v>
      </c>
      <c r="K469" s="3246">
        <f t="shared" ref="K469" si="302">+K470+K471</f>
        <v>0</v>
      </c>
      <c r="L469" s="3246">
        <f>+L470+L471</f>
        <v>0</v>
      </c>
      <c r="M469" s="3247">
        <f t="shared" si="301"/>
        <v>0</v>
      </c>
      <c r="N469" s="4022"/>
      <c r="O469" s="454"/>
      <c r="P469" s="454"/>
    </row>
    <row r="470" spans="1:16" ht="12" hidden="1" customHeight="1">
      <c r="A470" s="4057"/>
      <c r="B470" s="3249" t="s">
        <v>19</v>
      </c>
      <c r="C470" s="3157"/>
      <c r="D470" s="3239">
        <f>+D486+D502</f>
        <v>0</v>
      </c>
      <c r="E470" s="3239">
        <f>+E486+E502</f>
        <v>0</v>
      </c>
      <c r="F470" s="3239">
        <f t="shared" ref="F470:L470" si="303">+F486+F502</f>
        <v>0</v>
      </c>
      <c r="G470" s="3239">
        <f t="shared" si="303"/>
        <v>0</v>
      </c>
      <c r="H470" s="3239">
        <f t="shared" si="303"/>
        <v>0</v>
      </c>
      <c r="I470" s="3239">
        <f t="shared" si="303"/>
        <v>0</v>
      </c>
      <c r="J470" s="3239">
        <f t="shared" si="303"/>
        <v>0</v>
      </c>
      <c r="K470" s="3239">
        <f t="shared" ref="K470" si="304">+K486+K502</f>
        <v>0</v>
      </c>
      <c r="L470" s="3239">
        <f t="shared" si="303"/>
        <v>0</v>
      </c>
      <c r="M470" s="3240">
        <f>SUM(F470:G470)</f>
        <v>0</v>
      </c>
      <c r="N470" s="4022"/>
      <c r="O470" s="3636"/>
      <c r="P470" s="3636"/>
    </row>
    <row r="471" spans="1:16" ht="12" hidden="1" customHeight="1">
      <c r="A471" s="4057"/>
      <c r="B471" s="3249" t="s">
        <v>68</v>
      </c>
      <c r="C471" s="3157"/>
      <c r="D471" s="3239">
        <f>+D487</f>
        <v>0</v>
      </c>
      <c r="E471" s="3239">
        <f>+E487</f>
        <v>0</v>
      </c>
      <c r="F471" s="3239">
        <f t="shared" ref="F471:L471" si="305">+F487</f>
        <v>0</v>
      </c>
      <c r="G471" s="3239">
        <f t="shared" si="305"/>
        <v>0</v>
      </c>
      <c r="H471" s="3239">
        <f t="shared" si="305"/>
        <v>0</v>
      </c>
      <c r="I471" s="3239">
        <f t="shared" si="305"/>
        <v>0</v>
      </c>
      <c r="J471" s="3239">
        <f t="shared" si="305"/>
        <v>0</v>
      </c>
      <c r="K471" s="3239">
        <f t="shared" ref="K471" si="306">+K487</f>
        <v>0</v>
      </c>
      <c r="L471" s="3239">
        <f t="shared" si="305"/>
        <v>0</v>
      </c>
      <c r="M471" s="3240">
        <f>SUM(F471:G471)</f>
        <v>0</v>
      </c>
      <c r="N471" s="4022"/>
      <c r="O471" s="3636"/>
      <c r="P471" s="3636"/>
    </row>
    <row r="472" spans="1:16" ht="12" hidden="1" customHeight="1">
      <c r="A472" s="4057"/>
      <c r="B472" s="16" t="s">
        <v>20</v>
      </c>
      <c r="C472" s="17"/>
      <c r="D472" s="99">
        <f>+D473+D476</f>
        <v>0</v>
      </c>
      <c r="E472" s="99">
        <f>+E473+E476</f>
        <v>0</v>
      </c>
      <c r="F472" s="99">
        <f t="shared" ref="F472:L472" si="307">+F473+F476</f>
        <v>0</v>
      </c>
      <c r="G472" s="99">
        <f t="shared" si="307"/>
        <v>0</v>
      </c>
      <c r="H472" s="99">
        <f t="shared" si="307"/>
        <v>0</v>
      </c>
      <c r="I472" s="99">
        <f t="shared" si="307"/>
        <v>0</v>
      </c>
      <c r="J472" s="99">
        <f t="shared" si="307"/>
        <v>0</v>
      </c>
      <c r="K472" s="99">
        <f t="shared" ref="K472" si="308">+K473+K476</f>
        <v>0</v>
      </c>
      <c r="L472" s="99">
        <f t="shared" si="307"/>
        <v>0</v>
      </c>
      <c r="M472" s="4020" t="s">
        <v>21</v>
      </c>
      <c r="N472" s="4022"/>
      <c r="O472" s="3635"/>
      <c r="P472" s="3635"/>
    </row>
    <row r="473" spans="1:16" ht="12" hidden="1" customHeight="1">
      <c r="A473" s="4057"/>
      <c r="B473" s="3250" t="s">
        <v>22</v>
      </c>
      <c r="C473" s="3251"/>
      <c r="D473" s="3235">
        <f>+D474+D475</f>
        <v>0</v>
      </c>
      <c r="E473" s="3235">
        <f>+E474+E475</f>
        <v>0</v>
      </c>
      <c r="F473" s="3235">
        <f t="shared" ref="F473:L473" si="309">+F474+F475</f>
        <v>0</v>
      </c>
      <c r="G473" s="3235">
        <f t="shared" si="309"/>
        <v>0</v>
      </c>
      <c r="H473" s="3235">
        <f t="shared" si="309"/>
        <v>0</v>
      </c>
      <c r="I473" s="3235">
        <f t="shared" si="309"/>
        <v>0</v>
      </c>
      <c r="J473" s="3235">
        <f t="shared" si="309"/>
        <v>0</v>
      </c>
      <c r="K473" s="3235">
        <f t="shared" ref="K473" si="310">+K474+K475</f>
        <v>0</v>
      </c>
      <c r="L473" s="3235">
        <f t="shared" si="309"/>
        <v>0</v>
      </c>
      <c r="M473" s="3865"/>
      <c r="N473" s="4022"/>
      <c r="O473" s="3636"/>
      <c r="P473" s="3635"/>
    </row>
    <row r="474" spans="1:16" ht="12" hidden="1" customHeight="1">
      <c r="A474" s="4057"/>
      <c r="B474" s="3156" t="s">
        <v>67</v>
      </c>
      <c r="C474" s="3157"/>
      <c r="D474" s="3239">
        <f>+D490</f>
        <v>0</v>
      </c>
      <c r="E474" s="3239">
        <f>+E490</f>
        <v>0</v>
      </c>
      <c r="F474" s="3239">
        <f t="shared" ref="F474:J474" si="311">+F490</f>
        <v>0</v>
      </c>
      <c r="G474" s="3239">
        <f t="shared" si="311"/>
        <v>0</v>
      </c>
      <c r="H474" s="3239">
        <f t="shared" si="311"/>
        <v>0</v>
      </c>
      <c r="I474" s="3239">
        <f t="shared" si="311"/>
        <v>0</v>
      </c>
      <c r="J474" s="3239">
        <f t="shared" si="311"/>
        <v>0</v>
      </c>
      <c r="K474" s="3239">
        <f>+K490</f>
        <v>0</v>
      </c>
      <c r="L474" s="3239">
        <f>+L490</f>
        <v>0</v>
      </c>
      <c r="M474" s="3865"/>
      <c r="N474" s="4022"/>
      <c r="O474" s="3635"/>
      <c r="P474" s="3635"/>
    </row>
    <row r="475" spans="1:16" ht="12" hidden="1" customHeight="1">
      <c r="A475" s="4057"/>
      <c r="B475" s="3252" t="s">
        <v>48</v>
      </c>
      <c r="C475" s="3253"/>
      <c r="D475" s="3239">
        <f>+D492</f>
        <v>0</v>
      </c>
      <c r="E475" s="3239">
        <f>+E492</f>
        <v>0</v>
      </c>
      <c r="F475" s="3239">
        <f t="shared" ref="F475:J475" si="312">+F492</f>
        <v>0</v>
      </c>
      <c r="G475" s="3239">
        <f t="shared" si="312"/>
        <v>0</v>
      </c>
      <c r="H475" s="3239">
        <f t="shared" si="312"/>
        <v>0</v>
      </c>
      <c r="I475" s="3239">
        <f t="shared" si="312"/>
        <v>0</v>
      </c>
      <c r="J475" s="3239">
        <f t="shared" si="312"/>
        <v>0</v>
      </c>
      <c r="K475" s="3239">
        <f>+K492</f>
        <v>0</v>
      </c>
      <c r="L475" s="3239">
        <f>+L492</f>
        <v>0</v>
      </c>
      <c r="M475" s="3865"/>
      <c r="N475" s="4022"/>
      <c r="O475" s="3635"/>
      <c r="P475" s="3635"/>
    </row>
    <row r="476" spans="1:16" s="3248" customFormat="1" ht="12" hidden="1" customHeight="1">
      <c r="A476" s="4057"/>
      <c r="B476" s="3254" t="s">
        <v>17</v>
      </c>
      <c r="C476" s="3245"/>
      <c r="D476" s="3255">
        <f>+D477+D478</f>
        <v>0</v>
      </c>
      <c r="E476" s="3255">
        <f>+E477+E478</f>
        <v>0</v>
      </c>
      <c r="F476" s="3255">
        <f t="shared" ref="F476:L476" si="313">+F477+F478</f>
        <v>0</v>
      </c>
      <c r="G476" s="3255">
        <f t="shared" si="313"/>
        <v>0</v>
      </c>
      <c r="H476" s="3255">
        <f t="shared" si="313"/>
        <v>0</v>
      </c>
      <c r="I476" s="3255">
        <f t="shared" si="313"/>
        <v>0</v>
      </c>
      <c r="J476" s="3255">
        <f t="shared" si="313"/>
        <v>0</v>
      </c>
      <c r="K476" s="3255">
        <f t="shared" ref="K476" si="314">+K477+K478</f>
        <v>0</v>
      </c>
      <c r="L476" s="3255">
        <f t="shared" si="313"/>
        <v>0</v>
      </c>
      <c r="M476" s="3865"/>
      <c r="N476" s="4022"/>
    </row>
    <row r="477" spans="1:16" ht="12" hidden="1" customHeight="1">
      <c r="A477" s="4057"/>
      <c r="B477" s="3256" t="s">
        <v>19</v>
      </c>
      <c r="C477" s="3157"/>
      <c r="D477" s="3239">
        <f>+D495+D505</f>
        <v>0</v>
      </c>
      <c r="E477" s="3239">
        <f>+E495+E505</f>
        <v>0</v>
      </c>
      <c r="F477" s="3239">
        <f t="shared" ref="F477:L477" si="315">+F495+F505</f>
        <v>0</v>
      </c>
      <c r="G477" s="3239">
        <f t="shared" si="315"/>
        <v>0</v>
      </c>
      <c r="H477" s="3239">
        <f t="shared" si="315"/>
        <v>0</v>
      </c>
      <c r="I477" s="3239">
        <f t="shared" si="315"/>
        <v>0</v>
      </c>
      <c r="J477" s="3239">
        <f t="shared" si="315"/>
        <v>0</v>
      </c>
      <c r="K477" s="3239">
        <f t="shared" ref="K477" si="316">+K495+K505</f>
        <v>0</v>
      </c>
      <c r="L477" s="3239">
        <f t="shared" si="315"/>
        <v>0</v>
      </c>
      <c r="M477" s="3865"/>
      <c r="N477" s="4022"/>
      <c r="O477" s="3635"/>
      <c r="P477" s="3635"/>
    </row>
    <row r="478" spans="1:16" ht="12" hidden="1" customHeight="1" thickBot="1">
      <c r="A478" s="4058"/>
      <c r="B478" s="3257" t="s">
        <v>68</v>
      </c>
      <c r="C478" s="3161"/>
      <c r="D478" s="3162">
        <f>+D496</f>
        <v>0</v>
      </c>
      <c r="E478" s="3162">
        <f>+E496</f>
        <v>0</v>
      </c>
      <c r="F478" s="3258">
        <f t="shared" ref="F478:L478" si="317">+F496</f>
        <v>0</v>
      </c>
      <c r="G478" s="3259">
        <f t="shared" si="317"/>
        <v>0</v>
      </c>
      <c r="H478" s="3259">
        <f t="shared" si="317"/>
        <v>0</v>
      </c>
      <c r="I478" s="3259">
        <f t="shared" si="317"/>
        <v>0</v>
      </c>
      <c r="J478" s="3259">
        <f t="shared" si="317"/>
        <v>0</v>
      </c>
      <c r="K478" s="3162">
        <f t="shared" ref="K478" si="318">+K496</f>
        <v>0</v>
      </c>
      <c r="L478" s="3162">
        <f t="shared" si="317"/>
        <v>0</v>
      </c>
      <c r="M478" s="3866"/>
      <c r="N478" s="3260"/>
      <c r="O478" s="3635"/>
      <c r="P478" s="3635"/>
    </row>
    <row r="479" spans="1:16" hidden="1">
      <c r="A479" s="3873"/>
      <c r="B479" s="3261"/>
      <c r="C479" s="25" t="s">
        <v>70</v>
      </c>
      <c r="D479" s="3262"/>
      <c r="E479" s="3263"/>
      <c r="F479" s="3264"/>
      <c r="G479" s="3264"/>
      <c r="H479" s="3264"/>
      <c r="I479" s="3264"/>
      <c r="J479" s="3264"/>
      <c r="K479" s="3264"/>
      <c r="L479" s="3265"/>
      <c r="M479" s="22"/>
      <c r="N479" s="3898" t="s">
        <v>93</v>
      </c>
      <c r="O479" s="3635"/>
      <c r="P479" s="3635"/>
    </row>
    <row r="480" spans="1:16" ht="15" hidden="1" customHeight="1">
      <c r="A480" s="3874"/>
      <c r="B480" s="16" t="s">
        <v>9</v>
      </c>
      <c r="C480" s="17"/>
      <c r="D480" s="3266">
        <f t="shared" ref="D480:G480" si="319">+D481+D485</f>
        <v>0</v>
      </c>
      <c r="E480" s="3266">
        <f t="shared" si="319"/>
        <v>0</v>
      </c>
      <c r="F480" s="3266">
        <f t="shared" si="319"/>
        <v>0</v>
      </c>
      <c r="G480" s="3266">
        <f t="shared" si="319"/>
        <v>0</v>
      </c>
      <c r="H480" s="3266"/>
      <c r="I480" s="3266"/>
      <c r="J480" s="3266"/>
      <c r="K480" s="3266">
        <f>+K481+K485</f>
        <v>0</v>
      </c>
      <c r="L480" s="3266">
        <f>+L481+L485</f>
        <v>0</v>
      </c>
      <c r="M480" s="3232">
        <f>+M481+M485</f>
        <v>0</v>
      </c>
      <c r="N480" s="3857"/>
      <c r="O480" s="3636" t="e">
        <f>+#REF!+#REF!</f>
        <v>#REF!</v>
      </c>
      <c r="P480" s="3635"/>
    </row>
    <row r="481" spans="1:16" hidden="1">
      <c r="A481" s="3874"/>
      <c r="B481" s="73" t="s">
        <v>22</v>
      </c>
      <c r="C481" s="4017" t="s">
        <v>87</v>
      </c>
      <c r="D481" s="3267">
        <f t="shared" ref="D481:G481" si="320">+D482+D483+D484</f>
        <v>0</v>
      </c>
      <c r="E481" s="3268">
        <f t="shared" si="320"/>
        <v>0</v>
      </c>
      <c r="F481" s="3267">
        <f t="shared" si="320"/>
        <v>0</v>
      </c>
      <c r="G481" s="3267">
        <f t="shared" si="320"/>
        <v>0</v>
      </c>
      <c r="H481" s="3269"/>
      <c r="I481" s="3269"/>
      <c r="J481" s="3269"/>
      <c r="K481" s="3267">
        <f>+K482+K483+K484</f>
        <v>0</v>
      </c>
      <c r="L481" s="3267">
        <f>+L482+L483+L484</f>
        <v>0</v>
      </c>
      <c r="M481" s="34">
        <f>+M482+M483+M484</f>
        <v>0</v>
      </c>
      <c r="N481" s="3857"/>
      <c r="O481" s="3635"/>
      <c r="P481" s="3635"/>
    </row>
    <row r="482" spans="1:16" ht="11.25" hidden="1" customHeight="1">
      <c r="A482" s="3874"/>
      <c r="B482" s="233" t="s">
        <v>11</v>
      </c>
      <c r="C482" s="3908"/>
      <c r="D482" s="124">
        <f>E482+L482+K482+F482+G482+H482+I482+J482</f>
        <v>0</v>
      </c>
      <c r="E482" s="142"/>
      <c r="F482" s="3270">
        <v>0</v>
      </c>
      <c r="G482" s="3270">
        <v>0</v>
      </c>
      <c r="H482" s="3271"/>
      <c r="I482" s="3271"/>
      <c r="J482" s="3271"/>
      <c r="K482" s="3270">
        <v>0</v>
      </c>
      <c r="L482" s="3270">
        <v>0</v>
      </c>
      <c r="M482" s="3240">
        <f>SUM(F482:G482)</f>
        <v>0</v>
      </c>
      <c r="N482" s="3857"/>
      <c r="O482" s="3636"/>
      <c r="P482" s="3635"/>
    </row>
    <row r="483" spans="1:16" hidden="1">
      <c r="A483" s="3874"/>
      <c r="B483" s="47" t="s">
        <v>67</v>
      </c>
      <c r="C483" s="3908"/>
      <c r="D483" s="124">
        <f>E483+L483+K483+F483+G483+H483+I483+J483</f>
        <v>0</v>
      </c>
      <c r="E483" s="142"/>
      <c r="F483" s="48">
        <v>0</v>
      </c>
      <c r="G483" s="48">
        <v>0</v>
      </c>
      <c r="H483" s="43"/>
      <c r="I483" s="43"/>
      <c r="J483" s="43"/>
      <c r="K483" s="48">
        <v>0</v>
      </c>
      <c r="L483" s="48">
        <v>0</v>
      </c>
      <c r="M483" s="3240">
        <f>SUM(F483:G483)</f>
        <v>0</v>
      </c>
      <c r="N483" s="3857"/>
      <c r="O483" s="3635"/>
      <c r="P483" s="3635"/>
    </row>
    <row r="484" spans="1:16" ht="12" hidden="1" customHeight="1">
      <c r="A484" s="3874"/>
      <c r="B484" s="302" t="s">
        <v>94</v>
      </c>
      <c r="C484" s="3885"/>
      <c r="D484" s="124">
        <f>E484+L484+K484+F484+G484+H484+I484+J484</f>
        <v>0</v>
      </c>
      <c r="E484" s="142"/>
      <c r="F484" s="3270">
        <v>0</v>
      </c>
      <c r="G484" s="3270">
        <v>0</v>
      </c>
      <c r="H484" s="3271"/>
      <c r="I484" s="3271"/>
      <c r="J484" s="3271"/>
      <c r="K484" s="3270">
        <v>0</v>
      </c>
      <c r="L484" s="3270">
        <v>0</v>
      </c>
      <c r="M484" s="3240">
        <f>SUM(F484:G484)</f>
        <v>0</v>
      </c>
      <c r="N484" s="3857"/>
      <c r="O484" s="3635"/>
      <c r="P484" s="3635"/>
    </row>
    <row r="485" spans="1:16" s="3248" customFormat="1" hidden="1">
      <c r="A485" s="3874"/>
      <c r="B485" s="237" t="s">
        <v>17</v>
      </c>
      <c r="C485" s="3272"/>
      <c r="D485" s="3273">
        <f>+D486+D487</f>
        <v>0</v>
      </c>
      <c r="E485" s="3274">
        <f t="shared" ref="E485:M485" si="321">+E486+E487</f>
        <v>0</v>
      </c>
      <c r="F485" s="3274">
        <f t="shared" si="321"/>
        <v>0</v>
      </c>
      <c r="G485" s="3274">
        <f t="shared" si="321"/>
        <v>0</v>
      </c>
      <c r="H485" s="3274"/>
      <c r="I485" s="3274"/>
      <c r="J485" s="3274"/>
      <c r="K485" s="3274">
        <f>+K486+K487</f>
        <v>0</v>
      </c>
      <c r="L485" s="3274">
        <f>+L486+L487</f>
        <v>0</v>
      </c>
      <c r="M485" s="34">
        <f t="shared" si="321"/>
        <v>0</v>
      </c>
      <c r="N485" s="3857"/>
    </row>
    <row r="486" spans="1:16" hidden="1">
      <c r="A486" s="3874"/>
      <c r="B486" s="3275" t="s">
        <v>19</v>
      </c>
      <c r="C486" s="3582"/>
      <c r="D486" s="124">
        <f>E486+L486+K486+F486+G486+H486+I486+J486</f>
        <v>0</v>
      </c>
      <c r="E486" s="142"/>
      <c r="F486" s="3271">
        <v>0</v>
      </c>
      <c r="G486" s="3271">
        <v>0</v>
      </c>
      <c r="H486" s="3271"/>
      <c r="I486" s="3271"/>
      <c r="J486" s="3271"/>
      <c r="K486" s="3271">
        <v>0</v>
      </c>
      <c r="L486" s="3271">
        <v>0</v>
      </c>
      <c r="M486" s="3240">
        <f>SUM(F486:G486)</f>
        <v>0</v>
      </c>
      <c r="N486" s="3857"/>
      <c r="O486" s="3635"/>
      <c r="P486" s="3635"/>
    </row>
    <row r="487" spans="1:16" ht="12" hidden="1" customHeight="1">
      <c r="A487" s="3874"/>
      <c r="B487" s="3275" t="s">
        <v>68</v>
      </c>
      <c r="C487" s="3582"/>
      <c r="D487" s="124">
        <f>E487+L487+K487+F487+G487+H487+I487+J487</f>
        <v>0</v>
      </c>
      <c r="E487" s="142"/>
      <c r="F487" s="3271">
        <v>0</v>
      </c>
      <c r="G487" s="3271">
        <v>0</v>
      </c>
      <c r="H487" s="3271"/>
      <c r="I487" s="3271"/>
      <c r="J487" s="3271"/>
      <c r="K487" s="3271">
        <v>0</v>
      </c>
      <c r="L487" s="3271">
        <v>0</v>
      </c>
      <c r="M487" s="3240">
        <f>SUM(F487:G487)</f>
        <v>0</v>
      </c>
      <c r="N487" s="3857"/>
      <c r="O487" s="3635"/>
      <c r="P487" s="3635"/>
    </row>
    <row r="488" spans="1:16" ht="14.25" hidden="1" customHeight="1">
      <c r="A488" s="3874"/>
      <c r="B488" s="16" t="s">
        <v>20</v>
      </c>
      <c r="C488" s="17"/>
      <c r="D488" s="99">
        <f t="shared" ref="D488:G488" si="322">+D489+D493</f>
        <v>0</v>
      </c>
      <c r="E488" s="99">
        <f t="shared" si="322"/>
        <v>0</v>
      </c>
      <c r="F488" s="99">
        <f t="shared" si="322"/>
        <v>0</v>
      </c>
      <c r="G488" s="99">
        <f t="shared" si="322"/>
        <v>0</v>
      </c>
      <c r="H488" s="99"/>
      <c r="I488" s="99"/>
      <c r="J488" s="99"/>
      <c r="K488" s="99">
        <f>+K489+K493</f>
        <v>0</v>
      </c>
      <c r="L488" s="99">
        <f>+L489+L493</f>
        <v>0</v>
      </c>
      <c r="M488" s="4020" t="s">
        <v>21</v>
      </c>
      <c r="N488" s="3857"/>
      <c r="O488" s="3636"/>
      <c r="P488" s="3635"/>
    </row>
    <row r="489" spans="1:16" s="3277" customFormat="1" ht="12.75" hidden="1" customHeight="1">
      <c r="A489" s="3874"/>
      <c r="B489" s="73" t="s">
        <v>22</v>
      </c>
      <c r="C489" s="4017" t="s">
        <v>87</v>
      </c>
      <c r="D489" s="3276">
        <f>+D490+D491+D492</f>
        <v>0</v>
      </c>
      <c r="E489" s="3276">
        <f>SUM(E490:E492)</f>
        <v>0</v>
      </c>
      <c r="F489" s="3276">
        <f>+F490+F492</f>
        <v>0</v>
      </c>
      <c r="G489" s="3276">
        <f>+G490+G492</f>
        <v>0</v>
      </c>
      <c r="H489" s="3276"/>
      <c r="I489" s="3276"/>
      <c r="J489" s="3276"/>
      <c r="K489" s="3276">
        <f>+K490+K492</f>
        <v>0</v>
      </c>
      <c r="L489" s="3276">
        <f>+L490+L492</f>
        <v>0</v>
      </c>
      <c r="M489" s="3865"/>
      <c r="N489" s="3857"/>
    </row>
    <row r="490" spans="1:16" s="2951" customFormat="1" ht="12.75" hidden="1" customHeight="1">
      <c r="A490" s="3874"/>
      <c r="B490" s="47" t="s">
        <v>95</v>
      </c>
      <c r="C490" s="3908"/>
      <c r="D490" s="124">
        <f>E490+L490+K490+F490+G490+H490+I490+J490</f>
        <v>0</v>
      </c>
      <c r="E490" s="142"/>
      <c r="F490" s="3278">
        <v>0</v>
      </c>
      <c r="G490" s="3278">
        <v>0</v>
      </c>
      <c r="H490" s="3278"/>
      <c r="I490" s="3278"/>
      <c r="J490" s="3278"/>
      <c r="K490" s="3278">
        <v>0</v>
      </c>
      <c r="L490" s="3278">
        <v>0</v>
      </c>
      <c r="M490" s="3865"/>
      <c r="N490" s="3857"/>
      <c r="O490" s="3639">
        <v>-14575000</v>
      </c>
      <c r="P490" s="3638"/>
    </row>
    <row r="491" spans="1:16" s="2951" customFormat="1" ht="10.5" hidden="1" customHeight="1">
      <c r="A491" s="3874"/>
      <c r="B491" s="3279" t="s">
        <v>96</v>
      </c>
      <c r="C491" s="3908"/>
      <c r="D491" s="124">
        <f>E491+L491+K491+F491+G491+H491+I491+J491</f>
        <v>0</v>
      </c>
      <c r="E491" s="142"/>
      <c r="F491" s="3278"/>
      <c r="G491" s="3278"/>
      <c r="H491" s="3278"/>
      <c r="I491" s="3278"/>
      <c r="J491" s="3278"/>
      <c r="K491" s="3278"/>
      <c r="L491" s="3278"/>
      <c r="M491" s="3865"/>
      <c r="N491" s="3857"/>
      <c r="O491" s="3638"/>
      <c r="P491" s="3638"/>
    </row>
    <row r="492" spans="1:16" s="2951" customFormat="1" ht="12.75" hidden="1" customHeight="1">
      <c r="A492" s="3874"/>
      <c r="B492" s="302" t="s">
        <v>94</v>
      </c>
      <c r="C492" s="3908"/>
      <c r="D492" s="124">
        <f>E492+L492+K492+F492+G492+H492+I492+J492</f>
        <v>0</v>
      </c>
      <c r="E492" s="142"/>
      <c r="F492" s="3270">
        <v>0</v>
      </c>
      <c r="G492" s="3270">
        <v>0</v>
      </c>
      <c r="H492" s="3270"/>
      <c r="I492" s="3270"/>
      <c r="J492" s="3270"/>
      <c r="K492" s="3270">
        <v>0</v>
      </c>
      <c r="L492" s="3270">
        <v>0</v>
      </c>
      <c r="M492" s="3865"/>
      <c r="N492" s="3857"/>
      <c r="O492" s="3639"/>
      <c r="P492" s="3638"/>
    </row>
    <row r="493" spans="1:16" s="3277" customFormat="1" ht="12.75" hidden="1" customHeight="1">
      <c r="A493" s="3874"/>
      <c r="B493" s="3009" t="s">
        <v>17</v>
      </c>
      <c r="C493" s="3908"/>
      <c r="D493" s="2975">
        <f>+D494+D495+D496</f>
        <v>0</v>
      </c>
      <c r="E493" s="3280"/>
      <c r="F493" s="3280">
        <f>+F495</f>
        <v>0</v>
      </c>
      <c r="G493" s="3280">
        <f>+G495</f>
        <v>0</v>
      </c>
      <c r="H493" s="3280"/>
      <c r="I493" s="3280"/>
      <c r="J493" s="3280"/>
      <c r="K493" s="3280">
        <f>+K495</f>
        <v>0</v>
      </c>
      <c r="L493" s="3280">
        <f>+L495</f>
        <v>0</v>
      </c>
      <c r="M493" s="3865"/>
      <c r="N493" s="3857"/>
    </row>
    <row r="494" spans="1:16" s="3277" customFormat="1" ht="10.5" hidden="1" customHeight="1">
      <c r="A494" s="3874"/>
      <c r="B494" s="3279" t="s">
        <v>96</v>
      </c>
      <c r="C494" s="3908"/>
      <c r="D494" s="124">
        <f>E494+L494+K494+F494+G494+H494+I494+J494</f>
        <v>0</v>
      </c>
      <c r="E494" s="3281"/>
      <c r="F494" s="3282"/>
      <c r="G494" s="3282"/>
      <c r="H494" s="3282"/>
      <c r="I494" s="3282"/>
      <c r="J494" s="3282"/>
      <c r="K494" s="3282"/>
      <c r="L494" s="3282"/>
      <c r="M494" s="3865"/>
      <c r="N494" s="3857"/>
    </row>
    <row r="495" spans="1:16" s="2951" customFormat="1" ht="12.75" hidden="1" customHeight="1">
      <c r="A495" s="3874"/>
      <c r="B495" s="233" t="s">
        <v>19</v>
      </c>
      <c r="C495" s="3908"/>
      <c r="D495" s="124">
        <f>E495+L495+K495+F495+G495+H495+I495+J495</f>
        <v>0</v>
      </c>
      <c r="E495" s="142"/>
      <c r="F495" s="3283">
        <v>0</v>
      </c>
      <c r="G495" s="3283">
        <v>0</v>
      </c>
      <c r="H495" s="3283"/>
      <c r="I495" s="3283"/>
      <c r="J495" s="3283"/>
      <c r="K495" s="3283">
        <v>0</v>
      </c>
      <c r="L495" s="3283">
        <v>0</v>
      </c>
      <c r="M495" s="3865"/>
      <c r="N495" s="3857"/>
      <c r="O495" s="3639"/>
      <c r="P495" s="3638"/>
    </row>
    <row r="496" spans="1:16" s="2951" customFormat="1" ht="11.25" hidden="1" customHeight="1" thickBot="1">
      <c r="A496" s="3913"/>
      <c r="B496" s="33" t="s">
        <v>68</v>
      </c>
      <c r="C496" s="3909"/>
      <c r="D496" s="124">
        <f>E496+L496+K496+F496+G496+H496+I496+J496</f>
        <v>0</v>
      </c>
      <c r="E496" s="24"/>
      <c r="F496" s="3284">
        <v>0</v>
      </c>
      <c r="G496" s="79">
        <v>0</v>
      </c>
      <c r="H496" s="79"/>
      <c r="I496" s="79"/>
      <c r="J496" s="79"/>
      <c r="K496" s="3285">
        <v>0</v>
      </c>
      <c r="L496" s="3285">
        <v>0</v>
      </c>
      <c r="M496" s="3866"/>
      <c r="N496" s="3581"/>
      <c r="O496" s="3638"/>
      <c r="P496" s="3638"/>
    </row>
    <row r="497" spans="1:18" hidden="1">
      <c r="A497" s="3873"/>
      <c r="B497" s="3059"/>
      <c r="C497" s="25" t="s">
        <v>97</v>
      </c>
      <c r="D497" s="2977"/>
      <c r="E497" s="2978"/>
      <c r="F497" s="2979"/>
      <c r="G497" s="2979"/>
      <c r="H497" s="2979"/>
      <c r="I497" s="2979"/>
      <c r="J497" s="2979"/>
      <c r="K497" s="2979"/>
      <c r="L497" s="2979"/>
      <c r="M497" s="22"/>
      <c r="N497" s="3914" t="s">
        <v>90</v>
      </c>
      <c r="O497" s="3635"/>
      <c r="P497" s="3635"/>
      <c r="R497" s="2969"/>
    </row>
    <row r="498" spans="1:18" ht="14.25" hidden="1" customHeight="1">
      <c r="A498" s="3874"/>
      <c r="B498" s="16" t="s">
        <v>9</v>
      </c>
      <c r="C498" s="17"/>
      <c r="D498" s="3287">
        <f t="shared" ref="D498" si="323">+D499+D501</f>
        <v>0</v>
      </c>
      <c r="E498" s="3287">
        <f>+E499+E501</f>
        <v>0</v>
      </c>
      <c r="F498" s="3288"/>
      <c r="G498" s="3287"/>
      <c r="H498" s="3287"/>
      <c r="I498" s="3287"/>
      <c r="J498" s="3287"/>
      <c r="K498" s="3287"/>
      <c r="L498" s="3287"/>
      <c r="M498" s="28">
        <f>+M499+M501</f>
        <v>0</v>
      </c>
      <c r="N498" s="3915"/>
      <c r="O498" s="3636" t="e">
        <f>+#REF!+#REF!+L498+K498</f>
        <v>#REF!</v>
      </c>
      <c r="P498" s="3636"/>
      <c r="Q498" s="236"/>
      <c r="R498" s="236"/>
    </row>
    <row r="499" spans="1:18" ht="14.25" hidden="1" customHeight="1">
      <c r="A499" s="3874"/>
      <c r="B499" s="73" t="s">
        <v>22</v>
      </c>
      <c r="C499" s="4017" t="s">
        <v>87</v>
      </c>
      <c r="D499" s="3289">
        <f>+D500</f>
        <v>0</v>
      </c>
      <c r="E499" s="3289">
        <f t="shared" ref="E499" si="324">+E500</f>
        <v>0</v>
      </c>
      <c r="F499" s="3290"/>
      <c r="G499" s="3289"/>
      <c r="H499" s="3289"/>
      <c r="I499" s="3289"/>
      <c r="J499" s="3289"/>
      <c r="K499" s="3289"/>
      <c r="L499" s="3289"/>
      <c r="M499" s="34">
        <f>+M500</f>
        <v>0</v>
      </c>
      <c r="N499" s="3915"/>
      <c r="O499" s="3636"/>
      <c r="P499" s="3635"/>
    </row>
    <row r="500" spans="1:18" hidden="1">
      <c r="A500" s="3874"/>
      <c r="B500" s="3200" t="s">
        <v>11</v>
      </c>
      <c r="C500" s="3921"/>
      <c r="D500" s="124">
        <f>E500+L500+K500+F500+G500+H500+I500+J500</f>
        <v>0</v>
      </c>
      <c r="E500" s="142"/>
      <c r="F500" s="3291"/>
      <c r="G500" s="3292"/>
      <c r="H500" s="3292"/>
      <c r="I500" s="3292"/>
      <c r="J500" s="3292"/>
      <c r="K500" s="3292"/>
      <c r="L500" s="3292"/>
      <c r="M500" s="3240">
        <f>SUM(F500:G500)</f>
        <v>0</v>
      </c>
      <c r="N500" s="3915"/>
      <c r="O500" s="3635"/>
      <c r="P500" s="3635"/>
    </row>
    <row r="501" spans="1:18" ht="14.25" hidden="1" customHeight="1">
      <c r="A501" s="3874"/>
      <c r="B501" s="237" t="s">
        <v>17</v>
      </c>
      <c r="C501" s="3921"/>
      <c r="D501" s="3273">
        <f>+D502</f>
        <v>0</v>
      </c>
      <c r="E501" s="3273">
        <f t="shared" ref="E501" si="325">+E502</f>
        <v>0</v>
      </c>
      <c r="F501" s="23"/>
      <c r="G501" s="3273"/>
      <c r="H501" s="3273"/>
      <c r="I501" s="3273"/>
      <c r="J501" s="3273"/>
      <c r="K501" s="3273"/>
      <c r="L501" s="3273"/>
      <c r="M501" s="34">
        <f>+M502</f>
        <v>0</v>
      </c>
      <c r="N501" s="3915"/>
      <c r="O501" s="3635"/>
      <c r="P501" s="3635"/>
    </row>
    <row r="502" spans="1:18" hidden="1">
      <c r="A502" s="3874"/>
      <c r="B502" s="3293" t="s">
        <v>19</v>
      </c>
      <c r="C502" s="3921"/>
      <c r="D502" s="124">
        <f>E502+L502+K502+F502+G502+H502+I502+J502</f>
        <v>0</v>
      </c>
      <c r="E502" s="142"/>
      <c r="F502" s="3291"/>
      <c r="G502" s="3292"/>
      <c r="H502" s="3292"/>
      <c r="I502" s="3292"/>
      <c r="J502" s="3292"/>
      <c r="K502" s="3292"/>
      <c r="L502" s="3292"/>
      <c r="M502" s="3240">
        <f>SUM(F502:G502)</f>
        <v>0</v>
      </c>
      <c r="N502" s="3915"/>
      <c r="O502" s="3635"/>
      <c r="P502" s="3635"/>
    </row>
    <row r="503" spans="1:18" ht="14.25" hidden="1" customHeight="1">
      <c r="A503" s="3875"/>
      <c r="B503" s="16" t="s">
        <v>20</v>
      </c>
      <c r="C503" s="17"/>
      <c r="D503" s="99">
        <f>+D504</f>
        <v>0</v>
      </c>
      <c r="E503" s="99">
        <f t="shared" ref="E503" si="326">+E504</f>
        <v>0</v>
      </c>
      <c r="F503" s="3294"/>
      <c r="G503" s="99"/>
      <c r="H503" s="99"/>
      <c r="I503" s="99"/>
      <c r="J503" s="99"/>
      <c r="K503" s="99"/>
      <c r="L503" s="99"/>
      <c r="M503" s="3880" t="s">
        <v>21</v>
      </c>
      <c r="N503" s="3942"/>
      <c r="O503" s="3636"/>
      <c r="P503" s="3635"/>
    </row>
    <row r="504" spans="1:18" s="2951" customFormat="1" ht="14.25" hidden="1" customHeight="1">
      <c r="A504" s="3875"/>
      <c r="B504" s="237" t="s">
        <v>17</v>
      </c>
      <c r="C504" s="4017" t="s">
        <v>87</v>
      </c>
      <c r="D504" s="3276">
        <f>+D505</f>
        <v>0</v>
      </c>
      <c r="E504" s="3276"/>
      <c r="F504" s="3280"/>
      <c r="G504" s="3276"/>
      <c r="H504" s="3276"/>
      <c r="I504" s="3276"/>
      <c r="J504" s="3276"/>
      <c r="K504" s="3276"/>
      <c r="L504" s="3276"/>
      <c r="M504" s="3881"/>
      <c r="N504" s="3942"/>
      <c r="O504" s="3638"/>
      <c r="P504" s="3638"/>
    </row>
    <row r="505" spans="1:18" s="2951" customFormat="1" ht="14.25" hidden="1" customHeight="1" thickBot="1">
      <c r="A505" s="3876"/>
      <c r="B505" s="3216" t="s">
        <v>19</v>
      </c>
      <c r="C505" s="3929"/>
      <c r="D505" s="124">
        <f>E505+L505+K505+F505+G505+H505+I505+J505</f>
        <v>0</v>
      </c>
      <c r="E505" s="3295"/>
      <c r="F505" s="2999"/>
      <c r="G505" s="2999"/>
      <c r="H505" s="2999"/>
      <c r="I505" s="2999"/>
      <c r="J505" s="2999"/>
      <c r="K505" s="2999"/>
      <c r="L505" s="2999"/>
      <c r="M505" s="3882"/>
      <c r="N505" s="3943"/>
      <c r="O505" s="3638"/>
      <c r="P505" s="3638"/>
    </row>
    <row r="506" spans="1:18" ht="27.75" hidden="1" customHeight="1">
      <c r="A506" s="4011" t="s">
        <v>215</v>
      </c>
      <c r="B506" s="3296" t="s">
        <v>184</v>
      </c>
      <c r="C506" s="3297"/>
      <c r="D506" s="3298"/>
      <c r="E506" s="3229"/>
      <c r="F506" s="3229"/>
      <c r="G506" s="3229"/>
      <c r="H506" s="3229"/>
      <c r="I506" s="3229"/>
      <c r="J506" s="3229"/>
      <c r="K506" s="3229"/>
      <c r="L506" s="3229"/>
      <c r="M506" s="3041"/>
      <c r="N506" s="3877"/>
      <c r="O506" s="3635"/>
      <c r="P506" s="3635"/>
    </row>
    <row r="507" spans="1:18" ht="14.25" hidden="1" customHeight="1">
      <c r="A507" s="4012"/>
      <c r="B507" s="16" t="s">
        <v>9</v>
      </c>
      <c r="C507" s="3299"/>
      <c r="D507" s="3231">
        <f>+D508+D510</f>
        <v>0</v>
      </c>
      <c r="E507" s="3231">
        <f t="shared" ref="E507:M507" si="327">+E508+E510</f>
        <v>0</v>
      </c>
      <c r="F507" s="3231">
        <f t="shared" si="327"/>
        <v>0</v>
      </c>
      <c r="G507" s="3231">
        <f t="shared" si="327"/>
        <v>0</v>
      </c>
      <c r="H507" s="3231">
        <f t="shared" si="327"/>
        <v>0</v>
      </c>
      <c r="I507" s="3231">
        <f t="shared" si="327"/>
        <v>0</v>
      </c>
      <c r="J507" s="3231">
        <f t="shared" si="327"/>
        <v>0</v>
      </c>
      <c r="K507" s="3231">
        <f>+K508+K510</f>
        <v>0</v>
      </c>
      <c r="L507" s="3231">
        <f>+L508+L510</f>
        <v>0</v>
      </c>
      <c r="M507" s="28">
        <f t="shared" si="327"/>
        <v>0</v>
      </c>
      <c r="N507" s="3878"/>
      <c r="O507" s="3636" t="e">
        <f>+#REF!+#REF!+L507+K507</f>
        <v>#REF!</v>
      </c>
      <c r="P507" s="3635"/>
    </row>
    <row r="508" spans="1:18" ht="13.5" hidden="1" customHeight="1">
      <c r="A508" s="4012"/>
      <c r="B508" s="3300" t="s">
        <v>22</v>
      </c>
      <c r="C508" s="3301"/>
      <c r="D508" s="3235">
        <f>+D509</f>
        <v>0</v>
      </c>
      <c r="E508" s="3235">
        <f t="shared" ref="E508:M508" si="328">+E509</f>
        <v>0</v>
      </c>
      <c r="F508" s="3235">
        <f t="shared" si="328"/>
        <v>0</v>
      </c>
      <c r="G508" s="3235">
        <f t="shared" si="328"/>
        <v>0</v>
      </c>
      <c r="H508" s="3235">
        <f t="shared" si="328"/>
        <v>0</v>
      </c>
      <c r="I508" s="3235">
        <f t="shared" si="328"/>
        <v>0</v>
      </c>
      <c r="J508" s="3235">
        <f t="shared" si="328"/>
        <v>0</v>
      </c>
      <c r="K508" s="3235">
        <f>+K509</f>
        <v>0</v>
      </c>
      <c r="L508" s="3235">
        <f>+L509</f>
        <v>0</v>
      </c>
      <c r="M508" s="3302">
        <f t="shared" si="328"/>
        <v>0</v>
      </c>
      <c r="N508" s="3878"/>
      <c r="O508" s="3635"/>
      <c r="P508" s="3635"/>
    </row>
    <row r="509" spans="1:18" hidden="1">
      <c r="A509" s="4012"/>
      <c r="B509" s="3303" t="s">
        <v>11</v>
      </c>
      <c r="C509" s="3304"/>
      <c r="D509" s="3239">
        <f>+D518</f>
        <v>0</v>
      </c>
      <c r="E509" s="3239">
        <f>+E518</f>
        <v>0</v>
      </c>
      <c r="F509" s="3239">
        <f t="shared" ref="F509:G509" si="329">+F518</f>
        <v>0</v>
      </c>
      <c r="G509" s="3239">
        <f t="shared" si="329"/>
        <v>0</v>
      </c>
      <c r="H509" s="3239">
        <f>+H518</f>
        <v>0</v>
      </c>
      <c r="I509" s="3239">
        <f>+I518</f>
        <v>0</v>
      </c>
      <c r="J509" s="3239">
        <f>+J518</f>
        <v>0</v>
      </c>
      <c r="K509" s="3239">
        <f>+K518</f>
        <v>0</v>
      </c>
      <c r="L509" s="3239">
        <f>+L518</f>
        <v>0</v>
      </c>
      <c r="M509" s="3240">
        <f>SUM(F509:G509)</f>
        <v>0</v>
      </c>
      <c r="N509" s="3878"/>
      <c r="O509" s="3635"/>
      <c r="P509" s="3635"/>
    </row>
    <row r="510" spans="1:18" ht="14.25" hidden="1" customHeight="1">
      <c r="A510" s="4012"/>
      <c r="B510" s="3305" t="s">
        <v>17</v>
      </c>
      <c r="C510" s="3306"/>
      <c r="D510" s="3246">
        <f>+D511</f>
        <v>0</v>
      </c>
      <c r="E510" s="3246">
        <f t="shared" ref="E510:M510" si="330">+E511</f>
        <v>0</v>
      </c>
      <c r="F510" s="3246">
        <f t="shared" si="330"/>
        <v>0</v>
      </c>
      <c r="G510" s="3246">
        <f t="shared" si="330"/>
        <v>0</v>
      </c>
      <c r="H510" s="3246">
        <f t="shared" si="330"/>
        <v>0</v>
      </c>
      <c r="I510" s="3246">
        <f t="shared" si="330"/>
        <v>0</v>
      </c>
      <c r="J510" s="3246">
        <f t="shared" si="330"/>
        <v>0</v>
      </c>
      <c r="K510" s="3246">
        <f>+K511</f>
        <v>0</v>
      </c>
      <c r="L510" s="3246">
        <f>+L511</f>
        <v>0</v>
      </c>
      <c r="M510" s="3302">
        <f t="shared" si="330"/>
        <v>0</v>
      </c>
      <c r="N510" s="3878"/>
      <c r="O510" s="3635"/>
      <c r="P510" s="3635"/>
    </row>
    <row r="511" spans="1:18" ht="11.25" hidden="1" customHeight="1">
      <c r="A511" s="4012"/>
      <c r="B511" s="3156" t="s">
        <v>18</v>
      </c>
      <c r="C511" s="3304"/>
      <c r="D511" s="3239">
        <f>+D520</f>
        <v>0</v>
      </c>
      <c r="E511" s="3239">
        <f t="shared" ref="E511:G511" si="331">+E520</f>
        <v>0</v>
      </c>
      <c r="F511" s="3239">
        <f t="shared" si="331"/>
        <v>0</v>
      </c>
      <c r="G511" s="3239">
        <f t="shared" si="331"/>
        <v>0</v>
      </c>
      <c r="H511" s="3239">
        <f>+H520</f>
        <v>0</v>
      </c>
      <c r="I511" s="3239">
        <f>+I520</f>
        <v>0</v>
      </c>
      <c r="J511" s="3239">
        <f>+J520</f>
        <v>0</v>
      </c>
      <c r="K511" s="3239">
        <f>+K520</f>
        <v>0</v>
      </c>
      <c r="L511" s="3239">
        <f>+L520</f>
        <v>0</v>
      </c>
      <c r="M511" s="3240">
        <f>SUM(F511:G511)</f>
        <v>0</v>
      </c>
      <c r="N511" s="3878"/>
      <c r="O511" s="3635"/>
      <c r="P511" s="3635"/>
    </row>
    <row r="512" spans="1:18" ht="13.5" hidden="1" customHeight="1">
      <c r="A512" s="4012"/>
      <c r="B512" s="16" t="s">
        <v>20</v>
      </c>
      <c r="C512" s="3299"/>
      <c r="D512" s="3231">
        <f>+D513</f>
        <v>0</v>
      </c>
      <c r="E512" s="3231">
        <f>+E513</f>
        <v>0</v>
      </c>
      <c r="F512" s="3231">
        <f t="shared" ref="F512:J513" si="332">+F513</f>
        <v>0</v>
      </c>
      <c r="G512" s="3231">
        <f t="shared" si="332"/>
        <v>0</v>
      </c>
      <c r="H512" s="3231">
        <f t="shared" si="332"/>
        <v>0</v>
      </c>
      <c r="I512" s="3231">
        <f t="shared" si="332"/>
        <v>0</v>
      </c>
      <c r="J512" s="3231">
        <f t="shared" si="332"/>
        <v>0</v>
      </c>
      <c r="K512" s="3231">
        <f>+K513</f>
        <v>0</v>
      </c>
      <c r="L512" s="3231">
        <f>+L513</f>
        <v>0</v>
      </c>
      <c r="M512" s="3880" t="s">
        <v>21</v>
      </c>
      <c r="N512" s="3878"/>
      <c r="O512" s="3635"/>
      <c r="P512" s="3635"/>
    </row>
    <row r="513" spans="1:18" ht="12" hidden="1" customHeight="1">
      <c r="A513" s="4012"/>
      <c r="B513" s="3307" t="s">
        <v>17</v>
      </c>
      <c r="C513" s="3301"/>
      <c r="D513" s="3235">
        <f>+D514</f>
        <v>0</v>
      </c>
      <c r="E513" s="3235">
        <f>+E514</f>
        <v>0</v>
      </c>
      <c r="F513" s="3235">
        <f t="shared" si="332"/>
        <v>0</v>
      </c>
      <c r="G513" s="3235">
        <f t="shared" si="332"/>
        <v>0</v>
      </c>
      <c r="H513" s="3235">
        <f t="shared" si="332"/>
        <v>0</v>
      </c>
      <c r="I513" s="3235">
        <f t="shared" si="332"/>
        <v>0</v>
      </c>
      <c r="J513" s="3235">
        <f t="shared" si="332"/>
        <v>0</v>
      </c>
      <c r="K513" s="3235">
        <f>+K514</f>
        <v>0</v>
      </c>
      <c r="L513" s="3235">
        <f>+L514</f>
        <v>0</v>
      </c>
      <c r="M513" s="3881"/>
      <c r="N513" s="3878"/>
      <c r="O513" s="3635"/>
      <c r="P513" s="3635"/>
    </row>
    <row r="514" spans="1:18" ht="13.5" hidden="1" customHeight="1" thickBot="1">
      <c r="A514" s="4013"/>
      <c r="B514" s="3156" t="s">
        <v>18</v>
      </c>
      <c r="C514" s="3304"/>
      <c r="D514" s="3239">
        <f>+D523</f>
        <v>0</v>
      </c>
      <c r="E514" s="3239">
        <f t="shared" ref="E514:G514" si="333">+E523</f>
        <v>0</v>
      </c>
      <c r="F514" s="3258">
        <f t="shared" si="333"/>
        <v>0</v>
      </c>
      <c r="G514" s="3259">
        <f t="shared" si="333"/>
        <v>0</v>
      </c>
      <c r="H514" s="3259">
        <f>+H523</f>
        <v>0</v>
      </c>
      <c r="I514" s="3259">
        <f>+I523</f>
        <v>0</v>
      </c>
      <c r="J514" s="3259">
        <f>+J523</f>
        <v>0</v>
      </c>
      <c r="K514" s="3239">
        <f>+K523</f>
        <v>0</v>
      </c>
      <c r="L514" s="3239">
        <f>+L523</f>
        <v>0</v>
      </c>
      <c r="M514" s="3882"/>
      <c r="N514" s="3879"/>
      <c r="O514" s="3635"/>
      <c r="P514" s="3635"/>
    </row>
    <row r="515" spans="1:18" hidden="1">
      <c r="A515" s="3873" t="s">
        <v>229</v>
      </c>
      <c r="B515" s="3059"/>
      <c r="C515" s="25" t="s">
        <v>97</v>
      </c>
      <c r="D515" s="2977"/>
      <c r="E515" s="2978"/>
      <c r="F515" s="2979"/>
      <c r="G515" s="2979"/>
      <c r="H515" s="2979"/>
      <c r="I515" s="2979"/>
      <c r="J515" s="2979"/>
      <c r="K515" s="2979"/>
      <c r="L515" s="2979"/>
      <c r="M515" s="22"/>
      <c r="N515" s="3914" t="s">
        <v>98</v>
      </c>
      <c r="O515" s="3635"/>
      <c r="P515" s="3635"/>
      <c r="R515" s="2969"/>
    </row>
    <row r="516" spans="1:18" ht="14.25" hidden="1" customHeight="1">
      <c r="A516" s="3874"/>
      <c r="B516" s="336" t="s">
        <v>9</v>
      </c>
      <c r="C516" s="797"/>
      <c r="D516" s="2957">
        <f>+D517+D519</f>
        <v>0</v>
      </c>
      <c r="E516" s="2957">
        <f t="shared" ref="E516:M516" si="334">+E517+E519</f>
        <v>0</v>
      </c>
      <c r="F516" s="3308">
        <f t="shared" si="334"/>
        <v>0</v>
      </c>
      <c r="G516" s="3308">
        <f t="shared" si="334"/>
        <v>0</v>
      </c>
      <c r="H516" s="3308">
        <f t="shared" si="334"/>
        <v>0</v>
      </c>
      <c r="I516" s="3308">
        <f t="shared" si="334"/>
        <v>0</v>
      </c>
      <c r="J516" s="3308">
        <f t="shared" si="334"/>
        <v>0</v>
      </c>
      <c r="K516" s="3308">
        <f>+K517+K519</f>
        <v>0</v>
      </c>
      <c r="L516" s="3308">
        <f>+L517+L519</f>
        <v>0</v>
      </c>
      <c r="M516" s="799">
        <f t="shared" si="334"/>
        <v>0</v>
      </c>
      <c r="N516" s="3915"/>
      <c r="O516" s="3636" t="e">
        <f>+#REF!+#REF!+L516+K516</f>
        <v>#REF!</v>
      </c>
      <c r="P516" s="3636"/>
      <c r="Q516" s="236"/>
      <c r="R516" s="236"/>
    </row>
    <row r="517" spans="1:18" ht="14.25" hidden="1" customHeight="1">
      <c r="A517" s="3874"/>
      <c r="B517" s="326" t="s">
        <v>22</v>
      </c>
      <c r="C517" s="3859" t="s">
        <v>99</v>
      </c>
      <c r="D517" s="811">
        <f>+D518</f>
        <v>0</v>
      </c>
      <c r="E517" s="811">
        <f t="shared" ref="E517:M517" si="335">+E518</f>
        <v>0</v>
      </c>
      <c r="F517" s="1009">
        <f t="shared" si="335"/>
        <v>0</v>
      </c>
      <c r="G517" s="1009">
        <f t="shared" si="335"/>
        <v>0</v>
      </c>
      <c r="H517" s="1009">
        <f t="shared" si="335"/>
        <v>0</v>
      </c>
      <c r="I517" s="1009">
        <f t="shared" si="335"/>
        <v>0</v>
      </c>
      <c r="J517" s="1009">
        <f t="shared" si="335"/>
        <v>0</v>
      </c>
      <c r="K517" s="1009">
        <f>+K518</f>
        <v>0</v>
      </c>
      <c r="L517" s="1009">
        <f>+L518</f>
        <v>0</v>
      </c>
      <c r="M517" s="802">
        <f t="shared" si="335"/>
        <v>0</v>
      </c>
      <c r="N517" s="3915"/>
      <c r="O517" s="3636"/>
      <c r="P517" s="3635"/>
    </row>
    <row r="518" spans="1:18" ht="14.25" hidden="1" customHeight="1">
      <c r="A518" s="3874"/>
      <c r="B518" s="474" t="s">
        <v>11</v>
      </c>
      <c r="C518" s="3921"/>
      <c r="D518" s="766">
        <f>E518+L518+K518+F518+G518+H518+I518+J518</f>
        <v>0</v>
      </c>
      <c r="E518" s="787"/>
      <c r="F518" s="825">
        <v>0</v>
      </c>
      <c r="G518" s="825">
        <v>0</v>
      </c>
      <c r="H518" s="825">
        <v>0</v>
      </c>
      <c r="I518" s="825">
        <v>0</v>
      </c>
      <c r="J518" s="825">
        <v>0</v>
      </c>
      <c r="K518" s="825">
        <v>0</v>
      </c>
      <c r="L518" s="825">
        <v>0</v>
      </c>
      <c r="M518" s="813">
        <f>SUM(F518:G518)</f>
        <v>0</v>
      </c>
      <c r="N518" s="3915"/>
      <c r="O518" s="3635"/>
      <c r="P518" s="3635"/>
    </row>
    <row r="519" spans="1:18" ht="14.25" hidden="1" customHeight="1">
      <c r="A519" s="3874"/>
      <c r="B519" s="3057" t="s">
        <v>17</v>
      </c>
      <c r="C519" s="3921"/>
      <c r="D519" s="801">
        <f t="shared" ref="D519:M519" si="336">+D520</f>
        <v>0</v>
      </c>
      <c r="E519" s="801">
        <f t="shared" si="336"/>
        <v>0</v>
      </c>
      <c r="F519" s="1010">
        <f t="shared" si="336"/>
        <v>0</v>
      </c>
      <c r="G519" s="1010">
        <f t="shared" si="336"/>
        <v>0</v>
      </c>
      <c r="H519" s="1010">
        <f t="shared" si="336"/>
        <v>0</v>
      </c>
      <c r="I519" s="1010">
        <f t="shared" si="336"/>
        <v>0</v>
      </c>
      <c r="J519" s="1010">
        <f t="shared" si="336"/>
        <v>0</v>
      </c>
      <c r="K519" s="1010">
        <f>+K520</f>
        <v>0</v>
      </c>
      <c r="L519" s="1010">
        <f>+L520</f>
        <v>0</v>
      </c>
      <c r="M519" s="802">
        <f t="shared" si="336"/>
        <v>0</v>
      </c>
      <c r="N519" s="3915"/>
      <c r="O519" s="3635"/>
      <c r="P519" s="3635"/>
    </row>
    <row r="520" spans="1:18" ht="14.25" hidden="1" customHeight="1">
      <c r="A520" s="3874"/>
      <c r="B520" s="3030" t="s">
        <v>18</v>
      </c>
      <c r="C520" s="3921"/>
      <c r="D520" s="766">
        <f>E520+L520+K520+F520+G520+H520+I520+J520</f>
        <v>0</v>
      </c>
      <c r="E520" s="787">
        <v>0</v>
      </c>
      <c r="F520" s="825">
        <v>0</v>
      </c>
      <c r="G520" s="825">
        <v>0</v>
      </c>
      <c r="H520" s="825">
        <v>0</v>
      </c>
      <c r="I520" s="825">
        <v>0</v>
      </c>
      <c r="J520" s="825">
        <v>0</v>
      </c>
      <c r="K520" s="825">
        <v>0</v>
      </c>
      <c r="L520" s="825">
        <v>0</v>
      </c>
      <c r="M520" s="813">
        <f>SUM(F520:G520)</f>
        <v>0</v>
      </c>
      <c r="N520" s="3915"/>
      <c r="O520" s="3635"/>
      <c r="P520" s="3635"/>
    </row>
    <row r="521" spans="1:18" ht="14.25" hidden="1" customHeight="1">
      <c r="A521" s="3875"/>
      <c r="B521" s="336" t="s">
        <v>20</v>
      </c>
      <c r="C521" s="797"/>
      <c r="D521" s="798">
        <f>+D522</f>
        <v>0</v>
      </c>
      <c r="E521" s="798">
        <f t="shared" ref="E521:J522" si="337">+E522</f>
        <v>0</v>
      </c>
      <c r="F521" s="1011">
        <f t="shared" si="337"/>
        <v>0</v>
      </c>
      <c r="G521" s="1011">
        <f t="shared" si="337"/>
        <v>0</v>
      </c>
      <c r="H521" s="1011">
        <f t="shared" si="337"/>
        <v>0</v>
      </c>
      <c r="I521" s="1011">
        <f t="shared" si="337"/>
        <v>0</v>
      </c>
      <c r="J521" s="1011">
        <f t="shared" si="337"/>
        <v>0</v>
      </c>
      <c r="K521" s="1011">
        <f>+K522</f>
        <v>0</v>
      </c>
      <c r="L521" s="1011">
        <f>+L522</f>
        <v>0</v>
      </c>
      <c r="M521" s="3883" t="s">
        <v>21</v>
      </c>
      <c r="N521" s="3942"/>
      <c r="O521" s="3635"/>
      <c r="P521" s="3635"/>
    </row>
    <row r="522" spans="1:18" s="2951" customFormat="1" ht="14.25" hidden="1" customHeight="1">
      <c r="A522" s="3875"/>
      <c r="B522" s="3057" t="s">
        <v>17</v>
      </c>
      <c r="C522" s="3859" t="s">
        <v>100</v>
      </c>
      <c r="D522" s="816">
        <f>+D523</f>
        <v>0</v>
      </c>
      <c r="E522" s="2998">
        <f t="shared" si="337"/>
        <v>0</v>
      </c>
      <c r="F522" s="1012">
        <f t="shared" si="337"/>
        <v>0</v>
      </c>
      <c r="G522" s="1012">
        <f t="shared" si="337"/>
        <v>0</v>
      </c>
      <c r="H522" s="1012">
        <f t="shared" si="337"/>
        <v>0</v>
      </c>
      <c r="I522" s="1012">
        <f t="shared" si="337"/>
        <v>0</v>
      </c>
      <c r="J522" s="1012">
        <f t="shared" si="337"/>
        <v>0</v>
      </c>
      <c r="K522" s="1012">
        <f>+K523</f>
        <v>0</v>
      </c>
      <c r="L522" s="1012">
        <f>+L523</f>
        <v>0</v>
      </c>
      <c r="M522" s="3881"/>
      <c r="N522" s="3942"/>
      <c r="O522" s="3638"/>
      <c r="P522" s="3638"/>
    </row>
    <row r="523" spans="1:18" s="2951" customFormat="1" ht="14.25" hidden="1" customHeight="1" thickBot="1">
      <c r="A523" s="3876"/>
      <c r="B523" s="441" t="s">
        <v>18</v>
      </c>
      <c r="C523" s="3929"/>
      <c r="D523" s="856">
        <f>E523+L523+K523+F523+G523+H523+I523+J523</f>
        <v>0</v>
      </c>
      <c r="E523" s="1003">
        <v>0</v>
      </c>
      <c r="F523" s="3053">
        <v>0</v>
      </c>
      <c r="G523" s="3053">
        <v>0</v>
      </c>
      <c r="H523" s="3053">
        <v>0</v>
      </c>
      <c r="I523" s="3053">
        <v>0</v>
      </c>
      <c r="J523" s="3053">
        <v>0</v>
      </c>
      <c r="K523" s="3053">
        <v>0</v>
      </c>
      <c r="L523" s="3053">
        <v>0</v>
      </c>
      <c r="M523" s="3882"/>
      <c r="N523" s="3943"/>
      <c r="O523" s="3639">
        <f>D523-D520</f>
        <v>0</v>
      </c>
      <c r="P523" s="3638"/>
    </row>
    <row r="524" spans="1:18" ht="17.25" customHeight="1" thickBot="1">
      <c r="A524" s="3309" t="s">
        <v>101</v>
      </c>
      <c r="B524" s="3310"/>
      <c r="C524" s="3311"/>
      <c r="D524" s="3312"/>
      <c r="E524" s="3312"/>
      <c r="F524" s="3311"/>
      <c r="G524" s="3311"/>
      <c r="H524" s="3311"/>
      <c r="I524" s="3311"/>
      <c r="J524" s="3311"/>
      <c r="K524" s="3311"/>
      <c r="L524" s="3311"/>
      <c r="M524" s="3311"/>
      <c r="N524" s="3313"/>
      <c r="O524" s="3635"/>
      <c r="P524" s="3635"/>
    </row>
    <row r="525" spans="1:18" s="3317" customFormat="1" ht="15.75" customHeight="1">
      <c r="A525" s="4037"/>
      <c r="B525" s="103" t="s">
        <v>65</v>
      </c>
      <c r="C525" s="3314"/>
      <c r="D525" s="105">
        <f>+D526+D527</f>
        <v>1183729558</v>
      </c>
      <c r="E525" s="105">
        <f t="shared" ref="E525" si="338">+E526+E527</f>
        <v>719786616</v>
      </c>
      <c r="F525" s="105">
        <f t="shared" ref="F525:J525" si="339">+F526+F527</f>
        <v>209555297</v>
      </c>
      <c r="G525" s="105">
        <f t="shared" si="339"/>
        <v>182335493</v>
      </c>
      <c r="H525" s="105">
        <f t="shared" si="339"/>
        <v>54253210</v>
      </c>
      <c r="I525" s="105">
        <f t="shared" si="339"/>
        <v>17798942</v>
      </c>
      <c r="J525" s="2666">
        <f t="shared" si="339"/>
        <v>0</v>
      </c>
      <c r="K525" s="105">
        <f>+K526+K527</f>
        <v>0</v>
      </c>
      <c r="L525" s="105">
        <f t="shared" ref="L525" si="340">+L526+L527</f>
        <v>0</v>
      </c>
      <c r="M525" s="12">
        <f>+M526+M527</f>
        <v>463942942</v>
      </c>
      <c r="N525" s="3315"/>
      <c r="O525" s="3316"/>
    </row>
    <row r="526" spans="1:18" s="3317" customFormat="1" ht="11.25" customHeight="1">
      <c r="A526" s="4038"/>
      <c r="B526" s="106" t="s">
        <v>66</v>
      </c>
      <c r="C526" s="3318"/>
      <c r="D526" s="108">
        <f t="shared" ref="D526:J526" si="341">D541+D600+D604+D617+D625+D637+D641+D649</f>
        <v>971814387</v>
      </c>
      <c r="E526" s="108">
        <f t="shared" ref="E526" si="342">E541+E600+E604+E617+E625+E637+E641+E649</f>
        <v>595233498</v>
      </c>
      <c r="F526" s="108">
        <f t="shared" si="341"/>
        <v>158278971</v>
      </c>
      <c r="G526" s="108">
        <f t="shared" si="341"/>
        <v>147689766</v>
      </c>
      <c r="H526" s="108">
        <f t="shared" si="341"/>
        <v>52813210</v>
      </c>
      <c r="I526" s="108">
        <f t="shared" si="341"/>
        <v>17798942</v>
      </c>
      <c r="J526" s="2615">
        <f t="shared" si="341"/>
        <v>0</v>
      </c>
      <c r="K526" s="108">
        <f>K541+K600+K604+K617+K625+K637+K641+K649</f>
        <v>0</v>
      </c>
      <c r="L526" s="108">
        <f>L541+L600+L604+L617+L625+L637+L641+L649</f>
        <v>0</v>
      </c>
      <c r="M526" s="14">
        <f>M541+M600+M604+M617+M625+M637+M641+M649</f>
        <v>376580889</v>
      </c>
      <c r="N526" s="3319"/>
      <c r="O526" s="3316"/>
    </row>
    <row r="527" spans="1:18" s="3317" customFormat="1" ht="13.5" customHeight="1">
      <c r="A527" s="4038"/>
      <c r="B527" s="442" t="s">
        <v>8</v>
      </c>
      <c r="C527" s="3320"/>
      <c r="D527" s="3321">
        <f>D554+D562+D566+D578+D593+D633+D645+D657+D665+D672+D676</f>
        <v>211915171</v>
      </c>
      <c r="E527" s="3321">
        <f t="shared" ref="E527:J527" si="343">E554+E562+E566+E578+E593+E633+E645+E657+E665+E672+E676</f>
        <v>124553118</v>
      </c>
      <c r="F527" s="3321">
        <f t="shared" si="343"/>
        <v>51276326</v>
      </c>
      <c r="G527" s="3321">
        <f t="shared" si="343"/>
        <v>34645727</v>
      </c>
      <c r="H527" s="3321">
        <f t="shared" si="343"/>
        <v>1440000</v>
      </c>
      <c r="I527" s="3321">
        <f t="shared" si="343"/>
        <v>0</v>
      </c>
      <c r="J527" s="3322">
        <f t="shared" si="343"/>
        <v>0</v>
      </c>
      <c r="K527" s="3321">
        <f>K554+K562+K566+K578+K593+K633+K645+K657+K665+K672+K676</f>
        <v>0</v>
      </c>
      <c r="L527" s="3321">
        <f>L554+L562+L566+L578+L593+L633+L645+L657+L665+L672</f>
        <v>0</v>
      </c>
      <c r="M527" s="14">
        <f>M554+M562+M566+M578+M593+M633+M645+M657+M665+M672+M676</f>
        <v>87362053</v>
      </c>
      <c r="N527" s="3319"/>
      <c r="O527" s="3316"/>
    </row>
    <row r="528" spans="1:18" s="3317" customFormat="1" ht="12">
      <c r="A528" s="4038"/>
      <c r="B528" s="796" t="s">
        <v>9</v>
      </c>
      <c r="C528" s="1419"/>
      <c r="D528" s="2904">
        <f>+D529</f>
        <v>1183729558</v>
      </c>
      <c r="E528" s="2904">
        <f t="shared" ref="E528:J529" si="344">+E529</f>
        <v>719786616</v>
      </c>
      <c r="F528" s="2904">
        <f t="shared" si="344"/>
        <v>209555297</v>
      </c>
      <c r="G528" s="2904">
        <f t="shared" si="344"/>
        <v>182335493</v>
      </c>
      <c r="H528" s="2904">
        <f t="shared" si="344"/>
        <v>54253210</v>
      </c>
      <c r="I528" s="2904">
        <f t="shared" si="344"/>
        <v>17798942</v>
      </c>
      <c r="J528" s="2905">
        <f t="shared" si="344"/>
        <v>0</v>
      </c>
      <c r="K528" s="2904">
        <f>+K529</f>
        <v>0</v>
      </c>
      <c r="L528" s="2904">
        <f>+L529</f>
        <v>0</v>
      </c>
      <c r="M528" s="831">
        <f>+M529</f>
        <v>463942942</v>
      </c>
      <c r="N528" s="3323"/>
      <c r="O528" s="3316">
        <f>M528-M525</f>
        <v>0</v>
      </c>
    </row>
    <row r="529" spans="1:16" s="3329" customFormat="1" ht="12">
      <c r="A529" s="4038"/>
      <c r="B529" s="3324" t="s">
        <v>22</v>
      </c>
      <c r="C529" s="3325"/>
      <c r="D529" s="1955">
        <f>SUM(D530:D533)</f>
        <v>1183729558</v>
      </c>
      <c r="E529" s="1955">
        <f t="shared" ref="E529" si="345">SUM(E530:E533)</f>
        <v>719786616</v>
      </c>
      <c r="F529" s="1955">
        <f t="shared" ref="F529:G529" si="346">SUM(F530:F533)</f>
        <v>209555297</v>
      </c>
      <c r="G529" s="1955">
        <f t="shared" si="346"/>
        <v>182335493</v>
      </c>
      <c r="H529" s="1955">
        <f t="shared" si="344"/>
        <v>54253210</v>
      </c>
      <c r="I529" s="1955">
        <f t="shared" si="344"/>
        <v>17798942</v>
      </c>
      <c r="J529" s="3326">
        <f t="shared" si="344"/>
        <v>0</v>
      </c>
      <c r="K529" s="1955">
        <f>SUM(K530:K533)</f>
        <v>0</v>
      </c>
      <c r="L529" s="1955">
        <f>SUM(L530:L533)</f>
        <v>0</v>
      </c>
      <c r="M529" s="802">
        <f>SUM(M530:M533)</f>
        <v>463942942</v>
      </c>
      <c r="N529" s="3327"/>
      <c r="O529" s="3328"/>
    </row>
    <row r="530" spans="1:16" s="3317" customFormat="1" thickBot="1">
      <c r="A530" s="4038"/>
      <c r="B530" s="1994" t="s">
        <v>11</v>
      </c>
      <c r="C530" s="1568"/>
      <c r="D530" s="3330">
        <f t="shared" ref="D530:J530" si="347">+D543+D552+D556+D564+D568+D674+D572+D580+D587+D602+D606+D615+D619+D627+D635+D643+D595+D639+D647+D651+D659+D667+D678</f>
        <v>1054604574</v>
      </c>
      <c r="E530" s="3330">
        <f t="shared" si="347"/>
        <v>630631178</v>
      </c>
      <c r="F530" s="3330">
        <f>+F543+F552+F556+F564+F568+F674+F572+F580+F587+F602+F606+F615+F619+F627+F635+F643+F595+F639+F647+F651+F659+F667+F678</f>
        <v>179358084</v>
      </c>
      <c r="G530" s="3330">
        <f t="shared" si="347"/>
        <v>172563160</v>
      </c>
      <c r="H530" s="3330">
        <f t="shared" si="347"/>
        <v>54253210</v>
      </c>
      <c r="I530" s="3330">
        <f t="shared" si="347"/>
        <v>17798942</v>
      </c>
      <c r="J530" s="3331">
        <f t="shared" si="347"/>
        <v>0</v>
      </c>
      <c r="K530" s="3330">
        <f>+K543+K552+K556+K564+K568+K674+K572+K580+K587+K602+K606+K615+K619+K627+K635+K643+K595+K639+K647+K651+K659+K667+K678</f>
        <v>0</v>
      </c>
      <c r="L530" s="3330">
        <f>+L543+L552+L556+L564+L568+L674+L572+L580+L587+L602+L606+L615+L619+L627+L635+L643+L595+L639+L647+L651+L659+L667</f>
        <v>0</v>
      </c>
      <c r="M530" s="813">
        <f>SUM(F530:J530)</f>
        <v>423973396</v>
      </c>
      <c r="N530" s="4053"/>
      <c r="O530" s="3316"/>
    </row>
    <row r="531" spans="1:16" s="3317" customFormat="1" thickBot="1">
      <c r="A531" s="4038"/>
      <c r="B531" s="1994" t="s">
        <v>67</v>
      </c>
      <c r="C531" s="1568"/>
      <c r="D531" s="3330">
        <f>D620+D628+D652</f>
        <v>49043728</v>
      </c>
      <c r="E531" s="3330">
        <f t="shared" ref="E531" si="348">E620+E628+E652</f>
        <v>49043728</v>
      </c>
      <c r="F531" s="3331">
        <f t="shared" ref="F531:J531" si="349">F620+F628+F652</f>
        <v>0</v>
      </c>
      <c r="G531" s="3331">
        <f t="shared" si="349"/>
        <v>0</v>
      </c>
      <c r="H531" s="3331">
        <f t="shared" si="349"/>
        <v>0</v>
      </c>
      <c r="I531" s="3331">
        <f t="shared" si="349"/>
        <v>0</v>
      </c>
      <c r="J531" s="3331">
        <f t="shared" si="349"/>
        <v>0</v>
      </c>
      <c r="K531" s="3330">
        <f>K620+K628+K652</f>
        <v>0</v>
      </c>
      <c r="L531" s="3330">
        <f>L620+L628+L652</f>
        <v>0</v>
      </c>
      <c r="M531" s="3016">
        <f>SUM(F531:J531)</f>
        <v>0</v>
      </c>
      <c r="N531" s="4054"/>
      <c r="O531" s="3316"/>
    </row>
    <row r="532" spans="1:16" s="3317" customFormat="1" thickBot="1">
      <c r="A532" s="4038"/>
      <c r="B532" s="1994" t="s">
        <v>14</v>
      </c>
      <c r="C532" s="1568"/>
      <c r="D532" s="3330">
        <f t="shared" ref="D532:J532" si="350">+D557+D573+D588+D607+D660</f>
        <v>17632055</v>
      </c>
      <c r="E532" s="3330">
        <f t="shared" ref="E532" si="351">+E557+E573+E588+E607+E660</f>
        <v>13620885</v>
      </c>
      <c r="F532" s="3330">
        <f>+F557+F573+F588+F607+F660</f>
        <v>4011170</v>
      </c>
      <c r="G532" s="3331">
        <f t="shared" si="350"/>
        <v>0</v>
      </c>
      <c r="H532" s="3331">
        <f t="shared" si="350"/>
        <v>0</v>
      </c>
      <c r="I532" s="3331">
        <f t="shared" si="350"/>
        <v>0</v>
      </c>
      <c r="J532" s="3331">
        <f t="shared" si="350"/>
        <v>0</v>
      </c>
      <c r="K532" s="3330">
        <f>+K557+K573+K588+K607+K660</f>
        <v>0</v>
      </c>
      <c r="L532" s="3330">
        <f>+L557+L573+L588+L607+L660</f>
        <v>0</v>
      </c>
      <c r="M532" s="813">
        <f>SUM(F532:J532)</f>
        <v>4011170</v>
      </c>
      <c r="N532" s="4054"/>
      <c r="O532" s="3316">
        <f>D532-D538</f>
        <v>0</v>
      </c>
    </row>
    <row r="533" spans="1:16" s="3317" customFormat="1" ht="13.5" customHeight="1" thickBot="1">
      <c r="A533" s="4038"/>
      <c r="B533" s="1994" t="s">
        <v>94</v>
      </c>
      <c r="C533" s="1568"/>
      <c r="D533" s="3330">
        <f>D544</f>
        <v>62449201</v>
      </c>
      <c r="E533" s="3330">
        <f t="shared" ref="E533" si="352">E544</f>
        <v>26490825</v>
      </c>
      <c r="F533" s="3330">
        <f t="shared" ref="F533:J533" si="353">F544</f>
        <v>26186043</v>
      </c>
      <c r="G533" s="3330">
        <f t="shared" si="353"/>
        <v>9772333</v>
      </c>
      <c r="H533" s="3331">
        <f t="shared" si="353"/>
        <v>0</v>
      </c>
      <c r="I533" s="3331">
        <f t="shared" si="353"/>
        <v>0</v>
      </c>
      <c r="J533" s="3331">
        <f t="shared" si="353"/>
        <v>0</v>
      </c>
      <c r="K533" s="3330">
        <f>K544</f>
        <v>0</v>
      </c>
      <c r="L533" s="3330">
        <f>L544</f>
        <v>0</v>
      </c>
      <c r="M533" s="813">
        <f>SUM(F533:J533)</f>
        <v>35958376</v>
      </c>
      <c r="N533" s="4054"/>
      <c r="O533" s="3316"/>
    </row>
    <row r="534" spans="1:16" s="3317" customFormat="1" thickBot="1">
      <c r="A534" s="4038"/>
      <c r="B534" s="37" t="s">
        <v>20</v>
      </c>
      <c r="C534" s="1419"/>
      <c r="D534" s="2904">
        <f>+D535</f>
        <v>235584860</v>
      </c>
      <c r="E534" s="2904">
        <f t="shared" ref="E534:J534" si="354">+E535</f>
        <v>165561339</v>
      </c>
      <c r="F534" s="2904">
        <f t="shared" si="354"/>
        <v>38597936</v>
      </c>
      <c r="G534" s="2904">
        <f t="shared" si="354"/>
        <v>31425585</v>
      </c>
      <c r="H534" s="2905">
        <f t="shared" si="354"/>
        <v>0</v>
      </c>
      <c r="I534" s="2905">
        <f t="shared" si="354"/>
        <v>0</v>
      </c>
      <c r="J534" s="2905">
        <f t="shared" si="354"/>
        <v>0</v>
      </c>
      <c r="K534" s="2904">
        <f>+K535</f>
        <v>0</v>
      </c>
      <c r="L534" s="2904">
        <f>+L535</f>
        <v>0</v>
      </c>
      <c r="M534" s="4032" t="s">
        <v>21</v>
      </c>
      <c r="N534" s="4054"/>
    </row>
    <row r="535" spans="1:16" s="3317" customFormat="1" ht="12" customHeight="1" thickBot="1">
      <c r="A535" s="4038"/>
      <c r="B535" s="3324" t="s">
        <v>22</v>
      </c>
      <c r="C535" s="2889"/>
      <c r="D535" s="1669">
        <f>+D536+D538+D537+D539</f>
        <v>235584860</v>
      </c>
      <c r="E535" s="1669">
        <f t="shared" ref="E535" si="355">+E536+E538+E537+E539</f>
        <v>165561339</v>
      </c>
      <c r="F535" s="1669">
        <f t="shared" ref="F535:J535" si="356">+F536+F538+F537+F539</f>
        <v>38597936</v>
      </c>
      <c r="G535" s="1669">
        <f t="shared" si="356"/>
        <v>31425585</v>
      </c>
      <c r="H535" s="2805">
        <f t="shared" si="356"/>
        <v>0</v>
      </c>
      <c r="I535" s="2805">
        <f t="shared" si="356"/>
        <v>0</v>
      </c>
      <c r="J535" s="2805">
        <f t="shared" si="356"/>
        <v>0</v>
      </c>
      <c r="K535" s="1669">
        <f>+K536+K538+K537+K539</f>
        <v>0</v>
      </c>
      <c r="L535" s="1669">
        <f>+L536+L538+L537+L539</f>
        <v>0</v>
      </c>
      <c r="M535" s="3990"/>
      <c r="N535" s="4054"/>
    </row>
    <row r="536" spans="1:16" s="3317" customFormat="1" ht="12" customHeight="1" thickBot="1">
      <c r="A536" s="4038"/>
      <c r="B536" s="1994" t="s">
        <v>169</v>
      </c>
      <c r="C536" s="3332"/>
      <c r="D536" s="1032">
        <f>+D610+D598+D583+D670+D548+D681</f>
        <v>106459876</v>
      </c>
      <c r="E536" s="1032">
        <f t="shared" ref="E536:J536" si="357">+E610+E598+E583+E670+E548</f>
        <v>57286095</v>
      </c>
      <c r="F536" s="1032">
        <f>+F610+F598+F583+F670+F548+F681</f>
        <v>26167481</v>
      </c>
      <c r="G536" s="1032">
        <f t="shared" si="357"/>
        <v>23006300</v>
      </c>
      <c r="H536" s="2806">
        <f t="shared" si="357"/>
        <v>0</v>
      </c>
      <c r="I536" s="2806">
        <f t="shared" si="357"/>
        <v>0</v>
      </c>
      <c r="J536" s="2806">
        <f t="shared" si="357"/>
        <v>0</v>
      </c>
      <c r="K536" s="1032">
        <f>+K610+K598+K583+K670+K548</f>
        <v>0</v>
      </c>
      <c r="L536" s="1032">
        <f>+L610+L598+L583+L670+L548</f>
        <v>0</v>
      </c>
      <c r="M536" s="3990"/>
      <c r="N536" s="4054"/>
      <c r="P536" s="3316">
        <v>28500000</v>
      </c>
    </row>
    <row r="537" spans="1:16" s="3317" customFormat="1" ht="12" customHeight="1" thickBot="1">
      <c r="A537" s="3590"/>
      <c r="B537" s="1994" t="s">
        <v>67</v>
      </c>
      <c r="C537" s="3332"/>
      <c r="D537" s="3330">
        <f>D623+D631+D655</f>
        <v>49043728</v>
      </c>
      <c r="E537" s="3330">
        <f t="shared" ref="E537" si="358">E623+E631+E655</f>
        <v>49043728</v>
      </c>
      <c r="F537" s="3331">
        <f t="shared" ref="F537:J537" si="359">F623+F631+F655</f>
        <v>0</v>
      </c>
      <c r="G537" s="3331">
        <f t="shared" si="359"/>
        <v>0</v>
      </c>
      <c r="H537" s="3331">
        <f t="shared" si="359"/>
        <v>0</v>
      </c>
      <c r="I537" s="3331">
        <f t="shared" si="359"/>
        <v>0</v>
      </c>
      <c r="J537" s="3331">
        <f t="shared" si="359"/>
        <v>0</v>
      </c>
      <c r="K537" s="3330">
        <f>K623+K631+K655</f>
        <v>0</v>
      </c>
      <c r="L537" s="3330">
        <f>L623+L631+L655</f>
        <v>0</v>
      </c>
      <c r="M537" s="3990"/>
      <c r="N537" s="4054"/>
      <c r="O537" s="3316">
        <f>D537-D531</f>
        <v>0</v>
      </c>
      <c r="P537" s="3316">
        <v>4072498</v>
      </c>
    </row>
    <row r="538" spans="1:16" s="3317" customFormat="1" ht="12" customHeight="1" thickBot="1">
      <c r="A538" s="3590"/>
      <c r="B538" s="1994" t="s">
        <v>14</v>
      </c>
      <c r="C538" s="3332"/>
      <c r="D538" s="1032">
        <f t="shared" ref="D538:J538" si="360">+D560+D576+D591+D611+D663</f>
        <v>17632055</v>
      </c>
      <c r="E538" s="1032">
        <f t="shared" ref="E538" si="361">+E560+E576+E591+E611+E663</f>
        <v>13620885</v>
      </c>
      <c r="F538" s="1032">
        <f>+F560+F576+F591+F611+F663</f>
        <v>4011170</v>
      </c>
      <c r="G538" s="2806">
        <f t="shared" si="360"/>
        <v>0</v>
      </c>
      <c r="H538" s="2806">
        <f t="shared" si="360"/>
        <v>0</v>
      </c>
      <c r="I538" s="2806">
        <f t="shared" si="360"/>
        <v>0</v>
      </c>
      <c r="J538" s="2806">
        <f t="shared" si="360"/>
        <v>0</v>
      </c>
      <c r="K538" s="1032">
        <f>+K560+K576+K591+K611+K663</f>
        <v>0</v>
      </c>
      <c r="L538" s="1032">
        <f>+L560+L576+L591+L611+L663</f>
        <v>0</v>
      </c>
      <c r="M538" s="3990"/>
      <c r="N538" s="4054"/>
      <c r="P538" s="3316">
        <v>1570791</v>
      </c>
    </row>
    <row r="539" spans="1:16" s="3317" customFormat="1" ht="12" customHeight="1" thickBot="1">
      <c r="A539" s="3591"/>
      <c r="B539" s="3333" t="s">
        <v>94</v>
      </c>
      <c r="C539" s="1293"/>
      <c r="D539" s="1357">
        <f>D547</f>
        <v>62449201</v>
      </c>
      <c r="E539" s="1357">
        <f t="shared" ref="E539" si="362">E547</f>
        <v>45610631</v>
      </c>
      <c r="F539" s="1357">
        <f t="shared" ref="F539:J539" si="363">F547</f>
        <v>8419285</v>
      </c>
      <c r="G539" s="1357">
        <f t="shared" si="363"/>
        <v>8419285</v>
      </c>
      <c r="H539" s="3334">
        <f t="shared" si="363"/>
        <v>0</v>
      </c>
      <c r="I539" s="3334">
        <f t="shared" si="363"/>
        <v>0</v>
      </c>
      <c r="J539" s="3334">
        <f t="shared" si="363"/>
        <v>0</v>
      </c>
      <c r="K539" s="1357">
        <f>K547</f>
        <v>0</v>
      </c>
      <c r="L539" s="1357">
        <f>L547</f>
        <v>0</v>
      </c>
      <c r="M539" s="3990"/>
      <c r="N539" s="4054"/>
    </row>
    <row r="540" spans="1:16" s="3317" customFormat="1" ht="15.75" customHeight="1">
      <c r="A540" s="4037" t="s">
        <v>53</v>
      </c>
      <c r="B540" s="2952" t="s">
        <v>428</v>
      </c>
      <c r="C540" s="25" t="s">
        <v>97</v>
      </c>
      <c r="D540" s="3335"/>
      <c r="E540" s="3336"/>
      <c r="F540" s="3336"/>
      <c r="G540" s="3336"/>
      <c r="H540" s="3336"/>
      <c r="I540" s="3336"/>
      <c r="J540" s="3337"/>
      <c r="K540" s="3336"/>
      <c r="L540" s="3336"/>
      <c r="M540" s="3338"/>
      <c r="N540" s="4051" t="s">
        <v>90</v>
      </c>
    </row>
    <row r="541" spans="1:16" s="3317" customFormat="1" ht="13.5" customHeight="1">
      <c r="A541" s="4038"/>
      <c r="B541" s="1195" t="s">
        <v>9</v>
      </c>
      <c r="C541" s="3046"/>
      <c r="D541" s="3339">
        <f>+D542</f>
        <v>127547685</v>
      </c>
      <c r="E541" s="3339">
        <f t="shared" ref="E541:I541" si="364">+E542</f>
        <v>35048192</v>
      </c>
      <c r="F541" s="3339">
        <f t="shared" si="364"/>
        <v>32862771</v>
      </c>
      <c r="G541" s="3339">
        <f t="shared" si="364"/>
        <v>23829668</v>
      </c>
      <c r="H541" s="3339">
        <f t="shared" si="364"/>
        <v>21953112</v>
      </c>
      <c r="I541" s="3339">
        <f t="shared" si="364"/>
        <v>13853942</v>
      </c>
      <c r="J541" s="3217">
        <v>0</v>
      </c>
      <c r="K541" s="3339">
        <f>+K542</f>
        <v>0</v>
      </c>
      <c r="L541" s="3339">
        <f>+L542</f>
        <v>0</v>
      </c>
      <c r="M541" s="831">
        <f>+M542</f>
        <v>92499493</v>
      </c>
      <c r="N541" s="4052"/>
      <c r="O541" s="3316"/>
    </row>
    <row r="542" spans="1:16" s="3317" customFormat="1" ht="13.5" customHeight="1">
      <c r="A542" s="4038"/>
      <c r="B542" s="1529" t="s">
        <v>22</v>
      </c>
      <c r="C542" s="3870" t="s">
        <v>87</v>
      </c>
      <c r="D542" s="3340">
        <f>D543+D544</f>
        <v>127547685</v>
      </c>
      <c r="E542" s="3340">
        <f t="shared" ref="E542" si="365">E543+E544</f>
        <v>35048192</v>
      </c>
      <c r="F542" s="3340">
        <f t="shared" ref="F542" si="366">F543+F544</f>
        <v>32862771</v>
      </c>
      <c r="G542" s="3340">
        <f t="shared" ref="G542:I542" si="367">G543+G544</f>
        <v>23829668</v>
      </c>
      <c r="H542" s="3340">
        <f t="shared" si="367"/>
        <v>21953112</v>
      </c>
      <c r="I542" s="3340">
        <f t="shared" si="367"/>
        <v>13853942</v>
      </c>
      <c r="J542" s="3218">
        <v>0</v>
      </c>
      <c r="K542" s="3340">
        <f>K543+K544</f>
        <v>0</v>
      </c>
      <c r="L542" s="3340">
        <f>L543+L544</f>
        <v>0</v>
      </c>
      <c r="M542" s="3005">
        <f>+M543+M544</f>
        <v>92499493</v>
      </c>
      <c r="N542" s="4052"/>
    </row>
    <row r="543" spans="1:16" s="3317" customFormat="1" ht="13.5" customHeight="1">
      <c r="A543" s="4038"/>
      <c r="B543" s="1530" t="s">
        <v>11</v>
      </c>
      <c r="C543" s="3871"/>
      <c r="D543" s="3069">
        <f>E543+L543+K543+F543+G543+H543+I543+J543</f>
        <v>65098484</v>
      </c>
      <c r="E543" s="2109">
        <f>2184218+2300823+4072326</f>
        <v>8557367</v>
      </c>
      <c r="F543" s="3341">
        <f>3791381+2248070+105620+531657</f>
        <v>6676728</v>
      </c>
      <c r="G543" s="3341">
        <f>7563540+5436570+1588882-531657</f>
        <v>14057335</v>
      </c>
      <c r="H543" s="3341">
        <f>21200000+753112</f>
        <v>21953112</v>
      </c>
      <c r="I543" s="3341">
        <v>13853942</v>
      </c>
      <c r="J543" s="776">
        <v>0</v>
      </c>
      <c r="K543" s="3341"/>
      <c r="L543" s="3341"/>
      <c r="M543" s="3056">
        <f>SUM(F543:J543)</f>
        <v>56541117</v>
      </c>
      <c r="N543" s="4052"/>
      <c r="O543" s="3316"/>
    </row>
    <row r="544" spans="1:16" s="3317" customFormat="1" ht="13.5" customHeight="1">
      <c r="A544" s="4038"/>
      <c r="B544" s="3342" t="s">
        <v>94</v>
      </c>
      <c r="C544" s="3910"/>
      <c r="D544" s="1657">
        <f>E544+L544+K544+F544+G544+H544+I544+J544</f>
        <v>62449201</v>
      </c>
      <c r="E544" s="3343">
        <f>12700000-2696422+16487247</f>
        <v>26490825</v>
      </c>
      <c r="F544" s="3343">
        <f>16484263+9774223+459214-531657</f>
        <v>26186043</v>
      </c>
      <c r="G544" s="3343">
        <f>14182860-4482970-459214+531657</f>
        <v>9772333</v>
      </c>
      <c r="H544" s="1879">
        <v>0</v>
      </c>
      <c r="I544" s="1879">
        <v>0</v>
      </c>
      <c r="J544" s="675">
        <v>0</v>
      </c>
      <c r="K544" s="3343"/>
      <c r="L544" s="3343"/>
      <c r="M544" s="3056">
        <f>SUM(F544:J544)</f>
        <v>35958376</v>
      </c>
      <c r="N544" s="4052"/>
      <c r="O544" s="3316"/>
    </row>
    <row r="545" spans="1:15" s="3317" customFormat="1" ht="13.5" customHeight="1">
      <c r="A545" s="4038"/>
      <c r="B545" s="89" t="s">
        <v>20</v>
      </c>
      <c r="C545" s="3042"/>
      <c r="D545" s="3344">
        <f>D546</f>
        <v>63208711</v>
      </c>
      <c r="E545" s="3344">
        <f t="shared" ref="E545:J546" si="368">E546</f>
        <v>45838484</v>
      </c>
      <c r="F545" s="3344">
        <f t="shared" si="368"/>
        <v>8950942</v>
      </c>
      <c r="G545" s="3344">
        <f t="shared" si="368"/>
        <v>8419285</v>
      </c>
      <c r="H545" s="3345">
        <f t="shared" si="368"/>
        <v>0</v>
      </c>
      <c r="I545" s="3345">
        <f t="shared" si="368"/>
        <v>0</v>
      </c>
      <c r="J545" s="3345">
        <f t="shared" si="368"/>
        <v>0</v>
      </c>
      <c r="K545" s="3344">
        <f>K546</f>
        <v>0</v>
      </c>
      <c r="L545" s="3344">
        <f>L546</f>
        <v>0</v>
      </c>
      <c r="M545" s="4049" t="s">
        <v>21</v>
      </c>
      <c r="N545" s="4052"/>
      <c r="O545" s="3316"/>
    </row>
    <row r="546" spans="1:15" s="3317" customFormat="1" ht="14.25" customHeight="1">
      <c r="A546" s="4038"/>
      <c r="B546" s="3346" t="s">
        <v>22</v>
      </c>
      <c r="C546" s="3870" t="s">
        <v>87</v>
      </c>
      <c r="D546" s="3347">
        <f>D547+D548</f>
        <v>63208711</v>
      </c>
      <c r="E546" s="3347">
        <f t="shared" ref="E546:G546" si="369">E547+E548</f>
        <v>45838484</v>
      </c>
      <c r="F546" s="3347">
        <f t="shared" si="369"/>
        <v>8950942</v>
      </c>
      <c r="G546" s="3347">
        <f t="shared" si="369"/>
        <v>8419285</v>
      </c>
      <c r="H546" s="3048">
        <f t="shared" si="368"/>
        <v>0</v>
      </c>
      <c r="I546" s="3048">
        <f t="shared" si="368"/>
        <v>0</v>
      </c>
      <c r="J546" s="1016">
        <f t="shared" si="368"/>
        <v>0</v>
      </c>
      <c r="K546" s="3347">
        <f>K547+K548</f>
        <v>0</v>
      </c>
      <c r="L546" s="3348">
        <f>L547+L548</f>
        <v>0</v>
      </c>
      <c r="M546" s="4050"/>
      <c r="N546" s="4052"/>
      <c r="O546" s="3316"/>
    </row>
    <row r="547" spans="1:15" s="3317" customFormat="1" ht="13.5" customHeight="1">
      <c r="A547" s="4038"/>
      <c r="B547" s="3342" t="s">
        <v>94</v>
      </c>
      <c r="C547" s="3871"/>
      <c r="D547" s="1657">
        <f>E547+L547+K547+F547+G547+H547+I547+J547</f>
        <v>62449201</v>
      </c>
      <c r="E547" s="1657">
        <f>28772061+8419285+8419285</f>
        <v>45610631</v>
      </c>
      <c r="F547" s="1657">
        <v>8419285</v>
      </c>
      <c r="G547" s="1657">
        <v>8419285</v>
      </c>
      <c r="H547" s="3048">
        <v>0</v>
      </c>
      <c r="I547" s="3048">
        <v>0</v>
      </c>
      <c r="J547" s="1016">
        <v>0</v>
      </c>
      <c r="K547" s="1657"/>
      <c r="L547" s="789"/>
      <c r="M547" s="4050"/>
      <c r="N547" s="4052"/>
      <c r="O547" s="3316"/>
    </row>
    <row r="548" spans="1:15" s="3317" customFormat="1" ht="15" customHeight="1" thickBot="1">
      <c r="A548" s="4038"/>
      <c r="B548" s="1530" t="s">
        <v>11</v>
      </c>
      <c r="C548" s="3871"/>
      <c r="D548" s="1657">
        <f>E548+L548+K548+F548+G548+H548+I548+J548</f>
        <v>759510</v>
      </c>
      <c r="E548" s="3349">
        <v>227853</v>
      </c>
      <c r="F548" s="3349">
        <v>531657</v>
      </c>
      <c r="G548" s="3350">
        <v>0</v>
      </c>
      <c r="H548" s="3350">
        <v>0</v>
      </c>
      <c r="I548" s="3350">
        <v>0</v>
      </c>
      <c r="J548" s="3351">
        <v>0</v>
      </c>
      <c r="K548" s="3349"/>
      <c r="L548" s="3351">
        <v>0</v>
      </c>
      <c r="M548" s="4050"/>
      <c r="N548" s="4052"/>
      <c r="O548" s="3316"/>
    </row>
    <row r="549" spans="1:15" s="3317" customFormat="1" ht="14.25" hidden="1" customHeight="1">
      <c r="A549" s="4038"/>
      <c r="B549" s="235"/>
      <c r="C549" s="460"/>
      <c r="D549" s="3352"/>
      <c r="E549" s="3353"/>
      <c r="F549" s="3353"/>
      <c r="G549" s="3353"/>
      <c r="H549" s="3353"/>
      <c r="I549" s="3353"/>
      <c r="J549" s="3353"/>
      <c r="K549" s="3353"/>
      <c r="L549" s="3353"/>
      <c r="M549" s="3354"/>
      <c r="N549" s="3916"/>
    </row>
    <row r="550" spans="1:15" s="3317" customFormat="1" ht="13.5" hidden="1" customHeight="1">
      <c r="A550" s="4038"/>
      <c r="B550" s="3355"/>
      <c r="C550" s="40"/>
      <c r="D550" s="3356"/>
      <c r="E550" s="3356"/>
      <c r="F550" s="3357"/>
      <c r="G550" s="3357"/>
      <c r="H550" s="3357"/>
      <c r="I550" s="3357"/>
      <c r="J550" s="3357"/>
      <c r="K550" s="3356"/>
      <c r="L550" s="3356"/>
      <c r="M550" s="3358"/>
      <c r="N550" s="4018"/>
    </row>
    <row r="551" spans="1:15" s="3317" customFormat="1" ht="13.5" hidden="1" customHeight="1">
      <c r="A551" s="4038"/>
      <c r="B551" s="329"/>
      <c r="C551" s="4017"/>
      <c r="D551" s="3120"/>
      <c r="E551" s="3120"/>
      <c r="F551" s="2995"/>
      <c r="G551" s="2995"/>
      <c r="H551" s="2995"/>
      <c r="I551" s="2995"/>
      <c r="J551" s="2995"/>
      <c r="K551" s="3120"/>
      <c r="L551" s="3120"/>
      <c r="M551" s="3359"/>
      <c r="N551" s="4018"/>
    </row>
    <row r="552" spans="1:15" s="3317" customFormat="1" ht="13.5" hidden="1" customHeight="1" thickBot="1">
      <c r="A552" s="4039"/>
      <c r="B552" s="3360"/>
      <c r="C552" s="3929"/>
      <c r="D552" s="3361"/>
      <c r="E552" s="31"/>
      <c r="F552" s="3362"/>
      <c r="G552" s="3362"/>
      <c r="H552" s="3362"/>
      <c r="I552" s="3362"/>
      <c r="J552" s="3362"/>
      <c r="K552" s="3363"/>
      <c r="L552" s="3363"/>
      <c r="M552" s="3364"/>
      <c r="N552" s="4019"/>
      <c r="O552" s="3316"/>
    </row>
    <row r="553" spans="1:15" s="3317" customFormat="1" hidden="1" thickBot="1">
      <c r="A553" s="4045"/>
      <c r="B553" s="32"/>
      <c r="C553" s="25" t="s">
        <v>70</v>
      </c>
      <c r="D553" s="2977"/>
      <c r="E553" s="2979"/>
      <c r="F553" s="2979"/>
      <c r="G553" s="2979"/>
      <c r="H553" s="2979"/>
      <c r="I553" s="2979"/>
      <c r="J553" s="2979"/>
      <c r="K553" s="2979"/>
      <c r="L553" s="2979"/>
      <c r="M553" s="22"/>
      <c r="N553" s="3914" t="s">
        <v>90</v>
      </c>
    </row>
    <row r="554" spans="1:15" s="3317" customFormat="1" ht="15" hidden="1" customHeight="1">
      <c r="A554" s="4046"/>
      <c r="B554" s="246" t="s">
        <v>9</v>
      </c>
      <c r="C554" s="3060"/>
      <c r="D554" s="3365">
        <f>+D555</f>
        <v>0</v>
      </c>
      <c r="E554" s="2957">
        <f t="shared" ref="E554:M554" si="370">+E555</f>
        <v>0</v>
      </c>
      <c r="F554" s="3217">
        <v>0</v>
      </c>
      <c r="G554" s="3217">
        <v>0</v>
      </c>
      <c r="H554" s="3217">
        <v>0</v>
      </c>
      <c r="I554" s="3217">
        <v>0</v>
      </c>
      <c r="J554" s="3217">
        <v>0</v>
      </c>
      <c r="K554" s="3217">
        <v>0</v>
      </c>
      <c r="L554" s="2957">
        <f>+L555</f>
        <v>0</v>
      </c>
      <c r="M554" s="3065">
        <f t="shared" si="370"/>
        <v>0</v>
      </c>
      <c r="N554" s="4023"/>
      <c r="O554" s="3316"/>
    </row>
    <row r="555" spans="1:15" s="3317" customFormat="1" ht="13.5" hidden="1" customHeight="1">
      <c r="A555" s="4046"/>
      <c r="B555" s="341" t="s">
        <v>22</v>
      </c>
      <c r="C555" s="3859"/>
      <c r="D555" s="3366">
        <f>+D556+D557</f>
        <v>0</v>
      </c>
      <c r="E555" s="811">
        <f t="shared" ref="E555" si="371">+E556+E557</f>
        <v>0</v>
      </c>
      <c r="F555" s="3218">
        <v>0</v>
      </c>
      <c r="G555" s="3218">
        <v>0</v>
      </c>
      <c r="H555" s="3218">
        <v>0</v>
      </c>
      <c r="I555" s="3218">
        <v>0</v>
      </c>
      <c r="J555" s="3218">
        <v>0</v>
      </c>
      <c r="K555" s="3218">
        <v>0</v>
      </c>
      <c r="L555" s="811">
        <f>+L556+L557</f>
        <v>0</v>
      </c>
      <c r="M555" s="802">
        <f>+M556+M557</f>
        <v>0</v>
      </c>
      <c r="N555" s="4023"/>
    </row>
    <row r="556" spans="1:15" s="3317" customFormat="1" ht="13.5" hidden="1" customHeight="1">
      <c r="A556" s="4046"/>
      <c r="B556" s="818" t="s">
        <v>11</v>
      </c>
      <c r="C556" s="3921"/>
      <c r="D556" s="766">
        <f>E556+L556+K556+F556+G556+H556+I556+J556</f>
        <v>0</v>
      </c>
      <c r="E556" s="787"/>
      <c r="F556" s="817">
        <v>0</v>
      </c>
      <c r="G556" s="817">
        <v>0</v>
      </c>
      <c r="H556" s="817">
        <v>0</v>
      </c>
      <c r="I556" s="817">
        <v>0</v>
      </c>
      <c r="J556" s="817">
        <v>0</v>
      </c>
      <c r="K556" s="817">
        <v>0</v>
      </c>
      <c r="L556" s="3367"/>
      <c r="M556" s="3056">
        <f>SUM(F556:J556)</f>
        <v>0</v>
      </c>
      <c r="N556" s="4023"/>
    </row>
    <row r="557" spans="1:15" s="3317" customFormat="1" ht="13.5" hidden="1" customHeight="1">
      <c r="A557" s="4046"/>
      <c r="B557" s="3055" t="s">
        <v>102</v>
      </c>
      <c r="C557" s="3922"/>
      <c r="D557" s="766">
        <f>E557+L557+K557+F557+G557+H557+I557+J557</f>
        <v>0</v>
      </c>
      <c r="E557" s="787"/>
      <c r="F557" s="817">
        <v>0</v>
      </c>
      <c r="G557" s="817">
        <v>0</v>
      </c>
      <c r="H557" s="817">
        <v>0</v>
      </c>
      <c r="I557" s="817">
        <v>0</v>
      </c>
      <c r="J557" s="817">
        <v>0</v>
      </c>
      <c r="K557" s="817">
        <v>0</v>
      </c>
      <c r="L557" s="817">
        <v>0</v>
      </c>
      <c r="M557" s="3056">
        <f>SUM(F557:J557)</f>
        <v>0</v>
      </c>
      <c r="N557" s="4023"/>
    </row>
    <row r="558" spans="1:15" s="3317" customFormat="1" ht="12.75" hidden="1" customHeight="1">
      <c r="A558" s="4047"/>
      <c r="B558" s="336" t="s">
        <v>20</v>
      </c>
      <c r="C558" s="3060"/>
      <c r="D558" s="3365">
        <f>+D559</f>
        <v>0</v>
      </c>
      <c r="E558" s="3365">
        <f t="shared" ref="E558:E559" si="372">+E559</f>
        <v>0</v>
      </c>
      <c r="F558" s="3217">
        <v>0</v>
      </c>
      <c r="G558" s="3217">
        <v>0</v>
      </c>
      <c r="H558" s="3217">
        <v>0</v>
      </c>
      <c r="I558" s="3217">
        <v>0</v>
      </c>
      <c r="J558" s="3217">
        <v>0</v>
      </c>
      <c r="K558" s="3217">
        <v>0</v>
      </c>
      <c r="L558" s="3217">
        <v>0</v>
      </c>
      <c r="M558" s="4001" t="s">
        <v>21</v>
      </c>
      <c r="N558" s="4023"/>
    </row>
    <row r="559" spans="1:15" s="3317" customFormat="1" ht="13.5" hidden="1" customHeight="1">
      <c r="A559" s="4047"/>
      <c r="B559" s="326" t="s">
        <v>22</v>
      </c>
      <c r="C559" s="3859"/>
      <c r="D559" s="811">
        <f>+D560</f>
        <v>0</v>
      </c>
      <c r="E559" s="811">
        <f t="shared" si="372"/>
        <v>0</v>
      </c>
      <c r="F559" s="3218">
        <v>0</v>
      </c>
      <c r="G559" s="3218">
        <v>0</v>
      </c>
      <c r="H559" s="3218">
        <v>0</v>
      </c>
      <c r="I559" s="3218">
        <v>0</v>
      </c>
      <c r="J559" s="3218">
        <v>0</v>
      </c>
      <c r="K559" s="3218">
        <v>0</v>
      </c>
      <c r="L559" s="3218">
        <v>0</v>
      </c>
      <c r="M559" s="3855"/>
      <c r="N559" s="4023"/>
    </row>
    <row r="560" spans="1:15" s="3317" customFormat="1" ht="13.5" hidden="1" customHeight="1" thickBot="1">
      <c r="A560" s="4048"/>
      <c r="B560" s="187" t="s">
        <v>102</v>
      </c>
      <c r="C560" s="3929"/>
      <c r="D560" s="766">
        <f>E560+L560+K560+F560+G560+H560+I560+J560</f>
        <v>0</v>
      </c>
      <c r="E560" s="787"/>
      <c r="F560" s="3368">
        <v>0</v>
      </c>
      <c r="G560" s="3368">
        <v>0</v>
      </c>
      <c r="H560" s="3368">
        <v>0</v>
      </c>
      <c r="I560" s="3368">
        <v>0</v>
      </c>
      <c r="J560" s="3368">
        <v>0</v>
      </c>
      <c r="K560" s="3368">
        <v>0</v>
      </c>
      <c r="L560" s="3368">
        <v>0</v>
      </c>
      <c r="M560" s="3856"/>
      <c r="N560" s="4024"/>
    </row>
    <row r="561" spans="1:130" s="3371" customFormat="1" ht="15.75" customHeight="1">
      <c r="A561" s="3861" t="s">
        <v>54</v>
      </c>
      <c r="B561" s="32" t="s">
        <v>489</v>
      </c>
      <c r="C561" s="25" t="s">
        <v>70</v>
      </c>
      <c r="D561" s="3369"/>
      <c r="E561" s="1478"/>
      <c r="F561" s="1478"/>
      <c r="G561" s="1478"/>
      <c r="H561" s="1478"/>
      <c r="I561" s="1478"/>
      <c r="J561" s="26"/>
      <c r="K561" s="1478"/>
      <c r="L561" s="1478"/>
      <c r="M561" s="22"/>
      <c r="N561" s="3898" t="s">
        <v>75</v>
      </c>
      <c r="O561" s="3370"/>
      <c r="P561" s="3370"/>
      <c r="Q561" s="3370"/>
      <c r="R561" s="3370"/>
      <c r="S561" s="3370"/>
      <c r="T561" s="3370"/>
      <c r="U561" s="3370"/>
      <c r="V561" s="3370"/>
      <c r="W561" s="3370"/>
      <c r="X561" s="3370"/>
      <c r="Y561" s="3370"/>
      <c r="Z561" s="3370"/>
      <c r="AA561" s="3370"/>
      <c r="AB561" s="3370"/>
      <c r="AC561" s="3370"/>
      <c r="AD561" s="3370"/>
      <c r="AE561" s="3370"/>
      <c r="AF561" s="3370"/>
      <c r="AG561" s="3370"/>
      <c r="AH561" s="3370"/>
      <c r="AI561" s="3370"/>
      <c r="AJ561" s="3370"/>
      <c r="AK561" s="3370"/>
      <c r="AL561" s="3370"/>
      <c r="AM561" s="3370"/>
      <c r="AN561" s="3370"/>
      <c r="AO561" s="3370"/>
      <c r="AP561" s="3370"/>
      <c r="AQ561" s="3370"/>
      <c r="AR561" s="3370"/>
      <c r="AS561" s="3370"/>
      <c r="AT561" s="3370"/>
      <c r="AU561" s="3370"/>
      <c r="AV561" s="3370"/>
      <c r="AW561" s="3370"/>
      <c r="AX561" s="3370"/>
      <c r="AY561" s="3370"/>
      <c r="AZ561" s="3370"/>
      <c r="BA561" s="3370"/>
      <c r="BB561" s="3370"/>
      <c r="BC561" s="3370"/>
      <c r="BD561" s="3370"/>
      <c r="BE561" s="3370"/>
      <c r="BF561" s="3370"/>
      <c r="BG561" s="3370"/>
      <c r="BH561" s="3370"/>
      <c r="BI561" s="3370"/>
      <c r="BJ561" s="3370"/>
      <c r="BK561" s="3370"/>
      <c r="BL561" s="3370"/>
      <c r="BM561" s="3370"/>
      <c r="BN561" s="3370"/>
      <c r="BO561" s="3370"/>
      <c r="BP561" s="3370"/>
      <c r="BQ561" s="3370"/>
      <c r="BR561" s="3370"/>
      <c r="BS561" s="3370"/>
      <c r="BT561" s="3370"/>
      <c r="BU561" s="3370"/>
      <c r="BV561" s="3370"/>
      <c r="BW561" s="3370"/>
      <c r="BX561" s="3370"/>
      <c r="BY561" s="3370"/>
      <c r="BZ561" s="3370"/>
      <c r="CA561" s="3370"/>
      <c r="CB561" s="3370"/>
      <c r="CC561" s="3370"/>
      <c r="CD561" s="3370"/>
      <c r="CE561" s="3370"/>
      <c r="CF561" s="3370"/>
      <c r="CG561" s="3370"/>
      <c r="CH561" s="3370"/>
      <c r="CI561" s="3370"/>
      <c r="CJ561" s="3370"/>
      <c r="CK561" s="3370"/>
      <c r="CL561" s="3370"/>
      <c r="CM561" s="3370"/>
      <c r="CN561" s="3370"/>
      <c r="CO561" s="3370"/>
      <c r="CP561" s="3370"/>
      <c r="CQ561" s="3370"/>
      <c r="CR561" s="3370"/>
      <c r="CS561" s="3370"/>
      <c r="CT561" s="3370"/>
      <c r="CU561" s="3370"/>
      <c r="CV561" s="3370"/>
      <c r="CW561" s="3370"/>
      <c r="CX561" s="3370"/>
      <c r="CY561" s="3370"/>
      <c r="CZ561" s="3370"/>
      <c r="DA561" s="3370"/>
      <c r="DB561" s="3370"/>
      <c r="DC561" s="3370"/>
      <c r="DD561" s="3370"/>
      <c r="DE561" s="3370"/>
      <c r="DF561" s="3370"/>
      <c r="DG561" s="3370"/>
      <c r="DH561" s="3370"/>
      <c r="DI561" s="3370"/>
      <c r="DJ561" s="3370"/>
      <c r="DK561" s="3370"/>
      <c r="DL561" s="3370"/>
      <c r="DM561" s="3370"/>
      <c r="DN561" s="3370"/>
      <c r="DO561" s="3370"/>
      <c r="DP561" s="3370"/>
      <c r="DQ561" s="3370"/>
      <c r="DR561" s="3370"/>
      <c r="DS561" s="3370"/>
      <c r="DT561" s="3370"/>
      <c r="DU561" s="3370"/>
      <c r="DV561" s="3370"/>
      <c r="DW561" s="3370"/>
      <c r="DX561" s="3370"/>
      <c r="DY561" s="3370"/>
      <c r="DZ561" s="3370"/>
    </row>
    <row r="562" spans="1:130" s="3370" customFormat="1" ht="12">
      <c r="A562" s="3862"/>
      <c r="B562" s="246" t="s">
        <v>9</v>
      </c>
      <c r="C562" s="3060"/>
      <c r="D562" s="3372">
        <f>+D563</f>
        <v>9158567</v>
      </c>
      <c r="E562" s="3171">
        <f t="shared" ref="E562:H563" si="373">+E563</f>
        <v>3460348</v>
      </c>
      <c r="F562" s="3171">
        <f t="shared" si="373"/>
        <v>2392492</v>
      </c>
      <c r="G562" s="3171">
        <f t="shared" si="373"/>
        <v>1865727</v>
      </c>
      <c r="H562" s="3171">
        <f t="shared" si="373"/>
        <v>1440000</v>
      </c>
      <c r="I562" s="3217">
        <v>0</v>
      </c>
      <c r="J562" s="3217">
        <v>0</v>
      </c>
      <c r="K562" s="3171">
        <f t="shared" ref="K562:M563" si="374">+K563</f>
        <v>0</v>
      </c>
      <c r="L562" s="3171">
        <f t="shared" si="374"/>
        <v>0</v>
      </c>
      <c r="M562" s="3065">
        <f t="shared" si="374"/>
        <v>5698219</v>
      </c>
      <c r="N562" s="3857"/>
      <c r="O562" s="3316"/>
    </row>
    <row r="563" spans="1:130" s="3370" customFormat="1" ht="14.25" customHeight="1">
      <c r="A563" s="3862"/>
      <c r="B563" s="341" t="s">
        <v>22</v>
      </c>
      <c r="C563" s="3859" t="s">
        <v>73</v>
      </c>
      <c r="D563" s="3373">
        <f>+D564</f>
        <v>9158567</v>
      </c>
      <c r="E563" s="3172">
        <f t="shared" si="373"/>
        <v>3460348</v>
      </c>
      <c r="F563" s="3172">
        <f t="shared" si="373"/>
        <v>2392492</v>
      </c>
      <c r="G563" s="3172">
        <f t="shared" si="373"/>
        <v>1865727</v>
      </c>
      <c r="H563" s="3172">
        <f t="shared" si="373"/>
        <v>1440000</v>
      </c>
      <c r="I563" s="3218">
        <v>0</v>
      </c>
      <c r="J563" s="3218">
        <v>0</v>
      </c>
      <c r="K563" s="3172">
        <f t="shared" si="374"/>
        <v>0</v>
      </c>
      <c r="L563" s="3172">
        <f t="shared" si="374"/>
        <v>0</v>
      </c>
      <c r="M563" s="802">
        <f t="shared" si="374"/>
        <v>5698219</v>
      </c>
      <c r="N563" s="3857"/>
    </row>
    <row r="564" spans="1:130" s="3370" customFormat="1" thickBot="1">
      <c r="A564" s="3863"/>
      <c r="B564" s="473" t="s">
        <v>11</v>
      </c>
      <c r="C564" s="3929"/>
      <c r="D564" s="3374">
        <f>E564+L564+K564+F564+G564+H564+I564+J564</f>
        <v>9158567</v>
      </c>
      <c r="E564" s="465">
        <f>3130167-129800+97933+362048</f>
        <v>3460348</v>
      </c>
      <c r="F564" s="244">
        <f>2020500+371992</f>
        <v>2392492</v>
      </c>
      <c r="G564" s="244">
        <f>2070000+130000+57727-392000</f>
        <v>1865727</v>
      </c>
      <c r="H564" s="244">
        <f>2070000-630000</f>
        <v>1440000</v>
      </c>
      <c r="I564" s="3368">
        <v>0</v>
      </c>
      <c r="J564" s="3368">
        <v>0</v>
      </c>
      <c r="K564" s="244"/>
      <c r="L564" s="244"/>
      <c r="M564" s="3056">
        <f>SUM(F564:J564)</f>
        <v>5698219</v>
      </c>
      <c r="N564" s="3858"/>
      <c r="O564" s="3375"/>
    </row>
    <row r="565" spans="1:130" s="3317" customFormat="1" ht="23.25" customHeight="1">
      <c r="A565" s="4029" t="s">
        <v>55</v>
      </c>
      <c r="B565" s="3376" t="s">
        <v>167</v>
      </c>
      <c r="C565" s="25" t="s">
        <v>70</v>
      </c>
      <c r="D565" s="3335"/>
      <c r="E565" s="3336"/>
      <c r="F565" s="3336"/>
      <c r="G565" s="3336"/>
      <c r="H565" s="3336"/>
      <c r="I565" s="3336"/>
      <c r="J565" s="3337"/>
      <c r="K565" s="3336"/>
      <c r="L565" s="3336"/>
      <c r="M565" s="22"/>
      <c r="N565" s="4059" t="s">
        <v>495</v>
      </c>
    </row>
    <row r="566" spans="1:130" s="3317" customFormat="1" ht="12">
      <c r="A566" s="4030"/>
      <c r="B566" s="35" t="s">
        <v>9</v>
      </c>
      <c r="C566" s="17"/>
      <c r="D566" s="3231">
        <f>+D567</f>
        <v>45601289</v>
      </c>
      <c r="E566" s="3266">
        <f t="shared" ref="E566:M567" si="375">+E567</f>
        <v>41401289</v>
      </c>
      <c r="F566" s="3266">
        <f t="shared" si="375"/>
        <v>2700000</v>
      </c>
      <c r="G566" s="3266">
        <f t="shared" si="375"/>
        <v>1500000</v>
      </c>
      <c r="H566" s="3377">
        <f t="shared" si="375"/>
        <v>0</v>
      </c>
      <c r="I566" s="3377">
        <f t="shared" si="375"/>
        <v>0</v>
      </c>
      <c r="J566" s="3377">
        <f t="shared" si="375"/>
        <v>0</v>
      </c>
      <c r="K566" s="3266">
        <f>+K567</f>
        <v>0</v>
      </c>
      <c r="L566" s="3266">
        <f>+L567</f>
        <v>0</v>
      </c>
      <c r="M566" s="3232">
        <f t="shared" si="375"/>
        <v>4200000</v>
      </c>
      <c r="N566" s="4060"/>
      <c r="O566" s="3316"/>
    </row>
    <row r="567" spans="1:130" s="3317" customFormat="1" ht="12">
      <c r="A567" s="4030"/>
      <c r="B567" s="119" t="s">
        <v>22</v>
      </c>
      <c r="C567" s="4017" t="s">
        <v>99</v>
      </c>
      <c r="D567" s="3378">
        <f>+D568</f>
        <v>45601289</v>
      </c>
      <c r="E567" s="3268">
        <f t="shared" si="375"/>
        <v>41401289</v>
      </c>
      <c r="F567" s="3268">
        <f t="shared" si="375"/>
        <v>2700000</v>
      </c>
      <c r="G567" s="3268">
        <f t="shared" si="375"/>
        <v>1500000</v>
      </c>
      <c r="H567" s="3379">
        <f t="shared" si="375"/>
        <v>0</v>
      </c>
      <c r="I567" s="3379">
        <f t="shared" si="375"/>
        <v>0</v>
      </c>
      <c r="J567" s="3379">
        <f t="shared" si="375"/>
        <v>0</v>
      </c>
      <c r="K567" s="3268">
        <f>+K568</f>
        <v>0</v>
      </c>
      <c r="L567" s="3268">
        <f>+L568</f>
        <v>0</v>
      </c>
      <c r="M567" s="3380">
        <f>+M568</f>
        <v>4200000</v>
      </c>
      <c r="N567" s="4060"/>
    </row>
    <row r="568" spans="1:130" s="3317" customFormat="1" thickBot="1">
      <c r="A568" s="4031"/>
      <c r="B568" s="143" t="s">
        <v>11</v>
      </c>
      <c r="C568" s="3860"/>
      <c r="D568" s="1003">
        <f>E568+L568+K568+F568+G568+H568+I568+J568</f>
        <v>45601289</v>
      </c>
      <c r="E568" s="1142">
        <f>31401289+5000000+5000000</f>
        <v>41401289</v>
      </c>
      <c r="F568" s="3381">
        <v>2700000</v>
      </c>
      <c r="G568" s="3381">
        <v>1500000</v>
      </c>
      <c r="H568" s="3382">
        <v>0</v>
      </c>
      <c r="I568" s="3383">
        <v>0</v>
      </c>
      <c r="J568" s="3383">
        <v>0</v>
      </c>
      <c r="K568" s="3384"/>
      <c r="L568" s="3381">
        <v>0</v>
      </c>
      <c r="M568" s="3385">
        <f>SUM(F568:J568)</f>
        <v>4200000</v>
      </c>
      <c r="N568" s="4061"/>
      <c r="O568" s="3316"/>
    </row>
    <row r="569" spans="1:130" s="3317" customFormat="1" ht="14.25" hidden="1" customHeight="1">
      <c r="A569" s="3861"/>
      <c r="B569" s="3059"/>
      <c r="C569" s="25" t="s">
        <v>70</v>
      </c>
      <c r="D569" s="3191"/>
      <c r="E569" s="2955"/>
      <c r="F569" s="3089"/>
      <c r="G569" s="3089"/>
      <c r="H569" s="2955"/>
      <c r="I569" s="2955"/>
      <c r="J569" s="2955"/>
      <c r="K569" s="3089"/>
      <c r="L569" s="3089"/>
      <c r="M569" s="3025"/>
      <c r="N569" s="3898" t="s">
        <v>75</v>
      </c>
    </row>
    <row r="570" spans="1:130" s="3317" customFormat="1" ht="13.5" hidden="1" customHeight="1">
      <c r="A570" s="3862"/>
      <c r="B570" s="16" t="s">
        <v>9</v>
      </c>
      <c r="C570" s="17"/>
      <c r="D570" s="3386">
        <f>+D571</f>
        <v>0</v>
      </c>
      <c r="E570" s="3386">
        <v>0</v>
      </c>
      <c r="F570" s="3387">
        <v>0</v>
      </c>
      <c r="G570" s="3387">
        <v>0</v>
      </c>
      <c r="H570" s="3387">
        <v>0</v>
      </c>
      <c r="I570" s="3387">
        <v>0</v>
      </c>
      <c r="J570" s="3387">
        <v>0</v>
      </c>
      <c r="K570" s="3387">
        <v>0</v>
      </c>
      <c r="L570" s="3387">
        <v>0</v>
      </c>
      <c r="M570" s="28">
        <f>+M571</f>
        <v>0</v>
      </c>
      <c r="N570" s="3857"/>
      <c r="O570" s="3316" t="e">
        <f>+#REF!+#REF!+L570+K570</f>
        <v>#REF!</v>
      </c>
    </row>
    <row r="571" spans="1:130" s="3317" customFormat="1" ht="12.75" hidden="1" customHeight="1">
      <c r="A571" s="3862"/>
      <c r="B571" s="73" t="s">
        <v>22</v>
      </c>
      <c r="C571" s="4017" t="s">
        <v>73</v>
      </c>
      <c r="D571" s="46">
        <f>+D572+D573</f>
        <v>0</v>
      </c>
      <c r="E571" s="46">
        <v>0</v>
      </c>
      <c r="F571" s="3388">
        <v>0</v>
      </c>
      <c r="G571" s="3388">
        <v>0</v>
      </c>
      <c r="H571" s="3388">
        <v>0</v>
      </c>
      <c r="I571" s="3388">
        <v>0</v>
      </c>
      <c r="J571" s="3388">
        <v>0</v>
      </c>
      <c r="K571" s="3388">
        <v>0</v>
      </c>
      <c r="L571" s="3388">
        <v>0</v>
      </c>
      <c r="M571" s="34">
        <f>+M572+M573</f>
        <v>0</v>
      </c>
      <c r="N571" s="3857"/>
      <c r="O571" s="3317" t="s">
        <v>191</v>
      </c>
    </row>
    <row r="572" spans="1:130" s="3317" customFormat="1" hidden="1" thickBot="1">
      <c r="A572" s="3862"/>
      <c r="B572" s="3389" t="s">
        <v>11</v>
      </c>
      <c r="C572" s="3908"/>
      <c r="D572" s="124">
        <f>E572+L572+K572+F572+G572+H572+I572+J572</f>
        <v>0</v>
      </c>
      <c r="E572" s="3390">
        <v>0</v>
      </c>
      <c r="F572" s="3391">
        <v>0</v>
      </c>
      <c r="G572" s="3391">
        <v>0</v>
      </c>
      <c r="H572" s="3391">
        <v>0</v>
      </c>
      <c r="I572" s="3391">
        <v>0</v>
      </c>
      <c r="J572" s="3391">
        <v>0</v>
      </c>
      <c r="K572" s="3391">
        <v>0</v>
      </c>
      <c r="L572" s="3391">
        <v>0</v>
      </c>
      <c r="M572" s="3240">
        <f>SUM(F572:G572)</f>
        <v>0</v>
      </c>
      <c r="N572" s="3857"/>
    </row>
    <row r="573" spans="1:130" s="3317" customFormat="1" hidden="1" thickBot="1">
      <c r="A573" s="3862"/>
      <c r="B573" s="3028" t="s">
        <v>14</v>
      </c>
      <c r="C573" s="3920"/>
      <c r="D573" s="124">
        <f>E573+L573+K573+F573+G573+H573+I573+J573</f>
        <v>0</v>
      </c>
      <c r="E573" s="3390">
        <v>0</v>
      </c>
      <c r="F573" s="3391">
        <v>0</v>
      </c>
      <c r="G573" s="3391">
        <v>0</v>
      </c>
      <c r="H573" s="3391">
        <v>0</v>
      </c>
      <c r="I573" s="3391">
        <v>0</v>
      </c>
      <c r="J573" s="3391">
        <v>0</v>
      </c>
      <c r="K573" s="3391">
        <v>0</v>
      </c>
      <c r="L573" s="3391">
        <v>0</v>
      </c>
      <c r="M573" s="3240">
        <f>SUM(F573:G573)</f>
        <v>0</v>
      </c>
      <c r="N573" s="3392"/>
    </row>
    <row r="574" spans="1:130" s="3317" customFormat="1" ht="10.5" hidden="1" customHeight="1">
      <c r="A574" s="3862"/>
      <c r="B574" s="16" t="s">
        <v>20</v>
      </c>
      <c r="C574" s="17"/>
      <c r="D574" s="3386">
        <f>+D575</f>
        <v>0</v>
      </c>
      <c r="E574" s="3386">
        <v>0</v>
      </c>
      <c r="F574" s="3387">
        <v>0</v>
      </c>
      <c r="G574" s="3387">
        <v>0</v>
      </c>
      <c r="H574" s="3387">
        <v>0</v>
      </c>
      <c r="I574" s="3387">
        <v>0</v>
      </c>
      <c r="J574" s="3387">
        <v>0</v>
      </c>
      <c r="K574" s="3387">
        <v>0</v>
      </c>
      <c r="L574" s="3387">
        <v>0</v>
      </c>
      <c r="M574" s="4005" t="s">
        <v>21</v>
      </c>
      <c r="N574" s="4055" t="s">
        <v>90</v>
      </c>
    </row>
    <row r="575" spans="1:130" s="3317" customFormat="1" ht="12.75" hidden="1" customHeight="1">
      <c r="A575" s="3862"/>
      <c r="B575" s="73" t="s">
        <v>22</v>
      </c>
      <c r="C575" s="3997" t="s">
        <v>73</v>
      </c>
      <c r="D575" s="46">
        <f>+D576</f>
        <v>0</v>
      </c>
      <c r="E575" s="46">
        <v>0</v>
      </c>
      <c r="F575" s="3388">
        <v>0</v>
      </c>
      <c r="G575" s="3388">
        <v>0</v>
      </c>
      <c r="H575" s="3388">
        <v>0</v>
      </c>
      <c r="I575" s="3388">
        <v>0</v>
      </c>
      <c r="J575" s="3388">
        <v>0</v>
      </c>
      <c r="K575" s="3388">
        <v>0</v>
      </c>
      <c r="L575" s="3388">
        <v>0</v>
      </c>
      <c r="M575" s="4006"/>
      <c r="N575" s="3857"/>
    </row>
    <row r="576" spans="1:130" s="3317" customFormat="1" ht="13.5" hidden="1" customHeight="1" thickBot="1">
      <c r="A576" s="3862"/>
      <c r="B576" s="3393" t="s">
        <v>14</v>
      </c>
      <c r="C576" s="3998"/>
      <c r="D576" s="124">
        <f>E576+L576+K576+F576+G576+H576+I576+J576</f>
        <v>0</v>
      </c>
      <c r="E576" s="2112">
        <v>0</v>
      </c>
      <c r="F576" s="3391">
        <v>0</v>
      </c>
      <c r="G576" s="3391">
        <v>0</v>
      </c>
      <c r="H576" s="3391">
        <v>0</v>
      </c>
      <c r="I576" s="3391">
        <v>0</v>
      </c>
      <c r="J576" s="3391">
        <v>0</v>
      </c>
      <c r="K576" s="3391">
        <v>0</v>
      </c>
      <c r="L576" s="3391">
        <v>0</v>
      </c>
      <c r="M576" s="4007"/>
      <c r="N576" s="3857"/>
    </row>
    <row r="577" spans="1:15" s="3317" customFormat="1" ht="23.25" customHeight="1">
      <c r="A577" s="4042" t="s">
        <v>56</v>
      </c>
      <c r="B577" s="3394" t="s">
        <v>508</v>
      </c>
      <c r="C577" s="3032" t="s">
        <v>70</v>
      </c>
      <c r="D577" s="3395"/>
      <c r="E577" s="3034"/>
      <c r="F577" s="3034"/>
      <c r="G577" s="3034"/>
      <c r="H577" s="3034"/>
      <c r="I577" s="3034"/>
      <c r="J577" s="3396"/>
      <c r="K577" s="3034"/>
      <c r="L577" s="1477"/>
      <c r="M577" s="22"/>
      <c r="N577" s="4040" t="s">
        <v>75</v>
      </c>
    </row>
    <row r="578" spans="1:15" s="3317" customFormat="1" ht="12">
      <c r="A578" s="3862"/>
      <c r="B578" s="1212" t="s">
        <v>9</v>
      </c>
      <c r="C578" s="797"/>
      <c r="D578" s="3174">
        <f>+D579</f>
        <v>1824799</v>
      </c>
      <c r="E578" s="3174">
        <f t="shared" ref="E578:F579" si="376">+E579</f>
        <v>664489</v>
      </c>
      <c r="F578" s="3174">
        <f t="shared" si="376"/>
        <v>1160310</v>
      </c>
      <c r="G578" s="3176">
        <v>0</v>
      </c>
      <c r="H578" s="3176">
        <v>0</v>
      </c>
      <c r="I578" s="3176">
        <v>0</v>
      </c>
      <c r="J578" s="3176">
        <v>0</v>
      </c>
      <c r="K578" s="3174">
        <f t="shared" ref="K578:M579" si="377">+K579</f>
        <v>0</v>
      </c>
      <c r="L578" s="3176">
        <f t="shared" si="377"/>
        <v>0</v>
      </c>
      <c r="M578" s="1088">
        <f t="shared" si="377"/>
        <v>1160310</v>
      </c>
      <c r="N578" s="3857"/>
      <c r="O578" s="3316"/>
    </row>
    <row r="579" spans="1:15" s="3317" customFormat="1" ht="12.75" customHeight="1">
      <c r="A579" s="3862"/>
      <c r="B579" s="1225" t="s">
        <v>22</v>
      </c>
      <c r="C579" s="3930" t="s">
        <v>73</v>
      </c>
      <c r="D579" s="3177">
        <f>+D580</f>
        <v>1824799</v>
      </c>
      <c r="E579" s="3177">
        <f t="shared" si="376"/>
        <v>664489</v>
      </c>
      <c r="F579" s="3177">
        <f t="shared" si="376"/>
        <v>1160310</v>
      </c>
      <c r="G579" s="3179">
        <v>0</v>
      </c>
      <c r="H579" s="3179">
        <v>0</v>
      </c>
      <c r="I579" s="3179">
        <v>0</v>
      </c>
      <c r="J579" s="3179">
        <v>0</v>
      </c>
      <c r="K579" s="3177">
        <f t="shared" si="377"/>
        <v>0</v>
      </c>
      <c r="L579" s="3179">
        <f t="shared" si="377"/>
        <v>0</v>
      </c>
      <c r="M579" s="330">
        <f t="shared" si="377"/>
        <v>1160310</v>
      </c>
      <c r="N579" s="3857"/>
    </row>
    <row r="580" spans="1:15" s="3317" customFormat="1" ht="12">
      <c r="A580" s="3862"/>
      <c r="B580" s="3397" t="s">
        <v>11</v>
      </c>
      <c r="C580" s="3885"/>
      <c r="D580" s="468">
        <f>E580+L580+K580+F580+G580+H580+I580+J580</f>
        <v>1824799</v>
      </c>
      <c r="E580" s="3180">
        <f>503620+160869</f>
        <v>664489</v>
      </c>
      <c r="F580" s="3398">
        <v>1160310</v>
      </c>
      <c r="G580" s="3110">
        <v>0</v>
      </c>
      <c r="H580" s="3110">
        <v>0</v>
      </c>
      <c r="I580" s="3110">
        <v>0</v>
      </c>
      <c r="J580" s="3110">
        <v>0</v>
      </c>
      <c r="K580" s="3398"/>
      <c r="L580" s="3107">
        <f>1239686+35000-1274686</f>
        <v>0</v>
      </c>
      <c r="M580" s="3056">
        <f>SUM(F580:J580)</f>
        <v>1160310</v>
      </c>
      <c r="N580" s="3899"/>
    </row>
    <row r="581" spans="1:15" s="3317" customFormat="1" ht="12" customHeight="1">
      <c r="A581" s="3862"/>
      <c r="B581" s="37" t="s">
        <v>20</v>
      </c>
      <c r="C581" s="797"/>
      <c r="D581" s="3174">
        <f>+D582</f>
        <v>160870</v>
      </c>
      <c r="E581" s="3174">
        <f t="shared" ref="E581:J582" si="378">+E582</f>
        <v>160870</v>
      </c>
      <c r="F581" s="3176">
        <f t="shared" si="378"/>
        <v>0</v>
      </c>
      <c r="G581" s="3176">
        <f t="shared" si="378"/>
        <v>0</v>
      </c>
      <c r="H581" s="3176">
        <f t="shared" si="378"/>
        <v>0</v>
      </c>
      <c r="I581" s="3176">
        <f t="shared" si="378"/>
        <v>0</v>
      </c>
      <c r="J581" s="3176">
        <f t="shared" si="378"/>
        <v>0</v>
      </c>
      <c r="K581" s="3174">
        <f>+K582</f>
        <v>0</v>
      </c>
      <c r="L581" s="3174">
        <f>+L582</f>
        <v>0</v>
      </c>
      <c r="M581" s="4034" t="s">
        <v>21</v>
      </c>
      <c r="N581" s="2134"/>
    </row>
    <row r="582" spans="1:15" s="3317" customFormat="1" ht="12.75" customHeight="1">
      <c r="A582" s="3862"/>
      <c r="B582" s="1225" t="s">
        <v>22</v>
      </c>
      <c r="C582" s="3930" t="s">
        <v>73</v>
      </c>
      <c r="D582" s="3177">
        <f>+D583</f>
        <v>160870</v>
      </c>
      <c r="E582" s="3177">
        <f t="shared" si="378"/>
        <v>160870</v>
      </c>
      <c r="F582" s="3179">
        <f t="shared" si="378"/>
        <v>0</v>
      </c>
      <c r="G582" s="3179">
        <f t="shared" si="378"/>
        <v>0</v>
      </c>
      <c r="H582" s="3179">
        <f t="shared" si="378"/>
        <v>0</v>
      </c>
      <c r="I582" s="3179">
        <f t="shared" si="378"/>
        <v>0</v>
      </c>
      <c r="J582" s="3179">
        <f t="shared" si="378"/>
        <v>0</v>
      </c>
      <c r="K582" s="3177">
        <f>+K583</f>
        <v>0</v>
      </c>
      <c r="L582" s="3177">
        <f>+L583</f>
        <v>0</v>
      </c>
      <c r="M582" s="4035"/>
      <c r="N582" s="2134" t="s">
        <v>90</v>
      </c>
    </row>
    <row r="583" spans="1:15" s="3317" customFormat="1" ht="13.5" customHeight="1" thickBot="1">
      <c r="A583" s="3863"/>
      <c r="B583" s="3399" t="s">
        <v>11</v>
      </c>
      <c r="C583" s="3860"/>
      <c r="D583" s="1142">
        <f>E583+L583+K583+F583+G583+H583+I583+J583</f>
        <v>160870</v>
      </c>
      <c r="E583" s="3384">
        <f>35000+125870</f>
        <v>160870</v>
      </c>
      <c r="F583" s="3400">
        <v>0</v>
      </c>
      <c r="G583" s="3400">
        <v>0</v>
      </c>
      <c r="H583" s="3400">
        <v>0</v>
      </c>
      <c r="I583" s="3400">
        <v>0</v>
      </c>
      <c r="J583" s="3400">
        <v>0</v>
      </c>
      <c r="K583" s="3384"/>
      <c r="L583" s="3384">
        <v>0</v>
      </c>
      <c r="M583" s="4036"/>
      <c r="N583" s="3286"/>
    </row>
    <row r="584" spans="1:15" s="3317" customFormat="1" ht="22.5" hidden="1" customHeight="1">
      <c r="A584" s="3861"/>
      <c r="B584" s="3059"/>
      <c r="C584" s="25" t="s">
        <v>70</v>
      </c>
      <c r="D584" s="3191"/>
      <c r="E584" s="2955"/>
      <c r="F584" s="2967"/>
      <c r="G584" s="3401"/>
      <c r="H584" s="2967"/>
      <c r="I584" s="2967"/>
      <c r="J584" s="2967"/>
      <c r="K584" s="2955"/>
      <c r="L584" s="2955"/>
      <c r="M584" s="22"/>
      <c r="N584" s="3898" t="s">
        <v>75</v>
      </c>
    </row>
    <row r="585" spans="1:15" s="3317" customFormat="1" ht="12.75" hidden="1" customHeight="1">
      <c r="A585" s="3862"/>
      <c r="B585" s="1212" t="s">
        <v>9</v>
      </c>
      <c r="C585" s="797"/>
      <c r="D585" s="3174">
        <f>+D586</f>
        <v>0</v>
      </c>
      <c r="E585" s="3174">
        <v>0</v>
      </c>
      <c r="F585" s="3176">
        <v>0</v>
      </c>
      <c r="G585" s="3176">
        <v>0</v>
      </c>
      <c r="H585" s="3176">
        <v>0</v>
      </c>
      <c r="I585" s="3176">
        <v>0</v>
      </c>
      <c r="J585" s="3176">
        <v>0</v>
      </c>
      <c r="K585" s="3176">
        <v>0</v>
      </c>
      <c r="L585" s="3176">
        <v>0</v>
      </c>
      <c r="M585" s="3196">
        <f>+M586</f>
        <v>0</v>
      </c>
      <c r="N585" s="3857"/>
      <c r="O585" s="3316" t="e">
        <f>+#REF!+#REF!+L585+K585</f>
        <v>#REF!</v>
      </c>
    </row>
    <row r="586" spans="1:15" s="3317" customFormat="1" ht="12.75" hidden="1" customHeight="1">
      <c r="A586" s="3862"/>
      <c r="B586" s="1225" t="s">
        <v>22</v>
      </c>
      <c r="C586" s="3930" t="s">
        <v>73</v>
      </c>
      <c r="D586" s="3177">
        <f>+D587+D588</f>
        <v>0</v>
      </c>
      <c r="E586" s="3177">
        <v>0</v>
      </c>
      <c r="F586" s="3179">
        <v>0</v>
      </c>
      <c r="G586" s="3179">
        <v>0</v>
      </c>
      <c r="H586" s="3179">
        <v>0</v>
      </c>
      <c r="I586" s="3179">
        <v>0</v>
      </c>
      <c r="J586" s="3179">
        <v>0</v>
      </c>
      <c r="K586" s="3179">
        <v>0</v>
      </c>
      <c r="L586" s="3179">
        <v>0</v>
      </c>
      <c r="M586" s="330">
        <f>+M587</f>
        <v>0</v>
      </c>
      <c r="N586" s="3857"/>
    </row>
    <row r="587" spans="1:15" s="3317" customFormat="1" ht="12.75" hidden="1" customHeight="1">
      <c r="A587" s="3862"/>
      <c r="B587" s="3402" t="s">
        <v>11</v>
      </c>
      <c r="C587" s="3908"/>
      <c r="D587" s="468">
        <f>E587+L587+K587+F587+G587+H587+I587+J587</f>
        <v>0</v>
      </c>
      <c r="E587" s="3180">
        <v>0</v>
      </c>
      <c r="F587" s="3110">
        <v>0</v>
      </c>
      <c r="G587" s="3110">
        <v>0</v>
      </c>
      <c r="H587" s="3110">
        <v>0</v>
      </c>
      <c r="I587" s="3110">
        <v>0</v>
      </c>
      <c r="J587" s="3110">
        <v>0</v>
      </c>
      <c r="K587" s="3110">
        <v>0</v>
      </c>
      <c r="L587" s="3110">
        <v>0</v>
      </c>
      <c r="M587" s="3056">
        <f>SUM(F587:G587)</f>
        <v>0</v>
      </c>
      <c r="N587" s="3857"/>
    </row>
    <row r="588" spans="1:15" s="3317" customFormat="1" ht="12.75" hidden="1" customHeight="1">
      <c r="A588" s="3862"/>
      <c r="B588" s="3028" t="s">
        <v>14</v>
      </c>
      <c r="C588" s="3920"/>
      <c r="D588" s="468">
        <f>E588+L588+K588+F588+G588+H588+I588+J588</f>
        <v>0</v>
      </c>
      <c r="E588" s="3180">
        <v>0</v>
      </c>
      <c r="F588" s="3110">
        <v>0</v>
      </c>
      <c r="G588" s="3110">
        <v>0</v>
      </c>
      <c r="H588" s="3110">
        <v>0</v>
      </c>
      <c r="I588" s="3110">
        <v>0</v>
      </c>
      <c r="J588" s="3110">
        <v>0</v>
      </c>
      <c r="K588" s="3110">
        <v>0</v>
      </c>
      <c r="L588" s="3110">
        <v>0</v>
      </c>
      <c r="M588" s="3056">
        <f>SUM(F588:G588)</f>
        <v>0</v>
      </c>
      <c r="N588" s="3392"/>
    </row>
    <row r="589" spans="1:15" s="3317" customFormat="1" ht="12.75" hidden="1" customHeight="1">
      <c r="A589" s="3862"/>
      <c r="B589" s="1212" t="s">
        <v>20</v>
      </c>
      <c r="C589" s="797"/>
      <c r="D589" s="3174">
        <f>+D590</f>
        <v>0</v>
      </c>
      <c r="E589" s="3174">
        <v>0</v>
      </c>
      <c r="F589" s="3176">
        <v>0</v>
      </c>
      <c r="G589" s="3176">
        <v>0</v>
      </c>
      <c r="H589" s="3176">
        <v>0</v>
      </c>
      <c r="I589" s="3176">
        <v>0</v>
      </c>
      <c r="J589" s="3176">
        <v>0</v>
      </c>
      <c r="K589" s="3176">
        <v>0</v>
      </c>
      <c r="L589" s="3176">
        <v>0</v>
      </c>
      <c r="M589" s="4034" t="s">
        <v>21</v>
      </c>
      <c r="N589" s="4041" t="s">
        <v>90</v>
      </c>
    </row>
    <row r="590" spans="1:15" s="3317" customFormat="1" ht="12.75" hidden="1" customHeight="1">
      <c r="A590" s="3862"/>
      <c r="B590" s="1225" t="s">
        <v>22</v>
      </c>
      <c r="C590" s="4000" t="s">
        <v>73</v>
      </c>
      <c r="D590" s="3177">
        <f>+D591</f>
        <v>0</v>
      </c>
      <c r="E590" s="3177">
        <v>0</v>
      </c>
      <c r="F590" s="3179">
        <v>0</v>
      </c>
      <c r="G590" s="3179">
        <v>0</v>
      </c>
      <c r="H590" s="3179">
        <v>0</v>
      </c>
      <c r="I590" s="3179">
        <v>0</v>
      </c>
      <c r="J590" s="3179">
        <v>0</v>
      </c>
      <c r="K590" s="3179">
        <v>0</v>
      </c>
      <c r="L590" s="3179">
        <v>0</v>
      </c>
      <c r="M590" s="4035"/>
      <c r="N590" s="3857"/>
    </row>
    <row r="591" spans="1:15" s="3317" customFormat="1" ht="13.5" hidden="1" customHeight="1" thickBot="1">
      <c r="A591" s="3863"/>
      <c r="B591" s="3403" t="s">
        <v>14</v>
      </c>
      <c r="C591" s="4003"/>
      <c r="D591" s="468">
        <f>E591+L591+K591+F591+G591+H591+I591+J591</f>
        <v>0</v>
      </c>
      <c r="E591" s="3180"/>
      <c r="F591" s="3110">
        <v>0</v>
      </c>
      <c r="G591" s="3110">
        <v>0</v>
      </c>
      <c r="H591" s="3110">
        <v>0</v>
      </c>
      <c r="I591" s="3110">
        <v>0</v>
      </c>
      <c r="J591" s="3110">
        <v>0</v>
      </c>
      <c r="K591" s="3110">
        <v>0</v>
      </c>
      <c r="L591" s="3110">
        <v>0</v>
      </c>
      <c r="M591" s="4036"/>
      <c r="N591" s="3858"/>
    </row>
    <row r="592" spans="1:15" s="3317" customFormat="1" ht="26.25" hidden="1" customHeight="1">
      <c r="A592" s="3861"/>
      <c r="B592" s="3059"/>
      <c r="C592" s="25"/>
      <c r="D592" s="3191"/>
      <c r="E592" s="2955"/>
      <c r="F592" s="2955"/>
      <c r="G592" s="3404"/>
      <c r="H592" s="2967"/>
      <c r="I592" s="2967"/>
      <c r="J592" s="2967"/>
      <c r="K592" s="2955"/>
      <c r="L592" s="2955"/>
      <c r="M592" s="2967"/>
      <c r="N592" s="3898" t="s">
        <v>75</v>
      </c>
    </row>
    <row r="593" spans="1:15" s="3317" customFormat="1" hidden="1" thickBot="1">
      <c r="A593" s="3862"/>
      <c r="B593" s="1212" t="s">
        <v>9</v>
      </c>
      <c r="C593" s="797"/>
      <c r="D593" s="3174"/>
      <c r="E593" s="3176"/>
      <c r="F593" s="3176"/>
      <c r="G593" s="3176"/>
      <c r="H593" s="3176"/>
      <c r="I593" s="3176"/>
      <c r="J593" s="3176"/>
      <c r="K593" s="3176"/>
      <c r="L593" s="3176"/>
      <c r="M593" s="3405">
        <f>+M594</f>
        <v>0</v>
      </c>
      <c r="N593" s="3857"/>
    </row>
    <row r="594" spans="1:15" s="3317" customFormat="1" hidden="1" thickBot="1">
      <c r="A594" s="3862"/>
      <c r="B594" s="1225" t="s">
        <v>22</v>
      </c>
      <c r="C594" s="4000" t="s">
        <v>73</v>
      </c>
      <c r="D594" s="3177"/>
      <c r="E594" s="3179"/>
      <c r="F594" s="3179"/>
      <c r="G594" s="3179"/>
      <c r="H594" s="3179"/>
      <c r="I594" s="3179"/>
      <c r="J594" s="3179"/>
      <c r="K594" s="3179"/>
      <c r="L594" s="3179"/>
      <c r="M594" s="381">
        <f>+M595</f>
        <v>0</v>
      </c>
      <c r="N594" s="3857"/>
    </row>
    <row r="595" spans="1:15" s="3317" customFormat="1" hidden="1" thickBot="1">
      <c r="A595" s="3862"/>
      <c r="B595" s="3406" t="s">
        <v>11</v>
      </c>
      <c r="C595" s="3998"/>
      <c r="D595" s="1090"/>
      <c r="E595" s="1090"/>
      <c r="F595" s="3110"/>
      <c r="G595" s="3110"/>
      <c r="H595" s="3110"/>
      <c r="I595" s="3110"/>
      <c r="J595" s="3110"/>
      <c r="K595" s="3110"/>
      <c r="L595" s="3110"/>
      <c r="M595" s="3056">
        <f>SUM(F595:J595)</f>
        <v>0</v>
      </c>
      <c r="N595" s="3857"/>
    </row>
    <row r="596" spans="1:15" s="3317" customFormat="1" ht="12" hidden="1" customHeight="1">
      <c r="A596" s="3862"/>
      <c r="B596" s="1212" t="s">
        <v>20</v>
      </c>
      <c r="C596" s="797"/>
      <c r="D596" s="3174"/>
      <c r="E596" s="3176"/>
      <c r="F596" s="3176"/>
      <c r="G596" s="3176"/>
      <c r="H596" s="3176"/>
      <c r="I596" s="3176"/>
      <c r="J596" s="3176"/>
      <c r="K596" s="3176"/>
      <c r="L596" s="3176"/>
      <c r="M596" s="4034" t="s">
        <v>21</v>
      </c>
      <c r="N596" s="4041" t="s">
        <v>90</v>
      </c>
    </row>
    <row r="597" spans="1:15" s="3317" customFormat="1" ht="12" hidden="1" customHeight="1">
      <c r="A597" s="3862"/>
      <c r="B597" s="1225" t="s">
        <v>22</v>
      </c>
      <c r="C597" s="4000">
        <v>75802</v>
      </c>
      <c r="D597" s="3177"/>
      <c r="E597" s="3179"/>
      <c r="F597" s="3179"/>
      <c r="G597" s="3179"/>
      <c r="H597" s="3179"/>
      <c r="I597" s="3179"/>
      <c r="J597" s="3179"/>
      <c r="K597" s="3179"/>
      <c r="L597" s="3179"/>
      <c r="M597" s="4035"/>
      <c r="N597" s="3857"/>
    </row>
    <row r="598" spans="1:15" s="3317" customFormat="1" ht="12.75" hidden="1" customHeight="1" thickBot="1">
      <c r="A598" s="3863"/>
      <c r="B598" s="3403" t="s">
        <v>240</v>
      </c>
      <c r="C598" s="4003"/>
      <c r="D598" s="1090"/>
      <c r="E598" s="1090"/>
      <c r="F598" s="3400"/>
      <c r="G598" s="3400"/>
      <c r="H598" s="3400"/>
      <c r="I598" s="3400"/>
      <c r="J598" s="3400"/>
      <c r="K598" s="3400"/>
      <c r="L598" s="3400"/>
      <c r="M598" s="4036"/>
      <c r="N598" s="3858"/>
    </row>
    <row r="599" spans="1:15" s="3317" customFormat="1" ht="15" customHeight="1">
      <c r="A599" s="3861" t="s">
        <v>57</v>
      </c>
      <c r="B599" s="3059" t="s">
        <v>429</v>
      </c>
      <c r="C599" s="25" t="s">
        <v>97</v>
      </c>
      <c r="D599" s="3170"/>
      <c r="E599" s="1477"/>
      <c r="F599" s="1477"/>
      <c r="G599" s="1477"/>
      <c r="H599" s="1477"/>
      <c r="I599" s="1477"/>
      <c r="J599" s="21"/>
      <c r="K599" s="1477"/>
      <c r="L599" s="1477"/>
      <c r="M599" s="22"/>
      <c r="N599" s="3898" t="s">
        <v>90</v>
      </c>
    </row>
    <row r="600" spans="1:15" s="3317" customFormat="1" ht="12">
      <c r="A600" s="3862"/>
      <c r="B600" s="1212" t="s">
        <v>9</v>
      </c>
      <c r="C600" s="797"/>
      <c r="D600" s="3174">
        <f>+D601</f>
        <v>26920835</v>
      </c>
      <c r="E600" s="3174">
        <f t="shared" ref="E600:I601" si="379">+E601</f>
        <v>12201805</v>
      </c>
      <c r="F600" s="3174">
        <f t="shared" si="379"/>
        <v>3319030</v>
      </c>
      <c r="G600" s="3174">
        <f t="shared" si="379"/>
        <v>3800000</v>
      </c>
      <c r="H600" s="3174">
        <f t="shared" si="379"/>
        <v>3800000</v>
      </c>
      <c r="I600" s="3174">
        <f t="shared" si="379"/>
        <v>3800000</v>
      </c>
      <c r="J600" s="3176">
        <v>0</v>
      </c>
      <c r="K600" s="3174">
        <f t="shared" ref="K600:M601" si="380">+K601</f>
        <v>0</v>
      </c>
      <c r="L600" s="3174">
        <f t="shared" si="380"/>
        <v>0</v>
      </c>
      <c r="M600" s="3405">
        <f t="shared" si="380"/>
        <v>14719030</v>
      </c>
      <c r="N600" s="3857"/>
      <c r="O600" s="3316"/>
    </row>
    <row r="601" spans="1:15" s="3317" customFormat="1" ht="12">
      <c r="A601" s="3862"/>
      <c r="B601" s="1225" t="s">
        <v>22</v>
      </c>
      <c r="C601" s="4000" t="s">
        <v>87</v>
      </c>
      <c r="D601" s="3177">
        <f>+D602</f>
        <v>26920835</v>
      </c>
      <c r="E601" s="3177">
        <f t="shared" si="379"/>
        <v>12201805</v>
      </c>
      <c r="F601" s="3177">
        <f t="shared" si="379"/>
        <v>3319030</v>
      </c>
      <c r="G601" s="3177">
        <f t="shared" si="379"/>
        <v>3800000</v>
      </c>
      <c r="H601" s="3177">
        <f t="shared" si="379"/>
        <v>3800000</v>
      </c>
      <c r="I601" s="3177">
        <f t="shared" si="379"/>
        <v>3800000</v>
      </c>
      <c r="J601" s="3179">
        <v>0</v>
      </c>
      <c r="K601" s="3177">
        <f t="shared" si="380"/>
        <v>0</v>
      </c>
      <c r="L601" s="3177">
        <f t="shared" si="380"/>
        <v>0</v>
      </c>
      <c r="M601" s="381">
        <f t="shared" si="380"/>
        <v>14719030</v>
      </c>
      <c r="N601" s="3857"/>
    </row>
    <row r="602" spans="1:15" s="3317" customFormat="1" thickBot="1">
      <c r="A602" s="3863"/>
      <c r="B602" s="3399" t="s">
        <v>11</v>
      </c>
      <c r="C602" s="4003"/>
      <c r="D602" s="1142">
        <f>E602+L602+K602+F602+G602+H602+I602+J602</f>
        <v>26920835</v>
      </c>
      <c r="E602" s="1142">
        <f>6358217+2573695+3269893</f>
        <v>12201805</v>
      </c>
      <c r="F602" s="3407">
        <f>3800000-480970</f>
        <v>3319030</v>
      </c>
      <c r="G602" s="3407">
        <v>3800000</v>
      </c>
      <c r="H602" s="3407">
        <v>3800000</v>
      </c>
      <c r="I602" s="3407">
        <v>3800000</v>
      </c>
      <c r="J602" s="3400">
        <v>0</v>
      </c>
      <c r="K602" s="3407"/>
      <c r="L602" s="3407">
        <v>0</v>
      </c>
      <c r="M602" s="3408">
        <f>SUM(F602:J602)</f>
        <v>14719030</v>
      </c>
      <c r="N602" s="3858"/>
    </row>
    <row r="603" spans="1:15" s="3317" customFormat="1" ht="14.25" customHeight="1">
      <c r="A603" s="3861" t="s">
        <v>103</v>
      </c>
      <c r="B603" s="3059" t="s">
        <v>166</v>
      </c>
      <c r="C603" s="25" t="s">
        <v>97</v>
      </c>
      <c r="D603" s="3170"/>
      <c r="E603" s="1477"/>
      <c r="F603" s="1477"/>
      <c r="G603" s="1477"/>
      <c r="H603" s="3050"/>
      <c r="I603" s="3050"/>
      <c r="J603" s="3409"/>
      <c r="K603" s="1477"/>
      <c r="L603" s="1477"/>
      <c r="M603" s="22"/>
      <c r="N603" s="3898" t="s">
        <v>90</v>
      </c>
    </row>
    <row r="604" spans="1:15" s="3317" customFormat="1" ht="12">
      <c r="A604" s="3862"/>
      <c r="B604" s="336" t="s">
        <v>9</v>
      </c>
      <c r="C604" s="3060"/>
      <c r="D604" s="3171">
        <f>+D605</f>
        <v>682292622</v>
      </c>
      <c r="E604" s="3171">
        <f t="shared" ref="E604:G604" si="381">+E605</f>
        <v>493605452</v>
      </c>
      <c r="F604" s="3171">
        <f t="shared" si="381"/>
        <v>95687170</v>
      </c>
      <c r="G604" s="3171">
        <f t="shared" si="381"/>
        <v>93000000</v>
      </c>
      <c r="H604" s="3217">
        <v>0</v>
      </c>
      <c r="I604" s="3217">
        <v>0</v>
      </c>
      <c r="J604" s="3217">
        <v>0</v>
      </c>
      <c r="K604" s="3171">
        <f>+K605</f>
        <v>0</v>
      </c>
      <c r="L604" s="3171">
        <f>+L605</f>
        <v>0</v>
      </c>
      <c r="M604" s="3410">
        <f>+M605</f>
        <v>188687170</v>
      </c>
      <c r="N604" s="3857"/>
      <c r="O604" s="3316"/>
    </row>
    <row r="605" spans="1:15" s="3317" customFormat="1" ht="12">
      <c r="A605" s="3862"/>
      <c r="B605" s="326" t="s">
        <v>22</v>
      </c>
      <c r="C605" s="4000" t="s">
        <v>87</v>
      </c>
      <c r="D605" s="3172">
        <f>+D606+D607</f>
        <v>682292622</v>
      </c>
      <c r="E605" s="3172">
        <f t="shared" ref="E605" si="382">+E606+E607</f>
        <v>493605452</v>
      </c>
      <c r="F605" s="3172">
        <f>+F606+F607</f>
        <v>95687170</v>
      </c>
      <c r="G605" s="3172">
        <f>+G606+G607</f>
        <v>93000000</v>
      </c>
      <c r="H605" s="3218">
        <v>0</v>
      </c>
      <c r="I605" s="3218">
        <v>0</v>
      </c>
      <c r="J605" s="3218">
        <v>0</v>
      </c>
      <c r="K605" s="3172">
        <f t="shared" ref="K605" si="383">+K606+K607</f>
        <v>0</v>
      </c>
      <c r="L605" s="3172">
        <f>+L606+L607</f>
        <v>0</v>
      </c>
      <c r="M605" s="3005">
        <f>+M606+M607</f>
        <v>188687170</v>
      </c>
      <c r="N605" s="3857"/>
    </row>
    <row r="606" spans="1:15" s="3317" customFormat="1" ht="12">
      <c r="A606" s="3862"/>
      <c r="B606" s="3411" t="s">
        <v>11</v>
      </c>
      <c r="C606" s="3999"/>
      <c r="D606" s="468">
        <f>E606+L606+K606+F606+G606+H606+I606+J606</f>
        <v>670332918</v>
      </c>
      <c r="E606" s="787">
        <f>315126690+81588022+87748206</f>
        <v>484462918</v>
      </c>
      <c r="F606" s="2959">
        <f>79000000+2000000+10500000+1370000</f>
        <v>92870000</v>
      </c>
      <c r="G606" s="2959">
        <f>79000000+2000000+9000000+3000000</f>
        <v>93000000</v>
      </c>
      <c r="H606" s="776">
        <v>0</v>
      </c>
      <c r="I606" s="776">
        <v>0</v>
      </c>
      <c r="J606" s="776">
        <v>0</v>
      </c>
      <c r="K606" s="2959"/>
      <c r="L606" s="2959"/>
      <c r="M606" s="3408">
        <f>SUM(F606:J606)</f>
        <v>185870000</v>
      </c>
      <c r="N606" s="3857"/>
    </row>
    <row r="607" spans="1:15" s="3317" customFormat="1" ht="12">
      <c r="A607" s="3862"/>
      <c r="B607" s="3026" t="s">
        <v>14</v>
      </c>
      <c r="C607" s="3412"/>
      <c r="D607" s="468">
        <f>E607+L607+K607+F607+G607+H607+I607+J607</f>
        <v>11959704</v>
      </c>
      <c r="E607" s="787">
        <f>4693764+1818167+2630603</f>
        <v>9142534</v>
      </c>
      <c r="F607" s="3413">
        <f>1386017+715436+715717</f>
        <v>2817170</v>
      </c>
      <c r="G607" s="3413">
        <v>0</v>
      </c>
      <c r="H607" s="1616">
        <v>0</v>
      </c>
      <c r="I607" s="1616">
        <v>0</v>
      </c>
      <c r="J607" s="1616">
        <v>0</v>
      </c>
      <c r="K607" s="3414"/>
      <c r="L607" s="3414"/>
      <c r="M607" s="3408">
        <f>SUM(F607:J607)</f>
        <v>2817170</v>
      </c>
      <c r="N607" s="3857"/>
    </row>
    <row r="608" spans="1:15" s="3317" customFormat="1" ht="12">
      <c r="A608" s="3862"/>
      <c r="B608" s="336" t="s">
        <v>20</v>
      </c>
      <c r="C608" s="3060"/>
      <c r="D608" s="3171">
        <f>+D609</f>
        <v>114869676</v>
      </c>
      <c r="E608" s="3171">
        <f t="shared" ref="E608:G608" si="384">+E609</f>
        <v>66039906</v>
      </c>
      <c r="F608" s="3415">
        <f t="shared" si="384"/>
        <v>25823470</v>
      </c>
      <c r="G608" s="3415">
        <f t="shared" si="384"/>
        <v>23006300</v>
      </c>
      <c r="H608" s="3416">
        <v>0</v>
      </c>
      <c r="I608" s="3416">
        <v>0</v>
      </c>
      <c r="J608" s="3416">
        <v>0</v>
      </c>
      <c r="K608" s="3415">
        <f>+K609</f>
        <v>0</v>
      </c>
      <c r="L608" s="3415">
        <f>+L609</f>
        <v>0</v>
      </c>
      <c r="M608" s="4027" t="s">
        <v>21</v>
      </c>
      <c r="N608" s="3857"/>
    </row>
    <row r="609" spans="1:15" s="3317" customFormat="1" ht="12">
      <c r="A609" s="3862"/>
      <c r="B609" s="326" t="s">
        <v>22</v>
      </c>
      <c r="C609" s="4000" t="s">
        <v>87</v>
      </c>
      <c r="D609" s="3172">
        <f>+D610+D611</f>
        <v>114869676</v>
      </c>
      <c r="E609" s="3172">
        <f t="shared" ref="E609" si="385">+E610+E611</f>
        <v>66039906</v>
      </c>
      <c r="F609" s="3172">
        <f>+F610+F611</f>
        <v>25823470</v>
      </c>
      <c r="G609" s="3172">
        <f>+G610+G611</f>
        <v>23006300</v>
      </c>
      <c r="H609" s="3218">
        <v>0</v>
      </c>
      <c r="I609" s="3218">
        <v>0</v>
      </c>
      <c r="J609" s="3218">
        <v>0</v>
      </c>
      <c r="K609" s="3172">
        <f t="shared" ref="K609" si="386">+K610+K611</f>
        <v>0</v>
      </c>
      <c r="L609" s="3172">
        <f>+L610+L611</f>
        <v>0</v>
      </c>
      <c r="M609" s="4006"/>
      <c r="N609" s="3857"/>
    </row>
    <row r="610" spans="1:15" s="3317" customFormat="1" ht="12">
      <c r="A610" s="3862"/>
      <c r="B610" s="3417" t="s">
        <v>170</v>
      </c>
      <c r="C610" s="3998"/>
      <c r="D610" s="468">
        <f>E610+L610+K610+F610+G610+H610+I610+J610</f>
        <v>102909972</v>
      </c>
      <c r="E610" s="787">
        <f>23178951+13574840+20143581</f>
        <v>56897372</v>
      </c>
      <c r="F610" s="2783">
        <f>10500000+1500000+9636300+1370000</f>
        <v>23006300</v>
      </c>
      <c r="G610" s="2783">
        <f>10500000+1500000+9636300+1370000</f>
        <v>23006300</v>
      </c>
      <c r="H610" s="3418">
        <v>0</v>
      </c>
      <c r="I610" s="3418">
        <v>0</v>
      </c>
      <c r="J610" s="3418">
        <v>0</v>
      </c>
      <c r="K610" s="2783"/>
      <c r="L610" s="2783">
        <v>0</v>
      </c>
      <c r="M610" s="4006"/>
      <c r="N610" s="3857"/>
    </row>
    <row r="611" spans="1:15" s="3317" customFormat="1" ht="12" customHeight="1" thickBot="1">
      <c r="A611" s="3863"/>
      <c r="B611" s="3399" t="s">
        <v>14</v>
      </c>
      <c r="C611" s="4003"/>
      <c r="D611" s="465">
        <f>E611+L611+K611+F611+G611+H611+I611+J611</f>
        <v>11959704</v>
      </c>
      <c r="E611" s="465">
        <f>4693764+1818167+2630603</f>
        <v>9142534</v>
      </c>
      <c r="F611" s="2783">
        <f>1386017+715436+715717</f>
        <v>2817170</v>
      </c>
      <c r="G611" s="2141">
        <v>0</v>
      </c>
      <c r="H611" s="2141">
        <v>0</v>
      </c>
      <c r="I611" s="2141">
        <v>0</v>
      </c>
      <c r="J611" s="2141">
        <v>0</v>
      </c>
      <c r="K611" s="3419"/>
      <c r="L611" s="3419">
        <v>0</v>
      </c>
      <c r="M611" s="4007"/>
      <c r="N611" s="3858"/>
    </row>
    <row r="612" spans="1:15" s="3317" customFormat="1" hidden="1" thickBot="1">
      <c r="A612" s="3861"/>
      <c r="B612" s="3059"/>
      <c r="C612" s="25" t="s">
        <v>97</v>
      </c>
      <c r="D612" s="3191"/>
      <c r="E612" s="2955"/>
      <c r="F612" s="2955"/>
      <c r="G612" s="2955"/>
      <c r="H612" s="2955"/>
      <c r="I612" s="2955"/>
      <c r="J612" s="2955"/>
      <c r="K612" s="2955"/>
      <c r="L612" s="2955"/>
      <c r="M612" s="22"/>
      <c r="N612" s="3898" t="s">
        <v>90</v>
      </c>
    </row>
    <row r="613" spans="1:15" s="3317" customFormat="1" hidden="1" thickBot="1">
      <c r="A613" s="3862"/>
      <c r="B613" s="16" t="s">
        <v>9</v>
      </c>
      <c r="C613" s="17"/>
      <c r="D613" s="3386">
        <f>+D614</f>
        <v>0</v>
      </c>
      <c r="E613" s="3386">
        <v>0</v>
      </c>
      <c r="F613" s="3386"/>
      <c r="G613" s="3386"/>
      <c r="H613" s="3420"/>
      <c r="I613" s="3420"/>
      <c r="J613" s="3420"/>
      <c r="K613" s="3386"/>
      <c r="L613" s="3386"/>
      <c r="M613" s="3421"/>
      <c r="N613" s="3857"/>
      <c r="O613" s="3316"/>
    </row>
    <row r="614" spans="1:15" s="3317" customFormat="1" hidden="1" thickBot="1">
      <c r="A614" s="3862"/>
      <c r="B614" s="73" t="s">
        <v>22</v>
      </c>
      <c r="C614" s="3422" t="s">
        <v>87</v>
      </c>
      <c r="D614" s="46">
        <f>+D615</f>
        <v>0</v>
      </c>
      <c r="E614" s="46">
        <v>0</v>
      </c>
      <c r="F614" s="46"/>
      <c r="G614" s="46"/>
      <c r="H614" s="3423"/>
      <c r="I614" s="3423"/>
      <c r="J614" s="3423"/>
      <c r="K614" s="46"/>
      <c r="L614" s="46"/>
      <c r="M614" s="29"/>
      <c r="N614" s="3857"/>
    </row>
    <row r="615" spans="1:15" s="3317" customFormat="1" hidden="1" thickBot="1">
      <c r="A615" s="3862"/>
      <c r="B615" s="3389" t="s">
        <v>11</v>
      </c>
      <c r="C615" s="3424"/>
      <c r="D615" s="3425">
        <f>SUM(E615:G615)</f>
        <v>0</v>
      </c>
      <c r="E615" s="102">
        <v>0</v>
      </c>
      <c r="F615" s="3390"/>
      <c r="G615" s="3390"/>
      <c r="H615" s="3426"/>
      <c r="I615" s="3426"/>
      <c r="J615" s="3426"/>
      <c r="K615" s="3390"/>
      <c r="L615" s="3390"/>
      <c r="M615" s="2961"/>
      <c r="N615" s="3857"/>
    </row>
    <row r="616" spans="1:15" s="3317" customFormat="1" ht="14.25" hidden="1" customHeight="1">
      <c r="A616" s="3861" t="s">
        <v>77</v>
      </c>
      <c r="B616" s="3059"/>
      <c r="C616" s="25" t="s">
        <v>97</v>
      </c>
      <c r="D616" s="2954"/>
      <c r="E616" s="2955"/>
      <c r="F616" s="2955"/>
      <c r="G616" s="2955"/>
      <c r="H616" s="2955"/>
      <c r="I616" s="2955"/>
      <c r="J616" s="2955"/>
      <c r="K616" s="2955"/>
      <c r="L616" s="2955"/>
      <c r="M616" s="22"/>
      <c r="N616" s="3898" t="s">
        <v>75</v>
      </c>
    </row>
    <row r="617" spans="1:15" s="3317" customFormat="1" hidden="1" thickBot="1">
      <c r="A617" s="3862"/>
      <c r="B617" s="16" t="s">
        <v>9</v>
      </c>
      <c r="C617" s="17"/>
      <c r="D617" s="3386"/>
      <c r="E617" s="3386"/>
      <c r="F617" s="3386"/>
      <c r="G617" s="3387"/>
      <c r="H617" s="3387"/>
      <c r="I617" s="3387"/>
      <c r="J617" s="3387"/>
      <c r="K617" s="3386"/>
      <c r="L617" s="3386"/>
      <c r="M617" s="28">
        <f>+M618</f>
        <v>0</v>
      </c>
      <c r="N617" s="3857"/>
      <c r="O617" s="3316"/>
    </row>
    <row r="618" spans="1:15" s="3317" customFormat="1" hidden="1" thickBot="1">
      <c r="A618" s="3862"/>
      <c r="B618" s="73" t="s">
        <v>22</v>
      </c>
      <c r="C618" s="3997" t="s">
        <v>73</v>
      </c>
      <c r="D618" s="46"/>
      <c r="E618" s="46"/>
      <c r="F618" s="46"/>
      <c r="G618" s="3388"/>
      <c r="H618" s="3388"/>
      <c r="I618" s="3388"/>
      <c r="J618" s="3388"/>
      <c r="K618" s="46"/>
      <c r="L618" s="46"/>
      <c r="M618" s="34">
        <f>+M619+M620</f>
        <v>0</v>
      </c>
      <c r="N618" s="3857"/>
    </row>
    <row r="619" spans="1:15" s="3317" customFormat="1" hidden="1" thickBot="1">
      <c r="A619" s="3862"/>
      <c r="B619" s="3427" t="s">
        <v>11</v>
      </c>
      <c r="C619" s="3998"/>
      <c r="D619" s="3428"/>
      <c r="E619" s="3428"/>
      <c r="F619" s="3429"/>
      <c r="G619" s="3391"/>
      <c r="H619" s="3391"/>
      <c r="I619" s="3391"/>
      <c r="J619" s="3391"/>
      <c r="K619" s="3429"/>
      <c r="L619" s="3429"/>
      <c r="M619" s="3240">
        <f>SUM(F619:J619)</f>
        <v>0</v>
      </c>
      <c r="N619" s="3857"/>
    </row>
    <row r="620" spans="1:15" s="3317" customFormat="1" hidden="1" thickBot="1">
      <c r="A620" s="3862"/>
      <c r="B620" s="47" t="s">
        <v>95</v>
      </c>
      <c r="C620" s="3999"/>
      <c r="D620" s="3428"/>
      <c r="E620" s="3428"/>
      <c r="F620" s="3430"/>
      <c r="G620" s="3430"/>
      <c r="H620" s="3431"/>
      <c r="I620" s="3431"/>
      <c r="J620" s="3431"/>
      <c r="K620" s="3430"/>
      <c r="L620" s="3430"/>
      <c r="M620" s="3240">
        <f>SUM(F620:J620)</f>
        <v>0</v>
      </c>
      <c r="N620" s="3857"/>
    </row>
    <row r="621" spans="1:15" s="3317" customFormat="1" ht="12.75" hidden="1" customHeight="1">
      <c r="A621" s="3862"/>
      <c r="B621" s="35" t="s">
        <v>20</v>
      </c>
      <c r="C621" s="17"/>
      <c r="D621" s="3386"/>
      <c r="E621" s="3386"/>
      <c r="F621" s="3387"/>
      <c r="G621" s="3387"/>
      <c r="H621" s="3387"/>
      <c r="I621" s="3387"/>
      <c r="J621" s="3387"/>
      <c r="K621" s="3387"/>
      <c r="L621" s="3387"/>
      <c r="M621" s="4028" t="s">
        <v>21</v>
      </c>
      <c r="N621" s="3857"/>
    </row>
    <row r="622" spans="1:15" s="3317" customFormat="1" ht="12.75" hidden="1" customHeight="1">
      <c r="A622" s="3862"/>
      <c r="B622" s="73" t="s">
        <v>22</v>
      </c>
      <c r="C622" s="3997" t="s">
        <v>73</v>
      </c>
      <c r="D622" s="23"/>
      <c r="E622" s="23"/>
      <c r="F622" s="3432"/>
      <c r="G622" s="3433"/>
      <c r="H622" s="3433"/>
      <c r="I622" s="3433"/>
      <c r="J622" s="3433"/>
      <c r="K622" s="3433"/>
      <c r="L622" s="3433"/>
      <c r="M622" s="3855"/>
      <c r="N622" s="3857"/>
    </row>
    <row r="623" spans="1:15" s="3317" customFormat="1" ht="12.75" hidden="1" customHeight="1" thickBot="1">
      <c r="A623" s="3863"/>
      <c r="B623" s="143" t="s">
        <v>12</v>
      </c>
      <c r="C623" s="4003"/>
      <c r="D623" s="3428"/>
      <c r="E623" s="3428"/>
      <c r="F623" s="3434"/>
      <c r="G623" s="3435"/>
      <c r="H623" s="3435"/>
      <c r="I623" s="3435"/>
      <c r="J623" s="3435"/>
      <c r="K623" s="3435"/>
      <c r="L623" s="3435"/>
      <c r="M623" s="3856"/>
      <c r="N623" s="3858"/>
    </row>
    <row r="624" spans="1:15" s="3317" customFormat="1" ht="24.75" hidden="1" customHeight="1">
      <c r="A624" s="3861" t="s">
        <v>80</v>
      </c>
      <c r="B624" s="3059"/>
      <c r="C624" s="25"/>
      <c r="D624" s="2954"/>
      <c r="E624" s="2954"/>
      <c r="F624" s="2955"/>
      <c r="G624" s="2955"/>
      <c r="H624" s="2955"/>
      <c r="I624" s="2955"/>
      <c r="J624" s="2955"/>
      <c r="K624" s="2954"/>
      <c r="L624" s="2954"/>
      <c r="M624" s="22"/>
      <c r="N624" s="3898" t="s">
        <v>75</v>
      </c>
    </row>
    <row r="625" spans="1:15" s="3317" customFormat="1" hidden="1" thickBot="1">
      <c r="A625" s="3862"/>
      <c r="B625" s="16" t="s">
        <v>9</v>
      </c>
      <c r="C625" s="17"/>
      <c r="D625" s="3386"/>
      <c r="E625" s="3386"/>
      <c r="F625" s="3386"/>
      <c r="G625" s="3387"/>
      <c r="H625" s="3387"/>
      <c r="I625" s="3387"/>
      <c r="J625" s="3387"/>
      <c r="K625" s="3386"/>
      <c r="L625" s="3386"/>
      <c r="M625" s="28">
        <f>+M626</f>
        <v>0</v>
      </c>
      <c r="N625" s="3857"/>
      <c r="O625" s="3316"/>
    </row>
    <row r="626" spans="1:15" s="3317" customFormat="1" hidden="1" thickBot="1">
      <c r="A626" s="3862"/>
      <c r="B626" s="73" t="s">
        <v>22</v>
      </c>
      <c r="C626" s="3997" t="s">
        <v>73</v>
      </c>
      <c r="D626" s="46"/>
      <c r="E626" s="46"/>
      <c r="F626" s="46"/>
      <c r="G626" s="3430"/>
      <c r="H626" s="3431"/>
      <c r="I626" s="3431"/>
      <c r="J626" s="3431"/>
      <c r="K626" s="46"/>
      <c r="L626" s="46"/>
      <c r="M626" s="34">
        <f>+M627+M628</f>
        <v>0</v>
      </c>
      <c r="N626" s="3857"/>
    </row>
    <row r="627" spans="1:15" s="3317" customFormat="1" hidden="1" thickBot="1">
      <c r="A627" s="3862"/>
      <c r="B627" s="3427" t="s">
        <v>11</v>
      </c>
      <c r="C627" s="3998"/>
      <c r="D627" s="3428"/>
      <c r="E627" s="3428"/>
      <c r="F627" s="3436"/>
      <c r="G627" s="3430"/>
      <c r="H627" s="3431"/>
      <c r="I627" s="3431"/>
      <c r="J627" s="3431"/>
      <c r="K627" s="3436"/>
      <c r="L627" s="3436"/>
      <c r="M627" s="3240">
        <f>SUM(F627:J627)</f>
        <v>0</v>
      </c>
      <c r="N627" s="3857"/>
    </row>
    <row r="628" spans="1:15" s="3317" customFormat="1" hidden="1" thickBot="1">
      <c r="A628" s="3862"/>
      <c r="B628" s="47" t="s">
        <v>67</v>
      </c>
      <c r="C628" s="3999"/>
      <c r="D628" s="3428"/>
      <c r="E628" s="3428"/>
      <c r="F628" s="3430"/>
      <c r="G628" s="3430"/>
      <c r="H628" s="3431"/>
      <c r="I628" s="3431"/>
      <c r="J628" s="3431"/>
      <c r="K628" s="3436"/>
      <c r="L628" s="3436"/>
      <c r="M628" s="3240">
        <f>SUM(F628:J628)</f>
        <v>0</v>
      </c>
      <c r="N628" s="3857"/>
    </row>
    <row r="629" spans="1:15" s="3317" customFormat="1" ht="12.75" hidden="1" customHeight="1">
      <c r="A629" s="3862"/>
      <c r="B629" s="35" t="s">
        <v>20</v>
      </c>
      <c r="C629" s="17"/>
      <c r="D629" s="3386"/>
      <c r="E629" s="3386"/>
      <c r="F629" s="3387"/>
      <c r="G629" s="3387"/>
      <c r="H629" s="3387"/>
      <c r="I629" s="3387"/>
      <c r="J629" s="3387"/>
      <c r="K629" s="3387"/>
      <c r="L629" s="3387"/>
      <c r="M629" s="4028" t="s">
        <v>21</v>
      </c>
      <c r="N629" s="3857"/>
    </row>
    <row r="630" spans="1:15" s="3317" customFormat="1" ht="12.75" hidden="1" customHeight="1">
      <c r="A630" s="3862"/>
      <c r="B630" s="73" t="s">
        <v>22</v>
      </c>
      <c r="C630" s="3997" t="s">
        <v>73</v>
      </c>
      <c r="D630" s="3437"/>
      <c r="E630" s="3437"/>
      <c r="F630" s="3432"/>
      <c r="G630" s="3433"/>
      <c r="H630" s="3433"/>
      <c r="I630" s="3433"/>
      <c r="J630" s="3433"/>
      <c r="K630" s="3432"/>
      <c r="L630" s="3432"/>
      <c r="M630" s="3855"/>
      <c r="N630" s="3857"/>
    </row>
    <row r="631" spans="1:15" s="3317" customFormat="1" ht="12.75" hidden="1" customHeight="1" thickBot="1">
      <c r="A631" s="3863"/>
      <c r="B631" s="47" t="s">
        <v>12</v>
      </c>
      <c r="C631" s="4003"/>
      <c r="D631" s="3428"/>
      <c r="E631" s="3428"/>
      <c r="F631" s="3434"/>
      <c r="G631" s="3435"/>
      <c r="H631" s="3435"/>
      <c r="I631" s="3435"/>
      <c r="J631" s="3435"/>
      <c r="K631" s="3434"/>
      <c r="L631" s="3434"/>
      <c r="M631" s="3856"/>
      <c r="N631" s="3858"/>
    </row>
    <row r="632" spans="1:15" s="3317" customFormat="1" ht="14.25" hidden="1" customHeight="1">
      <c r="A632" s="3861" t="s">
        <v>81</v>
      </c>
      <c r="B632" s="3059"/>
      <c r="C632" s="25"/>
      <c r="D632" s="3191"/>
      <c r="E632" s="2955"/>
      <c r="F632" s="2955"/>
      <c r="G632" s="2955"/>
      <c r="H632" s="2955"/>
      <c r="I632" s="2955"/>
      <c r="J632" s="2955"/>
      <c r="K632" s="2955"/>
      <c r="L632" s="2955"/>
      <c r="M632" s="22"/>
      <c r="N632" s="3898" t="s">
        <v>75</v>
      </c>
    </row>
    <row r="633" spans="1:15" s="3317" customFormat="1" hidden="1" thickBot="1">
      <c r="A633" s="3862"/>
      <c r="B633" s="16" t="s">
        <v>9</v>
      </c>
      <c r="C633" s="17"/>
      <c r="D633" s="3386"/>
      <c r="E633" s="3386"/>
      <c r="F633" s="3387"/>
      <c r="G633" s="3387"/>
      <c r="H633" s="3387"/>
      <c r="I633" s="3387"/>
      <c r="J633" s="3387"/>
      <c r="K633" s="3386"/>
      <c r="L633" s="3386"/>
      <c r="M633" s="28">
        <f>+M634</f>
        <v>0</v>
      </c>
      <c r="N633" s="3857"/>
      <c r="O633" s="3316"/>
    </row>
    <row r="634" spans="1:15" s="3317" customFormat="1" hidden="1" thickBot="1">
      <c r="A634" s="3862"/>
      <c r="B634" s="73" t="s">
        <v>22</v>
      </c>
      <c r="C634" s="3997" t="s">
        <v>73</v>
      </c>
      <c r="D634" s="46"/>
      <c r="E634" s="46"/>
      <c r="F634" s="3388"/>
      <c r="G634" s="3388"/>
      <c r="H634" s="3388"/>
      <c r="I634" s="3388"/>
      <c r="J634" s="3388"/>
      <c r="K634" s="46"/>
      <c r="L634" s="46"/>
      <c r="M634" s="34">
        <f>+M635</f>
        <v>0</v>
      </c>
      <c r="N634" s="3857"/>
    </row>
    <row r="635" spans="1:15" s="3317" customFormat="1" hidden="1" thickBot="1">
      <c r="A635" s="3863"/>
      <c r="B635" s="3399" t="s">
        <v>11</v>
      </c>
      <c r="C635" s="4003"/>
      <c r="D635" s="3428"/>
      <c r="E635" s="3428"/>
      <c r="F635" s="3438"/>
      <c r="G635" s="3438"/>
      <c r="H635" s="3391"/>
      <c r="I635" s="3391"/>
      <c r="J635" s="3391"/>
      <c r="K635" s="3439"/>
      <c r="L635" s="3439"/>
      <c r="M635" s="3240">
        <f>SUM(F635:J635)</f>
        <v>0</v>
      </c>
      <c r="N635" s="3858"/>
    </row>
    <row r="636" spans="1:15" s="3317" customFormat="1" ht="14.25" hidden="1" customHeight="1">
      <c r="A636" s="3861" t="s">
        <v>82</v>
      </c>
      <c r="B636" s="3059"/>
      <c r="C636" s="25"/>
      <c r="D636" s="3191"/>
      <c r="E636" s="2955"/>
      <c r="F636" s="2955"/>
      <c r="G636" s="2955"/>
      <c r="H636" s="2955"/>
      <c r="I636" s="2955"/>
      <c r="J636" s="2955"/>
      <c r="K636" s="2955"/>
      <c r="L636" s="2955"/>
      <c r="M636" s="22"/>
      <c r="N636" s="3898" t="s">
        <v>75</v>
      </c>
    </row>
    <row r="637" spans="1:15" s="3317" customFormat="1" hidden="1" thickBot="1">
      <c r="A637" s="3862"/>
      <c r="B637" s="16" t="s">
        <v>9</v>
      </c>
      <c r="C637" s="17"/>
      <c r="D637" s="3386"/>
      <c r="E637" s="3387"/>
      <c r="F637" s="3386"/>
      <c r="G637" s="3387"/>
      <c r="H637" s="3387"/>
      <c r="I637" s="3387"/>
      <c r="J637" s="3387"/>
      <c r="K637" s="3386"/>
      <c r="L637" s="3386"/>
      <c r="M637" s="28">
        <f>+M638</f>
        <v>0</v>
      </c>
      <c r="N637" s="3857"/>
      <c r="O637" s="3316"/>
    </row>
    <row r="638" spans="1:15" s="3317" customFormat="1" hidden="1" thickBot="1">
      <c r="A638" s="3862"/>
      <c r="B638" s="73" t="s">
        <v>22</v>
      </c>
      <c r="C638" s="3997" t="s">
        <v>73</v>
      </c>
      <c r="D638" s="46"/>
      <c r="E638" s="3388"/>
      <c r="F638" s="46"/>
      <c r="G638" s="3388"/>
      <c r="H638" s="3388"/>
      <c r="I638" s="3388"/>
      <c r="J638" s="3388"/>
      <c r="K638" s="46"/>
      <c r="L638" s="46"/>
      <c r="M638" s="34">
        <f>+M639</f>
        <v>0</v>
      </c>
      <c r="N638" s="3857"/>
    </row>
    <row r="639" spans="1:15" s="3317" customFormat="1" hidden="1" thickBot="1">
      <c r="A639" s="3863"/>
      <c r="B639" s="3399" t="s">
        <v>11</v>
      </c>
      <c r="C639" s="4003"/>
      <c r="D639" s="3428"/>
      <c r="E639" s="345"/>
      <c r="F639" s="3439"/>
      <c r="G639" s="3438"/>
      <c r="H639" s="3391"/>
      <c r="I639" s="3391"/>
      <c r="J639" s="3391"/>
      <c r="K639" s="3439"/>
      <c r="L639" s="3439"/>
      <c r="M639" s="3240">
        <f>SUM(F639:J639)</f>
        <v>0</v>
      </c>
      <c r="N639" s="3858"/>
    </row>
    <row r="640" spans="1:15" s="3317" customFormat="1" ht="24.75" customHeight="1">
      <c r="A640" s="3861" t="s">
        <v>76</v>
      </c>
      <c r="B640" s="3059" t="s">
        <v>430</v>
      </c>
      <c r="C640" s="3040" t="s">
        <v>97</v>
      </c>
      <c r="D640" s="3170"/>
      <c r="E640" s="1477"/>
      <c r="F640" s="1477"/>
      <c r="G640" s="1477"/>
      <c r="H640" s="1477"/>
      <c r="I640" s="1477"/>
      <c r="J640" s="21"/>
      <c r="K640" s="1477"/>
      <c r="L640" s="1477"/>
      <c r="M640" s="22"/>
      <c r="N640" s="3898" t="s">
        <v>90</v>
      </c>
    </row>
    <row r="641" spans="1:15" s="3317" customFormat="1" ht="12.75" customHeight="1">
      <c r="A641" s="3862"/>
      <c r="B641" s="1212" t="s">
        <v>9</v>
      </c>
      <c r="C641" s="1419"/>
      <c r="D641" s="3171">
        <f>+D642</f>
        <v>881434</v>
      </c>
      <c r="E641" s="3171">
        <f t="shared" ref="E641:I642" si="387">+E642</f>
        <v>301434</v>
      </c>
      <c r="F641" s="3171">
        <f t="shared" si="387"/>
        <v>145000</v>
      </c>
      <c r="G641" s="3171">
        <f t="shared" si="387"/>
        <v>145000</v>
      </c>
      <c r="H641" s="3171">
        <f t="shared" si="387"/>
        <v>145000</v>
      </c>
      <c r="I641" s="3171">
        <f t="shared" si="387"/>
        <v>145000</v>
      </c>
      <c r="J641" s="3217">
        <v>0</v>
      </c>
      <c r="K641" s="3171">
        <f t="shared" ref="K641:M642" si="388">+K642</f>
        <v>0</v>
      </c>
      <c r="L641" s="3171">
        <f t="shared" si="388"/>
        <v>0</v>
      </c>
      <c r="M641" s="799">
        <f t="shared" si="388"/>
        <v>580000</v>
      </c>
      <c r="N641" s="3857"/>
      <c r="O641" s="3316"/>
    </row>
    <row r="642" spans="1:15" s="3317" customFormat="1" ht="12.75" customHeight="1">
      <c r="A642" s="3862"/>
      <c r="B642" s="1225" t="s">
        <v>22</v>
      </c>
      <c r="C642" s="4004" t="s">
        <v>87</v>
      </c>
      <c r="D642" s="3172">
        <f>+D643</f>
        <v>881434</v>
      </c>
      <c r="E642" s="3172">
        <f t="shared" si="387"/>
        <v>301434</v>
      </c>
      <c r="F642" s="3172">
        <f t="shared" si="387"/>
        <v>145000</v>
      </c>
      <c r="G642" s="3172">
        <f t="shared" si="387"/>
        <v>145000</v>
      </c>
      <c r="H642" s="3172">
        <f>145000</f>
        <v>145000</v>
      </c>
      <c r="I642" s="3172">
        <f>145000</f>
        <v>145000</v>
      </c>
      <c r="J642" s="3218">
        <v>0</v>
      </c>
      <c r="K642" s="3172">
        <f t="shared" si="388"/>
        <v>0</v>
      </c>
      <c r="L642" s="3172">
        <f t="shared" si="388"/>
        <v>0</v>
      </c>
      <c r="M642" s="802">
        <f t="shared" si="388"/>
        <v>580000</v>
      </c>
      <c r="N642" s="3857"/>
    </row>
    <row r="643" spans="1:15" s="3317" customFormat="1" ht="12.75" customHeight="1" thickBot="1">
      <c r="A643" s="3863"/>
      <c r="B643" s="3399" t="s">
        <v>11</v>
      </c>
      <c r="C643" s="4003"/>
      <c r="D643" s="1142">
        <f>E643+L643+K643+F643+G643+H643+I643+J643</f>
        <v>881434</v>
      </c>
      <c r="E643" s="1142">
        <f>116055+81377+104002</f>
        <v>301434</v>
      </c>
      <c r="F643" s="3407">
        <f>135000+10000</f>
        <v>145000</v>
      </c>
      <c r="G643" s="3407">
        <f>135000+10000</f>
        <v>145000</v>
      </c>
      <c r="H643" s="3407">
        <f>145000</f>
        <v>145000</v>
      </c>
      <c r="I643" s="3407">
        <f>145000</f>
        <v>145000</v>
      </c>
      <c r="J643" s="3400">
        <v>0</v>
      </c>
      <c r="K643" s="3407"/>
      <c r="L643" s="3407">
        <v>0</v>
      </c>
      <c r="M643" s="3440">
        <f>SUM(F643:J643)</f>
        <v>580000</v>
      </c>
      <c r="N643" s="3858"/>
    </row>
    <row r="644" spans="1:15" s="3317" customFormat="1" ht="27" hidden="1" customHeight="1">
      <c r="A644" s="3861" t="s">
        <v>77</v>
      </c>
      <c r="B644" s="3059" t="s">
        <v>326</v>
      </c>
      <c r="C644" s="25" t="s">
        <v>70</v>
      </c>
      <c r="D644" s="3170"/>
      <c r="E644" s="1477"/>
      <c r="F644" s="1477"/>
      <c r="G644" s="1477"/>
      <c r="H644" s="1477"/>
      <c r="I644" s="1477"/>
      <c r="J644" s="21"/>
      <c r="K644" s="1477"/>
      <c r="L644" s="1477"/>
      <c r="M644" s="22"/>
      <c r="N644" s="3898" t="s">
        <v>75</v>
      </c>
    </row>
    <row r="645" spans="1:15" s="3317" customFormat="1" hidden="1" thickBot="1">
      <c r="A645" s="3862"/>
      <c r="B645" s="336" t="s">
        <v>9</v>
      </c>
      <c r="C645" s="797"/>
      <c r="D645" s="3171">
        <f>+D646</f>
        <v>0</v>
      </c>
      <c r="E645" s="3171">
        <f>+E646</f>
        <v>0</v>
      </c>
      <c r="F645" s="3217">
        <v>0</v>
      </c>
      <c r="G645" s="3217">
        <v>0</v>
      </c>
      <c r="H645" s="3217">
        <v>0</v>
      </c>
      <c r="I645" s="3217">
        <v>0</v>
      </c>
      <c r="J645" s="3217">
        <v>0</v>
      </c>
      <c r="K645" s="3171">
        <f t="shared" ref="K645:K646" si="389">+K646</f>
        <v>0</v>
      </c>
      <c r="L645" s="3171">
        <f>+L646</f>
        <v>0</v>
      </c>
      <c r="M645" s="799">
        <f>+M646</f>
        <v>0</v>
      </c>
      <c r="N645" s="3857"/>
      <c r="O645" s="3316"/>
    </row>
    <row r="646" spans="1:15" s="3317" customFormat="1" hidden="1" thickBot="1">
      <c r="A646" s="3862"/>
      <c r="B646" s="326" t="s">
        <v>22</v>
      </c>
      <c r="C646" s="4004" t="s">
        <v>73</v>
      </c>
      <c r="D646" s="3172">
        <f>+D647</f>
        <v>0</v>
      </c>
      <c r="E646" s="3172">
        <f>+E647</f>
        <v>0</v>
      </c>
      <c r="F646" s="3218">
        <v>0</v>
      </c>
      <c r="G646" s="3218">
        <v>0</v>
      </c>
      <c r="H646" s="3218">
        <v>0</v>
      </c>
      <c r="I646" s="3218">
        <v>0</v>
      </c>
      <c r="J646" s="3218">
        <v>0</v>
      </c>
      <c r="K646" s="3172">
        <f t="shared" si="389"/>
        <v>0</v>
      </c>
      <c r="L646" s="3172">
        <f>+L647</f>
        <v>0</v>
      </c>
      <c r="M646" s="802">
        <f>+M647</f>
        <v>0</v>
      </c>
      <c r="N646" s="3857"/>
    </row>
    <row r="647" spans="1:15" s="3317" customFormat="1" hidden="1" thickBot="1">
      <c r="A647" s="3863"/>
      <c r="B647" s="3399" t="s">
        <v>11</v>
      </c>
      <c r="C647" s="4003"/>
      <c r="D647" s="856">
        <f>E647+L647+K647+F647+G647+H647+I647+J647</f>
        <v>0</v>
      </c>
      <c r="E647" s="856"/>
      <c r="F647" s="3441">
        <v>0</v>
      </c>
      <c r="G647" s="3441">
        <v>0</v>
      </c>
      <c r="H647" s="3441">
        <v>0</v>
      </c>
      <c r="I647" s="3441">
        <v>0</v>
      </c>
      <c r="J647" s="3441">
        <v>0</v>
      </c>
      <c r="K647" s="3442"/>
      <c r="L647" s="3442"/>
      <c r="M647" s="3056">
        <f>SUM(F647:J647)</f>
        <v>0</v>
      </c>
      <c r="N647" s="3858"/>
    </row>
    <row r="648" spans="1:15" s="3317" customFormat="1" ht="12">
      <c r="A648" s="3861" t="s">
        <v>77</v>
      </c>
      <c r="B648" s="3059" t="s">
        <v>490</v>
      </c>
      <c r="C648" s="25" t="s">
        <v>97</v>
      </c>
      <c r="D648" s="3170"/>
      <c r="E648" s="3050"/>
      <c r="F648" s="1477"/>
      <c r="G648" s="1477"/>
      <c r="H648" s="1477"/>
      <c r="I648" s="1477"/>
      <c r="J648" s="21"/>
      <c r="K648" s="1477"/>
      <c r="L648" s="1477"/>
      <c r="M648" s="22"/>
      <c r="N648" s="3898" t="s">
        <v>75</v>
      </c>
    </row>
    <row r="649" spans="1:15" s="3317" customFormat="1" ht="12.75" customHeight="1">
      <c r="A649" s="3862"/>
      <c r="B649" s="1212" t="s">
        <v>9</v>
      </c>
      <c r="C649" s="1419"/>
      <c r="D649" s="3171">
        <f>+D650</f>
        <v>134171811</v>
      </c>
      <c r="E649" s="3171">
        <f t="shared" ref="E649:H649" si="390">+E650</f>
        <v>54076615</v>
      </c>
      <c r="F649" s="3171">
        <f t="shared" si="390"/>
        <v>26265000</v>
      </c>
      <c r="G649" s="3171">
        <f t="shared" si="390"/>
        <v>26915098</v>
      </c>
      <c r="H649" s="3171">
        <f t="shared" si="390"/>
        <v>26915098</v>
      </c>
      <c r="I649" s="3217">
        <v>0</v>
      </c>
      <c r="J649" s="3217">
        <v>0</v>
      </c>
      <c r="K649" s="3171">
        <f>+K650</f>
        <v>0</v>
      </c>
      <c r="L649" s="3171">
        <f>+L650</f>
        <v>0</v>
      </c>
      <c r="M649" s="799">
        <f>+M650</f>
        <v>80095196</v>
      </c>
      <c r="N649" s="3857"/>
      <c r="O649" s="3316"/>
    </row>
    <row r="650" spans="1:15" s="3317" customFormat="1" ht="12.75" customHeight="1">
      <c r="A650" s="3862"/>
      <c r="B650" s="1225" t="s">
        <v>22</v>
      </c>
      <c r="C650" s="4002" t="s">
        <v>312</v>
      </c>
      <c r="D650" s="3172">
        <f>+D651+D652</f>
        <v>134171811</v>
      </c>
      <c r="E650" s="3172">
        <f t="shared" ref="E650" si="391">+E651+E652</f>
        <v>54076615</v>
      </c>
      <c r="F650" s="3172">
        <f t="shared" ref="F650:J650" si="392">+F651+F652</f>
        <v>26265000</v>
      </c>
      <c r="G650" s="3172">
        <f t="shared" si="392"/>
        <v>26915098</v>
      </c>
      <c r="H650" s="3172">
        <f t="shared" ref="H650" si="393">+H651+H652</f>
        <v>26915098</v>
      </c>
      <c r="I650" s="3218">
        <f t="shared" si="392"/>
        <v>0</v>
      </c>
      <c r="J650" s="3218">
        <f t="shared" si="392"/>
        <v>0</v>
      </c>
      <c r="K650" s="3172">
        <f>+K651+K652</f>
        <v>0</v>
      </c>
      <c r="L650" s="3172">
        <f>+L651+L652</f>
        <v>0</v>
      </c>
      <c r="M650" s="802">
        <f>+M651+M652</f>
        <v>80095196</v>
      </c>
      <c r="N650" s="3857"/>
    </row>
    <row r="651" spans="1:15" s="3317" customFormat="1" ht="13.5" customHeight="1">
      <c r="A651" s="3862"/>
      <c r="B651" s="3397" t="s">
        <v>11</v>
      </c>
      <c r="C651" s="3998"/>
      <c r="D651" s="766">
        <f>E651+L651+K651+F651+G651+H651+I651+J651</f>
        <v>85128083</v>
      </c>
      <c r="E651" s="2959">
        <f>24142831+86188+3000000-23425991-8349+1238208</f>
        <v>5032887</v>
      </c>
      <c r="F651" s="2959">
        <v>26265000</v>
      </c>
      <c r="G651" s="2959">
        <v>26915098</v>
      </c>
      <c r="H651" s="2959">
        <v>26915098</v>
      </c>
      <c r="I651" s="776">
        <v>0</v>
      </c>
      <c r="J651" s="776">
        <v>0</v>
      </c>
      <c r="K651" s="2959"/>
      <c r="L651" s="2959">
        <v>0</v>
      </c>
      <c r="M651" s="813">
        <f>SUM(F651:J651)</f>
        <v>80095196</v>
      </c>
      <c r="N651" s="3857"/>
    </row>
    <row r="652" spans="1:15" s="3317" customFormat="1" ht="13.5" customHeight="1">
      <c r="A652" s="3862"/>
      <c r="B652" s="3397" t="s">
        <v>67</v>
      </c>
      <c r="C652" s="3999"/>
      <c r="D652" s="789">
        <f>E652+L652+K652+F652+G652+H652+I652+J652</f>
        <v>49043728</v>
      </c>
      <c r="E652" s="2959">
        <f>23425991+25617737</f>
        <v>49043728</v>
      </c>
      <c r="F652" s="776">
        <v>0</v>
      </c>
      <c r="G652" s="776">
        <v>0</v>
      </c>
      <c r="H652" s="776">
        <v>0</v>
      </c>
      <c r="I652" s="776">
        <v>0</v>
      </c>
      <c r="J652" s="776">
        <v>0</v>
      </c>
      <c r="K652" s="2959"/>
      <c r="L652" s="2959">
        <v>0</v>
      </c>
      <c r="M652" s="3016">
        <f>SUM(F652:J652)</f>
        <v>0</v>
      </c>
      <c r="N652" s="3899"/>
    </row>
    <row r="653" spans="1:15" s="3317" customFormat="1" ht="14.25" customHeight="1">
      <c r="A653" s="3862"/>
      <c r="B653" s="37" t="s">
        <v>20</v>
      </c>
      <c r="C653" s="40"/>
      <c r="D653" s="3443">
        <f>+D654</f>
        <v>49043728</v>
      </c>
      <c r="E653" s="3443">
        <f t="shared" ref="E653:E654" si="394">+E654</f>
        <v>49043728</v>
      </c>
      <c r="F653" s="3444">
        <f t="shared" ref="F653:F654" si="395">+F654</f>
        <v>0</v>
      </c>
      <c r="G653" s="3444">
        <f t="shared" ref="G653:G654" si="396">+G654</f>
        <v>0</v>
      </c>
      <c r="H653" s="3444">
        <f t="shared" ref="H653:H654" si="397">+H654</f>
        <v>0</v>
      </c>
      <c r="I653" s="3444">
        <f t="shared" ref="I653:I654" si="398">+I654</f>
        <v>0</v>
      </c>
      <c r="J653" s="3444">
        <f t="shared" ref="J653:J654" si="399">+J654</f>
        <v>0</v>
      </c>
      <c r="K653" s="3443">
        <f t="shared" ref="K653:K654" si="400">+K654</f>
        <v>0</v>
      </c>
      <c r="L653" s="3443">
        <f>+L654</f>
        <v>0</v>
      </c>
      <c r="M653" s="4001" t="s">
        <v>21</v>
      </c>
      <c r="N653" s="4040" t="s">
        <v>90</v>
      </c>
    </row>
    <row r="654" spans="1:15" s="3317" customFormat="1" ht="14.25" customHeight="1">
      <c r="A654" s="3862"/>
      <c r="B654" s="1225" t="s">
        <v>22</v>
      </c>
      <c r="C654" s="3859" t="s">
        <v>73</v>
      </c>
      <c r="D654" s="3172">
        <f>+D655</f>
        <v>49043728</v>
      </c>
      <c r="E654" s="3172">
        <f t="shared" si="394"/>
        <v>49043728</v>
      </c>
      <c r="F654" s="3218">
        <f t="shared" si="395"/>
        <v>0</v>
      </c>
      <c r="G654" s="3218">
        <f t="shared" si="396"/>
        <v>0</v>
      </c>
      <c r="H654" s="3218">
        <f t="shared" si="397"/>
        <v>0</v>
      </c>
      <c r="I654" s="3218">
        <f t="shared" si="398"/>
        <v>0</v>
      </c>
      <c r="J654" s="3218">
        <f t="shared" si="399"/>
        <v>0</v>
      </c>
      <c r="K654" s="3172">
        <f t="shared" si="400"/>
        <v>0</v>
      </c>
      <c r="L654" s="3172">
        <f>+L655</f>
        <v>0</v>
      </c>
      <c r="M654" s="3855"/>
      <c r="N654" s="3857"/>
    </row>
    <row r="655" spans="1:15" s="3317" customFormat="1" ht="14.25" customHeight="1" thickBot="1">
      <c r="A655" s="3863"/>
      <c r="B655" s="3399" t="s">
        <v>67</v>
      </c>
      <c r="C655" s="3860"/>
      <c r="D655" s="1142">
        <f>E655+L655+K655+F655+G655+H655+I655+J655</f>
        <v>49043728</v>
      </c>
      <c r="E655" s="3384">
        <f>23425991+25617737</f>
        <v>49043728</v>
      </c>
      <c r="F655" s="3400">
        <v>0</v>
      </c>
      <c r="G655" s="3400">
        <v>0</v>
      </c>
      <c r="H655" s="3400">
        <v>0</v>
      </c>
      <c r="I655" s="3400">
        <v>0</v>
      </c>
      <c r="J655" s="3400">
        <v>0</v>
      </c>
      <c r="K655" s="3384"/>
      <c r="L655" s="3384">
        <v>0</v>
      </c>
      <c r="M655" s="3856"/>
      <c r="N655" s="3858"/>
    </row>
    <row r="656" spans="1:15" s="3317" customFormat="1" ht="15.75" customHeight="1">
      <c r="A656" s="3861" t="s">
        <v>78</v>
      </c>
      <c r="B656" s="3059" t="s">
        <v>258</v>
      </c>
      <c r="C656" s="25" t="s">
        <v>70</v>
      </c>
      <c r="D656" s="3170"/>
      <c r="E656" s="3050"/>
      <c r="F656" s="1477"/>
      <c r="G656" s="1477"/>
      <c r="H656" s="1477"/>
      <c r="I656" s="1477"/>
      <c r="J656" s="21"/>
      <c r="K656" s="1477"/>
      <c r="L656" s="1477"/>
      <c r="M656" s="22"/>
      <c r="N656" s="3898" t="s">
        <v>75</v>
      </c>
    </row>
    <row r="657" spans="1:15" s="3317" customFormat="1" ht="12.75" customHeight="1">
      <c r="A657" s="3862"/>
      <c r="B657" s="336" t="s">
        <v>9</v>
      </c>
      <c r="C657" s="3060"/>
      <c r="D657" s="3171">
        <f>+D658</f>
        <v>119923458</v>
      </c>
      <c r="E657" s="3171">
        <f t="shared" ref="E657:G657" si="401">+E658</f>
        <v>58899458</v>
      </c>
      <c r="F657" s="3171">
        <f t="shared" si="401"/>
        <v>29744000</v>
      </c>
      <c r="G657" s="3171">
        <f t="shared" si="401"/>
        <v>31280000</v>
      </c>
      <c r="H657" s="3217">
        <v>0</v>
      </c>
      <c r="I657" s="3217">
        <v>0</v>
      </c>
      <c r="J657" s="3217">
        <v>0</v>
      </c>
      <c r="K657" s="3171">
        <f>+K658</f>
        <v>0</v>
      </c>
      <c r="L657" s="3171">
        <f>+L658</f>
        <v>0</v>
      </c>
      <c r="M657" s="3065">
        <f>+M658</f>
        <v>61024000</v>
      </c>
      <c r="N657" s="3857"/>
      <c r="O657" s="3316"/>
    </row>
    <row r="658" spans="1:15" s="3317" customFormat="1" ht="12.75" customHeight="1">
      <c r="A658" s="3862"/>
      <c r="B658" s="326" t="s">
        <v>22</v>
      </c>
      <c r="C658" s="4004" t="s">
        <v>73</v>
      </c>
      <c r="D658" s="3172">
        <f>+D659+D660</f>
        <v>119923458</v>
      </c>
      <c r="E658" s="3172">
        <f t="shared" ref="E658" si="402">+E659+E660</f>
        <v>58899458</v>
      </c>
      <c r="F658" s="3172">
        <f>+F659+F660</f>
        <v>29744000</v>
      </c>
      <c r="G658" s="3172">
        <f t="shared" ref="G658:J658" si="403">+G659+G660</f>
        <v>31280000</v>
      </c>
      <c r="H658" s="3218">
        <f t="shared" si="403"/>
        <v>0</v>
      </c>
      <c r="I658" s="3218">
        <f t="shared" si="403"/>
        <v>0</v>
      </c>
      <c r="J658" s="3218">
        <f t="shared" si="403"/>
        <v>0</v>
      </c>
      <c r="K658" s="3172">
        <f>+K659+K660</f>
        <v>0</v>
      </c>
      <c r="L658" s="3172">
        <f>+L659+L660</f>
        <v>0</v>
      </c>
      <c r="M658" s="802">
        <f>+M659+M660</f>
        <v>61024000</v>
      </c>
      <c r="N658" s="3857"/>
    </row>
    <row r="659" spans="1:15" s="3317" customFormat="1" ht="12">
      <c r="A659" s="3862"/>
      <c r="B659" s="3411" t="s">
        <v>11</v>
      </c>
      <c r="C659" s="3998"/>
      <c r="D659" s="766">
        <f>E659+L659+K659+F659+G659+H659+I659+J659</f>
        <v>114251107</v>
      </c>
      <c r="E659" s="2959">
        <f>22110000-674+32311781</f>
        <v>54421107</v>
      </c>
      <c r="F659" s="2959">
        <f>30550000-2650000+650000</f>
        <v>28550000</v>
      </c>
      <c r="G659" s="2959">
        <v>31280000</v>
      </c>
      <c r="H659" s="776">
        <v>0</v>
      </c>
      <c r="I659" s="776">
        <v>0</v>
      </c>
      <c r="J659" s="776">
        <v>0</v>
      </c>
      <c r="K659" s="2959"/>
      <c r="L659" s="2959"/>
      <c r="M659" s="3056">
        <f>SUM(F659:J659)</f>
        <v>59830000</v>
      </c>
      <c r="N659" s="3857"/>
    </row>
    <row r="660" spans="1:15" s="3317" customFormat="1" ht="13.5" customHeight="1">
      <c r="A660" s="3862"/>
      <c r="B660" s="1094" t="s">
        <v>102</v>
      </c>
      <c r="C660" s="3999"/>
      <c r="D660" s="766">
        <f>E660+L660+K660+F660+G660+H660+I660+J660</f>
        <v>5672351</v>
      </c>
      <c r="E660" s="2959">
        <f>5000+1565000+235000+335000+53000+30000+200000-241000+2296351</f>
        <v>4478351</v>
      </c>
      <c r="F660" s="2959">
        <f>904000+290000</f>
        <v>1194000</v>
      </c>
      <c r="G660" s="1616">
        <v>0</v>
      </c>
      <c r="H660" s="1616">
        <v>0</v>
      </c>
      <c r="I660" s="1616">
        <v>0</v>
      </c>
      <c r="J660" s="1616">
        <v>0</v>
      </c>
      <c r="K660" s="2959"/>
      <c r="L660" s="2959"/>
      <c r="M660" s="3074">
        <f>SUM(F660:J660)</f>
        <v>1194000</v>
      </c>
      <c r="N660" s="3857"/>
    </row>
    <row r="661" spans="1:15" s="3317" customFormat="1" ht="12.75" customHeight="1">
      <c r="A661" s="3862"/>
      <c r="B661" s="336" t="s">
        <v>20</v>
      </c>
      <c r="C661" s="3060"/>
      <c r="D661" s="3365">
        <f t="shared" ref="D661:E662" si="404">+D662</f>
        <v>5672351</v>
      </c>
      <c r="E661" s="3171">
        <f t="shared" si="404"/>
        <v>4478351</v>
      </c>
      <c r="F661" s="3171">
        <f>+F662</f>
        <v>1194000</v>
      </c>
      <c r="G661" s="3217">
        <v>0</v>
      </c>
      <c r="H661" s="3217">
        <v>0</v>
      </c>
      <c r="I661" s="3217">
        <v>0</v>
      </c>
      <c r="J661" s="3217">
        <v>0</v>
      </c>
      <c r="K661" s="3171">
        <f>+K662</f>
        <v>0</v>
      </c>
      <c r="L661" s="3171">
        <f>+L662</f>
        <v>0</v>
      </c>
      <c r="M661" s="4001" t="s">
        <v>21</v>
      </c>
      <c r="N661" s="3857"/>
    </row>
    <row r="662" spans="1:15" s="3317" customFormat="1" ht="13.5" customHeight="1">
      <c r="A662" s="3862"/>
      <c r="B662" s="326" t="s">
        <v>22</v>
      </c>
      <c r="C662" s="3859" t="s">
        <v>73</v>
      </c>
      <c r="D662" s="811">
        <f t="shared" si="404"/>
        <v>5672351</v>
      </c>
      <c r="E662" s="3172">
        <f t="shared" si="404"/>
        <v>4478351</v>
      </c>
      <c r="F662" s="3172">
        <f>+F663</f>
        <v>1194000</v>
      </c>
      <c r="G662" s="3218">
        <v>0</v>
      </c>
      <c r="H662" s="3218">
        <v>0</v>
      </c>
      <c r="I662" s="3218">
        <v>0</v>
      </c>
      <c r="J662" s="3218">
        <v>0</v>
      </c>
      <c r="K662" s="3172">
        <f>+K663</f>
        <v>0</v>
      </c>
      <c r="L662" s="3172">
        <f>+L663</f>
        <v>0</v>
      </c>
      <c r="M662" s="3855"/>
      <c r="N662" s="3857"/>
    </row>
    <row r="663" spans="1:15" s="3317" customFormat="1" ht="13.5" customHeight="1" thickBot="1">
      <c r="A663" s="3863"/>
      <c r="B663" s="187" t="s">
        <v>102</v>
      </c>
      <c r="C663" s="3929"/>
      <c r="D663" s="465">
        <f>E663+L663+K663+F663+G663+H663+I663+J663</f>
        <v>5672351</v>
      </c>
      <c r="E663" s="3445">
        <f>5000+1565000+235000+335000+53000+30000+200000-241000+2296351</f>
        <v>4478351</v>
      </c>
      <c r="F663" s="3445">
        <f>904000+290000</f>
        <v>1194000</v>
      </c>
      <c r="G663" s="3368">
        <v>0</v>
      </c>
      <c r="H663" s="3368">
        <v>0</v>
      </c>
      <c r="I663" s="3368">
        <v>0</v>
      </c>
      <c r="J663" s="3368">
        <v>0</v>
      </c>
      <c r="K663" s="2959"/>
      <c r="L663" s="3445"/>
      <c r="M663" s="3856"/>
      <c r="N663" s="3858"/>
    </row>
    <row r="664" spans="1:15" s="3317" customFormat="1" ht="12.75" hidden="1" customHeight="1">
      <c r="A664" s="3861" t="s">
        <v>80</v>
      </c>
      <c r="B664" s="3059" t="s">
        <v>289</v>
      </c>
      <c r="C664" s="3040" t="s">
        <v>70</v>
      </c>
      <c r="D664" s="3170"/>
      <c r="E664" s="3050"/>
      <c r="F664" s="1477"/>
      <c r="G664" s="1477"/>
      <c r="H664" s="1477"/>
      <c r="I664" s="1477"/>
      <c r="J664" s="21"/>
      <c r="K664" s="1477"/>
      <c r="L664" s="1477"/>
      <c r="M664" s="3446"/>
      <c r="N664" s="3898" t="s">
        <v>75</v>
      </c>
    </row>
    <row r="665" spans="1:15" s="3317" customFormat="1" ht="12.75" hidden="1" customHeight="1">
      <c r="A665" s="3862"/>
      <c r="B665" s="1212" t="s">
        <v>9</v>
      </c>
      <c r="C665" s="386"/>
      <c r="D665" s="3386">
        <f>+D666</f>
        <v>0</v>
      </c>
      <c r="E665" s="3386">
        <f t="shared" ref="E665:G666" si="405">+E666</f>
        <v>0</v>
      </c>
      <c r="F665" s="3386">
        <f t="shared" si="405"/>
        <v>0</v>
      </c>
      <c r="G665" s="3386">
        <f t="shared" si="405"/>
        <v>0</v>
      </c>
      <c r="H665" s="3387">
        <v>0</v>
      </c>
      <c r="I665" s="3387">
        <v>0</v>
      </c>
      <c r="J665" s="3387">
        <v>0</v>
      </c>
      <c r="K665" s="3386">
        <f t="shared" ref="K665:M666" si="406">+K666</f>
        <v>0</v>
      </c>
      <c r="L665" s="3386">
        <f t="shared" si="406"/>
        <v>0</v>
      </c>
      <c r="M665" s="3447">
        <f t="shared" si="406"/>
        <v>0</v>
      </c>
      <c r="N665" s="3857"/>
      <c r="O665" s="3316"/>
    </row>
    <row r="666" spans="1:15" s="3317" customFormat="1" ht="12.75" hidden="1" customHeight="1">
      <c r="A666" s="3862"/>
      <c r="B666" s="1225" t="s">
        <v>22</v>
      </c>
      <c r="C666" s="4033" t="s">
        <v>73</v>
      </c>
      <c r="D666" s="46">
        <f>+D667</f>
        <v>0</v>
      </c>
      <c r="E666" s="46">
        <f t="shared" si="405"/>
        <v>0</v>
      </c>
      <c r="F666" s="46">
        <f t="shared" si="405"/>
        <v>0</v>
      </c>
      <c r="G666" s="46">
        <f t="shared" si="405"/>
        <v>0</v>
      </c>
      <c r="H666" s="3388">
        <v>0</v>
      </c>
      <c r="I666" s="3388">
        <v>0</v>
      </c>
      <c r="J666" s="3388">
        <v>0</v>
      </c>
      <c r="K666" s="46">
        <f t="shared" si="406"/>
        <v>0</v>
      </c>
      <c r="L666" s="46">
        <f t="shared" si="406"/>
        <v>0</v>
      </c>
      <c r="M666" s="34">
        <f t="shared" si="406"/>
        <v>0</v>
      </c>
      <c r="N666" s="3857"/>
    </row>
    <row r="667" spans="1:15" s="3317" customFormat="1" ht="13.5" hidden="1" customHeight="1">
      <c r="A667" s="3862"/>
      <c r="B667" s="3397" t="s">
        <v>11</v>
      </c>
      <c r="C667" s="4033"/>
      <c r="D667" s="142">
        <f>E667+L667+K667+F667+G667+H667+I667+J667</f>
        <v>0</v>
      </c>
      <c r="E667" s="142">
        <v>0</v>
      </c>
      <c r="F667" s="3390"/>
      <c r="G667" s="3390"/>
      <c r="H667" s="3431">
        <v>0</v>
      </c>
      <c r="I667" s="3431">
        <v>0</v>
      </c>
      <c r="J667" s="3431">
        <v>0</v>
      </c>
      <c r="K667" s="3390"/>
      <c r="L667" s="3390">
        <v>0</v>
      </c>
      <c r="M667" s="3056">
        <f>SUM(F667:J667)</f>
        <v>0</v>
      </c>
      <c r="N667" s="3857"/>
    </row>
    <row r="668" spans="1:15" s="3317" customFormat="1" ht="12.75" hidden="1" customHeight="1">
      <c r="A668" s="3862"/>
      <c r="B668" s="1212" t="s">
        <v>20</v>
      </c>
      <c r="C668" s="386"/>
      <c r="D668" s="3448">
        <f>+E668+L668+K668</f>
        <v>0</v>
      </c>
      <c r="E668" s="3449"/>
      <c r="F668" s="3387"/>
      <c r="G668" s="3387"/>
      <c r="H668" s="3387"/>
      <c r="I668" s="3387"/>
      <c r="J668" s="3387"/>
      <c r="K668" s="3386">
        <f>+K669</f>
        <v>0</v>
      </c>
      <c r="L668" s="3386"/>
      <c r="M668" s="4043"/>
      <c r="N668" s="3857"/>
    </row>
    <row r="669" spans="1:15" s="3317" customFormat="1" ht="12.75" hidden="1" customHeight="1">
      <c r="A669" s="3862"/>
      <c r="B669" s="1225" t="s">
        <v>22</v>
      </c>
      <c r="C669" s="4025"/>
      <c r="D669" s="3289">
        <f>+E669+L669+K669</f>
        <v>0</v>
      </c>
      <c r="E669" s="46"/>
      <c r="F669" s="3388"/>
      <c r="G669" s="3388"/>
      <c r="H669" s="3388"/>
      <c r="I669" s="3388"/>
      <c r="J669" s="3388"/>
      <c r="K669" s="46">
        <f>+K670</f>
        <v>0</v>
      </c>
      <c r="L669" s="46"/>
      <c r="M669" s="4043"/>
      <c r="N669" s="3857"/>
    </row>
    <row r="670" spans="1:15" s="3317" customFormat="1" ht="13.5" hidden="1" customHeight="1" thickBot="1">
      <c r="A670" s="3862"/>
      <c r="B670" s="3403" t="s">
        <v>240</v>
      </c>
      <c r="C670" s="4026"/>
      <c r="D670" s="1142">
        <f>+E670+L670+K670</f>
        <v>0</v>
      </c>
      <c r="E670" s="1142"/>
      <c r="F670" s="3400"/>
      <c r="G670" s="3400"/>
      <c r="H670" s="3400"/>
      <c r="I670" s="3400"/>
      <c r="J670" s="3400"/>
      <c r="K670" s="3407"/>
      <c r="L670" s="3407"/>
      <c r="M670" s="4044"/>
      <c r="N670" s="3858"/>
    </row>
    <row r="671" spans="1:15" s="3317" customFormat="1" ht="17.25" customHeight="1">
      <c r="A671" s="3861" t="s">
        <v>79</v>
      </c>
      <c r="B671" s="3059" t="s">
        <v>310</v>
      </c>
      <c r="C671" s="25" t="s">
        <v>70</v>
      </c>
      <c r="D671" s="3170"/>
      <c r="E671" s="1477"/>
      <c r="F671" s="1477"/>
      <c r="G671" s="1477"/>
      <c r="H671" s="1477"/>
      <c r="I671" s="1477"/>
      <c r="J671" s="21"/>
      <c r="K671" s="1477"/>
      <c r="L671" s="1477"/>
      <c r="M671" s="22"/>
      <c r="N671" s="3898" t="s">
        <v>75</v>
      </c>
    </row>
    <row r="672" spans="1:15" s="3317" customFormat="1" ht="12">
      <c r="A672" s="3862"/>
      <c r="B672" s="336" t="s">
        <v>9</v>
      </c>
      <c r="C672" s="797"/>
      <c r="D672" s="3171">
        <f>+D673</f>
        <v>29998170</v>
      </c>
      <c r="E672" s="3171">
        <f t="shared" ref="E672:J673" si="407">+E673</f>
        <v>19998170</v>
      </c>
      <c r="F672" s="3171">
        <f t="shared" si="407"/>
        <v>10000000</v>
      </c>
      <c r="G672" s="3450">
        <f t="shared" si="407"/>
        <v>0</v>
      </c>
      <c r="H672" s="3450">
        <f t="shared" si="407"/>
        <v>0</v>
      </c>
      <c r="I672" s="3450">
        <f t="shared" si="407"/>
        <v>0</v>
      </c>
      <c r="J672" s="3450">
        <f t="shared" si="407"/>
        <v>0</v>
      </c>
      <c r="K672" s="3171">
        <f t="shared" ref="K672:M673" si="408">+K673</f>
        <v>0</v>
      </c>
      <c r="L672" s="3171">
        <f t="shared" si="408"/>
        <v>0</v>
      </c>
      <c r="M672" s="799">
        <f t="shared" si="408"/>
        <v>10000000</v>
      </c>
      <c r="N672" s="3857"/>
    </row>
    <row r="673" spans="1:14" s="3317" customFormat="1" ht="12">
      <c r="A673" s="3862"/>
      <c r="B673" s="326" t="s">
        <v>22</v>
      </c>
      <c r="C673" s="3859" t="s">
        <v>73</v>
      </c>
      <c r="D673" s="3172">
        <f>+D674</f>
        <v>29998170</v>
      </c>
      <c r="E673" s="3172">
        <f t="shared" si="407"/>
        <v>19998170</v>
      </c>
      <c r="F673" s="3172">
        <f t="shared" si="407"/>
        <v>10000000</v>
      </c>
      <c r="G673" s="3451">
        <f t="shared" si="407"/>
        <v>0</v>
      </c>
      <c r="H673" s="3451">
        <f t="shared" si="407"/>
        <v>0</v>
      </c>
      <c r="I673" s="3451">
        <f t="shared" si="407"/>
        <v>0</v>
      </c>
      <c r="J673" s="3451">
        <f t="shared" si="407"/>
        <v>0</v>
      </c>
      <c r="K673" s="3172">
        <f t="shared" si="408"/>
        <v>0</v>
      </c>
      <c r="L673" s="3172">
        <f t="shared" si="408"/>
        <v>0</v>
      </c>
      <c r="M673" s="802">
        <f t="shared" si="408"/>
        <v>10000000</v>
      </c>
      <c r="N673" s="3857"/>
    </row>
    <row r="674" spans="1:14" s="3317" customFormat="1" thickBot="1">
      <c r="A674" s="3863"/>
      <c r="B674" s="3403" t="s">
        <v>11</v>
      </c>
      <c r="C674" s="3860"/>
      <c r="D674" s="1003">
        <f>E674+L674+K674+F674+G674+H674+I674+J674</f>
        <v>29998170</v>
      </c>
      <c r="E674" s="3442">
        <f>10000000-5+9998175</f>
        <v>19998170</v>
      </c>
      <c r="F674" s="3442">
        <v>10000000</v>
      </c>
      <c r="G674" s="3452">
        <v>0</v>
      </c>
      <c r="H674" s="3453">
        <v>0</v>
      </c>
      <c r="I674" s="3454">
        <v>0</v>
      </c>
      <c r="J674" s="3452">
        <v>0</v>
      </c>
      <c r="K674" s="3442"/>
      <c r="L674" s="3442"/>
      <c r="M674" s="3056">
        <f>SUM(F674:J674)</f>
        <v>10000000</v>
      </c>
      <c r="N674" s="3858"/>
    </row>
    <row r="675" spans="1:14" s="3317" customFormat="1" ht="27" customHeight="1">
      <c r="A675" s="3861" t="s">
        <v>80</v>
      </c>
      <c r="B675" s="3059" t="s">
        <v>452</v>
      </c>
      <c r="C675" s="25" t="s">
        <v>70</v>
      </c>
      <c r="D675" s="3170"/>
      <c r="E675" s="1477"/>
      <c r="F675" s="1477"/>
      <c r="G675" s="1477"/>
      <c r="H675" s="1477"/>
      <c r="I675" s="1477"/>
      <c r="J675" s="21"/>
      <c r="K675" s="1477"/>
      <c r="L675" s="1477"/>
      <c r="M675" s="22"/>
      <c r="N675" s="3898" t="s">
        <v>75</v>
      </c>
    </row>
    <row r="676" spans="1:14" s="3317" customFormat="1" ht="12.75" customHeight="1">
      <c r="A676" s="3862"/>
      <c r="B676" s="1212" t="s">
        <v>9</v>
      </c>
      <c r="C676" s="1419"/>
      <c r="D676" s="3171">
        <f>+D677</f>
        <v>5408888</v>
      </c>
      <c r="E676" s="3171">
        <f t="shared" ref="E676:J677" si="409">+E677</f>
        <v>129364</v>
      </c>
      <c r="F676" s="3171">
        <f t="shared" si="409"/>
        <v>5279524</v>
      </c>
      <c r="G676" s="3455">
        <f t="shared" si="409"/>
        <v>0</v>
      </c>
      <c r="H676" s="3455">
        <f t="shared" si="409"/>
        <v>0</v>
      </c>
      <c r="I676" s="3455">
        <f t="shared" si="409"/>
        <v>0</v>
      </c>
      <c r="J676" s="3455">
        <f t="shared" si="409"/>
        <v>0</v>
      </c>
      <c r="K676" s="3171">
        <f t="shared" ref="K676:M677" si="410">+K677</f>
        <v>0</v>
      </c>
      <c r="L676" s="3171">
        <f t="shared" si="410"/>
        <v>0</v>
      </c>
      <c r="M676" s="799">
        <f t="shared" si="410"/>
        <v>5279524</v>
      </c>
      <c r="N676" s="3857"/>
    </row>
    <row r="677" spans="1:14" s="3317" customFormat="1" ht="12.75" customHeight="1">
      <c r="A677" s="3862"/>
      <c r="B677" s="1225" t="s">
        <v>22</v>
      </c>
      <c r="C677" s="3859" t="s">
        <v>73</v>
      </c>
      <c r="D677" s="3172">
        <f>+D678</f>
        <v>5408888</v>
      </c>
      <c r="E677" s="3172">
        <f t="shared" si="409"/>
        <v>129364</v>
      </c>
      <c r="F677" s="3172">
        <f t="shared" si="409"/>
        <v>5279524</v>
      </c>
      <c r="G677" s="3456">
        <f t="shared" si="409"/>
        <v>0</v>
      </c>
      <c r="H677" s="3456">
        <f t="shared" si="409"/>
        <v>0</v>
      </c>
      <c r="I677" s="3456">
        <f t="shared" si="409"/>
        <v>0</v>
      </c>
      <c r="J677" s="3456">
        <f t="shared" si="409"/>
        <v>0</v>
      </c>
      <c r="K677" s="3172">
        <f t="shared" si="410"/>
        <v>0</v>
      </c>
      <c r="L677" s="3172">
        <f t="shared" si="410"/>
        <v>0</v>
      </c>
      <c r="M677" s="802">
        <f t="shared" si="410"/>
        <v>5279524</v>
      </c>
      <c r="N677" s="3857"/>
    </row>
    <row r="678" spans="1:14" s="3317" customFormat="1" ht="13.5" customHeight="1">
      <c r="A678" s="3862"/>
      <c r="B678" s="3402" t="s">
        <v>11</v>
      </c>
      <c r="C678" s="3886"/>
      <c r="D678" s="789">
        <f>E678+L678+K678+F678+G678+H678+I678+J678</f>
        <v>5408888</v>
      </c>
      <c r="E678" s="2959">
        <v>129364</v>
      </c>
      <c r="F678" s="2959">
        <f>2650000+2629524</f>
        <v>5279524</v>
      </c>
      <c r="G678" s="3457">
        <v>0</v>
      </c>
      <c r="H678" s="3458">
        <v>0</v>
      </c>
      <c r="I678" s="2573">
        <v>0</v>
      </c>
      <c r="J678" s="3457">
        <v>0</v>
      </c>
      <c r="K678" s="2959"/>
      <c r="L678" s="2959"/>
      <c r="M678" s="813">
        <f>SUM(F678:J678)</f>
        <v>5279524</v>
      </c>
      <c r="N678" s="3899"/>
    </row>
    <row r="679" spans="1:14" s="3317" customFormat="1" ht="14.25" customHeight="1">
      <c r="A679" s="3862"/>
      <c r="B679" s="37" t="s">
        <v>20</v>
      </c>
      <c r="C679" s="40"/>
      <c r="D679" s="3443">
        <f>+D680</f>
        <v>2629524</v>
      </c>
      <c r="E679" s="3459">
        <f>E680</f>
        <v>0</v>
      </c>
      <c r="F679" s="3171">
        <f>+F680</f>
        <v>2629524</v>
      </c>
      <c r="G679" s="3455">
        <f t="shared" ref="G679:J679" si="411">+G680</f>
        <v>0</v>
      </c>
      <c r="H679" s="3455">
        <f t="shared" si="411"/>
        <v>0</v>
      </c>
      <c r="I679" s="3455">
        <f t="shared" si="411"/>
        <v>0</v>
      </c>
      <c r="J679" s="3455">
        <f t="shared" si="411"/>
        <v>0</v>
      </c>
      <c r="K679" s="3443">
        <f t="shared" ref="K679:K680" si="412">+K680</f>
        <v>0</v>
      </c>
      <c r="L679" s="3443">
        <f>+L680</f>
        <v>0</v>
      </c>
      <c r="M679" s="3855" t="s">
        <v>21</v>
      </c>
      <c r="N679" s="3857" t="s">
        <v>90</v>
      </c>
    </row>
    <row r="680" spans="1:14" s="3317" customFormat="1" ht="14.25" customHeight="1">
      <c r="A680" s="3862"/>
      <c r="B680" s="1225" t="s">
        <v>22</v>
      </c>
      <c r="C680" s="3859" t="s">
        <v>578</v>
      </c>
      <c r="D680" s="3172">
        <f>+E680+F680+G680+H680+I680+J680</f>
        <v>2629524</v>
      </c>
      <c r="E680" s="3456">
        <f>E681</f>
        <v>0</v>
      </c>
      <c r="F680" s="3172">
        <f>+F681</f>
        <v>2629524</v>
      </c>
      <c r="G680" s="3456">
        <f t="shared" ref="G680:J680" si="413">+G681</f>
        <v>0</v>
      </c>
      <c r="H680" s="3456">
        <f t="shared" si="413"/>
        <v>0</v>
      </c>
      <c r="I680" s="3456">
        <f t="shared" si="413"/>
        <v>0</v>
      </c>
      <c r="J680" s="3456">
        <f t="shared" si="413"/>
        <v>0</v>
      </c>
      <c r="K680" s="3172">
        <f t="shared" si="412"/>
        <v>0</v>
      </c>
      <c r="L680" s="3172">
        <f>+L681</f>
        <v>0</v>
      </c>
      <c r="M680" s="3855"/>
      <c r="N680" s="3857"/>
    </row>
    <row r="681" spans="1:14" s="3317" customFormat="1" ht="14.25" customHeight="1" thickBot="1">
      <c r="A681" s="3863"/>
      <c r="B681" s="3399" t="s">
        <v>522</v>
      </c>
      <c r="C681" s="3860"/>
      <c r="D681" s="1142">
        <f>+E681+F681+G681+H681+I681+J681</f>
        <v>2629524</v>
      </c>
      <c r="E681" s="3460">
        <v>0</v>
      </c>
      <c r="F681" s="3407">
        <v>2629524</v>
      </c>
      <c r="G681" s="3461">
        <v>0</v>
      </c>
      <c r="H681" s="3461">
        <v>0</v>
      </c>
      <c r="I681" s="3461">
        <v>0</v>
      </c>
      <c r="J681" s="3461">
        <v>0</v>
      </c>
      <c r="K681" s="3384"/>
      <c r="L681" s="3384">
        <v>0</v>
      </c>
      <c r="M681" s="3856"/>
      <c r="N681" s="3858"/>
    </row>
    <row r="684" spans="1:14" hidden="1"/>
    <row r="685" spans="1:14" hidden="1">
      <c r="B685" s="121" t="s">
        <v>301</v>
      </c>
    </row>
    <row r="686" spans="1:14" hidden="1">
      <c r="B686" s="121" t="s">
        <v>302</v>
      </c>
      <c r="D686" s="236">
        <f>D445+D460</f>
        <v>799122</v>
      </c>
      <c r="E686" s="236">
        <f t="shared" ref="E686:J686" si="414">E445+E460</f>
        <v>174999</v>
      </c>
      <c r="F686" s="236">
        <f t="shared" si="414"/>
        <v>421675</v>
      </c>
      <c r="G686" s="236">
        <f t="shared" si="414"/>
        <v>202448</v>
      </c>
      <c r="H686" s="236">
        <f t="shared" si="414"/>
        <v>0</v>
      </c>
      <c r="I686" s="236">
        <f t="shared" si="414"/>
        <v>0</v>
      </c>
      <c r="J686" s="236">
        <f t="shared" si="414"/>
        <v>0</v>
      </c>
      <c r="K686" s="236">
        <f>K445+K460</f>
        <v>0</v>
      </c>
      <c r="L686" s="236">
        <f>L445+L460</f>
        <v>0</v>
      </c>
    </row>
    <row r="687" spans="1:14" hidden="1">
      <c r="B687" s="121" t="s">
        <v>303</v>
      </c>
      <c r="D687" s="236">
        <f t="shared" ref="D687:J687" si="415">D21-D445-D460</f>
        <v>453521124</v>
      </c>
      <c r="E687" s="236">
        <f t="shared" si="415"/>
        <v>109464375</v>
      </c>
      <c r="F687" s="236">
        <f t="shared" si="415"/>
        <v>113418537</v>
      </c>
      <c r="G687" s="236">
        <f t="shared" si="415"/>
        <v>137112841</v>
      </c>
      <c r="H687" s="236">
        <f t="shared" si="415"/>
        <v>93525371</v>
      </c>
      <c r="I687" s="236">
        <f t="shared" si="415"/>
        <v>0</v>
      </c>
      <c r="J687" s="236">
        <f t="shared" si="415"/>
        <v>0</v>
      </c>
      <c r="K687" s="236">
        <f>K21-K445-K460</f>
        <v>0</v>
      </c>
      <c r="L687" s="236">
        <f>L21-L445-L460</f>
        <v>0</v>
      </c>
    </row>
    <row r="688" spans="1:14" hidden="1">
      <c r="B688" s="121" t="s">
        <v>304</v>
      </c>
      <c r="D688" s="476">
        <f>D686+D687</f>
        <v>454320246</v>
      </c>
      <c r="E688" s="476">
        <f t="shared" ref="E688:J688" si="416">E686+E687</f>
        <v>109639374</v>
      </c>
      <c r="F688" s="476">
        <f t="shared" si="416"/>
        <v>113840212</v>
      </c>
      <c r="G688" s="476">
        <f t="shared" si="416"/>
        <v>137315289</v>
      </c>
      <c r="H688" s="476">
        <f t="shared" si="416"/>
        <v>93525371</v>
      </c>
      <c r="I688" s="476">
        <f t="shared" si="416"/>
        <v>0</v>
      </c>
      <c r="J688" s="476">
        <f t="shared" si="416"/>
        <v>0</v>
      </c>
      <c r="K688" s="476">
        <f>K686+K687</f>
        <v>0</v>
      </c>
      <c r="L688" s="476">
        <f>L686+L687</f>
        <v>0</v>
      </c>
    </row>
    <row r="689" spans="2:12" s="455" customFormat="1" hidden="1">
      <c r="B689" s="455" t="s">
        <v>39</v>
      </c>
      <c r="D689" s="452">
        <f t="shared" ref="D689:J689" si="417">D21-D688</f>
        <v>0</v>
      </c>
      <c r="E689" s="452">
        <f t="shared" si="417"/>
        <v>0</v>
      </c>
      <c r="F689" s="452">
        <f t="shared" si="417"/>
        <v>0</v>
      </c>
      <c r="G689" s="452">
        <f t="shared" si="417"/>
        <v>0</v>
      </c>
      <c r="H689" s="452">
        <f t="shared" si="417"/>
        <v>0</v>
      </c>
      <c r="I689" s="452">
        <f t="shared" si="417"/>
        <v>0</v>
      </c>
      <c r="J689" s="452">
        <f t="shared" si="417"/>
        <v>0</v>
      </c>
      <c r="K689" s="452">
        <f>K21-K688</f>
        <v>0</v>
      </c>
      <c r="L689" s="452">
        <f>L21-L688</f>
        <v>0</v>
      </c>
    </row>
    <row r="690" spans="2:12" hidden="1"/>
    <row r="691" spans="2:12" hidden="1"/>
    <row r="692" spans="2:12" hidden="1">
      <c r="B692" s="121" t="s">
        <v>343</v>
      </c>
    </row>
    <row r="693" spans="2:12" hidden="1">
      <c r="B693" s="121" t="s">
        <v>302</v>
      </c>
      <c r="D693" s="236">
        <f>D545+D608+D581+D653</f>
        <v>227282985</v>
      </c>
      <c r="E693" s="236">
        <f t="shared" ref="E693:J693" si="418">E545+E608+E581+E653</f>
        <v>161082988</v>
      </c>
      <c r="F693" s="236">
        <f t="shared" si="418"/>
        <v>34774412</v>
      </c>
      <c r="G693" s="236">
        <f t="shared" si="418"/>
        <v>31425585</v>
      </c>
      <c r="H693" s="236">
        <f t="shared" si="418"/>
        <v>0</v>
      </c>
      <c r="I693" s="236">
        <f t="shared" si="418"/>
        <v>0</v>
      </c>
      <c r="J693" s="236">
        <f t="shared" si="418"/>
        <v>0</v>
      </c>
      <c r="K693" s="236">
        <f>K545+K608+K581+K653</f>
        <v>0</v>
      </c>
      <c r="L693" s="236">
        <f>L545+L608+L581+L653</f>
        <v>0</v>
      </c>
    </row>
    <row r="694" spans="2:12" hidden="1">
      <c r="B694" s="121" t="s">
        <v>303</v>
      </c>
      <c r="D694" s="236">
        <f>D558+D661+D668+D679</f>
        <v>8301875</v>
      </c>
      <c r="E694" s="236">
        <f t="shared" ref="E694:J694" si="419">E558+E661+E668+E679</f>
        <v>4478351</v>
      </c>
      <c r="F694" s="236">
        <f t="shared" si="419"/>
        <v>3823524</v>
      </c>
      <c r="G694" s="236">
        <f t="shared" si="419"/>
        <v>0</v>
      </c>
      <c r="H694" s="236">
        <f t="shared" si="419"/>
        <v>0</v>
      </c>
      <c r="I694" s="236">
        <f t="shared" si="419"/>
        <v>0</v>
      </c>
      <c r="J694" s="236">
        <f t="shared" si="419"/>
        <v>0</v>
      </c>
      <c r="K694" s="236">
        <f>K558+K661+K668</f>
        <v>0</v>
      </c>
      <c r="L694" s="236">
        <f>L558+L661+L668</f>
        <v>0</v>
      </c>
    </row>
    <row r="695" spans="2:12" hidden="1">
      <c r="B695" s="121" t="s">
        <v>304</v>
      </c>
      <c r="D695" s="476">
        <f>D693+D694</f>
        <v>235584860</v>
      </c>
      <c r="E695" s="476">
        <f t="shared" ref="E695:J695" si="420">E693+E694</f>
        <v>165561339</v>
      </c>
      <c r="F695" s="476">
        <f t="shared" si="420"/>
        <v>38597936</v>
      </c>
      <c r="G695" s="476">
        <f t="shared" si="420"/>
        <v>31425585</v>
      </c>
      <c r="H695" s="476">
        <f t="shared" si="420"/>
        <v>0</v>
      </c>
      <c r="I695" s="476">
        <f t="shared" si="420"/>
        <v>0</v>
      </c>
      <c r="J695" s="476">
        <f t="shared" si="420"/>
        <v>0</v>
      </c>
      <c r="K695" s="476">
        <f>K693+K694</f>
        <v>0</v>
      </c>
      <c r="L695" s="476">
        <f>L693+L694</f>
        <v>0</v>
      </c>
    </row>
    <row r="696" spans="2:12" s="455" customFormat="1" hidden="1">
      <c r="B696" s="455" t="s">
        <v>39</v>
      </c>
      <c r="D696" s="452">
        <f t="shared" ref="D696:J696" si="421">D534-D695</f>
        <v>0</v>
      </c>
      <c r="E696" s="452">
        <f t="shared" si="421"/>
        <v>0</v>
      </c>
      <c r="F696" s="452">
        <f t="shared" si="421"/>
        <v>0</v>
      </c>
      <c r="G696" s="452">
        <f t="shared" si="421"/>
        <v>0</v>
      </c>
      <c r="H696" s="452">
        <f t="shared" si="421"/>
        <v>0</v>
      </c>
      <c r="I696" s="452">
        <f t="shared" si="421"/>
        <v>0</v>
      </c>
      <c r="J696" s="452">
        <f t="shared" si="421"/>
        <v>0</v>
      </c>
      <c r="K696" s="452">
        <f>K534-K695</f>
        <v>0</v>
      </c>
      <c r="L696" s="452">
        <f>L534-L695</f>
        <v>0</v>
      </c>
    </row>
    <row r="697" spans="2:12" hidden="1"/>
    <row r="698" spans="2:12" hidden="1"/>
  </sheetData>
  <mergeCells count="334">
    <mergeCell ref="A553:A560"/>
    <mergeCell ref="A636:A639"/>
    <mergeCell ref="A656:A663"/>
    <mergeCell ref="C658:C660"/>
    <mergeCell ref="N460:N462"/>
    <mergeCell ref="N577:N580"/>
    <mergeCell ref="C546:C548"/>
    <mergeCell ref="M545:M548"/>
    <mergeCell ref="N540:N548"/>
    <mergeCell ref="C542:C544"/>
    <mergeCell ref="A525:A536"/>
    <mergeCell ref="N530:N539"/>
    <mergeCell ref="C517:C520"/>
    <mergeCell ref="C522:C523"/>
    <mergeCell ref="N569:N572"/>
    <mergeCell ref="C571:C573"/>
    <mergeCell ref="N574:N576"/>
    <mergeCell ref="C575:C576"/>
    <mergeCell ref="C662:C663"/>
    <mergeCell ref="A463:A478"/>
    <mergeCell ref="N515:N523"/>
    <mergeCell ref="A603:A611"/>
    <mergeCell ref="N565:N568"/>
    <mergeCell ref="M558:M560"/>
    <mergeCell ref="N675:N678"/>
    <mergeCell ref="C677:C678"/>
    <mergeCell ref="N664:N670"/>
    <mergeCell ref="A549:A552"/>
    <mergeCell ref="A515:A523"/>
    <mergeCell ref="N653:N655"/>
    <mergeCell ref="N603:N611"/>
    <mergeCell ref="N599:N602"/>
    <mergeCell ref="N589:N591"/>
    <mergeCell ref="M629:M631"/>
    <mergeCell ref="N612:N615"/>
    <mergeCell ref="C618:C620"/>
    <mergeCell ref="A599:A602"/>
    <mergeCell ref="N596:N598"/>
    <mergeCell ref="C597:C598"/>
    <mergeCell ref="A592:A598"/>
    <mergeCell ref="A624:A631"/>
    <mergeCell ref="C630:C631"/>
    <mergeCell ref="M581:M583"/>
    <mergeCell ref="M589:M591"/>
    <mergeCell ref="C582:C583"/>
    <mergeCell ref="A577:A583"/>
    <mergeCell ref="M668:M670"/>
    <mergeCell ref="N624:N631"/>
    <mergeCell ref="C669:C670"/>
    <mergeCell ref="A664:A670"/>
    <mergeCell ref="C431:C432"/>
    <mergeCell ref="C609:C611"/>
    <mergeCell ref="M653:M655"/>
    <mergeCell ref="M608:M611"/>
    <mergeCell ref="M621:M623"/>
    <mergeCell ref="C601:C602"/>
    <mergeCell ref="C622:C623"/>
    <mergeCell ref="M460:M462"/>
    <mergeCell ref="C579:C580"/>
    <mergeCell ref="A561:A564"/>
    <mergeCell ref="A569:A576"/>
    <mergeCell ref="C555:C557"/>
    <mergeCell ref="C559:C560"/>
    <mergeCell ref="C450:C456"/>
    <mergeCell ref="C461:C462"/>
    <mergeCell ref="C563:C564"/>
    <mergeCell ref="A565:A568"/>
    <mergeCell ref="M534:M539"/>
    <mergeCell ref="A632:A635"/>
    <mergeCell ref="C666:C667"/>
    <mergeCell ref="M596:M598"/>
    <mergeCell ref="A540:A548"/>
    <mergeCell ref="M503:M505"/>
    <mergeCell ref="N561:N564"/>
    <mergeCell ref="M488:M496"/>
    <mergeCell ref="N463:N477"/>
    <mergeCell ref="C504:C505"/>
    <mergeCell ref="C481:C484"/>
    <mergeCell ref="M472:M478"/>
    <mergeCell ref="C489:C496"/>
    <mergeCell ref="N479:N495"/>
    <mergeCell ref="C551:C552"/>
    <mergeCell ref="C499:C502"/>
    <mergeCell ref="N553:N560"/>
    <mergeCell ref="M574:M576"/>
    <mergeCell ref="N592:N595"/>
    <mergeCell ref="C594:C595"/>
    <mergeCell ref="A361:A374"/>
    <mergeCell ref="A506:A514"/>
    <mergeCell ref="N385:N391"/>
    <mergeCell ref="N392:N396"/>
    <mergeCell ref="M403:M405"/>
    <mergeCell ref="C404:C405"/>
    <mergeCell ref="N406:N411"/>
    <mergeCell ref="A424:A432"/>
    <mergeCell ref="A497:A505"/>
    <mergeCell ref="A479:A496"/>
    <mergeCell ref="C393:C396"/>
    <mergeCell ref="M392:M396"/>
    <mergeCell ref="N382:N384"/>
    <mergeCell ref="N376:N381"/>
    <mergeCell ref="C378:C381"/>
    <mergeCell ref="C446:C447"/>
    <mergeCell ref="C426:C429"/>
    <mergeCell ref="A448:A462"/>
    <mergeCell ref="N412:N414"/>
    <mergeCell ref="C567:C568"/>
    <mergeCell ref="N549:N552"/>
    <mergeCell ref="N448:N459"/>
    <mergeCell ref="A671:A674"/>
    <mergeCell ref="N671:N674"/>
    <mergeCell ref="C673:C674"/>
    <mergeCell ref="C626:C628"/>
    <mergeCell ref="A616:A623"/>
    <mergeCell ref="C605:C606"/>
    <mergeCell ref="M661:M663"/>
    <mergeCell ref="A640:A643"/>
    <mergeCell ref="C654:C655"/>
    <mergeCell ref="A648:A655"/>
    <mergeCell ref="C650:C652"/>
    <mergeCell ref="N648:N652"/>
    <mergeCell ref="A644:A647"/>
    <mergeCell ref="N644:N647"/>
    <mergeCell ref="C638:C639"/>
    <mergeCell ref="C646:C647"/>
    <mergeCell ref="N632:N635"/>
    <mergeCell ref="C634:C635"/>
    <mergeCell ref="N636:N639"/>
    <mergeCell ref="N640:N643"/>
    <mergeCell ref="C642:C643"/>
    <mergeCell ref="A584:A591"/>
    <mergeCell ref="C590:C591"/>
    <mergeCell ref="N656:N663"/>
    <mergeCell ref="N616:N623"/>
    <mergeCell ref="A612:A615"/>
    <mergeCell ref="A227:A238"/>
    <mergeCell ref="C408:C411"/>
    <mergeCell ref="N361:N367"/>
    <mergeCell ref="A203:A214"/>
    <mergeCell ref="A191:A202"/>
    <mergeCell ref="A287:A298"/>
    <mergeCell ref="C289:C293"/>
    <mergeCell ref="M294:M298"/>
    <mergeCell ref="C399:C402"/>
    <mergeCell ref="A376:A384"/>
    <mergeCell ref="C383:C384"/>
    <mergeCell ref="A385:A396"/>
    <mergeCell ref="A275:A286"/>
    <mergeCell ref="A239:A250"/>
    <mergeCell ref="A335:A348"/>
    <mergeCell ref="M246:M250"/>
    <mergeCell ref="M318:M322"/>
    <mergeCell ref="A251:A262"/>
    <mergeCell ref="C253:C257"/>
    <mergeCell ref="A311:A322"/>
    <mergeCell ref="C241:C245"/>
    <mergeCell ref="M282:M286"/>
    <mergeCell ref="A263:A274"/>
    <mergeCell ref="N239:N245"/>
    <mergeCell ref="M258:M262"/>
    <mergeCell ref="C259:C262"/>
    <mergeCell ref="N246:N250"/>
    <mergeCell ref="M330:M334"/>
    <mergeCell ref="N356:N360"/>
    <mergeCell ref="N287:N293"/>
    <mergeCell ref="C319:C322"/>
    <mergeCell ref="C325:C329"/>
    <mergeCell ref="M270:M274"/>
    <mergeCell ref="N335:N348"/>
    <mergeCell ref="C331:C334"/>
    <mergeCell ref="N270:N274"/>
    <mergeCell ref="N323:N334"/>
    <mergeCell ref="C351:C355"/>
    <mergeCell ref="N282:N286"/>
    <mergeCell ref="N311:N317"/>
    <mergeCell ref="M356:M360"/>
    <mergeCell ref="C357:C360"/>
    <mergeCell ref="C247:C250"/>
    <mergeCell ref="A299:A310"/>
    <mergeCell ref="A127:A142"/>
    <mergeCell ref="M136:M142"/>
    <mergeCell ref="N186:N190"/>
    <mergeCell ref="N180:N185"/>
    <mergeCell ref="C181:C185"/>
    <mergeCell ref="M186:M190"/>
    <mergeCell ref="C187:C190"/>
    <mergeCell ref="M234:M238"/>
    <mergeCell ref="M210:M214"/>
    <mergeCell ref="C199:C202"/>
    <mergeCell ref="N234:N238"/>
    <mergeCell ref="N227:N233"/>
    <mergeCell ref="C229:C233"/>
    <mergeCell ref="C205:C209"/>
    <mergeCell ref="N192:N197"/>
    <mergeCell ref="C193:C197"/>
    <mergeCell ref="C235:C238"/>
    <mergeCell ref="N210:N214"/>
    <mergeCell ref="C211:C214"/>
    <mergeCell ref="N198:N202"/>
    <mergeCell ref="M198:M202"/>
    <mergeCell ref="C217:C221"/>
    <mergeCell ref="M222:M226"/>
    <mergeCell ref="N222:N226"/>
    <mergeCell ref="N91:N96"/>
    <mergeCell ref="N97:N101"/>
    <mergeCell ref="C98:C101"/>
    <mergeCell ref="M97:M101"/>
    <mergeCell ref="M108:M110"/>
    <mergeCell ref="A143:A154"/>
    <mergeCell ref="C145:C149"/>
    <mergeCell ref="A155:A166"/>
    <mergeCell ref="C4:C5"/>
    <mergeCell ref="D4:D5"/>
    <mergeCell ref="N4:N5"/>
    <mergeCell ref="A7:A32"/>
    <mergeCell ref="M4:M5"/>
    <mergeCell ref="M21:M32"/>
    <mergeCell ref="M42:M50"/>
    <mergeCell ref="A4:A5"/>
    <mergeCell ref="B4:B5"/>
    <mergeCell ref="F4:J4"/>
    <mergeCell ref="C151:C154"/>
    <mergeCell ref="N128:N135"/>
    <mergeCell ref="C129:C135"/>
    <mergeCell ref="N150:N154"/>
    <mergeCell ref="N144:N149"/>
    <mergeCell ref="C54:C59"/>
    <mergeCell ref="A66:A77"/>
    <mergeCell ref="N60:N65"/>
    <mergeCell ref="C61:C65"/>
    <mergeCell ref="N67:N72"/>
    <mergeCell ref="N73:N77"/>
    <mergeCell ref="M73:M77"/>
    <mergeCell ref="A52:A65"/>
    <mergeCell ref="M60:M65"/>
    <mergeCell ref="N53:N59"/>
    <mergeCell ref="C74:C77"/>
    <mergeCell ref="C68:C71"/>
    <mergeCell ref="N397:N402"/>
    <mergeCell ref="N258:N262"/>
    <mergeCell ref="N299:N305"/>
    <mergeCell ref="C301:C305"/>
    <mergeCell ref="O113:O119"/>
    <mergeCell ref="O157:O161"/>
    <mergeCell ref="O169:O173"/>
    <mergeCell ref="N168:N173"/>
    <mergeCell ref="C169:C173"/>
    <mergeCell ref="N174:N178"/>
    <mergeCell ref="N156:N161"/>
    <mergeCell ref="C157:C161"/>
    <mergeCell ref="M162:M166"/>
    <mergeCell ref="N162:N166"/>
    <mergeCell ref="C163:C166"/>
    <mergeCell ref="M174:M178"/>
    <mergeCell ref="C175:C178"/>
    <mergeCell ref="M120:M126"/>
    <mergeCell ref="N136:N142"/>
    <mergeCell ref="N113:N119"/>
    <mergeCell ref="C114:C119"/>
    <mergeCell ref="M150:M154"/>
    <mergeCell ref="C137:C142"/>
    <mergeCell ref="C277:C281"/>
    <mergeCell ref="C104:C107"/>
    <mergeCell ref="N108:N110"/>
    <mergeCell ref="C109:C110"/>
    <mergeCell ref="A90:A101"/>
    <mergeCell ref="N584:N587"/>
    <mergeCell ref="C586:C588"/>
    <mergeCell ref="C387:C391"/>
    <mergeCell ref="N294:N298"/>
    <mergeCell ref="C295:C298"/>
    <mergeCell ref="M382:M384"/>
    <mergeCell ref="N251:N257"/>
    <mergeCell ref="C337:C342"/>
    <mergeCell ref="C344:C348"/>
    <mergeCell ref="M369:M374"/>
    <mergeCell ref="C313:C317"/>
    <mergeCell ref="C283:C286"/>
    <mergeCell ref="N275:N281"/>
    <mergeCell ref="N263:N269"/>
    <mergeCell ref="M412:M414"/>
    <mergeCell ref="C413:C414"/>
    <mergeCell ref="C435:C441"/>
    <mergeCell ref="N318:N322"/>
    <mergeCell ref="N403:N405"/>
    <mergeCell ref="N497:N505"/>
    <mergeCell ref="A397:A405"/>
    <mergeCell ref="N349:N355"/>
    <mergeCell ref="A415:A423"/>
    <mergeCell ref="N445:N447"/>
    <mergeCell ref="M85:M89"/>
    <mergeCell ref="N120:N126"/>
    <mergeCell ref="C121:C126"/>
    <mergeCell ref="C223:C226"/>
    <mergeCell ref="C265:C269"/>
    <mergeCell ref="C271:C274"/>
    <mergeCell ref="N203:N209"/>
    <mergeCell ref="A215:A226"/>
    <mergeCell ref="N215:N221"/>
    <mergeCell ref="A112:A126"/>
    <mergeCell ref="A179:A190"/>
    <mergeCell ref="A167:A178"/>
    <mergeCell ref="A78:A89"/>
    <mergeCell ref="N79:N84"/>
    <mergeCell ref="C80:C84"/>
    <mergeCell ref="N85:N89"/>
    <mergeCell ref="C86:C89"/>
    <mergeCell ref="C92:C96"/>
    <mergeCell ref="A102:A110"/>
    <mergeCell ref="N103:N107"/>
    <mergeCell ref="M679:M681"/>
    <mergeCell ref="N679:N681"/>
    <mergeCell ref="C680:C681"/>
    <mergeCell ref="A675:A681"/>
    <mergeCell ref="M306:M310"/>
    <mergeCell ref="N306:N310"/>
    <mergeCell ref="C307:C310"/>
    <mergeCell ref="A323:A334"/>
    <mergeCell ref="A349:A360"/>
    <mergeCell ref="N506:N514"/>
    <mergeCell ref="M512:M514"/>
    <mergeCell ref="M521:M523"/>
    <mergeCell ref="A406:A414"/>
    <mergeCell ref="C417:C420"/>
    <mergeCell ref="M421:M423"/>
    <mergeCell ref="N424:N429"/>
    <mergeCell ref="N421:N423"/>
    <mergeCell ref="C422:C423"/>
    <mergeCell ref="N430:N432"/>
    <mergeCell ref="M430:M432"/>
    <mergeCell ref="A433:A447"/>
    <mergeCell ref="N433:N441"/>
    <mergeCell ref="N415:N420"/>
    <mergeCell ref="M445:M447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19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6" manualBreakCount="6">
    <brk id="178" max="13" man="1"/>
    <brk id="238" max="13" man="1"/>
    <brk id="286" max="13" man="1"/>
    <brk id="374" max="13" man="1"/>
    <brk id="523" max="13" man="1"/>
    <brk id="602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R643"/>
  <sheetViews>
    <sheetView showGridLines="0" view="pageBreakPreview" zoomScale="90" zoomScaleSheetLayoutView="90" workbookViewId="0">
      <pane xSplit="3" ySplit="5" topLeftCell="D379" activePane="bottomRight" state="frozen"/>
      <selection activeCell="F19" sqref="F19"/>
      <selection pane="topRight" activeCell="F19" sqref="F19"/>
      <selection pane="bottomLeft" activeCell="F19" sqref="F19"/>
      <selection pane="bottomRight" activeCell="B399" sqref="B399"/>
    </sheetView>
  </sheetViews>
  <sheetFormatPr defaultColWidth="9.140625" defaultRowHeight="12.75"/>
  <cols>
    <col min="1" max="1" width="4" style="1718" customWidth="1"/>
    <col min="2" max="2" width="59.140625" style="1717" customWidth="1"/>
    <col min="3" max="3" width="10.42578125" style="1717" customWidth="1"/>
    <col min="4" max="4" width="15.5703125" style="1717" customWidth="1"/>
    <col min="5" max="5" width="12.85546875" style="1717" customWidth="1"/>
    <col min="6" max="10" width="13" style="1717" customWidth="1"/>
    <col min="11" max="11" width="10.42578125" style="1721" hidden="1" customWidth="1"/>
    <col min="12" max="12" width="9.42578125" style="1721" hidden="1" customWidth="1"/>
    <col min="13" max="13" width="12" style="1717" customWidth="1"/>
    <col min="14" max="14" width="14.5703125" style="1717" customWidth="1"/>
    <col min="15" max="15" width="14" style="1717" hidden="1" customWidth="1"/>
    <col min="16" max="16" width="12.140625" style="1717" hidden="1" customWidth="1"/>
    <col min="17" max="17" width="9.5703125" style="1717" hidden="1" customWidth="1"/>
    <col min="18" max="18" width="14.28515625" style="1717" hidden="1" customWidth="1"/>
    <col min="19" max="19" width="12" style="1717" customWidth="1"/>
    <col min="20" max="21" width="9.140625" style="1717"/>
    <col min="22" max="22" width="12.5703125" style="1717" customWidth="1"/>
    <col min="23" max="16384" width="9.140625" style="1717"/>
  </cols>
  <sheetData>
    <row r="1" spans="1:16" s="2821" customFormat="1" ht="15" customHeight="1">
      <c r="A1" s="820"/>
      <c r="B1" s="820"/>
      <c r="C1" s="820"/>
      <c r="D1" s="820"/>
      <c r="E1" s="820"/>
      <c r="F1" s="820"/>
      <c r="G1" s="820"/>
      <c r="H1" s="151"/>
      <c r="I1" s="151" t="s">
        <v>574</v>
      </c>
      <c r="J1" s="151"/>
      <c r="K1" s="151"/>
      <c r="L1" s="151"/>
      <c r="M1" s="3"/>
      <c r="N1" s="4"/>
      <c r="O1" s="227"/>
    </row>
    <row r="2" spans="1:16" ht="19.5" thickBot="1">
      <c r="A2" s="820"/>
      <c r="B2" s="820"/>
      <c r="C2" s="820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228"/>
    </row>
    <row r="3" spans="1:16" ht="52.5" customHeight="1">
      <c r="A3" s="3981" t="s">
        <v>63</v>
      </c>
      <c r="B3" s="3983" t="s">
        <v>64</v>
      </c>
      <c r="C3" s="4117" t="s">
        <v>60</v>
      </c>
      <c r="D3" s="4117" t="s">
        <v>104</v>
      </c>
      <c r="E3" s="1684" t="s">
        <v>208</v>
      </c>
      <c r="F3" s="3985" t="s">
        <v>447</v>
      </c>
      <c r="G3" s="3986"/>
      <c r="H3" s="3986"/>
      <c r="I3" s="3986"/>
      <c r="J3" s="3987"/>
      <c r="K3" s="4137">
        <v>2024</v>
      </c>
      <c r="L3" s="4135">
        <v>2025</v>
      </c>
      <c r="M3" s="4122" t="s">
        <v>456</v>
      </c>
      <c r="N3" s="4120" t="s">
        <v>62</v>
      </c>
      <c r="O3" s="3646"/>
      <c r="P3" s="3645"/>
    </row>
    <row r="4" spans="1:16" ht="20.25" customHeight="1">
      <c r="A4" s="3982"/>
      <c r="B4" s="3984"/>
      <c r="C4" s="4118"/>
      <c r="D4" s="4119"/>
      <c r="E4" s="2562" t="s">
        <v>517</v>
      </c>
      <c r="F4" s="1678" t="s">
        <v>163</v>
      </c>
      <c r="G4" s="1678" t="s">
        <v>164</v>
      </c>
      <c r="H4" s="1678" t="s">
        <v>202</v>
      </c>
      <c r="I4" s="1678" t="s">
        <v>203</v>
      </c>
      <c r="J4" s="1678" t="s">
        <v>201</v>
      </c>
      <c r="K4" s="4138"/>
      <c r="L4" s="4136"/>
      <c r="M4" s="4123"/>
      <c r="N4" s="4121"/>
      <c r="O4" s="3646"/>
      <c r="P4" s="3645"/>
    </row>
    <row r="5" spans="1:16" s="1719" customFormat="1" ht="13.5" customHeight="1">
      <c r="A5" s="1940">
        <v>1</v>
      </c>
      <c r="B5" s="1941">
        <v>2</v>
      </c>
      <c r="C5" s="1942" t="s">
        <v>105</v>
      </c>
      <c r="D5" s="1942" t="s">
        <v>106</v>
      </c>
      <c r="E5" s="1714">
        <v>5</v>
      </c>
      <c r="F5" s="1714">
        <v>6</v>
      </c>
      <c r="G5" s="1714">
        <v>7</v>
      </c>
      <c r="H5" s="1714">
        <v>8</v>
      </c>
      <c r="I5" s="1714">
        <v>9</v>
      </c>
      <c r="J5" s="1714">
        <v>10</v>
      </c>
      <c r="K5" s="1714"/>
      <c r="L5" s="1714"/>
      <c r="M5" s="1943">
        <v>11</v>
      </c>
      <c r="N5" s="1944">
        <v>12</v>
      </c>
      <c r="O5" s="3647"/>
      <c r="P5" s="3648"/>
    </row>
    <row r="6" spans="1:16" ht="14.25" customHeight="1">
      <c r="A6" s="1945"/>
      <c r="B6" s="1946" t="s">
        <v>65</v>
      </c>
      <c r="C6" s="1947"/>
      <c r="D6" s="1948">
        <f>+D7+D8</f>
        <v>163711990</v>
      </c>
      <c r="E6" s="1948">
        <f t="shared" ref="E6:J6" si="0">+E7+E8</f>
        <v>43595011</v>
      </c>
      <c r="F6" s="1948">
        <f t="shared" si="0"/>
        <v>47841696</v>
      </c>
      <c r="G6" s="1948">
        <f t="shared" si="0"/>
        <v>26322840</v>
      </c>
      <c r="H6" s="1948">
        <f t="shared" si="0"/>
        <v>23190759</v>
      </c>
      <c r="I6" s="1948">
        <f t="shared" si="0"/>
        <v>14669743</v>
      </c>
      <c r="J6" s="1948">
        <f t="shared" si="0"/>
        <v>8091941</v>
      </c>
      <c r="K6" s="1948">
        <f>+K7+K8</f>
        <v>0</v>
      </c>
      <c r="L6" s="1948">
        <f>+L7+L8</f>
        <v>0</v>
      </c>
      <c r="M6" s="1949">
        <f t="shared" ref="M6" si="1">+M7+M8</f>
        <v>120116979</v>
      </c>
      <c r="N6" s="1281"/>
      <c r="O6" s="3649">
        <f>+M6-M9</f>
        <v>0</v>
      </c>
      <c r="P6" s="3650"/>
    </row>
    <row r="7" spans="1:16" ht="11.25" customHeight="1">
      <c r="A7" s="1278"/>
      <c r="B7" s="1946" t="s">
        <v>66</v>
      </c>
      <c r="C7" s="1947"/>
      <c r="D7" s="1948">
        <f>+D24+D61+D102+D78+D139+D152+D174+D204+D222+D248+D266+D292+D126-D130+D44+D310+D323+D336+D349+D367</f>
        <v>162634932</v>
      </c>
      <c r="E7" s="1948">
        <f t="shared" ref="E7:M7" si="2">+E24+E61+E102+E78+E139+E152+E174+E204+E222+E248+E266+E292+E126-E130+E44+E310+E323+E336+E349+E367</f>
        <v>42901642</v>
      </c>
      <c r="F7" s="1948">
        <f t="shared" si="2"/>
        <v>47458007</v>
      </c>
      <c r="G7" s="1948">
        <f t="shared" si="2"/>
        <v>26322840</v>
      </c>
      <c r="H7" s="1948">
        <f t="shared" si="2"/>
        <v>23190759</v>
      </c>
      <c r="I7" s="1948">
        <f t="shared" si="2"/>
        <v>14669743</v>
      </c>
      <c r="J7" s="1948">
        <f t="shared" si="2"/>
        <v>8091941</v>
      </c>
      <c r="K7" s="1948">
        <f t="shared" si="2"/>
        <v>0</v>
      </c>
      <c r="L7" s="1948">
        <f t="shared" si="2"/>
        <v>0</v>
      </c>
      <c r="M7" s="1949">
        <f t="shared" si="2"/>
        <v>119733290</v>
      </c>
      <c r="N7" s="1281"/>
      <c r="O7" s="3649"/>
      <c r="P7" s="3650"/>
    </row>
    <row r="8" spans="1:16" ht="11.25" customHeight="1">
      <c r="A8" s="1278"/>
      <c r="B8" s="1950" t="s">
        <v>8</v>
      </c>
      <c r="C8" s="1951"/>
      <c r="D8" s="1952">
        <f>+D90+D114+D164+D192+D281+D237</f>
        <v>1077058</v>
      </c>
      <c r="E8" s="1952">
        <f t="shared" ref="E8:M8" si="3">+E90+E114+E164+E192+E281+E237</f>
        <v>693369</v>
      </c>
      <c r="F8" s="1952">
        <f t="shared" si="3"/>
        <v>383689</v>
      </c>
      <c r="G8" s="2711">
        <f t="shared" si="3"/>
        <v>0</v>
      </c>
      <c r="H8" s="2711">
        <f t="shared" si="3"/>
        <v>0</v>
      </c>
      <c r="I8" s="2711">
        <f t="shared" si="3"/>
        <v>0</v>
      </c>
      <c r="J8" s="2711">
        <f t="shared" si="3"/>
        <v>0</v>
      </c>
      <c r="K8" s="1952">
        <f>+K90+K114+K164+K192+K281+K237</f>
        <v>0</v>
      </c>
      <c r="L8" s="1952">
        <f t="shared" si="3"/>
        <v>0</v>
      </c>
      <c r="M8" s="1949">
        <f t="shared" si="3"/>
        <v>383689</v>
      </c>
      <c r="N8" s="1281"/>
      <c r="O8" s="3646"/>
      <c r="P8" s="3645"/>
    </row>
    <row r="9" spans="1:16" ht="12.75" customHeight="1">
      <c r="A9" s="1278"/>
      <c r="B9" s="850" t="s">
        <v>9</v>
      </c>
      <c r="C9" s="850"/>
      <c r="D9" s="1101">
        <f>+D10+D14</f>
        <v>165057190</v>
      </c>
      <c r="E9" s="1101">
        <f t="shared" ref="E9:J9" si="4">+E10+E14</f>
        <v>43655055</v>
      </c>
      <c r="F9" s="1101">
        <f t="shared" si="4"/>
        <v>48529477</v>
      </c>
      <c r="G9" s="1101">
        <f t="shared" si="4"/>
        <v>26499849</v>
      </c>
      <c r="H9" s="1101">
        <f t="shared" si="4"/>
        <v>23415650</v>
      </c>
      <c r="I9" s="1101">
        <f t="shared" si="4"/>
        <v>14830061</v>
      </c>
      <c r="J9" s="1101">
        <f t="shared" si="4"/>
        <v>8127098</v>
      </c>
      <c r="K9" s="1101">
        <f>+K10+K14</f>
        <v>0</v>
      </c>
      <c r="L9" s="1101">
        <f>+L10+L14</f>
        <v>0</v>
      </c>
      <c r="M9" s="831">
        <f>M10+M14</f>
        <v>120116979</v>
      </c>
      <c r="N9" s="1953"/>
      <c r="O9" s="3649"/>
      <c r="P9" s="3650"/>
    </row>
    <row r="10" spans="1:16" s="218" customFormat="1" ht="12.75" customHeight="1">
      <c r="A10" s="1278"/>
      <c r="B10" s="1954" t="s">
        <v>22</v>
      </c>
      <c r="C10" s="1954"/>
      <c r="D10" s="1955">
        <f>D11+D12+D13</f>
        <v>22740596</v>
      </c>
      <c r="E10" s="1955">
        <f t="shared" ref="E10:J10" si="5">E11+E12+E13</f>
        <v>5977258</v>
      </c>
      <c r="F10" s="1955">
        <f t="shared" si="5"/>
        <v>5726148</v>
      </c>
      <c r="G10" s="1955">
        <f t="shared" si="5"/>
        <v>3937310</v>
      </c>
      <c r="H10" s="1955">
        <f t="shared" si="5"/>
        <v>3641329</v>
      </c>
      <c r="I10" s="1955">
        <f t="shared" si="5"/>
        <v>2237097</v>
      </c>
      <c r="J10" s="1955">
        <f t="shared" si="5"/>
        <v>1221454</v>
      </c>
      <c r="K10" s="1955">
        <f>K11+K12+K13</f>
        <v>0</v>
      </c>
      <c r="L10" s="1955">
        <f>L11+L12+L13</f>
        <v>0</v>
      </c>
      <c r="M10" s="1956">
        <f>M11+M12</f>
        <v>15478182</v>
      </c>
      <c r="N10" s="1281"/>
      <c r="O10" s="2097"/>
    </row>
    <row r="11" spans="1:16" ht="13.5" customHeight="1">
      <c r="A11" s="1278"/>
      <c r="B11" s="1280" t="s">
        <v>11</v>
      </c>
      <c r="C11" s="1280"/>
      <c r="D11" s="1957">
        <f>D63+D104+D80+D92+D26+D116+D128+D141+D176+D194+D206+D250+D46+D312+D325+D338+D351+D369</f>
        <v>15266668</v>
      </c>
      <c r="E11" s="1957">
        <f t="shared" ref="E11:J11" si="6">E63+E104+E80+E92+E26+E116+E128+E141+E176+E194+E206+E250+E46+E312+E325+E338+E351+E369</f>
        <v>5500036</v>
      </c>
      <c r="F11" s="1957">
        <f t="shared" si="6"/>
        <v>2416396</v>
      </c>
      <c r="G11" s="1957">
        <f t="shared" si="6"/>
        <v>2431604</v>
      </c>
      <c r="H11" s="1957">
        <f t="shared" si="6"/>
        <v>2256509</v>
      </c>
      <c r="I11" s="1957">
        <f t="shared" si="6"/>
        <v>1552152</v>
      </c>
      <c r="J11" s="1957">
        <f t="shared" si="6"/>
        <v>1109971</v>
      </c>
      <c r="K11" s="1957">
        <f>K63+K104+K80+K92+K26+K116+K128+K141+K176+K194+K206+K250+K312</f>
        <v>0</v>
      </c>
      <c r="L11" s="1957">
        <f>L63+L104+L80+L92+L26+L116+L128+L141+L176+L194+L206+L250</f>
        <v>0</v>
      </c>
      <c r="M11" s="1018">
        <f>SUM(F11:J11)</f>
        <v>9766632</v>
      </c>
      <c r="N11" s="1281"/>
      <c r="O11" s="3649"/>
      <c r="P11" s="3645"/>
    </row>
    <row r="12" spans="1:16" ht="13.5" customHeight="1">
      <c r="A12" s="1278"/>
      <c r="B12" s="1279" t="s">
        <v>12</v>
      </c>
      <c r="C12" s="1280"/>
      <c r="D12" s="846">
        <f>D66+D30+D93+D129+D179+D195+D209+D224+D253+D268+D283+D297+D239+D354+D370</f>
        <v>6128728</v>
      </c>
      <c r="E12" s="846">
        <f t="shared" ref="E12:J12" si="7">E66+E30+E93+E129+E179+E195+E209+E224+E253+E268+E283+E297+E239+E354+E370</f>
        <v>417178</v>
      </c>
      <c r="F12" s="846">
        <f t="shared" si="7"/>
        <v>2621971</v>
      </c>
      <c r="G12" s="846">
        <f t="shared" si="7"/>
        <v>1328697</v>
      </c>
      <c r="H12" s="846">
        <f t="shared" si="7"/>
        <v>1159929</v>
      </c>
      <c r="I12" s="846">
        <f t="shared" si="7"/>
        <v>524627</v>
      </c>
      <c r="J12" s="846">
        <f t="shared" si="7"/>
        <v>76326</v>
      </c>
      <c r="K12" s="846">
        <f>K66+K30+K93+K129+K179+K195+K209+K224+K253+K268+K283+K297+K239</f>
        <v>0</v>
      </c>
      <c r="L12" s="846">
        <f>L66+L30+L93+L129+L179+L195+L209+L224+L253+L268+L283+L297</f>
        <v>0</v>
      </c>
      <c r="M12" s="1018">
        <f>SUM(F12:J12)</f>
        <v>5711550</v>
      </c>
      <c r="N12" s="1281"/>
      <c r="O12" s="3649">
        <f>D12-D19</f>
        <v>0</v>
      </c>
      <c r="P12" s="3645"/>
    </row>
    <row r="13" spans="1:16" s="1721" customFormat="1" ht="13.5" customHeight="1">
      <c r="A13" s="1278"/>
      <c r="B13" s="1279" t="s">
        <v>379</v>
      </c>
      <c r="C13" s="1280"/>
      <c r="D13" s="846">
        <f>D130</f>
        <v>1345200</v>
      </c>
      <c r="E13" s="846">
        <f t="shared" ref="E13:J13" si="8">E130</f>
        <v>60044</v>
      </c>
      <c r="F13" s="846">
        <f t="shared" si="8"/>
        <v>687781</v>
      </c>
      <c r="G13" s="846">
        <f t="shared" si="8"/>
        <v>177009</v>
      </c>
      <c r="H13" s="846">
        <f t="shared" si="8"/>
        <v>224891</v>
      </c>
      <c r="I13" s="846">
        <f t="shared" si="8"/>
        <v>160318</v>
      </c>
      <c r="J13" s="846">
        <f t="shared" si="8"/>
        <v>35157</v>
      </c>
      <c r="K13" s="846">
        <f>K130</f>
        <v>0</v>
      </c>
      <c r="L13" s="846">
        <f>L130</f>
        <v>0</v>
      </c>
      <c r="M13" s="1677">
        <v>0</v>
      </c>
      <c r="N13" s="1281"/>
      <c r="O13" s="3649"/>
      <c r="P13" s="3651"/>
    </row>
    <row r="14" spans="1:16" s="218" customFormat="1" ht="13.5" customHeight="1">
      <c r="A14" s="1278"/>
      <c r="B14" s="1958" t="s">
        <v>17</v>
      </c>
      <c r="C14" s="1958"/>
      <c r="D14" s="1955">
        <f>D16+D15</f>
        <v>142316594</v>
      </c>
      <c r="E14" s="1955">
        <f t="shared" ref="E14:J14" si="9">E16+E15</f>
        <v>37677797</v>
      </c>
      <c r="F14" s="1955">
        <f t="shared" si="9"/>
        <v>42803329</v>
      </c>
      <c r="G14" s="1955">
        <f t="shared" si="9"/>
        <v>22562539</v>
      </c>
      <c r="H14" s="1955">
        <f t="shared" si="9"/>
        <v>19774321</v>
      </c>
      <c r="I14" s="1955">
        <f t="shared" si="9"/>
        <v>12592964</v>
      </c>
      <c r="J14" s="1955">
        <f t="shared" si="9"/>
        <v>6905644</v>
      </c>
      <c r="K14" s="1955">
        <f>K16+K15</f>
        <v>0</v>
      </c>
      <c r="L14" s="1955">
        <f>L16+L15</f>
        <v>0</v>
      </c>
      <c r="M14" s="1956">
        <f t="shared" ref="M14" si="10">M16+M15</f>
        <v>104638797</v>
      </c>
      <c r="N14" s="1281"/>
      <c r="O14" s="2097"/>
    </row>
    <row r="15" spans="1:16" s="238" customFormat="1" ht="13.5" customHeight="1">
      <c r="A15" s="1278"/>
      <c r="B15" s="1959" t="s">
        <v>18</v>
      </c>
      <c r="C15" s="1958"/>
      <c r="D15" s="1960">
        <f>+D32</f>
        <v>410798</v>
      </c>
      <c r="E15" s="1960">
        <f t="shared" ref="E15:J15" si="11">+E32</f>
        <v>341459</v>
      </c>
      <c r="F15" s="1960">
        <f t="shared" si="11"/>
        <v>56122</v>
      </c>
      <c r="G15" s="1960">
        <f t="shared" si="11"/>
        <v>13217</v>
      </c>
      <c r="H15" s="2712">
        <f t="shared" si="11"/>
        <v>0</v>
      </c>
      <c r="I15" s="2712">
        <f t="shared" si="11"/>
        <v>0</v>
      </c>
      <c r="J15" s="2712">
        <f t="shared" si="11"/>
        <v>0</v>
      </c>
      <c r="K15" s="1960">
        <f>+K32</f>
        <v>0</v>
      </c>
      <c r="L15" s="1960">
        <f>+L32</f>
        <v>0</v>
      </c>
      <c r="M15" s="1018">
        <f>SUM(F15:J15)</f>
        <v>69339</v>
      </c>
      <c r="N15" s="1281"/>
      <c r="O15" s="2097"/>
    </row>
    <row r="16" spans="1:16" ht="13.5" customHeight="1">
      <c r="A16" s="1278"/>
      <c r="B16" s="1961" t="s">
        <v>19</v>
      </c>
      <c r="C16" s="1280"/>
      <c r="D16" s="1673">
        <f>+D68+D36+D107+D83+D95+D119+D132+D145+D154+D166+D183+D197+D213+D228+D257+D272+D285+D301+D52+D316+D241+D329+D342+D358+D372</f>
        <v>141905796</v>
      </c>
      <c r="E16" s="1673">
        <f t="shared" ref="E16:J16" si="12">+E68+E36+E107+E83+E95+E119+E132+E145+E154+E166+E183+E197+E213+E228+E257+E272+E285+E301+E52+E316+E241+E329+E342+E358+E372</f>
        <v>37336338</v>
      </c>
      <c r="F16" s="1673">
        <f t="shared" si="12"/>
        <v>42747207</v>
      </c>
      <c r="G16" s="1673">
        <f t="shared" si="12"/>
        <v>22549322</v>
      </c>
      <c r="H16" s="1673">
        <f t="shared" si="12"/>
        <v>19774321</v>
      </c>
      <c r="I16" s="1673">
        <f t="shared" si="12"/>
        <v>12592964</v>
      </c>
      <c r="J16" s="1673">
        <f t="shared" si="12"/>
        <v>6905644</v>
      </c>
      <c r="K16" s="1673">
        <f>+K68+K36+K107+K83+K95+K119+K132+K145+K154+K166+K183+K197+K213+K228+K257+K272+K285+K301+K52+K316+K241</f>
        <v>0</v>
      </c>
      <c r="L16" s="1673">
        <f>+L68+L36+L107+L83+L95+L119+L132+L145+L154+L166+L183+L197+L213+L228+L257+L272+L285+L301</f>
        <v>0</v>
      </c>
      <c r="M16" s="1018">
        <f>SUM(F16:J16)</f>
        <v>104569458</v>
      </c>
      <c r="N16" s="1953"/>
      <c r="O16" s="3649"/>
      <c r="P16" s="3645"/>
    </row>
    <row r="17" spans="1:16" ht="13.5" customHeight="1">
      <c r="A17" s="1278"/>
      <c r="B17" s="1962" t="s">
        <v>20</v>
      </c>
      <c r="C17" s="850"/>
      <c r="D17" s="1101">
        <f>D18+D20</f>
        <v>148445322</v>
      </c>
      <c r="E17" s="1101">
        <f>E18+E20</f>
        <v>38500889</v>
      </c>
      <c r="F17" s="1101">
        <f t="shared" ref="F17:J17" si="13">F18+F20</f>
        <v>45536367</v>
      </c>
      <c r="G17" s="1101">
        <f t="shared" si="13"/>
        <v>23221516</v>
      </c>
      <c r="H17" s="1101">
        <f t="shared" si="13"/>
        <v>20726587</v>
      </c>
      <c r="I17" s="1101">
        <f t="shared" si="13"/>
        <v>13431295</v>
      </c>
      <c r="J17" s="1101">
        <f t="shared" si="13"/>
        <v>7028668</v>
      </c>
      <c r="K17" s="1101">
        <f>K18+K20</f>
        <v>0</v>
      </c>
      <c r="L17" s="1101">
        <f>L18+L20</f>
        <v>0</v>
      </c>
      <c r="M17" s="4132" t="s">
        <v>51</v>
      </c>
      <c r="N17" s="1281"/>
      <c r="O17" s="3652">
        <f>+D6-D9</f>
        <v>-1345200</v>
      </c>
      <c r="P17" s="3645"/>
    </row>
    <row r="18" spans="1:16" ht="13.5" customHeight="1">
      <c r="A18" s="1278"/>
      <c r="B18" s="1963" t="s">
        <v>22</v>
      </c>
      <c r="C18" s="1964"/>
      <c r="D18" s="1965">
        <f>D19</f>
        <v>6128728</v>
      </c>
      <c r="E18" s="1965">
        <f t="shared" ref="E18:J18" si="14">E19</f>
        <v>527164</v>
      </c>
      <c r="F18" s="1965">
        <f t="shared" si="14"/>
        <v>2511985</v>
      </c>
      <c r="G18" s="1965">
        <f t="shared" si="14"/>
        <v>1328697</v>
      </c>
      <c r="H18" s="1965">
        <f t="shared" si="14"/>
        <v>1159929</v>
      </c>
      <c r="I18" s="1965">
        <f t="shared" si="14"/>
        <v>524627</v>
      </c>
      <c r="J18" s="1965">
        <f t="shared" si="14"/>
        <v>76326</v>
      </c>
      <c r="K18" s="1965">
        <f>K19</f>
        <v>0</v>
      </c>
      <c r="L18" s="1965">
        <f>L19</f>
        <v>0</v>
      </c>
      <c r="M18" s="4132"/>
      <c r="N18" s="1281"/>
      <c r="O18" s="3646"/>
      <c r="P18" s="3645"/>
    </row>
    <row r="19" spans="1:16" ht="13.5" customHeight="1">
      <c r="A19" s="1278"/>
      <c r="B19" s="1966" t="s">
        <v>12</v>
      </c>
      <c r="C19" s="1967"/>
      <c r="D19" s="1673">
        <f>+D73+D39+D98+D135+D188+D200+D218+D233+D262+D277+D288+D306+D244+D363+D375</f>
        <v>6128728</v>
      </c>
      <c r="E19" s="1673">
        <f t="shared" ref="E19:J19" si="15">+E73+E39+E98+E135+E188+E200+E218+E233+E262+E277+E288+E306+E244+E363+E375</f>
        <v>527164</v>
      </c>
      <c r="F19" s="1673">
        <f t="shared" si="15"/>
        <v>2511985</v>
      </c>
      <c r="G19" s="1673">
        <f t="shared" si="15"/>
        <v>1328697</v>
      </c>
      <c r="H19" s="1673">
        <f t="shared" si="15"/>
        <v>1159929</v>
      </c>
      <c r="I19" s="1673">
        <f t="shared" si="15"/>
        <v>524627</v>
      </c>
      <c r="J19" s="1673">
        <f t="shared" si="15"/>
        <v>76326</v>
      </c>
      <c r="K19" s="1673">
        <f>+K73+K39+K98+K135+K188+K200+K218+K233+K262+K277+K288+K306+K244</f>
        <v>0</v>
      </c>
      <c r="L19" s="1673">
        <f>+L73+L39+L98+L135+L188+L200+L218+L233+L262+L277+L288+L306</f>
        <v>0</v>
      </c>
      <c r="M19" s="4132"/>
      <c r="N19" s="1281"/>
      <c r="O19" s="3646"/>
      <c r="P19" s="3645"/>
    </row>
    <row r="20" spans="1:16" s="1719" customFormat="1" ht="13.5" customHeight="1">
      <c r="A20" s="1282"/>
      <c r="B20" s="1968" t="s">
        <v>17</v>
      </c>
      <c r="C20" s="1969"/>
      <c r="D20" s="1965">
        <f>D22+D21</f>
        <v>142316594</v>
      </c>
      <c r="E20" s="1965">
        <f t="shared" ref="E20:J20" si="16">E22+E21</f>
        <v>37973725</v>
      </c>
      <c r="F20" s="1965">
        <f t="shared" si="16"/>
        <v>43024382</v>
      </c>
      <c r="G20" s="1965">
        <f t="shared" si="16"/>
        <v>21892819</v>
      </c>
      <c r="H20" s="1965">
        <f t="shared" si="16"/>
        <v>19566658</v>
      </c>
      <c r="I20" s="1965">
        <f t="shared" si="16"/>
        <v>12906668</v>
      </c>
      <c r="J20" s="1965">
        <f t="shared" si="16"/>
        <v>6952342</v>
      </c>
      <c r="K20" s="1965">
        <f>K22+K21</f>
        <v>0</v>
      </c>
      <c r="L20" s="1965">
        <f>L22+L21</f>
        <v>0</v>
      </c>
      <c r="M20" s="4132"/>
      <c r="N20" s="1970"/>
      <c r="O20" s="3647"/>
      <c r="P20" s="3648"/>
    </row>
    <row r="21" spans="1:16" s="1722" customFormat="1" ht="13.5" customHeight="1">
      <c r="A21" s="1282"/>
      <c r="B21" s="1959" t="s">
        <v>18</v>
      </c>
      <c r="C21" s="1969"/>
      <c r="D21" s="1971">
        <f>+D41</f>
        <v>410798</v>
      </c>
      <c r="E21" s="1971">
        <f t="shared" ref="E21:J21" si="17">+E41</f>
        <v>260948</v>
      </c>
      <c r="F21" s="1971">
        <f t="shared" si="17"/>
        <v>91307</v>
      </c>
      <c r="G21" s="1971">
        <f t="shared" si="17"/>
        <v>58543</v>
      </c>
      <c r="H21" s="2713">
        <f t="shared" si="17"/>
        <v>0</v>
      </c>
      <c r="I21" s="2713">
        <f t="shared" si="17"/>
        <v>0</v>
      </c>
      <c r="J21" s="2713">
        <f t="shared" si="17"/>
        <v>0</v>
      </c>
      <c r="K21" s="1971">
        <f>+K41</f>
        <v>0</v>
      </c>
      <c r="L21" s="1971">
        <f>+L41</f>
        <v>0</v>
      </c>
      <c r="M21" s="4133"/>
      <c r="N21" s="1972"/>
      <c r="O21" s="3647"/>
      <c r="P21" s="3653"/>
    </row>
    <row r="22" spans="1:16" ht="13.5" customHeight="1" thickBot="1">
      <c r="A22" s="1283"/>
      <c r="B22" s="1973" t="s">
        <v>19</v>
      </c>
      <c r="C22" s="1973"/>
      <c r="D22" s="1974">
        <f>+D75+D42+D76+D112+D88+D100+D124+D137+D150+D162+D172+D190+D202+D220+D235+D264+D279+D290+D308+D59+D321+D246+D334+D347+D365+D377</f>
        <v>141905796</v>
      </c>
      <c r="E22" s="1974">
        <f t="shared" ref="E22:J22" si="18">+E75+E42+E76+E112+E88+E100+E124+E137+E150+E162+E172+E190+E202+E220+E235+E264+E279+E290+E308+E59+E321+E246+E334+E347+E365+E377</f>
        <v>37712777</v>
      </c>
      <c r="F22" s="1974">
        <f t="shared" si="18"/>
        <v>42933075</v>
      </c>
      <c r="G22" s="1974">
        <f t="shared" si="18"/>
        <v>21834276</v>
      </c>
      <c r="H22" s="1974">
        <f t="shared" si="18"/>
        <v>19566658</v>
      </c>
      <c r="I22" s="1974">
        <f t="shared" si="18"/>
        <v>12906668</v>
      </c>
      <c r="J22" s="1974">
        <f t="shared" si="18"/>
        <v>6952342</v>
      </c>
      <c r="K22" s="1974">
        <f>+K75+K42+K76+K112+K88+K100+K124+K137+K150+K162+K172+K190+K202+K220+K235+K264+K279+K290+K308+K59+K321+K246</f>
        <v>0</v>
      </c>
      <c r="L22" s="1974">
        <f>+L75+L42+L76+L112+L88+L100+L124+L137+L150+L162+L172+L190+L202+L220+L235+L264+L279+L290+L308</f>
        <v>0</v>
      </c>
      <c r="M22" s="4134"/>
      <c r="N22" s="1284"/>
      <c r="O22" s="3649">
        <f>D22-D16</f>
        <v>0</v>
      </c>
      <c r="P22" s="3645"/>
    </row>
    <row r="23" spans="1:16" ht="39.75" customHeight="1">
      <c r="A23" s="4124" t="s">
        <v>53</v>
      </c>
      <c r="B23" s="2142" t="s">
        <v>478</v>
      </c>
      <c r="C23" s="2143" t="s">
        <v>97</v>
      </c>
      <c r="D23" s="652"/>
      <c r="E23" s="1477"/>
      <c r="F23" s="1477"/>
      <c r="G23" s="1477"/>
      <c r="H23" s="1477"/>
      <c r="I23" s="1477"/>
      <c r="J23" s="21"/>
      <c r="K23" s="1477"/>
      <c r="L23" s="1477"/>
      <c r="M23" s="831"/>
      <c r="N23" s="4066" t="s">
        <v>499</v>
      </c>
      <c r="O23" s="3646"/>
      <c r="P23" s="3645"/>
    </row>
    <row r="24" spans="1:16" s="1719" customFormat="1">
      <c r="A24" s="4063"/>
      <c r="B24" s="1095" t="s">
        <v>9</v>
      </c>
      <c r="C24" s="850"/>
      <c r="D24" s="830">
        <f t="shared" ref="D24:H24" si="19">+D25+D31</f>
        <v>487290</v>
      </c>
      <c r="E24" s="830">
        <f t="shared" ref="E24" si="20">+E25+E31</f>
        <v>403044</v>
      </c>
      <c r="F24" s="830">
        <f t="shared" si="19"/>
        <v>67896</v>
      </c>
      <c r="G24" s="830">
        <f t="shared" si="19"/>
        <v>16350</v>
      </c>
      <c r="H24" s="1975">
        <f t="shared" si="19"/>
        <v>0</v>
      </c>
      <c r="I24" s="1975">
        <v>0</v>
      </c>
      <c r="J24" s="1975">
        <v>0</v>
      </c>
      <c r="K24" s="830">
        <f>+K25+K31</f>
        <v>0</v>
      </c>
      <c r="L24" s="830">
        <f>+L25+L31</f>
        <v>0</v>
      </c>
      <c r="M24" s="799">
        <f>+M25+M31</f>
        <v>84246</v>
      </c>
      <c r="N24" s="4067"/>
      <c r="O24" s="3654"/>
      <c r="P24" s="3655"/>
    </row>
    <row r="25" spans="1:16" s="1719" customFormat="1" ht="13.5" customHeight="1">
      <c r="A25" s="4063"/>
      <c r="B25" s="1102" t="s">
        <v>22</v>
      </c>
      <c r="C25" s="4126" t="s">
        <v>272</v>
      </c>
      <c r="D25" s="1008">
        <f t="shared" ref="D25" si="21">+D26+D30</f>
        <v>76492</v>
      </c>
      <c r="E25" s="1008">
        <f t="shared" ref="E25" si="22">+E26+E30</f>
        <v>61585</v>
      </c>
      <c r="F25" s="1008">
        <f>+F26+F30</f>
        <v>11774</v>
      </c>
      <c r="G25" s="1008">
        <f>+G26</f>
        <v>3133</v>
      </c>
      <c r="H25" s="1976">
        <f>+H26</f>
        <v>0</v>
      </c>
      <c r="I25" s="1976">
        <v>0</v>
      </c>
      <c r="J25" s="1976">
        <v>0</v>
      </c>
      <c r="K25" s="1008">
        <f>+K26+K30</f>
        <v>0</v>
      </c>
      <c r="L25" s="1008">
        <f>+L26+L30</f>
        <v>0</v>
      </c>
      <c r="M25" s="1176">
        <f>+M26+M30</f>
        <v>14907</v>
      </c>
      <c r="N25" s="4067"/>
      <c r="O25" s="3647"/>
      <c r="P25" s="3648"/>
    </row>
    <row r="26" spans="1:16" s="1719" customFormat="1" ht="11.25" customHeight="1">
      <c r="A26" s="4063"/>
      <c r="B26" s="1476" t="s">
        <v>11</v>
      </c>
      <c r="C26" s="4127"/>
      <c r="D26" s="766">
        <f>E26+L26+K26+F26+G26+H26+I26+J26</f>
        <v>76492</v>
      </c>
      <c r="E26" s="787">
        <f>+E28+E29</f>
        <v>61585</v>
      </c>
      <c r="F26" s="810">
        <f t="shared" ref="F26:G26" si="23">+F28+F29</f>
        <v>11774</v>
      </c>
      <c r="G26" s="810">
        <f t="shared" si="23"/>
        <v>3133</v>
      </c>
      <c r="H26" s="1570">
        <v>0</v>
      </c>
      <c r="I26" s="1570">
        <v>0</v>
      </c>
      <c r="J26" s="1570">
        <v>0</v>
      </c>
      <c r="K26" s="810">
        <f>+K28+K29</f>
        <v>0</v>
      </c>
      <c r="L26" s="810">
        <f>+L28+L29</f>
        <v>0</v>
      </c>
      <c r="M26" s="1018">
        <f>SUM(F26:J26)</f>
        <v>14907</v>
      </c>
      <c r="N26" s="4067"/>
      <c r="O26" s="3647"/>
      <c r="P26" s="3648"/>
    </row>
    <row r="27" spans="1:16" s="1723" customFormat="1" ht="13.5" hidden="1" customHeight="1">
      <c r="A27" s="4125"/>
      <c r="B27" s="2144" t="s">
        <v>135</v>
      </c>
      <c r="C27" s="4128"/>
      <c r="D27" s="815"/>
      <c r="E27" s="2145"/>
      <c r="F27" s="2111"/>
      <c r="G27" s="2111"/>
      <c r="H27" s="2145"/>
      <c r="I27" s="2145"/>
      <c r="J27" s="1570"/>
      <c r="K27" s="2111"/>
      <c r="L27" s="2111"/>
      <c r="M27" s="1177"/>
      <c r="N27" s="4067"/>
      <c r="O27" s="3647"/>
      <c r="P27" s="3656"/>
    </row>
    <row r="28" spans="1:16" s="1723" customFormat="1" ht="13.5" hidden="1" customHeight="1">
      <c r="A28" s="4125"/>
      <c r="B28" s="2144" t="s">
        <v>494</v>
      </c>
      <c r="C28" s="4128"/>
      <c r="D28" s="815">
        <f>+E28+L28+K28+F28+G28</f>
        <v>52982</v>
      </c>
      <c r="E28" s="2111">
        <f>3119+23397+13949</f>
        <v>40465</v>
      </c>
      <c r="F28" s="2111">
        <f>10929-2878-103-3462+5143</f>
        <v>9629</v>
      </c>
      <c r="G28" s="2111">
        <f>2920-32</f>
        <v>2888</v>
      </c>
      <c r="H28" s="2145"/>
      <c r="I28" s="2145"/>
      <c r="J28" s="1570"/>
      <c r="K28" s="2111"/>
      <c r="L28" s="2111">
        <v>0</v>
      </c>
      <c r="M28" s="1977">
        <f>SUM(F28:G28)</f>
        <v>12517</v>
      </c>
      <c r="N28" s="4067"/>
      <c r="O28" s="3647"/>
      <c r="P28" s="3656"/>
    </row>
    <row r="29" spans="1:16" s="1723" customFormat="1" ht="13.5" hidden="1" customHeight="1">
      <c r="A29" s="4125"/>
      <c r="B29" s="2144" t="s">
        <v>237</v>
      </c>
      <c r="C29" s="4128"/>
      <c r="D29" s="815">
        <f>+E29+L29+K29+F29+G29</f>
        <v>23510</v>
      </c>
      <c r="E29" s="2111">
        <f>4426+664+7654+8376</f>
        <v>21120</v>
      </c>
      <c r="F29" s="2111">
        <f>787+1358</f>
        <v>2145</v>
      </c>
      <c r="G29" s="2111">
        <f>186+27+32</f>
        <v>245</v>
      </c>
      <c r="H29" s="2145"/>
      <c r="I29" s="2145"/>
      <c r="J29" s="1570"/>
      <c r="K29" s="2111"/>
      <c r="L29" s="2111">
        <v>0</v>
      </c>
      <c r="M29" s="1977">
        <f>SUM(F29:G29)</f>
        <v>2390</v>
      </c>
      <c r="N29" s="4067"/>
      <c r="O29" s="3647"/>
      <c r="P29" s="3656"/>
    </row>
    <row r="30" spans="1:16" s="1719" customFormat="1" ht="14.25" hidden="1" customHeight="1">
      <c r="A30" s="4063"/>
      <c r="B30" s="1476" t="s">
        <v>12</v>
      </c>
      <c r="C30" s="4127"/>
      <c r="D30" s="766">
        <f>E30+L30+K30+F30+G30+H30+I30+J30</f>
        <v>0</v>
      </c>
      <c r="E30" s="1570">
        <v>0</v>
      </c>
      <c r="F30" s="810"/>
      <c r="G30" s="810"/>
      <c r="H30" s="1570"/>
      <c r="I30" s="1570"/>
      <c r="J30" s="1570"/>
      <c r="K30" s="810"/>
      <c r="L30" s="810"/>
      <c r="M30" s="1177">
        <f>SUM(F30:G30)</f>
        <v>0</v>
      </c>
      <c r="N30" s="4067"/>
      <c r="O30" s="3647"/>
      <c r="P30" s="3648"/>
    </row>
    <row r="31" spans="1:16" s="1719" customFormat="1">
      <c r="A31" s="4063"/>
      <c r="B31" s="2146" t="s">
        <v>17</v>
      </c>
      <c r="C31" s="4127"/>
      <c r="D31" s="807">
        <f>+D36+D32</f>
        <v>410798</v>
      </c>
      <c r="E31" s="807">
        <f t="shared" ref="E31" si="24">+E36+E32</f>
        <v>341459</v>
      </c>
      <c r="F31" s="807">
        <f>+F36+F32</f>
        <v>56122</v>
      </c>
      <c r="G31" s="807">
        <f>+G32</f>
        <v>13217</v>
      </c>
      <c r="H31" s="833">
        <v>0</v>
      </c>
      <c r="I31" s="833">
        <v>0</v>
      </c>
      <c r="J31" s="833">
        <v>0</v>
      </c>
      <c r="K31" s="807">
        <f>+K36+K32</f>
        <v>0</v>
      </c>
      <c r="L31" s="807">
        <f>+L36+L32</f>
        <v>0</v>
      </c>
      <c r="M31" s="1020">
        <f>+M36+M32</f>
        <v>69339</v>
      </c>
      <c r="N31" s="4067"/>
      <c r="O31" s="3647"/>
      <c r="P31" s="3648"/>
    </row>
    <row r="32" spans="1:16" s="1722" customFormat="1" ht="12" customHeight="1">
      <c r="A32" s="4063"/>
      <c r="B32" s="1476" t="s">
        <v>18</v>
      </c>
      <c r="C32" s="4127"/>
      <c r="D32" s="766">
        <f>E32+L32+K32+F32+G32+H32+I32+J32</f>
        <v>410798</v>
      </c>
      <c r="E32" s="787">
        <f>+E34+E35</f>
        <v>341459</v>
      </c>
      <c r="F32" s="810">
        <f t="shared" ref="F32:G32" si="25">+F34+F35</f>
        <v>56122</v>
      </c>
      <c r="G32" s="810">
        <f t="shared" si="25"/>
        <v>13217</v>
      </c>
      <c r="H32" s="1570">
        <v>0</v>
      </c>
      <c r="I32" s="1570">
        <v>0</v>
      </c>
      <c r="J32" s="1570">
        <v>0</v>
      </c>
      <c r="K32" s="810">
        <f>+K34+K35</f>
        <v>0</v>
      </c>
      <c r="L32" s="810">
        <f>+L34+L35</f>
        <v>0</v>
      </c>
      <c r="M32" s="1018">
        <f>SUM(F32:J32)</f>
        <v>69339</v>
      </c>
      <c r="N32" s="4067"/>
      <c r="O32" s="3654">
        <f>D32-D41</f>
        <v>0</v>
      </c>
      <c r="P32" s="3653"/>
    </row>
    <row r="33" spans="1:16" s="1723" customFormat="1" ht="13.5" hidden="1" customHeight="1">
      <c r="A33" s="4063"/>
      <c r="B33" s="2144" t="s">
        <v>135</v>
      </c>
      <c r="C33" s="4127"/>
      <c r="D33" s="815"/>
      <c r="E33" s="1570"/>
      <c r="F33" s="2111"/>
      <c r="G33" s="2111"/>
      <c r="H33" s="2145"/>
      <c r="I33" s="2145"/>
      <c r="J33" s="2145"/>
      <c r="K33" s="2111"/>
      <c r="L33" s="2111"/>
      <c r="M33" s="1977"/>
      <c r="N33" s="4067"/>
      <c r="O33" s="3647"/>
      <c r="P33" s="3656"/>
    </row>
    <row r="34" spans="1:16" s="1723" customFormat="1" ht="13.5" hidden="1" customHeight="1">
      <c r="A34" s="4063"/>
      <c r="B34" s="2144" t="s">
        <v>494</v>
      </c>
      <c r="C34" s="4127"/>
      <c r="D34" s="815">
        <f>+E34+L34+K34+F34+G34</f>
        <v>277590</v>
      </c>
      <c r="E34" s="2111">
        <f>16375+129312+76088</f>
        <v>221775</v>
      </c>
      <c r="F34" s="2111">
        <f>1482+15195+1853+32381+6486-16307-582-19617+23090</f>
        <v>43981</v>
      </c>
      <c r="G34" s="2111">
        <f>3706+371+6085+1853-181</f>
        <v>11834</v>
      </c>
      <c r="H34" s="2145"/>
      <c r="I34" s="2145"/>
      <c r="J34" s="2145"/>
      <c r="K34" s="2111"/>
      <c r="L34" s="2111">
        <v>0</v>
      </c>
      <c r="M34" s="1977">
        <f>SUM(F34:G34)</f>
        <v>55815</v>
      </c>
      <c r="N34" s="4067"/>
      <c r="O34" s="3647"/>
      <c r="P34" s="3656"/>
    </row>
    <row r="35" spans="1:16" s="1723" customFormat="1" ht="13.5" hidden="1" customHeight="1">
      <c r="A35" s="4063"/>
      <c r="B35" s="2144" t="s">
        <v>237</v>
      </c>
      <c r="C35" s="4127"/>
      <c r="D35" s="815">
        <f>+E35+L35+K35+F35+G35</f>
        <v>133208</v>
      </c>
      <c r="E35" s="2111">
        <f>25085+3762+43375+47462</f>
        <v>119684</v>
      </c>
      <c r="F35" s="2111">
        <f>2663+220+445+67+483+582+7681</f>
        <v>12141</v>
      </c>
      <c r="G35" s="2111">
        <f>672+222+138+21+149+181</f>
        <v>1383</v>
      </c>
      <c r="H35" s="2145"/>
      <c r="I35" s="2145"/>
      <c r="J35" s="2145"/>
      <c r="K35" s="2111"/>
      <c r="L35" s="2111">
        <v>0</v>
      </c>
      <c r="M35" s="1977">
        <f>SUM(F35:G35)</f>
        <v>13524</v>
      </c>
      <c r="N35" s="4067"/>
      <c r="O35" s="3647"/>
      <c r="P35" s="3656"/>
    </row>
    <row r="36" spans="1:16" s="1719" customFormat="1" ht="13.5" hidden="1" customHeight="1" collapsed="1">
      <c r="A36" s="4063"/>
      <c r="B36" s="1476" t="s">
        <v>19</v>
      </c>
      <c r="C36" s="4127"/>
      <c r="D36" s="766">
        <f>E36+L36+K36+F36+G36+H36+I36+J36</f>
        <v>0</v>
      </c>
      <c r="E36" s="1570">
        <v>0</v>
      </c>
      <c r="F36" s="810"/>
      <c r="G36" s="810"/>
      <c r="H36" s="1570"/>
      <c r="I36" s="1570"/>
      <c r="J36" s="1570"/>
      <c r="K36" s="810"/>
      <c r="L36" s="810"/>
      <c r="M36" s="1177">
        <f>SUM(F36:G36)</f>
        <v>0</v>
      </c>
      <c r="N36" s="4107"/>
      <c r="O36" s="3654"/>
      <c r="P36" s="3648"/>
    </row>
    <row r="37" spans="1:16" s="1719" customFormat="1">
      <c r="A37" s="4064"/>
      <c r="B37" s="1095" t="s">
        <v>20</v>
      </c>
      <c r="C37" s="850"/>
      <c r="D37" s="834">
        <f>+D38+D40</f>
        <v>410798</v>
      </c>
      <c r="E37" s="834">
        <f>+E38+E40</f>
        <v>260948</v>
      </c>
      <c r="F37" s="834">
        <f t="shared" ref="F37:H37" si="26">+F38+F40</f>
        <v>91307</v>
      </c>
      <c r="G37" s="834">
        <f t="shared" si="26"/>
        <v>58543</v>
      </c>
      <c r="H37" s="2147">
        <f t="shared" si="26"/>
        <v>0</v>
      </c>
      <c r="I37" s="2147">
        <v>0</v>
      </c>
      <c r="J37" s="2147">
        <v>0</v>
      </c>
      <c r="K37" s="834">
        <f>+K38+K40</f>
        <v>0</v>
      </c>
      <c r="L37" s="834">
        <f>+L38+L40</f>
        <v>0</v>
      </c>
      <c r="M37" s="4070" t="s">
        <v>51</v>
      </c>
      <c r="N37" s="3938" t="s">
        <v>495</v>
      </c>
      <c r="O37" s="3654"/>
      <c r="P37" s="3648"/>
    </row>
    <row r="38" spans="1:16" s="1719" customFormat="1" ht="12" hidden="1" customHeight="1">
      <c r="A38" s="4064"/>
      <c r="B38" s="1102" t="s">
        <v>22</v>
      </c>
      <c r="C38" s="4129" t="s">
        <v>244</v>
      </c>
      <c r="D38" s="807">
        <f>+D39</f>
        <v>0</v>
      </c>
      <c r="E38" s="807"/>
      <c r="F38" s="807"/>
      <c r="G38" s="807"/>
      <c r="H38" s="833"/>
      <c r="I38" s="833"/>
      <c r="J38" s="833"/>
      <c r="K38" s="807"/>
      <c r="L38" s="807"/>
      <c r="M38" s="4070"/>
      <c r="N38" s="3939"/>
      <c r="O38" s="3647"/>
      <c r="P38" s="3648"/>
    </row>
    <row r="39" spans="1:16" s="1719" customFormat="1" ht="13.5" hidden="1" customHeight="1">
      <c r="A39" s="4064"/>
      <c r="B39" s="1476" t="s">
        <v>12</v>
      </c>
      <c r="C39" s="4127"/>
      <c r="D39" s="766">
        <f>E39+L39+K39+F39+G39+H39+I39+J39</f>
        <v>0</v>
      </c>
      <c r="E39" s="815"/>
      <c r="F39" s="815"/>
      <c r="G39" s="815"/>
      <c r="H39" s="1978"/>
      <c r="I39" s="1978"/>
      <c r="J39" s="1978"/>
      <c r="K39" s="815"/>
      <c r="L39" s="815"/>
      <c r="M39" s="4070"/>
      <c r="N39" s="3939"/>
      <c r="O39" s="3647"/>
      <c r="P39" s="3648"/>
    </row>
    <row r="40" spans="1:16" s="1719" customFormat="1">
      <c r="A40" s="4064"/>
      <c r="B40" s="2146" t="s">
        <v>17</v>
      </c>
      <c r="C40" s="4130"/>
      <c r="D40" s="807">
        <f>+D42+D41</f>
        <v>410798</v>
      </c>
      <c r="E40" s="807">
        <f t="shared" ref="E40" si="27">+E42+E41</f>
        <v>260948</v>
      </c>
      <c r="F40" s="807">
        <f>+F42+F41</f>
        <v>91307</v>
      </c>
      <c r="G40" s="807">
        <f t="shared" ref="G40:H40" si="28">+G42+G41</f>
        <v>58543</v>
      </c>
      <c r="H40" s="833">
        <f t="shared" si="28"/>
        <v>0</v>
      </c>
      <c r="I40" s="833">
        <v>0</v>
      </c>
      <c r="J40" s="833">
        <v>0</v>
      </c>
      <c r="K40" s="807">
        <f>+K42+K41</f>
        <v>0</v>
      </c>
      <c r="L40" s="807">
        <f>+L42+L41</f>
        <v>0</v>
      </c>
      <c r="M40" s="4070"/>
      <c r="N40" s="3939"/>
      <c r="O40" s="3647"/>
      <c r="P40" s="3648"/>
    </row>
    <row r="41" spans="1:16" s="1722" customFormat="1" ht="15.75" customHeight="1" thickBot="1">
      <c r="A41" s="4064"/>
      <c r="B41" s="1103" t="s">
        <v>18</v>
      </c>
      <c r="C41" s="4130"/>
      <c r="D41" s="766">
        <f>E41+L41+K41+F41+G41+H41+I41+J41</f>
        <v>410798</v>
      </c>
      <c r="E41" s="810">
        <f>88766-60286+55732+176736</f>
        <v>260948</v>
      </c>
      <c r="F41" s="810">
        <f>103495-26700+4444-33621+72166-5400-23077</f>
        <v>91307</v>
      </c>
      <c r="G41" s="810">
        <f>60792+32027-15824-25800-3036-12940+23324</f>
        <v>58543</v>
      </c>
      <c r="H41" s="1570">
        <f>13068+45594+149-58811</f>
        <v>0</v>
      </c>
      <c r="I41" s="1570">
        <v>0</v>
      </c>
      <c r="J41" s="1570">
        <v>0</v>
      </c>
      <c r="K41" s="810"/>
      <c r="L41" s="810">
        <v>0</v>
      </c>
      <c r="M41" s="4070"/>
      <c r="N41" s="3939"/>
      <c r="O41" s="3647"/>
      <c r="P41" s="3653"/>
    </row>
    <row r="42" spans="1:16" ht="13.5" hidden="1" customHeight="1" thickBot="1">
      <c r="A42" s="4065"/>
      <c r="B42" s="2455" t="s">
        <v>19</v>
      </c>
      <c r="C42" s="4131"/>
      <c r="D42" s="766">
        <f>E42+L42+K42+F42+G42+H42+I42+J42</f>
        <v>0</v>
      </c>
      <c r="E42" s="1015">
        <v>0</v>
      </c>
      <c r="F42" s="1014"/>
      <c r="G42" s="1014"/>
      <c r="H42" s="1014"/>
      <c r="I42" s="1014"/>
      <c r="J42" s="1014"/>
      <c r="K42" s="1014"/>
      <c r="L42" s="1014"/>
      <c r="M42" s="4032"/>
      <c r="N42" s="2148"/>
      <c r="O42" s="3646"/>
      <c r="P42" s="3645"/>
    </row>
    <row r="43" spans="1:16" ht="38.25" customHeight="1">
      <c r="A43" s="4142" t="s">
        <v>54</v>
      </c>
      <c r="B43" s="2142" t="s">
        <v>477</v>
      </c>
      <c r="C43" s="2143" t="s">
        <v>97</v>
      </c>
      <c r="D43" s="652"/>
      <c r="E43" s="1477"/>
      <c r="F43" s="1477"/>
      <c r="G43" s="1477"/>
      <c r="H43" s="1477"/>
      <c r="I43" s="1477"/>
      <c r="J43" s="21"/>
      <c r="K43" s="1477"/>
      <c r="L43" s="1477"/>
      <c r="M43" s="831"/>
      <c r="N43" s="4066" t="s">
        <v>499</v>
      </c>
      <c r="O43" s="3646"/>
      <c r="P43" s="3645"/>
    </row>
    <row r="44" spans="1:16" s="1719" customFormat="1">
      <c r="A44" s="4143"/>
      <c r="B44" s="1095" t="s">
        <v>9</v>
      </c>
      <c r="C44" s="850"/>
      <c r="D44" s="830">
        <f>+D45+D50</f>
        <v>552790</v>
      </c>
      <c r="E44" s="1975">
        <f>+E45+E50</f>
        <v>0</v>
      </c>
      <c r="F44" s="830">
        <f>+F45+F50</f>
        <v>192804</v>
      </c>
      <c r="G44" s="830">
        <f>+G45+G50</f>
        <v>235308</v>
      </c>
      <c r="H44" s="830">
        <f>+H45+H50</f>
        <v>124678</v>
      </c>
      <c r="I44" s="1975">
        <v>0</v>
      </c>
      <c r="J44" s="1975">
        <v>0</v>
      </c>
      <c r="K44" s="1975">
        <v>0</v>
      </c>
      <c r="L44" s="830">
        <f>+L45+L50</f>
        <v>0</v>
      </c>
      <c r="M44" s="799">
        <f>+M45+M50</f>
        <v>552790</v>
      </c>
      <c r="N44" s="4067"/>
      <c r="O44" s="3654"/>
      <c r="P44" s="3655"/>
    </row>
    <row r="45" spans="1:16" s="1719" customFormat="1" ht="13.5" customHeight="1">
      <c r="A45" s="4143"/>
      <c r="B45" s="1102" t="s">
        <v>22</v>
      </c>
      <c r="C45" s="4170" t="s">
        <v>272</v>
      </c>
      <c r="D45" s="1008">
        <f>+D46</f>
        <v>82918</v>
      </c>
      <c r="E45" s="1976">
        <f>+E46</f>
        <v>0</v>
      </c>
      <c r="F45" s="1008">
        <f>+F46</f>
        <v>28921</v>
      </c>
      <c r="G45" s="1008">
        <f>+G46</f>
        <v>35296</v>
      </c>
      <c r="H45" s="1008">
        <f>+H46</f>
        <v>18701</v>
      </c>
      <c r="I45" s="1976">
        <v>0</v>
      </c>
      <c r="J45" s="1976">
        <v>0</v>
      </c>
      <c r="K45" s="1976">
        <v>0</v>
      </c>
      <c r="L45" s="1008"/>
      <c r="M45" s="1176">
        <f>+M46</f>
        <v>82918</v>
      </c>
      <c r="N45" s="4067"/>
      <c r="O45" s="3647"/>
      <c r="P45" s="3648"/>
    </row>
    <row r="46" spans="1:16" s="1719" customFormat="1" ht="11.25" customHeight="1">
      <c r="A46" s="4143"/>
      <c r="B46" s="1476" t="s">
        <v>11</v>
      </c>
      <c r="C46" s="4171"/>
      <c r="D46" s="766">
        <f>E46+L46+K46+F46+G46+H46+I46+J46</f>
        <v>82918</v>
      </c>
      <c r="E46" s="1985">
        <v>0</v>
      </c>
      <c r="F46" s="810">
        <f>+F48+F49</f>
        <v>28921</v>
      </c>
      <c r="G46" s="810">
        <f t="shared" ref="G46:H46" si="29">+G48+G49</f>
        <v>35296</v>
      </c>
      <c r="H46" s="810">
        <f t="shared" si="29"/>
        <v>18701</v>
      </c>
      <c r="I46" s="1570">
        <v>0</v>
      </c>
      <c r="J46" s="1570">
        <v>0</v>
      </c>
      <c r="K46" s="1570">
        <v>0</v>
      </c>
      <c r="L46" s="810">
        <f>+L48+L49</f>
        <v>0</v>
      </c>
      <c r="M46" s="1018">
        <f>+J46+I46+H46+G46+F46</f>
        <v>82918</v>
      </c>
      <c r="N46" s="4067"/>
      <c r="O46" s="3647"/>
      <c r="P46" s="3648"/>
    </row>
    <row r="47" spans="1:16" s="1723" customFormat="1" ht="13.5" hidden="1" customHeight="1">
      <c r="A47" s="4143"/>
      <c r="B47" s="2149" t="s">
        <v>135</v>
      </c>
      <c r="C47" s="4171"/>
      <c r="D47" s="815"/>
      <c r="E47" s="2145">
        <v>0</v>
      </c>
      <c r="F47" s="2111"/>
      <c r="G47" s="2111"/>
      <c r="H47" s="2111"/>
      <c r="I47" s="2145">
        <v>0</v>
      </c>
      <c r="J47" s="1570">
        <v>0</v>
      </c>
      <c r="K47" s="2145">
        <v>0</v>
      </c>
      <c r="L47" s="2111"/>
      <c r="M47" s="1177"/>
      <c r="N47" s="4067"/>
      <c r="O47" s="3647"/>
      <c r="P47" s="3656"/>
    </row>
    <row r="48" spans="1:16" s="1723" customFormat="1" ht="13.5" hidden="1" customHeight="1">
      <c r="A48" s="4143"/>
      <c r="B48" s="2149" t="s">
        <v>494</v>
      </c>
      <c r="C48" s="4171"/>
      <c r="D48" s="815">
        <f>+E48+L48+K48+F48+G48+H48+I48+J48</f>
        <v>49707</v>
      </c>
      <c r="E48" s="2145">
        <v>0</v>
      </c>
      <c r="F48" s="2111">
        <v>17325</v>
      </c>
      <c r="G48" s="2111">
        <v>20475</v>
      </c>
      <c r="H48" s="2111">
        <v>11907</v>
      </c>
      <c r="I48" s="2145">
        <v>0</v>
      </c>
      <c r="J48" s="1570">
        <v>0</v>
      </c>
      <c r="K48" s="2145">
        <v>0</v>
      </c>
      <c r="L48" s="2111">
        <v>0</v>
      </c>
      <c r="M48" s="1977">
        <f>+J48+I48+H48+G48+F48</f>
        <v>49707</v>
      </c>
      <c r="N48" s="4067"/>
      <c r="O48" s="3647"/>
      <c r="P48" s="3656"/>
    </row>
    <row r="49" spans="1:16" s="1723" customFormat="1" ht="13.5" hidden="1" customHeight="1">
      <c r="A49" s="4143"/>
      <c r="B49" s="2149" t="s">
        <v>237</v>
      </c>
      <c r="C49" s="4171"/>
      <c r="D49" s="815">
        <f>+E49+L49+K49+F49+G49+H49</f>
        <v>33211</v>
      </c>
      <c r="E49" s="2145">
        <v>0</v>
      </c>
      <c r="F49" s="2111">
        <v>11596</v>
      </c>
      <c r="G49" s="2111">
        <v>14821</v>
      </c>
      <c r="H49" s="2111">
        <v>6794</v>
      </c>
      <c r="I49" s="2145">
        <v>0</v>
      </c>
      <c r="J49" s="1570">
        <v>0</v>
      </c>
      <c r="K49" s="2145">
        <v>0</v>
      </c>
      <c r="L49" s="2111">
        <v>0</v>
      </c>
      <c r="M49" s="1977">
        <f>+J49+I49+H49+G49+F49</f>
        <v>33211</v>
      </c>
      <c r="N49" s="4067"/>
      <c r="O49" s="3647"/>
      <c r="P49" s="3656"/>
    </row>
    <row r="50" spans="1:16" s="1719" customFormat="1">
      <c r="A50" s="4143"/>
      <c r="B50" s="2146" t="s">
        <v>17</v>
      </c>
      <c r="C50" s="4171"/>
      <c r="D50" s="807">
        <f>+D52+D51</f>
        <v>469872</v>
      </c>
      <c r="E50" s="833">
        <v>0</v>
      </c>
      <c r="F50" s="807">
        <f>+F52+F51</f>
        <v>163883</v>
      </c>
      <c r="G50" s="807">
        <f t="shared" ref="G50:H50" si="30">+G52+G51</f>
        <v>200012</v>
      </c>
      <c r="H50" s="807">
        <f t="shared" si="30"/>
        <v>105977</v>
      </c>
      <c r="I50" s="833">
        <v>0</v>
      </c>
      <c r="J50" s="833">
        <v>0</v>
      </c>
      <c r="K50" s="833">
        <v>0</v>
      </c>
      <c r="L50" s="807"/>
      <c r="M50" s="1018">
        <f>+M52</f>
        <v>469872</v>
      </c>
      <c r="N50" s="4067"/>
      <c r="O50" s="3647"/>
      <c r="P50" s="3648"/>
    </row>
    <row r="51" spans="1:16" s="1722" customFormat="1" ht="12" hidden="1" customHeight="1">
      <c r="A51" s="4143"/>
      <c r="B51" s="1476" t="s">
        <v>18</v>
      </c>
      <c r="C51" s="4171"/>
      <c r="D51" s="766"/>
      <c r="E51" s="1985"/>
      <c r="F51" s="810"/>
      <c r="G51" s="810"/>
      <c r="H51" s="1570">
        <v>0</v>
      </c>
      <c r="I51" s="1570">
        <v>0</v>
      </c>
      <c r="J51" s="1570">
        <v>0</v>
      </c>
      <c r="K51" s="1570"/>
      <c r="L51" s="810" t="e">
        <f>+#REF!+#REF!</f>
        <v>#REF!</v>
      </c>
      <c r="M51" s="1977"/>
      <c r="N51" s="4067"/>
      <c r="O51" s="3654">
        <f>D51-D58</f>
        <v>0</v>
      </c>
      <c r="P51" s="3653"/>
    </row>
    <row r="52" spans="1:16" s="1719" customFormat="1" ht="13.5" customHeight="1" collapsed="1">
      <c r="A52" s="4143"/>
      <c r="B52" s="1476" t="s">
        <v>19</v>
      </c>
      <c r="C52" s="4171"/>
      <c r="D52" s="766">
        <f>+D54+D55</f>
        <v>469872</v>
      </c>
      <c r="E52" s="1570">
        <v>0</v>
      </c>
      <c r="F52" s="810">
        <f t="shared" ref="F52:J52" si="31">+F54+F55</f>
        <v>163883</v>
      </c>
      <c r="G52" s="810">
        <f t="shared" si="31"/>
        <v>200012</v>
      </c>
      <c r="H52" s="810">
        <f t="shared" si="31"/>
        <v>105977</v>
      </c>
      <c r="I52" s="1570">
        <f t="shared" si="31"/>
        <v>0</v>
      </c>
      <c r="J52" s="1570">
        <f t="shared" si="31"/>
        <v>0</v>
      </c>
      <c r="K52" s="1570">
        <v>0</v>
      </c>
      <c r="L52" s="810"/>
      <c r="M52" s="1977">
        <f>+J52+I52+H52+G52+F52</f>
        <v>469872</v>
      </c>
      <c r="N52" s="4067"/>
      <c r="O52" s="3654"/>
      <c r="P52" s="3648"/>
    </row>
    <row r="53" spans="1:16" s="1772" customFormat="1" ht="12.75" hidden="1" customHeight="1">
      <c r="A53" s="4143"/>
      <c r="B53" s="2149" t="s">
        <v>135</v>
      </c>
      <c r="C53" s="4171"/>
      <c r="D53" s="766"/>
      <c r="E53" s="1570">
        <v>0</v>
      </c>
      <c r="F53" s="810"/>
      <c r="G53" s="810"/>
      <c r="H53" s="810"/>
      <c r="I53" s="1570">
        <v>0</v>
      </c>
      <c r="J53" s="1570">
        <v>0</v>
      </c>
      <c r="K53" s="1570">
        <v>0</v>
      </c>
      <c r="L53" s="810"/>
      <c r="M53" s="1977">
        <f>+J53+I53+H53+G53+F53</f>
        <v>0</v>
      </c>
      <c r="N53" s="4067"/>
      <c r="O53" s="3654"/>
      <c r="P53" s="3657"/>
    </row>
    <row r="54" spans="1:16" s="1772" customFormat="1" ht="13.5" hidden="1" customHeight="1">
      <c r="A54" s="4143"/>
      <c r="B54" s="2149" t="s">
        <v>494</v>
      </c>
      <c r="C54" s="4171"/>
      <c r="D54" s="766">
        <f>+F54+G54+H54+I54+J54</f>
        <v>281673</v>
      </c>
      <c r="E54" s="1570">
        <v>0</v>
      </c>
      <c r="F54" s="810">
        <v>98175</v>
      </c>
      <c r="G54" s="810">
        <v>116025</v>
      </c>
      <c r="H54" s="810">
        <v>67473</v>
      </c>
      <c r="I54" s="1570">
        <v>0</v>
      </c>
      <c r="J54" s="1570">
        <v>0</v>
      </c>
      <c r="K54" s="1570">
        <v>0</v>
      </c>
      <c r="L54" s="810"/>
      <c r="M54" s="1977">
        <f>+J54+I54+H54+G54+F54</f>
        <v>281673</v>
      </c>
      <c r="N54" s="4067"/>
      <c r="O54" s="3654"/>
      <c r="P54" s="3657"/>
    </row>
    <row r="55" spans="1:16" s="1772" customFormat="1" ht="13.5" hidden="1" customHeight="1">
      <c r="A55" s="4143"/>
      <c r="B55" s="2149" t="s">
        <v>237</v>
      </c>
      <c r="C55" s="4172"/>
      <c r="D55" s="766">
        <f>+F55+G55+H55+I55+J55</f>
        <v>188199</v>
      </c>
      <c r="E55" s="1570">
        <v>0</v>
      </c>
      <c r="F55" s="810">
        <v>65708</v>
      </c>
      <c r="G55" s="810">
        <v>83987</v>
      </c>
      <c r="H55" s="810">
        <v>38504</v>
      </c>
      <c r="I55" s="1570">
        <v>0</v>
      </c>
      <c r="J55" s="1570">
        <v>0</v>
      </c>
      <c r="K55" s="1570">
        <v>0</v>
      </c>
      <c r="L55" s="810"/>
      <c r="M55" s="1977">
        <f>+J55+I55+H55+G55+F55</f>
        <v>188199</v>
      </c>
      <c r="N55" s="4107"/>
      <c r="O55" s="3654"/>
      <c r="P55" s="3657"/>
    </row>
    <row r="56" spans="1:16" s="1719" customFormat="1" ht="18" customHeight="1">
      <c r="A56" s="4143"/>
      <c r="B56" s="1095" t="s">
        <v>20</v>
      </c>
      <c r="C56" s="850"/>
      <c r="D56" s="834">
        <f>+D57</f>
        <v>469872</v>
      </c>
      <c r="E56" s="2147">
        <v>0</v>
      </c>
      <c r="F56" s="2147">
        <f>+F57</f>
        <v>0</v>
      </c>
      <c r="G56" s="834">
        <f t="shared" ref="G56:I56" si="32">+G57</f>
        <v>163883</v>
      </c>
      <c r="H56" s="834">
        <f t="shared" si="32"/>
        <v>200012</v>
      </c>
      <c r="I56" s="834">
        <f t="shared" si="32"/>
        <v>105977</v>
      </c>
      <c r="J56" s="2147">
        <v>0</v>
      </c>
      <c r="K56" s="2147"/>
      <c r="L56" s="834"/>
      <c r="M56" s="4070" t="s">
        <v>51</v>
      </c>
      <c r="N56" s="3938" t="s">
        <v>495</v>
      </c>
      <c r="O56" s="3654"/>
      <c r="P56" s="3648"/>
    </row>
    <row r="57" spans="1:16" s="1719" customFormat="1">
      <c r="A57" s="4143"/>
      <c r="B57" s="2146" t="s">
        <v>17</v>
      </c>
      <c r="C57" s="4139" t="s">
        <v>244</v>
      </c>
      <c r="D57" s="807">
        <f>+D59+D58</f>
        <v>469872</v>
      </c>
      <c r="E57" s="833">
        <f t="shared" ref="E57" si="33">+E59+E58</f>
        <v>0</v>
      </c>
      <c r="F57" s="833">
        <f>+F59+F58</f>
        <v>0</v>
      </c>
      <c r="G57" s="807">
        <f t="shared" ref="G57:H57" si="34">+G59+G58</f>
        <v>163883</v>
      </c>
      <c r="H57" s="807">
        <f t="shared" si="34"/>
        <v>200012</v>
      </c>
      <c r="I57" s="807">
        <f>+I59</f>
        <v>105977</v>
      </c>
      <c r="J57" s="833">
        <v>0</v>
      </c>
      <c r="K57" s="833">
        <f>+K59+K58</f>
        <v>0</v>
      </c>
      <c r="L57" s="807">
        <f>+L59+L58</f>
        <v>0</v>
      </c>
      <c r="M57" s="4070"/>
      <c r="N57" s="3939"/>
      <c r="O57" s="3647"/>
      <c r="P57" s="3648"/>
    </row>
    <row r="58" spans="1:16" s="1722" customFormat="1" ht="15.75" hidden="1" customHeight="1">
      <c r="A58" s="4143"/>
      <c r="B58" s="1476" t="s">
        <v>18</v>
      </c>
      <c r="C58" s="4140"/>
      <c r="D58" s="766">
        <f>E58+L58+K58+F58+G58+H58+I58+J58</f>
        <v>0</v>
      </c>
      <c r="E58" s="1570"/>
      <c r="F58" s="1570"/>
      <c r="G58" s="810"/>
      <c r="H58" s="810"/>
      <c r="I58" s="810">
        <v>0</v>
      </c>
      <c r="J58" s="1570">
        <v>0</v>
      </c>
      <c r="K58" s="1570"/>
      <c r="L58" s="810">
        <v>0</v>
      </c>
      <c r="M58" s="4070"/>
      <c r="N58" s="3939"/>
      <c r="O58" s="3647"/>
      <c r="P58" s="3653"/>
    </row>
    <row r="59" spans="1:16" ht="13.5" customHeight="1" thickBot="1">
      <c r="A59" s="4144"/>
      <c r="B59" s="1103" t="s">
        <v>19</v>
      </c>
      <c r="C59" s="4141"/>
      <c r="D59" s="1142">
        <f>E59+L59+K59+F59+G59+H59+I59+J59</f>
        <v>469872</v>
      </c>
      <c r="E59" s="1015">
        <v>0</v>
      </c>
      <c r="F59" s="1015">
        <v>0</v>
      </c>
      <c r="G59" s="1014">
        <v>163883</v>
      </c>
      <c r="H59" s="1014">
        <v>200012</v>
      </c>
      <c r="I59" s="1014">
        <v>105977</v>
      </c>
      <c r="J59" s="1015">
        <v>0</v>
      </c>
      <c r="K59" s="1015">
        <v>0</v>
      </c>
      <c r="L59" s="1014"/>
      <c r="M59" s="4032"/>
      <c r="N59" s="3940"/>
      <c r="O59" s="3646"/>
      <c r="P59" s="3645"/>
    </row>
    <row r="60" spans="1:16" ht="24" customHeight="1">
      <c r="A60" s="4150" t="s">
        <v>457</v>
      </c>
      <c r="B60" s="690" t="s">
        <v>348</v>
      </c>
      <c r="C60" s="691" t="s">
        <v>97</v>
      </c>
      <c r="D60" s="652"/>
      <c r="E60" s="1477"/>
      <c r="F60" s="1477"/>
      <c r="G60" s="1477"/>
      <c r="H60" s="1477"/>
      <c r="I60" s="1477"/>
      <c r="J60" s="21"/>
      <c r="K60" s="1477"/>
      <c r="L60" s="1477"/>
      <c r="M60" s="831"/>
      <c r="N60" s="4075" t="s">
        <v>250</v>
      </c>
      <c r="O60" s="3646"/>
      <c r="P60" s="3645"/>
    </row>
    <row r="61" spans="1:16">
      <c r="A61" s="4063"/>
      <c r="B61" s="1095" t="s">
        <v>9</v>
      </c>
      <c r="C61" s="692"/>
      <c r="D61" s="1101">
        <f t="shared" ref="D61:E61" si="35">+D62+D67</f>
        <v>1324368</v>
      </c>
      <c r="E61" s="830">
        <f t="shared" si="35"/>
        <v>460509</v>
      </c>
      <c r="F61" s="830">
        <f t="shared" ref="F61" si="36">+F62+F67</f>
        <v>863859</v>
      </c>
      <c r="G61" s="1975">
        <f t="shared" ref="G61:J61" si="37">+G62+G67</f>
        <v>0</v>
      </c>
      <c r="H61" s="1975">
        <f t="shared" si="37"/>
        <v>0</v>
      </c>
      <c r="I61" s="1975">
        <f t="shared" si="37"/>
        <v>0</v>
      </c>
      <c r="J61" s="1975">
        <f t="shared" si="37"/>
        <v>0</v>
      </c>
      <c r="K61" s="830">
        <f>+K62+K67</f>
        <v>0</v>
      </c>
      <c r="L61" s="1975">
        <f>+L62+L67</f>
        <v>0</v>
      </c>
      <c r="M61" s="799">
        <f>+M62+M67</f>
        <v>863859</v>
      </c>
      <c r="N61" s="4076"/>
      <c r="O61" s="3649"/>
      <c r="P61" s="3645"/>
    </row>
    <row r="62" spans="1:16" ht="12.75" customHeight="1">
      <c r="A62" s="4063"/>
      <c r="B62" s="1096" t="s">
        <v>22</v>
      </c>
      <c r="C62" s="4068" t="s">
        <v>248</v>
      </c>
      <c r="D62" s="1008">
        <f t="shared" ref="D62:M62" si="38">+D63+D66</f>
        <v>198655</v>
      </c>
      <c r="E62" s="1008">
        <f t="shared" ref="E62" si="39">+E63+E66</f>
        <v>69077</v>
      </c>
      <c r="F62" s="1008">
        <f t="shared" si="38"/>
        <v>129578</v>
      </c>
      <c r="G62" s="1976">
        <f t="shared" ref="G62:J62" si="40">+G63+G66</f>
        <v>0</v>
      </c>
      <c r="H62" s="1976">
        <f t="shared" si="40"/>
        <v>0</v>
      </c>
      <c r="I62" s="1976">
        <f t="shared" si="40"/>
        <v>0</v>
      </c>
      <c r="J62" s="1976">
        <f t="shared" si="40"/>
        <v>0</v>
      </c>
      <c r="K62" s="1008">
        <f>+K63+K66</f>
        <v>0</v>
      </c>
      <c r="L62" s="1976">
        <f>+L63+L66</f>
        <v>0</v>
      </c>
      <c r="M62" s="1176">
        <f t="shared" si="38"/>
        <v>129578</v>
      </c>
      <c r="N62" s="4076"/>
      <c r="O62" s="3646"/>
      <c r="P62" s="3645"/>
    </row>
    <row r="63" spans="1:16" ht="12" customHeight="1">
      <c r="A63" s="4063"/>
      <c r="B63" s="1097" t="s">
        <v>11</v>
      </c>
      <c r="C63" s="4069"/>
      <c r="D63" s="766">
        <f>E63+L63+K63+F63+G63+H63+I63+J63</f>
        <v>198655</v>
      </c>
      <c r="E63" s="810">
        <f t="shared" ref="E63" si="41">+E64+E65</f>
        <v>69077</v>
      </c>
      <c r="F63" s="810">
        <f t="shared" ref="F63" si="42">+F64+F65</f>
        <v>129578</v>
      </c>
      <c r="G63" s="1979">
        <f t="shared" ref="G63:J63" si="43">+G64+G65</f>
        <v>0</v>
      </c>
      <c r="H63" s="1979">
        <f t="shared" si="43"/>
        <v>0</v>
      </c>
      <c r="I63" s="1979">
        <f t="shared" si="43"/>
        <v>0</v>
      </c>
      <c r="J63" s="1979">
        <f t="shared" si="43"/>
        <v>0</v>
      </c>
      <c r="K63" s="810">
        <f>+K64+K65</f>
        <v>0</v>
      </c>
      <c r="L63" s="1979">
        <f>+L64+L65</f>
        <v>0</v>
      </c>
      <c r="M63" s="1018">
        <f>SUM(F63:J63)</f>
        <v>129578</v>
      </c>
      <c r="N63" s="4076"/>
      <c r="O63" s="3646"/>
      <c r="P63" s="3645"/>
    </row>
    <row r="64" spans="1:16" s="1724" customFormat="1" ht="13.5" hidden="1" customHeight="1">
      <c r="A64" s="4063"/>
      <c r="B64" s="2150" t="s">
        <v>237</v>
      </c>
      <c r="C64" s="4069"/>
      <c r="D64" s="1980">
        <f>SUM(E64:J64)</f>
        <v>101173</v>
      </c>
      <c r="E64" s="1981">
        <f>51272-7892</f>
        <v>43380</v>
      </c>
      <c r="F64" s="1981">
        <f>49901+7892</f>
        <v>57793</v>
      </c>
      <c r="G64" s="1982">
        <v>0</v>
      </c>
      <c r="H64" s="1982">
        <v>0</v>
      </c>
      <c r="I64" s="1982">
        <v>0</v>
      </c>
      <c r="J64" s="1982">
        <v>0</v>
      </c>
      <c r="K64" s="1981"/>
      <c r="L64" s="1982">
        <v>0</v>
      </c>
      <c r="M64" s="1018">
        <f>SUM(F64:J64)</f>
        <v>57793</v>
      </c>
      <c r="N64" s="4076"/>
      <c r="O64" s="3646"/>
      <c r="P64" s="3658"/>
    </row>
    <row r="65" spans="1:16" s="1724" customFormat="1" ht="13.5" hidden="1" customHeight="1">
      <c r="A65" s="4063"/>
      <c r="B65" s="2151" t="s">
        <v>246</v>
      </c>
      <c r="C65" s="4069"/>
      <c r="D65" s="2152">
        <f>SUM(E65:J65)</f>
        <v>97482</v>
      </c>
      <c r="E65" s="2153">
        <f>52169-26472</f>
        <v>25697</v>
      </c>
      <c r="F65" s="2153">
        <f>45313+26472</f>
        <v>71785</v>
      </c>
      <c r="G65" s="2154">
        <v>0</v>
      </c>
      <c r="H65" s="2154">
        <v>0</v>
      </c>
      <c r="I65" s="2154">
        <v>0</v>
      </c>
      <c r="J65" s="2154">
        <v>0</v>
      </c>
      <c r="K65" s="2153"/>
      <c r="L65" s="2154">
        <v>0</v>
      </c>
      <c r="M65" s="1018">
        <f>SUM(F65:J65)</f>
        <v>71785</v>
      </c>
      <c r="N65" s="4076"/>
      <c r="O65" s="3646"/>
      <c r="P65" s="3658"/>
    </row>
    <row r="66" spans="1:16" ht="12.75" customHeight="1">
      <c r="A66" s="4063"/>
      <c r="B66" s="1097" t="s">
        <v>12</v>
      </c>
      <c r="C66" s="4069"/>
      <c r="D66" s="815">
        <f>SUM(E66:K66)</f>
        <v>0</v>
      </c>
      <c r="E66" s="810"/>
      <c r="F66" s="810"/>
      <c r="G66" s="1570"/>
      <c r="H66" s="1570"/>
      <c r="I66" s="1570"/>
      <c r="J66" s="1570"/>
      <c r="K66" s="810"/>
      <c r="L66" s="1570"/>
      <c r="M66" s="1977">
        <f>SUM(F66:J66)</f>
        <v>0</v>
      </c>
      <c r="N66" s="4076"/>
      <c r="O66" s="3646"/>
      <c r="P66" s="3645"/>
    </row>
    <row r="67" spans="1:16" ht="12" customHeight="1">
      <c r="A67" s="4063"/>
      <c r="B67" s="1096" t="s">
        <v>17</v>
      </c>
      <c r="C67" s="4069"/>
      <c r="D67" s="807">
        <f>+D68</f>
        <v>1125713</v>
      </c>
      <c r="E67" s="807">
        <f t="shared" ref="E67:J67" si="44">+E68</f>
        <v>391432</v>
      </c>
      <c r="F67" s="807">
        <f t="shared" si="44"/>
        <v>734281</v>
      </c>
      <c r="G67" s="833">
        <f t="shared" si="44"/>
        <v>0</v>
      </c>
      <c r="H67" s="833">
        <f t="shared" si="44"/>
        <v>0</v>
      </c>
      <c r="I67" s="833">
        <f t="shared" si="44"/>
        <v>0</v>
      </c>
      <c r="J67" s="833">
        <f t="shared" si="44"/>
        <v>0</v>
      </c>
      <c r="K67" s="807">
        <f>+K68</f>
        <v>0</v>
      </c>
      <c r="L67" s="833">
        <f>+L68</f>
        <v>0</v>
      </c>
      <c r="M67" s="1020">
        <f>+M68</f>
        <v>734281</v>
      </c>
      <c r="N67" s="4076"/>
      <c r="O67" s="3646"/>
      <c r="P67" s="3645"/>
    </row>
    <row r="68" spans="1:16" ht="12" customHeight="1" collapsed="1">
      <c r="A68" s="4063"/>
      <c r="B68" s="1097" t="s">
        <v>19</v>
      </c>
      <c r="C68" s="4069"/>
      <c r="D68" s="766">
        <f>E68+L68+K68+F68+G68+H68+I68+J68</f>
        <v>1125713</v>
      </c>
      <c r="E68" s="810">
        <f t="shared" ref="E68" si="45">+E69+E70</f>
        <v>391432</v>
      </c>
      <c r="F68" s="810">
        <f t="shared" ref="F68" si="46">+F69+F70</f>
        <v>734281</v>
      </c>
      <c r="G68" s="1570">
        <f t="shared" ref="G68:J68" si="47">+G69+G70</f>
        <v>0</v>
      </c>
      <c r="H68" s="1570">
        <f t="shared" si="47"/>
        <v>0</v>
      </c>
      <c r="I68" s="1570">
        <f t="shared" si="47"/>
        <v>0</v>
      </c>
      <c r="J68" s="1570">
        <f t="shared" si="47"/>
        <v>0</v>
      </c>
      <c r="K68" s="810">
        <f>+K69+K70</f>
        <v>0</v>
      </c>
      <c r="L68" s="1570">
        <f>+L69+L70</f>
        <v>0</v>
      </c>
      <c r="M68" s="1018">
        <f>SUM(F68:J68)</f>
        <v>734281</v>
      </c>
      <c r="N68" s="4077"/>
      <c r="O68" s="3646"/>
      <c r="P68" s="3645"/>
    </row>
    <row r="69" spans="1:16" s="1724" customFormat="1" ht="13.5" hidden="1" customHeight="1">
      <c r="A69" s="4063"/>
      <c r="B69" s="2155" t="s">
        <v>237</v>
      </c>
      <c r="C69" s="2156"/>
      <c r="D69" s="2157">
        <f>SUM(E69:J69)</f>
        <v>573315</v>
      </c>
      <c r="E69" s="2159">
        <f>290542-44724</f>
        <v>245818</v>
      </c>
      <c r="F69" s="2159">
        <f>282773+44724</f>
        <v>327497</v>
      </c>
      <c r="G69" s="2158">
        <v>0</v>
      </c>
      <c r="H69" s="2158">
        <v>0</v>
      </c>
      <c r="I69" s="2158">
        <v>0</v>
      </c>
      <c r="J69" s="2158">
        <v>0</v>
      </c>
      <c r="K69" s="2159"/>
      <c r="L69" s="2158">
        <v>0</v>
      </c>
      <c r="M69" s="1018">
        <f>SUM(F69:J69)</f>
        <v>327497</v>
      </c>
      <c r="N69" s="2463"/>
      <c r="O69" s="3646"/>
      <c r="P69" s="3658"/>
    </row>
    <row r="70" spans="1:16" s="1724" customFormat="1" ht="12.75" hidden="1" customHeight="1">
      <c r="A70" s="4063"/>
      <c r="B70" s="2160" t="s">
        <v>246</v>
      </c>
      <c r="C70" s="2161"/>
      <c r="D70" s="2162">
        <f>SUM(E70:J70)</f>
        <v>552398</v>
      </c>
      <c r="E70" s="2164">
        <f>295621-150007</f>
        <v>145614</v>
      </c>
      <c r="F70" s="2164">
        <f>256777+150007</f>
        <v>406784</v>
      </c>
      <c r="G70" s="2163">
        <v>0</v>
      </c>
      <c r="H70" s="2163">
        <v>0</v>
      </c>
      <c r="I70" s="2163">
        <v>0</v>
      </c>
      <c r="J70" s="2163">
        <v>0</v>
      </c>
      <c r="K70" s="2164"/>
      <c r="L70" s="2163">
        <v>0</v>
      </c>
      <c r="M70" s="1018">
        <f>SUM(F70:J70)</f>
        <v>406784</v>
      </c>
      <c r="N70" s="2463"/>
      <c r="O70" s="3646"/>
      <c r="P70" s="3658"/>
    </row>
    <row r="71" spans="1:16">
      <c r="A71" s="4064"/>
      <c r="B71" s="1095" t="s">
        <v>20</v>
      </c>
      <c r="C71" s="850"/>
      <c r="D71" s="1019">
        <f t="shared" ref="D71:F71" si="48">+D72+D74</f>
        <v>1125713</v>
      </c>
      <c r="E71" s="1019">
        <f t="shared" ref="E71" si="49">+E72+E74</f>
        <v>586163</v>
      </c>
      <c r="F71" s="1019">
        <f t="shared" si="48"/>
        <v>539550</v>
      </c>
      <c r="G71" s="1983">
        <f t="shared" ref="G71:J71" si="50">+G72+G74</f>
        <v>0</v>
      </c>
      <c r="H71" s="1983">
        <f t="shared" si="50"/>
        <v>0</v>
      </c>
      <c r="I71" s="1983">
        <f t="shared" si="50"/>
        <v>0</v>
      </c>
      <c r="J71" s="1983">
        <f t="shared" si="50"/>
        <v>0</v>
      </c>
      <c r="K71" s="1019">
        <f>+K72+K74</f>
        <v>0</v>
      </c>
      <c r="L71" s="1983">
        <f>+L72+L74</f>
        <v>0</v>
      </c>
      <c r="M71" s="4070" t="s">
        <v>51</v>
      </c>
      <c r="N71" s="3939" t="s">
        <v>246</v>
      </c>
      <c r="O71" s="3649">
        <f>K71-'[1]Tab. 6B Polit społ i rozwój prz'!$G$54</f>
        <v>-586163</v>
      </c>
      <c r="P71" s="3645"/>
    </row>
    <row r="72" spans="1:16" ht="13.5" hidden="1" customHeight="1">
      <c r="A72" s="4064"/>
      <c r="B72" s="1096" t="s">
        <v>22</v>
      </c>
      <c r="C72" s="4151" t="s">
        <v>247</v>
      </c>
      <c r="D72" s="807">
        <f>+D73</f>
        <v>0</v>
      </c>
      <c r="E72" s="807">
        <f t="shared" ref="E72:J72" si="51">+E73</f>
        <v>0</v>
      </c>
      <c r="F72" s="807">
        <f t="shared" si="51"/>
        <v>0</v>
      </c>
      <c r="G72" s="833">
        <f t="shared" si="51"/>
        <v>0</v>
      </c>
      <c r="H72" s="833">
        <f t="shared" si="51"/>
        <v>0</v>
      </c>
      <c r="I72" s="833">
        <f t="shared" si="51"/>
        <v>0</v>
      </c>
      <c r="J72" s="833">
        <f t="shared" si="51"/>
        <v>0</v>
      </c>
      <c r="K72" s="807">
        <f>+K73</f>
        <v>0</v>
      </c>
      <c r="L72" s="833">
        <f>+L73</f>
        <v>0</v>
      </c>
      <c r="M72" s="4070"/>
      <c r="N72" s="3939"/>
      <c r="O72" s="3646"/>
      <c r="P72" s="3645"/>
    </row>
    <row r="73" spans="1:16" ht="13.5" hidden="1" customHeight="1">
      <c r="A73" s="4064"/>
      <c r="B73" s="1097" t="s">
        <v>12</v>
      </c>
      <c r="C73" s="4152"/>
      <c r="D73" s="815">
        <f>SUM(E73:K73)</f>
        <v>0</v>
      </c>
      <c r="E73" s="815"/>
      <c r="F73" s="815"/>
      <c r="G73" s="1978"/>
      <c r="H73" s="1978"/>
      <c r="I73" s="1978"/>
      <c r="J73" s="1978"/>
      <c r="K73" s="815"/>
      <c r="L73" s="1978"/>
      <c r="M73" s="4070"/>
      <c r="N73" s="3939"/>
      <c r="O73" s="3646"/>
      <c r="P73" s="3645"/>
    </row>
    <row r="74" spans="1:16" ht="12.75" customHeight="1">
      <c r="A74" s="4064"/>
      <c r="B74" s="1096" t="s">
        <v>17</v>
      </c>
      <c r="C74" s="4152"/>
      <c r="D74" s="807">
        <f t="shared" ref="D74:J74" si="52">+D75</f>
        <v>1125713</v>
      </c>
      <c r="E74" s="807">
        <f t="shared" si="52"/>
        <v>586163</v>
      </c>
      <c r="F74" s="807">
        <f t="shared" si="52"/>
        <v>539550</v>
      </c>
      <c r="G74" s="833">
        <f t="shared" si="52"/>
        <v>0</v>
      </c>
      <c r="H74" s="833">
        <f t="shared" si="52"/>
        <v>0</v>
      </c>
      <c r="I74" s="833">
        <f t="shared" si="52"/>
        <v>0</v>
      </c>
      <c r="J74" s="833">
        <f t="shared" si="52"/>
        <v>0</v>
      </c>
      <c r="K74" s="807">
        <f>+K75</f>
        <v>0</v>
      </c>
      <c r="L74" s="833">
        <f>+L75</f>
        <v>0</v>
      </c>
      <c r="M74" s="4070"/>
      <c r="N74" s="3939"/>
      <c r="O74" s="3646"/>
      <c r="P74" s="3645"/>
    </row>
    <row r="75" spans="1:16" ht="11.25" customHeight="1" thickBot="1">
      <c r="A75" s="4065"/>
      <c r="B75" s="1175" t="s">
        <v>19</v>
      </c>
      <c r="C75" s="4153"/>
      <c r="D75" s="1003">
        <f>E75+L75+K75+F75+G75+H75+I75+J75</f>
        <v>1125713</v>
      </c>
      <c r="E75" s="1014">
        <v>586163</v>
      </c>
      <c r="F75" s="1014">
        <v>539550</v>
      </c>
      <c r="G75" s="1015">
        <v>0</v>
      </c>
      <c r="H75" s="1015">
        <v>0</v>
      </c>
      <c r="I75" s="1015">
        <v>0</v>
      </c>
      <c r="J75" s="1015">
        <v>0</v>
      </c>
      <c r="K75" s="1014"/>
      <c r="L75" s="1015">
        <v>0</v>
      </c>
      <c r="M75" s="4032"/>
      <c r="N75" s="3940"/>
      <c r="O75" s="3646"/>
      <c r="P75" s="3645"/>
    </row>
    <row r="76" spans="1:16" ht="0.6" customHeight="1" thickBot="1">
      <c r="A76" s="3598"/>
      <c r="B76" s="1476" t="s">
        <v>19</v>
      </c>
      <c r="C76" s="3597"/>
      <c r="D76" s="1479">
        <f>SUM(E76:K76)</f>
        <v>0</v>
      </c>
      <c r="E76" s="822">
        <v>0</v>
      </c>
      <c r="F76" s="822"/>
      <c r="G76" s="822"/>
      <c r="H76" s="822"/>
      <c r="I76" s="822"/>
      <c r="J76" s="822"/>
      <c r="K76" s="822"/>
      <c r="L76" s="822"/>
      <c r="M76" s="3594"/>
      <c r="N76" s="1984"/>
      <c r="O76" s="3646"/>
      <c r="P76" s="3645"/>
    </row>
    <row r="77" spans="1:16" ht="27" customHeight="1">
      <c r="A77" s="4148" t="s">
        <v>56</v>
      </c>
      <c r="B77" s="2142" t="s">
        <v>479</v>
      </c>
      <c r="C77" s="2143" t="s">
        <v>97</v>
      </c>
      <c r="D77" s="652"/>
      <c r="E77" s="1477"/>
      <c r="F77" s="1477"/>
      <c r="G77" s="1477"/>
      <c r="H77" s="1477"/>
      <c r="I77" s="1477"/>
      <c r="J77" s="21"/>
      <c r="K77" s="1477"/>
      <c r="L77" s="1477"/>
      <c r="M77" s="831"/>
      <c r="N77" s="4173" t="s">
        <v>503</v>
      </c>
      <c r="O77" s="3646"/>
      <c r="P77" s="3645"/>
    </row>
    <row r="78" spans="1:16" ht="12" customHeight="1">
      <c r="A78" s="4148"/>
      <c r="B78" s="1095" t="s">
        <v>9</v>
      </c>
      <c r="C78" s="850"/>
      <c r="D78" s="830">
        <f t="shared" ref="D78:J78" si="53">+D79+D82</f>
        <v>12198050</v>
      </c>
      <c r="E78" s="830">
        <f t="shared" ref="E78" si="54">+E79+E82</f>
        <v>4799298</v>
      </c>
      <c r="F78" s="830">
        <f t="shared" si="53"/>
        <v>1949382</v>
      </c>
      <c r="G78" s="830">
        <f t="shared" si="53"/>
        <v>1821382</v>
      </c>
      <c r="H78" s="830">
        <f t="shared" si="53"/>
        <v>1855719</v>
      </c>
      <c r="I78" s="830">
        <f t="shared" si="53"/>
        <v>886134</v>
      </c>
      <c r="J78" s="830">
        <f t="shared" si="53"/>
        <v>886135</v>
      </c>
      <c r="K78" s="830">
        <f>+K79+K82</f>
        <v>0</v>
      </c>
      <c r="L78" s="830">
        <f>+L79+L82</f>
        <v>0</v>
      </c>
      <c r="M78" s="799">
        <f>+M79+M82</f>
        <v>7398752</v>
      </c>
      <c r="N78" s="4076"/>
      <c r="O78" s="3646"/>
      <c r="P78" s="3645"/>
    </row>
    <row r="79" spans="1:16" ht="12" customHeight="1">
      <c r="A79" s="4148"/>
      <c r="B79" s="1096" t="s">
        <v>22</v>
      </c>
      <c r="C79" s="4126" t="s">
        <v>107</v>
      </c>
      <c r="D79" s="1008">
        <f t="shared" ref="D79:J79" si="55">+D80+D81</f>
        <v>1917533</v>
      </c>
      <c r="E79" s="1008">
        <f t="shared" ref="E79" si="56">+E80+E81</f>
        <v>754450</v>
      </c>
      <c r="F79" s="1008">
        <f t="shared" si="55"/>
        <v>306443</v>
      </c>
      <c r="G79" s="1008">
        <f t="shared" si="55"/>
        <v>286321</v>
      </c>
      <c r="H79" s="1008">
        <f t="shared" si="55"/>
        <v>291719</v>
      </c>
      <c r="I79" s="1008">
        <f t="shared" si="55"/>
        <v>139300</v>
      </c>
      <c r="J79" s="1008">
        <f t="shared" si="55"/>
        <v>139300</v>
      </c>
      <c r="K79" s="1008">
        <f>+K80+K81</f>
        <v>0</v>
      </c>
      <c r="L79" s="1008">
        <f>+L80+L81</f>
        <v>0</v>
      </c>
      <c r="M79" s="1013">
        <f>+M80+M81</f>
        <v>1163083</v>
      </c>
      <c r="N79" s="4076"/>
      <c r="O79" s="3646"/>
      <c r="P79" s="3645"/>
    </row>
    <row r="80" spans="1:16" ht="12" customHeight="1">
      <c r="A80" s="4148"/>
      <c r="B80" s="1097" t="s">
        <v>11</v>
      </c>
      <c r="C80" s="4127"/>
      <c r="D80" s="766">
        <f>E80+L80+K80+F80+G80+H80+I80+J80</f>
        <v>1917533</v>
      </c>
      <c r="E80" s="787">
        <f>273708+199870+280872</f>
        <v>754450</v>
      </c>
      <c r="F80" s="810">
        <f>354390-58008+15720-5659</f>
        <v>306443</v>
      </c>
      <c r="G80" s="810">
        <f>354390-58008-15720+5659</f>
        <v>286321</v>
      </c>
      <c r="H80" s="810">
        <v>291719</v>
      </c>
      <c r="I80" s="810">
        <v>139300</v>
      </c>
      <c r="J80" s="810">
        <v>139300</v>
      </c>
      <c r="K80" s="810"/>
      <c r="L80" s="810">
        <v>0</v>
      </c>
      <c r="M80" s="1018">
        <f>SUM(F80:J80)</f>
        <v>1163083</v>
      </c>
      <c r="N80" s="4076"/>
      <c r="O80" s="3646"/>
      <c r="P80" s="3645"/>
    </row>
    <row r="81" spans="1:16" ht="12" hidden="1" customHeight="1">
      <c r="A81" s="4148"/>
      <c r="B81" s="1097" t="s">
        <v>12</v>
      </c>
      <c r="C81" s="4127"/>
      <c r="D81" s="815"/>
      <c r="E81" s="810"/>
      <c r="F81" s="810"/>
      <c r="G81" s="810"/>
      <c r="H81" s="810"/>
      <c r="I81" s="810"/>
      <c r="J81" s="810"/>
      <c r="K81" s="810"/>
      <c r="L81" s="810"/>
      <c r="M81" s="1018">
        <f>SUM(F81:J81)</f>
        <v>0</v>
      </c>
      <c r="N81" s="4076"/>
      <c r="O81" s="3646"/>
      <c r="P81" s="3645"/>
    </row>
    <row r="82" spans="1:16" ht="12" customHeight="1">
      <c r="A82" s="4148"/>
      <c r="B82" s="1098" t="s">
        <v>17</v>
      </c>
      <c r="C82" s="4127"/>
      <c r="D82" s="807">
        <f>+D83</f>
        <v>10280517</v>
      </c>
      <c r="E82" s="807">
        <f t="shared" ref="E82:J82" si="57">+E83</f>
        <v>4044848</v>
      </c>
      <c r="F82" s="807">
        <f t="shared" si="57"/>
        <v>1642939</v>
      </c>
      <c r="G82" s="807">
        <f t="shared" si="57"/>
        <v>1535061</v>
      </c>
      <c r="H82" s="807">
        <f t="shared" si="57"/>
        <v>1564000</v>
      </c>
      <c r="I82" s="807">
        <f t="shared" si="57"/>
        <v>746834</v>
      </c>
      <c r="J82" s="807">
        <f t="shared" si="57"/>
        <v>746835</v>
      </c>
      <c r="K82" s="807">
        <f>+K83</f>
        <v>0</v>
      </c>
      <c r="L82" s="807">
        <f>+L83</f>
        <v>0</v>
      </c>
      <c r="M82" s="849">
        <f>+M83</f>
        <v>6235669</v>
      </c>
      <c r="N82" s="4076"/>
      <c r="O82" s="3646"/>
      <c r="P82" s="3645"/>
    </row>
    <row r="83" spans="1:16" ht="11.25" customHeight="1">
      <c r="A83" s="4148"/>
      <c r="B83" s="1097" t="s">
        <v>19</v>
      </c>
      <c r="C83" s="4127"/>
      <c r="D83" s="766">
        <f>E83+L83+K83+F83+G83+H83+I83+J83</f>
        <v>10280517</v>
      </c>
      <c r="E83" s="787">
        <f>1467433+1071571+1505844</f>
        <v>4044848</v>
      </c>
      <c r="F83" s="810">
        <f>1900000-311000+84280-30341</f>
        <v>1642939</v>
      </c>
      <c r="G83" s="810">
        <f>1900000-311000-84280+30341</f>
        <v>1535061</v>
      </c>
      <c r="H83" s="810">
        <v>1564000</v>
      </c>
      <c r="I83" s="810">
        <v>746834</v>
      </c>
      <c r="J83" s="810">
        <v>746835</v>
      </c>
      <c r="K83" s="810"/>
      <c r="L83" s="810">
        <v>0</v>
      </c>
      <c r="M83" s="1018">
        <f>SUM(F83:J83)</f>
        <v>6235669</v>
      </c>
      <c r="N83" s="4077"/>
      <c r="O83" s="3646"/>
      <c r="P83" s="3645"/>
    </row>
    <row r="84" spans="1:16" ht="15.75" customHeight="1">
      <c r="A84" s="4148"/>
      <c r="B84" s="1095" t="s">
        <v>20</v>
      </c>
      <c r="C84" s="850"/>
      <c r="D84" s="1019">
        <f t="shared" ref="D84" si="58">+D85+D87</f>
        <v>10280517</v>
      </c>
      <c r="E84" s="1019">
        <f t="shared" ref="E84" si="59">+E85+E87</f>
        <v>4044848</v>
      </c>
      <c r="F84" s="1019">
        <f t="shared" ref="F84:J84" si="60">+F85+F87</f>
        <v>1642939</v>
      </c>
      <c r="G84" s="1019">
        <f t="shared" si="60"/>
        <v>1535061</v>
      </c>
      <c r="H84" s="1019">
        <f t="shared" si="60"/>
        <v>1564000</v>
      </c>
      <c r="I84" s="1019">
        <f t="shared" si="60"/>
        <v>746834</v>
      </c>
      <c r="J84" s="1019">
        <f t="shared" si="60"/>
        <v>746835</v>
      </c>
      <c r="K84" s="1019">
        <f>+K85+K87</f>
        <v>0</v>
      </c>
      <c r="L84" s="1019">
        <f>+L85+L87</f>
        <v>0</v>
      </c>
      <c r="M84" s="4070" t="s">
        <v>51</v>
      </c>
      <c r="N84" s="4145" t="s">
        <v>526</v>
      </c>
      <c r="O84" s="3659"/>
      <c r="P84" s="3645"/>
    </row>
    <row r="85" spans="1:16" ht="12" hidden="1" customHeight="1">
      <c r="A85" s="4148"/>
      <c r="B85" s="1096" t="s">
        <v>22</v>
      </c>
      <c r="C85" s="4129" t="s">
        <v>107</v>
      </c>
      <c r="D85" s="807">
        <f t="shared" ref="D85:J85" si="61">+D86</f>
        <v>0</v>
      </c>
      <c r="E85" s="807">
        <f t="shared" si="61"/>
        <v>0</v>
      </c>
      <c r="F85" s="807">
        <f t="shared" si="61"/>
        <v>0</v>
      </c>
      <c r="G85" s="807">
        <f t="shared" si="61"/>
        <v>0</v>
      </c>
      <c r="H85" s="807">
        <f t="shared" si="61"/>
        <v>0</v>
      </c>
      <c r="I85" s="807">
        <f t="shared" si="61"/>
        <v>0</v>
      </c>
      <c r="J85" s="807">
        <f t="shared" si="61"/>
        <v>0</v>
      </c>
      <c r="K85" s="807">
        <f>+K86</f>
        <v>0</v>
      </c>
      <c r="L85" s="807">
        <f>+L86</f>
        <v>0</v>
      </c>
      <c r="M85" s="4070"/>
      <c r="N85" s="4146"/>
      <c r="O85" s="3646"/>
      <c r="P85" s="3645"/>
    </row>
    <row r="86" spans="1:16" ht="12" hidden="1" customHeight="1">
      <c r="A86" s="4148"/>
      <c r="B86" s="1097" t="s">
        <v>12</v>
      </c>
      <c r="C86" s="4127"/>
      <c r="D86" s="815"/>
      <c r="E86" s="815">
        <v>0</v>
      </c>
      <c r="F86" s="815"/>
      <c r="G86" s="815"/>
      <c r="H86" s="815"/>
      <c r="I86" s="815"/>
      <c r="J86" s="815"/>
      <c r="K86" s="815"/>
      <c r="L86" s="815"/>
      <c r="M86" s="4070"/>
      <c r="N86" s="4146"/>
      <c r="O86" s="3646"/>
      <c r="P86" s="3645"/>
    </row>
    <row r="87" spans="1:16" ht="13.5" customHeight="1">
      <c r="A87" s="4148"/>
      <c r="B87" s="1098" t="s">
        <v>17</v>
      </c>
      <c r="C87" s="4130"/>
      <c r="D87" s="807">
        <f t="shared" ref="D87:J87" si="62">+D88</f>
        <v>10280517</v>
      </c>
      <c r="E87" s="807">
        <f t="shared" si="62"/>
        <v>4044848</v>
      </c>
      <c r="F87" s="807">
        <f t="shared" si="62"/>
        <v>1642939</v>
      </c>
      <c r="G87" s="807">
        <f t="shared" si="62"/>
        <v>1535061</v>
      </c>
      <c r="H87" s="807">
        <f t="shared" si="62"/>
        <v>1564000</v>
      </c>
      <c r="I87" s="807">
        <f t="shared" si="62"/>
        <v>746834</v>
      </c>
      <c r="J87" s="807">
        <f t="shared" si="62"/>
        <v>746835</v>
      </c>
      <c r="K87" s="807">
        <f>+K88</f>
        <v>0</v>
      </c>
      <c r="L87" s="807">
        <f>+L88</f>
        <v>0</v>
      </c>
      <c r="M87" s="4070"/>
      <c r="N87" s="4146"/>
      <c r="O87" s="3649"/>
      <c r="P87" s="3645"/>
    </row>
    <row r="88" spans="1:16" ht="13.5" customHeight="1" thickBot="1">
      <c r="A88" s="4149"/>
      <c r="B88" s="3462" t="s">
        <v>19</v>
      </c>
      <c r="C88" s="4131"/>
      <c r="D88" s="1142">
        <f>E88+L88+K88+F88+G88+H88+I88+J88</f>
        <v>10280517</v>
      </c>
      <c r="E88" s="1142">
        <f>1467433+1071571+1505844</f>
        <v>4044848</v>
      </c>
      <c r="F88" s="1014">
        <f>1900000-311000+84280-30341</f>
        <v>1642939</v>
      </c>
      <c r="G88" s="1014">
        <f>1900000-311000-84280+30341</f>
        <v>1535061</v>
      </c>
      <c r="H88" s="1014">
        <v>1564000</v>
      </c>
      <c r="I88" s="1014">
        <v>746834</v>
      </c>
      <c r="J88" s="1014">
        <v>746835</v>
      </c>
      <c r="K88" s="1014"/>
      <c r="L88" s="1014">
        <v>0</v>
      </c>
      <c r="M88" s="4032"/>
      <c r="N88" s="4147"/>
      <c r="O88" s="3646"/>
      <c r="P88" s="3645"/>
    </row>
    <row r="89" spans="1:16" ht="25.5" customHeight="1">
      <c r="A89" s="4177" t="s">
        <v>57</v>
      </c>
      <c r="B89" s="1599" t="s">
        <v>371</v>
      </c>
      <c r="C89" s="691" t="s">
        <v>70</v>
      </c>
      <c r="D89" s="652"/>
      <c r="E89" s="1477"/>
      <c r="F89" s="1477"/>
      <c r="G89" s="1477"/>
      <c r="H89" s="1477"/>
      <c r="I89" s="1477"/>
      <c r="J89" s="21"/>
      <c r="K89" s="1477"/>
      <c r="L89" s="1477"/>
      <c r="M89" s="332"/>
      <c r="N89" s="4075" t="s">
        <v>504</v>
      </c>
      <c r="O89" s="3646"/>
      <c r="P89" s="3645"/>
    </row>
    <row r="90" spans="1:16" ht="14.25" customHeight="1">
      <c r="A90" s="4148"/>
      <c r="B90" s="1095" t="s">
        <v>9</v>
      </c>
      <c r="C90" s="850"/>
      <c r="D90" s="830">
        <f t="shared" ref="D90" si="63">+D91+D94</f>
        <v>31387</v>
      </c>
      <c r="E90" s="830">
        <f t="shared" ref="E90:L90" si="64">+E91+E94</f>
        <v>31387</v>
      </c>
      <c r="F90" s="2710">
        <f t="shared" si="64"/>
        <v>0</v>
      </c>
      <c r="G90" s="2710">
        <f t="shared" si="64"/>
        <v>0</v>
      </c>
      <c r="H90" s="2710">
        <f t="shared" si="64"/>
        <v>0</v>
      </c>
      <c r="I90" s="2710">
        <f t="shared" si="64"/>
        <v>0</v>
      </c>
      <c r="J90" s="2710">
        <f t="shared" si="64"/>
        <v>0</v>
      </c>
      <c r="K90" s="830">
        <f t="shared" si="64"/>
        <v>0</v>
      </c>
      <c r="L90" s="830">
        <f t="shared" si="64"/>
        <v>0</v>
      </c>
      <c r="M90" s="2716">
        <f>+M91+M94</f>
        <v>0</v>
      </c>
      <c r="N90" s="4076"/>
      <c r="O90" s="3646"/>
      <c r="P90" s="3645"/>
    </row>
    <row r="91" spans="1:16" ht="12" customHeight="1">
      <c r="A91" s="4148"/>
      <c r="B91" s="1096" t="s">
        <v>22</v>
      </c>
      <c r="C91" s="4126" t="s">
        <v>107</v>
      </c>
      <c r="D91" s="1008">
        <f t="shared" ref="D91" si="65">+D92+D93</f>
        <v>4934</v>
      </c>
      <c r="E91" s="1008">
        <f t="shared" ref="E91:L91" si="66">+E92+E93</f>
        <v>4934</v>
      </c>
      <c r="F91" s="2714">
        <f t="shared" si="66"/>
        <v>0</v>
      </c>
      <c r="G91" s="2714">
        <f t="shared" si="66"/>
        <v>0</v>
      </c>
      <c r="H91" s="2714">
        <f t="shared" si="66"/>
        <v>0</v>
      </c>
      <c r="I91" s="2714">
        <f t="shared" si="66"/>
        <v>0</v>
      </c>
      <c r="J91" s="2714">
        <f t="shared" si="66"/>
        <v>0</v>
      </c>
      <c r="K91" s="1008">
        <f t="shared" si="66"/>
        <v>0</v>
      </c>
      <c r="L91" s="1008">
        <f t="shared" si="66"/>
        <v>0</v>
      </c>
      <c r="M91" s="2717">
        <f>+M92+M93</f>
        <v>0</v>
      </c>
      <c r="N91" s="4076"/>
      <c r="O91" s="3646"/>
      <c r="P91" s="3645"/>
    </row>
    <row r="92" spans="1:16" ht="12" customHeight="1">
      <c r="A92" s="4148"/>
      <c r="B92" s="1097" t="s">
        <v>11</v>
      </c>
      <c r="C92" s="4127"/>
      <c r="D92" s="766">
        <f>E92+L92+K92+F92+G92+H92+I92+J92</f>
        <v>4934</v>
      </c>
      <c r="E92" s="787">
        <f>2940+1994</f>
        <v>4934</v>
      </c>
      <c r="F92" s="2708">
        <v>0</v>
      </c>
      <c r="G92" s="2708">
        <v>0</v>
      </c>
      <c r="H92" s="2708">
        <v>0</v>
      </c>
      <c r="I92" s="2708">
        <v>0</v>
      </c>
      <c r="J92" s="2708">
        <v>0</v>
      </c>
      <c r="K92" s="810"/>
      <c r="L92" s="810">
        <v>0</v>
      </c>
      <c r="M92" s="2718">
        <f>SUM(F92:J92)</f>
        <v>0</v>
      </c>
      <c r="N92" s="4076"/>
      <c r="O92" s="3646"/>
      <c r="P92" s="3645"/>
    </row>
    <row r="93" spans="1:16" ht="12" hidden="1" customHeight="1">
      <c r="A93" s="4148"/>
      <c r="B93" s="1097" t="s">
        <v>12</v>
      </c>
      <c r="C93" s="4127"/>
      <c r="D93" s="815"/>
      <c r="E93" s="810"/>
      <c r="F93" s="2708"/>
      <c r="G93" s="2708"/>
      <c r="H93" s="2708"/>
      <c r="I93" s="2708"/>
      <c r="J93" s="2708"/>
      <c r="K93" s="810"/>
      <c r="L93" s="810"/>
      <c r="M93" s="2718">
        <f>SUM(F93:J93)</f>
        <v>0</v>
      </c>
      <c r="N93" s="4076"/>
      <c r="O93" s="3646"/>
      <c r="P93" s="3645"/>
    </row>
    <row r="94" spans="1:16" ht="12" customHeight="1">
      <c r="A94" s="4148"/>
      <c r="B94" s="1098" t="s">
        <v>17</v>
      </c>
      <c r="C94" s="4127"/>
      <c r="D94" s="807">
        <f>+D95</f>
        <v>26453</v>
      </c>
      <c r="E94" s="807">
        <f t="shared" ref="E94:J94" si="67">+E95</f>
        <v>26453</v>
      </c>
      <c r="F94" s="1047">
        <f t="shared" si="67"/>
        <v>0</v>
      </c>
      <c r="G94" s="1047">
        <f t="shared" si="67"/>
        <v>0</v>
      </c>
      <c r="H94" s="1047">
        <f t="shared" si="67"/>
        <v>0</v>
      </c>
      <c r="I94" s="1047">
        <f t="shared" si="67"/>
        <v>0</v>
      </c>
      <c r="J94" s="1047">
        <f t="shared" si="67"/>
        <v>0</v>
      </c>
      <c r="K94" s="807"/>
      <c r="L94" s="807">
        <f>+L95</f>
        <v>0</v>
      </c>
      <c r="M94" s="2719">
        <f>+M95</f>
        <v>0</v>
      </c>
      <c r="N94" s="4076"/>
      <c r="O94" s="3646"/>
      <c r="P94" s="3645"/>
    </row>
    <row r="95" spans="1:16" ht="12" customHeight="1">
      <c r="A95" s="4148"/>
      <c r="B95" s="1097" t="s">
        <v>19</v>
      </c>
      <c r="C95" s="4127"/>
      <c r="D95" s="766">
        <f>E95+L95+K95+F95+G95+H95+I95+J95</f>
        <v>26453</v>
      </c>
      <c r="E95" s="787">
        <f>15765+10688</f>
        <v>26453</v>
      </c>
      <c r="F95" s="2708">
        <v>0</v>
      </c>
      <c r="G95" s="2708">
        <v>0</v>
      </c>
      <c r="H95" s="2708">
        <v>0</v>
      </c>
      <c r="I95" s="2708">
        <v>0</v>
      </c>
      <c r="J95" s="2708">
        <v>0</v>
      </c>
      <c r="K95" s="810"/>
      <c r="L95" s="810">
        <v>0</v>
      </c>
      <c r="M95" s="2718">
        <f>SUM(F95:J95)</f>
        <v>0</v>
      </c>
      <c r="N95" s="4077"/>
      <c r="O95" s="3646"/>
      <c r="P95" s="3645"/>
    </row>
    <row r="96" spans="1:16">
      <c r="A96" s="4148"/>
      <c r="B96" s="1095" t="s">
        <v>20</v>
      </c>
      <c r="C96" s="850"/>
      <c r="D96" s="1019">
        <f t="shared" ref="D96" si="68">+D97+D99</f>
        <v>26453</v>
      </c>
      <c r="E96" s="1019">
        <f t="shared" ref="E96:J96" si="69">+E97+E99</f>
        <v>26453</v>
      </c>
      <c r="F96" s="2715">
        <f t="shared" si="69"/>
        <v>0</v>
      </c>
      <c r="G96" s="2715">
        <f t="shared" si="69"/>
        <v>0</v>
      </c>
      <c r="H96" s="2715">
        <f t="shared" si="69"/>
        <v>0</v>
      </c>
      <c r="I96" s="2715">
        <f t="shared" si="69"/>
        <v>0</v>
      </c>
      <c r="J96" s="2715">
        <f t="shared" si="69"/>
        <v>0</v>
      </c>
      <c r="K96" s="1019"/>
      <c r="L96" s="1019">
        <f>+L97+L99</f>
        <v>0</v>
      </c>
      <c r="M96" s="4070" t="s">
        <v>51</v>
      </c>
      <c r="N96" s="4145" t="s">
        <v>526</v>
      </c>
      <c r="O96" s="3646"/>
      <c r="P96" s="3645"/>
    </row>
    <row r="97" spans="1:18" ht="12" hidden="1" customHeight="1">
      <c r="A97" s="4148"/>
      <c r="B97" s="1096" t="s">
        <v>22</v>
      </c>
      <c r="C97" s="4129" t="s">
        <v>107</v>
      </c>
      <c r="D97" s="807">
        <f t="shared" ref="D97:E97" si="70">+D98</f>
        <v>0</v>
      </c>
      <c r="E97" s="807">
        <f t="shared" si="70"/>
        <v>0</v>
      </c>
      <c r="F97" s="1047"/>
      <c r="G97" s="1047"/>
      <c r="H97" s="1047"/>
      <c r="I97" s="1047"/>
      <c r="J97" s="1047"/>
      <c r="K97" s="807"/>
      <c r="L97" s="807"/>
      <c r="M97" s="4070"/>
      <c r="N97" s="4146"/>
      <c r="O97" s="3646"/>
      <c r="P97" s="3645"/>
    </row>
    <row r="98" spans="1:18" ht="12" hidden="1" customHeight="1">
      <c r="A98" s="4148"/>
      <c r="B98" s="1097" t="s">
        <v>12</v>
      </c>
      <c r="C98" s="4127"/>
      <c r="D98" s="815"/>
      <c r="E98" s="815">
        <v>0</v>
      </c>
      <c r="F98" s="2709"/>
      <c r="G98" s="2709"/>
      <c r="H98" s="2709"/>
      <c r="I98" s="2709"/>
      <c r="J98" s="2709"/>
      <c r="K98" s="815"/>
      <c r="L98" s="815"/>
      <c r="M98" s="4070"/>
      <c r="N98" s="4146"/>
      <c r="O98" s="3646"/>
      <c r="P98" s="3645"/>
    </row>
    <row r="99" spans="1:18" ht="12" customHeight="1">
      <c r="A99" s="4148"/>
      <c r="B99" s="1098" t="s">
        <v>17</v>
      </c>
      <c r="C99" s="4130"/>
      <c r="D99" s="807">
        <f t="shared" ref="D99:J99" si="71">+D100</f>
        <v>26453</v>
      </c>
      <c r="E99" s="807">
        <f t="shared" si="71"/>
        <v>26453</v>
      </c>
      <c r="F99" s="1047">
        <f t="shared" si="71"/>
        <v>0</v>
      </c>
      <c r="G99" s="1047">
        <f t="shared" si="71"/>
        <v>0</v>
      </c>
      <c r="H99" s="1047">
        <f t="shared" si="71"/>
        <v>0</v>
      </c>
      <c r="I99" s="1047">
        <f t="shared" si="71"/>
        <v>0</v>
      </c>
      <c r="J99" s="1047">
        <f t="shared" si="71"/>
        <v>0</v>
      </c>
      <c r="K99" s="807"/>
      <c r="L99" s="807">
        <f>+L100</f>
        <v>0</v>
      </c>
      <c r="M99" s="4164"/>
      <c r="N99" s="4146"/>
      <c r="O99" s="3646"/>
      <c r="P99" s="3645"/>
    </row>
    <row r="100" spans="1:18" ht="12" customHeight="1" thickBot="1">
      <c r="A100" s="4149"/>
      <c r="B100" s="855" t="s">
        <v>19</v>
      </c>
      <c r="C100" s="4131"/>
      <c r="D100" s="1003">
        <f>E100+L100+K100+F100+G100+H100+I100+J100</f>
        <v>26453</v>
      </c>
      <c r="E100" s="1003">
        <f>15765+10688</f>
        <v>26453</v>
      </c>
      <c r="F100" s="1048">
        <v>0</v>
      </c>
      <c r="G100" s="1048">
        <v>0</v>
      </c>
      <c r="H100" s="1048">
        <v>0</v>
      </c>
      <c r="I100" s="1048">
        <v>0</v>
      </c>
      <c r="J100" s="1048">
        <v>0</v>
      </c>
      <c r="K100" s="1014"/>
      <c r="L100" s="1014">
        <v>0</v>
      </c>
      <c r="M100" s="4165"/>
      <c r="N100" s="4147"/>
      <c r="O100" s="3646"/>
      <c r="P100" s="3645"/>
    </row>
    <row r="101" spans="1:18" ht="18" customHeight="1">
      <c r="A101" s="4177" t="s">
        <v>103</v>
      </c>
      <c r="B101" s="1599" t="s">
        <v>241</v>
      </c>
      <c r="C101" s="691" t="s">
        <v>97</v>
      </c>
      <c r="D101" s="652"/>
      <c r="E101" s="1477"/>
      <c r="F101" s="1477"/>
      <c r="G101" s="1477"/>
      <c r="H101" s="1477"/>
      <c r="I101" s="1477"/>
      <c r="J101" s="21"/>
      <c r="K101" s="1477"/>
      <c r="L101" s="1477"/>
      <c r="M101" s="3660"/>
      <c r="N101" s="4075" t="s">
        <v>505</v>
      </c>
      <c r="O101" s="3646"/>
      <c r="P101" s="3645"/>
      <c r="R101" s="1725"/>
    </row>
    <row r="102" spans="1:18" ht="12" customHeight="1">
      <c r="A102" s="4148"/>
      <c r="B102" s="1095" t="s">
        <v>9</v>
      </c>
      <c r="C102" s="850"/>
      <c r="D102" s="830">
        <f>+D103+D106</f>
        <v>76191857</v>
      </c>
      <c r="E102" s="830">
        <f t="shared" ref="E102" si="72">+E103+E106</f>
        <v>28282411</v>
      </c>
      <c r="F102" s="830">
        <f t="shared" ref="F102:M102" si="73">+F103+F106</f>
        <v>10942702</v>
      </c>
      <c r="G102" s="830">
        <f t="shared" si="73"/>
        <v>10942702</v>
      </c>
      <c r="H102" s="830">
        <f t="shared" si="73"/>
        <v>10675641</v>
      </c>
      <c r="I102" s="830">
        <f t="shared" si="73"/>
        <v>8877275</v>
      </c>
      <c r="J102" s="830">
        <f t="shared" si="73"/>
        <v>6471126</v>
      </c>
      <c r="K102" s="830">
        <f>+K103+K106</f>
        <v>0</v>
      </c>
      <c r="L102" s="830">
        <f>+L103+L106</f>
        <v>0</v>
      </c>
      <c r="M102" s="1441">
        <f t="shared" si="73"/>
        <v>47909446</v>
      </c>
      <c r="N102" s="4076"/>
      <c r="O102" s="3649"/>
      <c r="P102" s="3650"/>
      <c r="Q102" s="1720"/>
      <c r="R102" s="1720"/>
    </row>
    <row r="103" spans="1:18" ht="14.25" customHeight="1">
      <c r="A103" s="4148"/>
      <c r="B103" s="1096" t="s">
        <v>22</v>
      </c>
      <c r="C103" s="4126" t="s">
        <v>107</v>
      </c>
      <c r="D103" s="1008">
        <f t="shared" ref="D103" si="74">+D104+D105</f>
        <v>11428779</v>
      </c>
      <c r="E103" s="1008">
        <f t="shared" ref="E103" si="75">+E104+E105</f>
        <v>4242361</v>
      </c>
      <c r="F103" s="1008">
        <f t="shared" ref="F103:M103" si="76">+F104+F105</f>
        <v>1641404</v>
      </c>
      <c r="G103" s="1008">
        <f t="shared" si="76"/>
        <v>1641404</v>
      </c>
      <c r="H103" s="1008">
        <f t="shared" si="76"/>
        <v>1601347</v>
      </c>
      <c r="I103" s="1008">
        <f t="shared" si="76"/>
        <v>1331592</v>
      </c>
      <c r="J103" s="1008">
        <f t="shared" si="76"/>
        <v>970671</v>
      </c>
      <c r="K103" s="1008">
        <f>+K104+K105</f>
        <v>0</v>
      </c>
      <c r="L103" s="1008">
        <f>+L104+L105</f>
        <v>0</v>
      </c>
      <c r="M103" s="1452">
        <f t="shared" si="76"/>
        <v>7186418</v>
      </c>
      <c r="N103" s="4076"/>
      <c r="O103" s="3646"/>
      <c r="P103" s="3645"/>
    </row>
    <row r="104" spans="1:18" ht="13.5" customHeight="1" thickBot="1">
      <c r="A104" s="4148"/>
      <c r="B104" s="1097" t="s">
        <v>11</v>
      </c>
      <c r="C104" s="4127"/>
      <c r="D104" s="766">
        <f>E104+L104+K104+F104+G104+H104+I104+J104</f>
        <v>11428779</v>
      </c>
      <c r="E104" s="787">
        <f>1301102+1420342+1520917</f>
        <v>4242361</v>
      </c>
      <c r="F104" s="780">
        <f>1452191+69000+67950+52263</f>
        <v>1641404</v>
      </c>
      <c r="G104" s="780">
        <f>1455191+186213</f>
        <v>1641404</v>
      </c>
      <c r="H104" s="780">
        <f>1439591+161756</f>
        <v>1601347</v>
      </c>
      <c r="I104" s="780">
        <v>1331592</v>
      </c>
      <c r="J104" s="780">
        <f>1299583-74749-67950-186213</f>
        <v>970671</v>
      </c>
      <c r="K104" s="780"/>
      <c r="L104" s="780"/>
      <c r="M104" s="1018">
        <f>SUM(F104:J104)</f>
        <v>7186418</v>
      </c>
      <c r="N104" s="4076"/>
      <c r="O104" s="3649"/>
      <c r="P104" s="3645"/>
    </row>
    <row r="105" spans="1:18" ht="13.5" hidden="1" customHeight="1" thickBot="1">
      <c r="A105" s="4178"/>
      <c r="B105" s="1097" t="s">
        <v>12</v>
      </c>
      <c r="C105" s="4127"/>
      <c r="D105" s="766">
        <f>E105+L105+K105+F105+G105+H105+I105+J105</f>
        <v>0</v>
      </c>
      <c r="E105" s="810">
        <v>0</v>
      </c>
      <c r="F105" s="810"/>
      <c r="G105" s="810"/>
      <c r="H105" s="810"/>
      <c r="I105" s="810"/>
      <c r="J105" s="810"/>
      <c r="K105" s="810"/>
      <c r="L105" s="810"/>
      <c r="M105" s="3661">
        <f>SUM(F105:J105)</f>
        <v>0</v>
      </c>
      <c r="N105" s="4174"/>
      <c r="O105" s="3646"/>
      <c r="P105" s="3645"/>
    </row>
    <row r="106" spans="1:18" ht="13.5" customHeight="1" thickBot="1">
      <c r="A106" s="4157"/>
      <c r="B106" s="1098" t="s">
        <v>17</v>
      </c>
      <c r="C106" s="4127"/>
      <c r="D106" s="807">
        <f>+D107</f>
        <v>64763078</v>
      </c>
      <c r="E106" s="807">
        <f t="shared" ref="E106:M106" si="77">+E107</f>
        <v>24040050</v>
      </c>
      <c r="F106" s="807">
        <f t="shared" si="77"/>
        <v>9301298</v>
      </c>
      <c r="G106" s="807">
        <f t="shared" si="77"/>
        <v>9301298</v>
      </c>
      <c r="H106" s="807">
        <f t="shared" si="77"/>
        <v>9074294</v>
      </c>
      <c r="I106" s="807">
        <f t="shared" si="77"/>
        <v>7545683</v>
      </c>
      <c r="J106" s="807">
        <f t="shared" si="77"/>
        <v>5500455</v>
      </c>
      <c r="K106" s="807">
        <f>+K107</f>
        <v>0</v>
      </c>
      <c r="L106" s="807">
        <f>+L107</f>
        <v>0</v>
      </c>
      <c r="M106" s="1453">
        <f t="shared" si="77"/>
        <v>40723028</v>
      </c>
      <c r="N106" s="4081"/>
      <c r="O106" s="3649"/>
      <c r="P106" s="3645"/>
    </row>
    <row r="107" spans="1:18" ht="13.5" customHeight="1">
      <c r="A107" s="4157"/>
      <c r="B107" s="1097" t="s">
        <v>19</v>
      </c>
      <c r="C107" s="4127"/>
      <c r="D107" s="766">
        <f>E107+L107+K107+F107+G107+H107+I107+J107</f>
        <v>64763078</v>
      </c>
      <c r="E107" s="787">
        <f>7372915+8048604+8618531</f>
        <v>24040050</v>
      </c>
      <c r="F107" s="1107">
        <f>8229084+391000+385050+296164</f>
        <v>9301298</v>
      </c>
      <c r="G107" s="1107">
        <f>8246084+1055214</f>
        <v>9301298</v>
      </c>
      <c r="H107" s="1107">
        <f>8157684+916610</f>
        <v>9074294</v>
      </c>
      <c r="I107" s="1107">
        <v>7545683</v>
      </c>
      <c r="J107" s="1107">
        <f>7364300-423581-385050-1055214</f>
        <v>5500455</v>
      </c>
      <c r="K107" s="1107"/>
      <c r="L107" s="1726"/>
      <c r="M107" s="1018">
        <f>SUM(F107:J107)</f>
        <v>40723028</v>
      </c>
      <c r="N107" s="4082"/>
      <c r="O107" s="3646"/>
      <c r="P107" s="3645"/>
    </row>
    <row r="108" spans="1:18" s="1719" customFormat="1" ht="13.5" customHeight="1" thickBot="1">
      <c r="A108" s="4157"/>
      <c r="B108" s="1095" t="s">
        <v>20</v>
      </c>
      <c r="C108" s="850"/>
      <c r="D108" s="834">
        <f t="shared" ref="D108" si="78">+D109+D111</f>
        <v>64763078</v>
      </c>
      <c r="E108" s="834">
        <f t="shared" ref="E108" si="79">+E109+E111</f>
        <v>24040050</v>
      </c>
      <c r="F108" s="834">
        <f t="shared" ref="F108:J108" si="80">+F109+F111</f>
        <v>9301298</v>
      </c>
      <c r="G108" s="834">
        <f t="shared" si="80"/>
        <v>9301298</v>
      </c>
      <c r="H108" s="834">
        <f t="shared" si="80"/>
        <v>9074294</v>
      </c>
      <c r="I108" s="834">
        <f t="shared" si="80"/>
        <v>7545683</v>
      </c>
      <c r="J108" s="834">
        <f t="shared" si="80"/>
        <v>5500455</v>
      </c>
      <c r="K108" s="834">
        <f>+K109+K111</f>
        <v>0</v>
      </c>
      <c r="L108" s="834">
        <f>+L109+L111</f>
        <v>0</v>
      </c>
      <c r="M108" s="4164" t="s">
        <v>51</v>
      </c>
      <c r="N108" s="4145" t="s">
        <v>252</v>
      </c>
      <c r="O108" s="3654"/>
      <c r="P108" s="3648"/>
    </row>
    <row r="109" spans="1:18" ht="11.25" hidden="1" customHeight="1" thickBot="1">
      <c r="A109" s="4156"/>
      <c r="B109" s="1096" t="s">
        <v>22</v>
      </c>
      <c r="C109" s="4168" t="s">
        <v>193</v>
      </c>
      <c r="D109" s="807">
        <f t="shared" ref="D109:J109" si="81">+D110</f>
        <v>0</v>
      </c>
      <c r="E109" s="807">
        <f t="shared" si="81"/>
        <v>0</v>
      </c>
      <c r="F109" s="807">
        <f t="shared" si="81"/>
        <v>0</v>
      </c>
      <c r="G109" s="807">
        <f t="shared" si="81"/>
        <v>0</v>
      </c>
      <c r="H109" s="807">
        <f t="shared" si="81"/>
        <v>0</v>
      </c>
      <c r="I109" s="807">
        <f t="shared" si="81"/>
        <v>0</v>
      </c>
      <c r="J109" s="807">
        <f t="shared" si="81"/>
        <v>0</v>
      </c>
      <c r="K109" s="807">
        <f>+K110</f>
        <v>0</v>
      </c>
      <c r="L109" s="807">
        <f>+L110</f>
        <v>0</v>
      </c>
      <c r="M109" s="4164"/>
      <c r="N109" s="4146"/>
      <c r="O109" s="3646"/>
      <c r="P109" s="3645"/>
    </row>
    <row r="110" spans="1:18" ht="11.25" hidden="1" customHeight="1" thickBot="1">
      <c r="A110" s="4154"/>
      <c r="B110" s="1097" t="s">
        <v>12</v>
      </c>
      <c r="C110" s="4168"/>
      <c r="D110" s="766">
        <f>E110+L110+K110+F110+G110+H110+I110+J110</f>
        <v>0</v>
      </c>
      <c r="E110" s="815"/>
      <c r="F110" s="815"/>
      <c r="G110" s="815"/>
      <c r="H110" s="815"/>
      <c r="I110" s="815"/>
      <c r="J110" s="815"/>
      <c r="K110" s="815"/>
      <c r="L110" s="815"/>
      <c r="M110" s="4164"/>
      <c r="N110" s="4146"/>
      <c r="O110" s="3646"/>
      <c r="P110" s="3645"/>
    </row>
    <row r="111" spans="1:18" ht="13.5" customHeight="1" thickBot="1">
      <c r="A111" s="4154"/>
      <c r="B111" s="1098" t="s">
        <v>17</v>
      </c>
      <c r="C111" s="4168"/>
      <c r="D111" s="807">
        <f t="shared" ref="D111:J111" si="82">+D112</f>
        <v>64763078</v>
      </c>
      <c r="E111" s="807">
        <f t="shared" si="82"/>
        <v>24040050</v>
      </c>
      <c r="F111" s="807">
        <f t="shared" si="82"/>
        <v>9301298</v>
      </c>
      <c r="G111" s="807">
        <f t="shared" si="82"/>
        <v>9301298</v>
      </c>
      <c r="H111" s="807">
        <f t="shared" si="82"/>
        <v>9074294</v>
      </c>
      <c r="I111" s="807">
        <f t="shared" si="82"/>
        <v>7545683</v>
      </c>
      <c r="J111" s="807">
        <f t="shared" si="82"/>
        <v>5500455</v>
      </c>
      <c r="K111" s="807">
        <f>+K112</f>
        <v>0</v>
      </c>
      <c r="L111" s="807">
        <f>+L112</f>
        <v>0</v>
      </c>
      <c r="M111" s="4164"/>
      <c r="N111" s="4146"/>
      <c r="O111" s="3646"/>
      <c r="P111" s="3645"/>
    </row>
    <row r="112" spans="1:18" ht="15" customHeight="1" thickBot="1">
      <c r="A112" s="4154"/>
      <c r="B112" s="1175" t="s">
        <v>19</v>
      </c>
      <c r="C112" s="4169"/>
      <c r="D112" s="1003">
        <f>E112+L112+K112+F112+G112+H112+I112+J112</f>
        <v>64763078</v>
      </c>
      <c r="E112" s="1003">
        <f>7372915+8048604+8618531</f>
        <v>24040050</v>
      </c>
      <c r="F112" s="976">
        <f>8229084+391000+385050+296164</f>
        <v>9301298</v>
      </c>
      <c r="G112" s="976">
        <f>8246084+1055214</f>
        <v>9301298</v>
      </c>
      <c r="H112" s="976">
        <f>8157684+916610</f>
        <v>9074294</v>
      </c>
      <c r="I112" s="976">
        <v>7545683</v>
      </c>
      <c r="J112" s="976">
        <f>7364300-423581-385050-1055214</f>
        <v>5500455</v>
      </c>
      <c r="K112" s="976"/>
      <c r="L112" s="976"/>
      <c r="M112" s="4165"/>
      <c r="N112" s="4147"/>
      <c r="O112" s="3646"/>
      <c r="P112" s="3645"/>
    </row>
    <row r="113" spans="1:16" ht="24" customHeight="1" thickBot="1">
      <c r="A113" s="4154" t="s">
        <v>76</v>
      </c>
      <c r="B113" s="1099" t="s">
        <v>266</v>
      </c>
      <c r="C113" s="1100" t="s">
        <v>70</v>
      </c>
      <c r="D113" s="652"/>
      <c r="E113" s="1477"/>
      <c r="F113" s="1477"/>
      <c r="G113" s="1477"/>
      <c r="H113" s="1477"/>
      <c r="I113" s="1477"/>
      <c r="J113" s="21"/>
      <c r="K113" s="1477"/>
      <c r="L113" s="1477"/>
      <c r="M113" s="1377"/>
      <c r="N113" s="4174" t="s">
        <v>505</v>
      </c>
      <c r="O113" s="3646"/>
      <c r="P113" s="3645"/>
    </row>
    <row r="114" spans="1:16">
      <c r="A114" s="4155"/>
      <c r="B114" s="1095" t="s">
        <v>9</v>
      </c>
      <c r="C114" s="850"/>
      <c r="D114" s="830">
        <f t="shared" ref="D114:M114" si="83">+D115+D118</f>
        <v>65574</v>
      </c>
      <c r="E114" s="830">
        <f t="shared" ref="E114" si="84">+E115+E118</f>
        <v>65574</v>
      </c>
      <c r="F114" s="2710">
        <f t="shared" si="83"/>
        <v>0</v>
      </c>
      <c r="G114" s="2710">
        <f t="shared" si="83"/>
        <v>0</v>
      </c>
      <c r="H114" s="2710">
        <f t="shared" si="83"/>
        <v>0</v>
      </c>
      <c r="I114" s="2710">
        <f t="shared" si="83"/>
        <v>0</v>
      </c>
      <c r="J114" s="2710">
        <f t="shared" si="83"/>
        <v>0</v>
      </c>
      <c r="K114" s="830">
        <f>+K115+K118</f>
        <v>0</v>
      </c>
      <c r="L114" s="830">
        <f>+L115+L118</f>
        <v>0</v>
      </c>
      <c r="M114" s="2724">
        <f t="shared" si="83"/>
        <v>0</v>
      </c>
      <c r="N114" s="4075"/>
      <c r="O114" s="3646"/>
      <c r="P114" s="3645"/>
    </row>
    <row r="115" spans="1:16" ht="13.5" thickBot="1">
      <c r="A115" s="4156"/>
      <c r="B115" s="1096" t="s">
        <v>22</v>
      </c>
      <c r="C115" s="4126" t="s">
        <v>107</v>
      </c>
      <c r="D115" s="1008">
        <f t="shared" ref="D115:M115" si="85">+D116+D117</f>
        <v>9836</v>
      </c>
      <c r="E115" s="1008">
        <f t="shared" ref="E115" si="86">+E116+E117</f>
        <v>9836</v>
      </c>
      <c r="F115" s="2714">
        <f t="shared" si="85"/>
        <v>0</v>
      </c>
      <c r="G115" s="2714">
        <f t="shared" si="85"/>
        <v>0</v>
      </c>
      <c r="H115" s="2714">
        <f t="shared" si="85"/>
        <v>0</v>
      </c>
      <c r="I115" s="2714">
        <f t="shared" si="85"/>
        <v>0</v>
      </c>
      <c r="J115" s="2714">
        <f t="shared" si="85"/>
        <v>0</v>
      </c>
      <c r="K115" s="1008">
        <f>+K116+K117</f>
        <v>0</v>
      </c>
      <c r="L115" s="1008">
        <f>+L116+L117</f>
        <v>0</v>
      </c>
      <c r="M115" s="2725">
        <f t="shared" si="85"/>
        <v>0</v>
      </c>
      <c r="N115" s="4174"/>
      <c r="O115" s="3646"/>
      <c r="P115" s="3645"/>
    </row>
    <row r="116" spans="1:16" ht="13.5" thickBot="1">
      <c r="A116" s="4154"/>
      <c r="B116" s="1097" t="s">
        <v>11</v>
      </c>
      <c r="C116" s="4158"/>
      <c r="D116" s="789">
        <f>E116+L116+K116+F116+G116+H116+I116+J116</f>
        <v>9836</v>
      </c>
      <c r="E116" s="787">
        <f>1087+8749</f>
        <v>9836</v>
      </c>
      <c r="F116" s="2592">
        <v>0</v>
      </c>
      <c r="G116" s="2592">
        <v>0</v>
      </c>
      <c r="H116" s="2592">
        <v>0</v>
      </c>
      <c r="I116" s="2592">
        <v>0</v>
      </c>
      <c r="J116" s="2592">
        <v>0</v>
      </c>
      <c r="K116" s="780"/>
      <c r="L116" s="780"/>
      <c r="M116" s="2718">
        <f>SUM(F116:J116)</f>
        <v>0</v>
      </c>
      <c r="N116" s="4082"/>
      <c r="O116" s="3646"/>
      <c r="P116" s="3645"/>
    </row>
    <row r="117" spans="1:16" ht="12.75" hidden="1" customHeight="1" thickBot="1">
      <c r="A117" s="4154"/>
      <c r="B117" s="1097" t="s">
        <v>12</v>
      </c>
      <c r="C117" s="4159"/>
      <c r="D117" s="1432">
        <f>E117+L117+K117+F117+G117+H117+I117+J117</f>
        <v>0</v>
      </c>
      <c r="E117" s="102">
        <v>0</v>
      </c>
      <c r="F117" s="3544"/>
      <c r="G117" s="3544"/>
      <c r="H117" s="3544"/>
      <c r="I117" s="3544"/>
      <c r="J117" s="3544"/>
      <c r="K117" s="102"/>
      <c r="L117" s="102"/>
      <c r="M117" s="3545">
        <f>SUM(F117:J117)</f>
        <v>0</v>
      </c>
      <c r="N117" s="4174"/>
      <c r="O117" s="3646"/>
      <c r="P117" s="3645"/>
    </row>
    <row r="118" spans="1:16">
      <c r="A118" s="4157"/>
      <c r="B118" s="3546" t="s">
        <v>17</v>
      </c>
      <c r="C118" s="4160"/>
      <c r="D118" s="1037">
        <f>+D119</f>
        <v>55738</v>
      </c>
      <c r="E118" s="1037">
        <f t="shared" ref="E118:M118" si="87">+E119</f>
        <v>55738</v>
      </c>
      <c r="F118" s="2799">
        <f t="shared" si="87"/>
        <v>0</v>
      </c>
      <c r="G118" s="2799">
        <f t="shared" si="87"/>
        <v>0</v>
      </c>
      <c r="H118" s="2799">
        <f t="shared" si="87"/>
        <v>0</v>
      </c>
      <c r="I118" s="2799">
        <f t="shared" si="87"/>
        <v>0</v>
      </c>
      <c r="J118" s="2799">
        <f t="shared" si="87"/>
        <v>0</v>
      </c>
      <c r="K118" s="1037">
        <f>+K119</f>
        <v>0</v>
      </c>
      <c r="L118" s="1037">
        <f>+L119</f>
        <v>0</v>
      </c>
      <c r="M118" s="3543">
        <f t="shared" si="87"/>
        <v>0</v>
      </c>
      <c r="N118" s="4076"/>
      <c r="O118" s="3646"/>
      <c r="P118" s="3645"/>
    </row>
    <row r="119" spans="1:16">
      <c r="A119" s="3923"/>
      <c r="B119" s="1097" t="s">
        <v>19</v>
      </c>
      <c r="C119" s="4161"/>
      <c r="D119" s="789">
        <f>E119+L119+K119+F119+G119+H119+I119+J119</f>
        <v>55738</v>
      </c>
      <c r="E119" s="789">
        <f>6163+49575</f>
        <v>55738</v>
      </c>
      <c r="F119" s="2720">
        <v>0</v>
      </c>
      <c r="G119" s="2720">
        <v>0</v>
      </c>
      <c r="H119" s="2720">
        <v>0</v>
      </c>
      <c r="I119" s="2720">
        <v>0</v>
      </c>
      <c r="J119" s="2720">
        <v>0</v>
      </c>
      <c r="K119" s="1107"/>
      <c r="L119" s="1726"/>
      <c r="M119" s="2718">
        <f>SUM(F119:J119)</f>
        <v>0</v>
      </c>
      <c r="N119" s="4077"/>
      <c r="O119" s="3646"/>
      <c r="P119" s="3645"/>
    </row>
    <row r="120" spans="1:16" ht="13.5" thickBot="1">
      <c r="A120" s="3923"/>
      <c r="B120" s="1412" t="s">
        <v>20</v>
      </c>
      <c r="C120" s="850"/>
      <c r="D120" s="834">
        <f t="shared" ref="D120" si="88">+D121+D123</f>
        <v>55738</v>
      </c>
      <c r="E120" s="834">
        <f t="shared" ref="E120" si="89">+E121+E123</f>
        <v>55738</v>
      </c>
      <c r="F120" s="2693">
        <f t="shared" ref="F120:J120" si="90">+F121+F123</f>
        <v>0</v>
      </c>
      <c r="G120" s="2693">
        <f t="shared" si="90"/>
        <v>0</v>
      </c>
      <c r="H120" s="2693">
        <f t="shared" si="90"/>
        <v>0</v>
      </c>
      <c r="I120" s="2693">
        <f t="shared" si="90"/>
        <v>0</v>
      </c>
      <c r="J120" s="2693">
        <f t="shared" si="90"/>
        <v>0</v>
      </c>
      <c r="K120" s="834">
        <f>+K121+K123</f>
        <v>0</v>
      </c>
      <c r="L120" s="834">
        <f>+L121+L123</f>
        <v>0</v>
      </c>
      <c r="M120" s="4162" t="s">
        <v>51</v>
      </c>
      <c r="N120" s="4145" t="s">
        <v>252</v>
      </c>
      <c r="O120" s="3646"/>
      <c r="P120" s="3645"/>
    </row>
    <row r="121" spans="1:16" ht="12.75" hidden="1" customHeight="1">
      <c r="A121" s="3923"/>
      <c r="B121" s="1438" t="s">
        <v>22</v>
      </c>
      <c r="C121" s="4166" t="s">
        <v>193</v>
      </c>
      <c r="D121" s="1405">
        <f t="shared" ref="D121:J121" si="91">+D122</f>
        <v>0</v>
      </c>
      <c r="E121" s="1405">
        <f t="shared" si="91"/>
        <v>0</v>
      </c>
      <c r="F121" s="2721">
        <f t="shared" si="91"/>
        <v>0</v>
      </c>
      <c r="G121" s="2721">
        <f t="shared" si="91"/>
        <v>0</v>
      </c>
      <c r="H121" s="2721">
        <f t="shared" si="91"/>
        <v>0</v>
      </c>
      <c r="I121" s="2721">
        <f t="shared" si="91"/>
        <v>0</v>
      </c>
      <c r="J121" s="2721">
        <f t="shared" si="91"/>
        <v>0</v>
      </c>
      <c r="K121" s="1405">
        <f>+K122</f>
        <v>0</v>
      </c>
      <c r="L121" s="1405">
        <f>+L122</f>
        <v>0</v>
      </c>
      <c r="M121" s="4162"/>
      <c r="N121" s="4146"/>
      <c r="O121" s="3646"/>
      <c r="P121" s="3645"/>
    </row>
    <row r="122" spans="1:16" ht="12.75" hidden="1" customHeight="1" thickBot="1">
      <c r="A122" s="4156"/>
      <c r="B122" s="1434" t="s">
        <v>12</v>
      </c>
      <c r="C122" s="4167"/>
      <c r="D122" s="483">
        <f>E122+L122+K122+F122+G122+H122+I122+J122</f>
        <v>0</v>
      </c>
      <c r="E122" s="1435"/>
      <c r="F122" s="2722"/>
      <c r="G122" s="2722"/>
      <c r="H122" s="2722"/>
      <c r="I122" s="2722"/>
      <c r="J122" s="2722"/>
      <c r="K122" s="1435"/>
      <c r="L122" s="1435"/>
      <c r="M122" s="4163"/>
      <c r="N122" s="4146"/>
      <c r="O122" s="3646"/>
      <c r="P122" s="3645"/>
    </row>
    <row r="123" spans="1:16" ht="13.5" thickBot="1">
      <c r="A123" s="4154"/>
      <c r="B123" s="1098" t="s">
        <v>17</v>
      </c>
      <c r="C123" s="4168"/>
      <c r="D123" s="807">
        <f t="shared" ref="D123:J123" si="92">+D124</f>
        <v>55738</v>
      </c>
      <c r="E123" s="807">
        <f t="shared" si="92"/>
        <v>55738</v>
      </c>
      <c r="F123" s="1047">
        <f t="shared" si="92"/>
        <v>0</v>
      </c>
      <c r="G123" s="1047">
        <f t="shared" si="92"/>
        <v>0</v>
      </c>
      <c r="H123" s="1047">
        <f t="shared" si="92"/>
        <v>0</v>
      </c>
      <c r="I123" s="1047">
        <f t="shared" si="92"/>
        <v>0</v>
      </c>
      <c r="J123" s="1047">
        <f t="shared" si="92"/>
        <v>0</v>
      </c>
      <c r="K123" s="807">
        <f>+K124</f>
        <v>0</v>
      </c>
      <c r="L123" s="807">
        <f>+L124</f>
        <v>0</v>
      </c>
      <c r="M123" s="4164"/>
      <c r="N123" s="4146"/>
      <c r="O123" s="3646"/>
      <c r="P123" s="3645"/>
    </row>
    <row r="124" spans="1:16" ht="13.5" thickBot="1">
      <c r="A124" s="4154"/>
      <c r="B124" s="1175" t="s">
        <v>19</v>
      </c>
      <c r="C124" s="4169"/>
      <c r="D124" s="1003">
        <f>E124+L124+K124+F124+G124+H124+I124+J124</f>
        <v>55738</v>
      </c>
      <c r="E124" s="1142">
        <f>6163+49575</f>
        <v>55738</v>
      </c>
      <c r="F124" s="2723">
        <v>0</v>
      </c>
      <c r="G124" s="2723">
        <v>0</v>
      </c>
      <c r="H124" s="2723">
        <v>0</v>
      </c>
      <c r="I124" s="2723">
        <v>0</v>
      </c>
      <c r="J124" s="2723">
        <v>0</v>
      </c>
      <c r="K124" s="976"/>
      <c r="L124" s="976"/>
      <c r="M124" s="4165"/>
      <c r="N124" s="4147"/>
      <c r="O124" s="3646"/>
      <c r="P124" s="3645"/>
    </row>
    <row r="125" spans="1:16" s="1721" customFormat="1" ht="24.75" thickBot="1">
      <c r="A125" s="4154" t="s">
        <v>77</v>
      </c>
      <c r="B125" s="1099" t="s">
        <v>511</v>
      </c>
      <c r="C125" s="1100" t="s">
        <v>97</v>
      </c>
      <c r="D125" s="652"/>
      <c r="E125" s="1477"/>
      <c r="F125" s="1477"/>
      <c r="G125" s="1477"/>
      <c r="H125" s="1477"/>
      <c r="I125" s="1477"/>
      <c r="J125" s="21"/>
      <c r="K125" s="1477"/>
      <c r="L125" s="1477"/>
      <c r="M125" s="332"/>
      <c r="N125" s="4081" t="s">
        <v>505</v>
      </c>
      <c r="O125" s="3646"/>
      <c r="P125" s="3651"/>
    </row>
    <row r="126" spans="1:16" s="1721" customFormat="1" ht="13.5" thickBot="1">
      <c r="A126" s="4154"/>
      <c r="B126" s="1095" t="s">
        <v>9</v>
      </c>
      <c r="C126" s="850"/>
      <c r="D126" s="830">
        <f t="shared" ref="D126:M126" si="93">+D127+D131</f>
        <v>29594400</v>
      </c>
      <c r="E126" s="830">
        <f t="shared" ref="E126" si="94">+E127+E131</f>
        <v>1365962</v>
      </c>
      <c r="F126" s="830">
        <f t="shared" si="93"/>
        <v>15086663</v>
      </c>
      <c r="G126" s="830">
        <f t="shared" si="93"/>
        <v>3894709</v>
      </c>
      <c r="H126" s="830">
        <f t="shared" si="93"/>
        <v>4947291</v>
      </c>
      <c r="I126" s="830">
        <f t="shared" si="93"/>
        <v>3529938</v>
      </c>
      <c r="J126" s="830">
        <f t="shared" si="93"/>
        <v>769837</v>
      </c>
      <c r="K126" s="830">
        <f>+K127+K131</f>
        <v>0</v>
      </c>
      <c r="L126" s="830">
        <f>+L127+L131</f>
        <v>0</v>
      </c>
      <c r="M126" s="1441">
        <f t="shared" si="93"/>
        <v>26943282</v>
      </c>
      <c r="N126" s="4081"/>
      <c r="O126" s="3646"/>
      <c r="P126" s="3651"/>
    </row>
    <row r="127" spans="1:16" s="1721" customFormat="1" ht="12.75" customHeight="1" thickBot="1">
      <c r="A127" s="4154"/>
      <c r="B127" s="1096" t="s">
        <v>22</v>
      </c>
      <c r="C127" s="4126" t="s">
        <v>353</v>
      </c>
      <c r="D127" s="1008">
        <f>+D128+D129+D130</f>
        <v>4439160</v>
      </c>
      <c r="E127" s="1008">
        <f t="shared" ref="E127" si="95">+E128+E129+E130</f>
        <v>254460</v>
      </c>
      <c r="F127" s="1008">
        <f t="shared" ref="F127:J127" si="96">+F128+F129+F130</f>
        <v>2214004</v>
      </c>
      <c r="G127" s="1008">
        <f t="shared" si="96"/>
        <v>584319</v>
      </c>
      <c r="H127" s="1008">
        <f t="shared" si="96"/>
        <v>742201</v>
      </c>
      <c r="I127" s="1008">
        <f t="shared" si="96"/>
        <v>532693</v>
      </c>
      <c r="J127" s="1008">
        <f t="shared" si="96"/>
        <v>111483</v>
      </c>
      <c r="K127" s="1008">
        <f>+K128+K129+K130</f>
        <v>0</v>
      </c>
      <c r="L127" s="1008">
        <f>+L128+L129+L130</f>
        <v>0</v>
      </c>
      <c r="M127" s="1452">
        <f t="shared" ref="M127" si="97">+M128+M129</f>
        <v>2899544</v>
      </c>
      <c r="N127" s="4081"/>
      <c r="O127" s="3646"/>
      <c r="P127" s="3651"/>
    </row>
    <row r="128" spans="1:16" s="1721" customFormat="1" ht="13.5" thickBot="1">
      <c r="A128" s="4154"/>
      <c r="B128" s="1097" t="s">
        <v>11</v>
      </c>
      <c r="C128" s="4127"/>
      <c r="D128" s="766">
        <f>E128+L128+K128+F128+G128+H128+I128+J128</f>
        <v>134520</v>
      </c>
      <c r="E128" s="780">
        <v>63600</v>
      </c>
      <c r="F128" s="780">
        <v>11200</v>
      </c>
      <c r="G128" s="780">
        <v>17700</v>
      </c>
      <c r="H128" s="780">
        <v>22400</v>
      </c>
      <c r="I128" s="780">
        <v>19620</v>
      </c>
      <c r="J128" s="2592">
        <v>0</v>
      </c>
      <c r="K128" s="780"/>
      <c r="L128" s="780"/>
      <c r="M128" s="1018">
        <f>SUM(F128:J128)</f>
        <v>70920</v>
      </c>
      <c r="N128" s="4081"/>
      <c r="O128" s="3646"/>
      <c r="P128" s="3651"/>
    </row>
    <row r="129" spans="1:16" s="1721" customFormat="1" ht="13.5" thickBot="1">
      <c r="A129" s="4154"/>
      <c r="B129" s="1097" t="s">
        <v>12</v>
      </c>
      <c r="C129" s="4127"/>
      <c r="D129" s="766">
        <f>E129+L129+K129+F129+G129+H129+I129+J129</f>
        <v>2959440</v>
      </c>
      <c r="E129" s="810">
        <f>147420-16604</f>
        <v>130816</v>
      </c>
      <c r="F129" s="810">
        <f>684450+567323+263250</f>
        <v>1515023</v>
      </c>
      <c r="G129" s="810">
        <f>567330-550719+372999</f>
        <v>389610</v>
      </c>
      <c r="H129" s="810">
        <v>494910</v>
      </c>
      <c r="I129" s="810">
        <v>352755</v>
      </c>
      <c r="J129" s="810">
        <v>76326</v>
      </c>
      <c r="K129" s="810"/>
      <c r="L129" s="810"/>
      <c r="M129" s="1018">
        <f>SUM(F129:J129)</f>
        <v>2828624</v>
      </c>
      <c r="N129" s="4081"/>
      <c r="O129" s="3646"/>
      <c r="P129" s="3651"/>
    </row>
    <row r="130" spans="1:16" s="1721" customFormat="1">
      <c r="A130" s="4177"/>
      <c r="B130" s="1097" t="s">
        <v>379</v>
      </c>
      <c r="C130" s="4127"/>
      <c r="D130" s="766">
        <f>E130+L130+K130+F130+G130+H130+I130+J130</f>
        <v>1345200</v>
      </c>
      <c r="E130" s="810">
        <f>66986-6942</f>
        <v>60044</v>
      </c>
      <c r="F130" s="810">
        <f>311005+257189+119587</f>
        <v>687781</v>
      </c>
      <c r="G130" s="810">
        <f>258009-250247+169247</f>
        <v>177009</v>
      </c>
      <c r="H130" s="810">
        <v>224891</v>
      </c>
      <c r="I130" s="810">
        <v>160318</v>
      </c>
      <c r="J130" s="810">
        <v>35157</v>
      </c>
      <c r="K130" s="810"/>
      <c r="L130" s="810"/>
      <c r="M130" s="2165">
        <v>0</v>
      </c>
      <c r="N130" s="4075"/>
      <c r="O130" s="3646"/>
      <c r="P130" s="3651"/>
    </row>
    <row r="131" spans="1:16" s="1721" customFormat="1">
      <c r="A131" s="4148"/>
      <c r="B131" s="1098" t="s">
        <v>17</v>
      </c>
      <c r="C131" s="4127"/>
      <c r="D131" s="807">
        <f>+D132</f>
        <v>25155240</v>
      </c>
      <c r="E131" s="807">
        <f t="shared" ref="E131:M131" si="98">+E132</f>
        <v>1111502</v>
      </c>
      <c r="F131" s="807">
        <f t="shared" si="98"/>
        <v>12872659</v>
      </c>
      <c r="G131" s="807">
        <f t="shared" si="98"/>
        <v>3310390</v>
      </c>
      <c r="H131" s="807">
        <f t="shared" si="98"/>
        <v>4205090</v>
      </c>
      <c r="I131" s="807">
        <f t="shared" si="98"/>
        <v>2997245</v>
      </c>
      <c r="J131" s="807">
        <f t="shared" si="98"/>
        <v>658354</v>
      </c>
      <c r="K131" s="807">
        <f>+K132</f>
        <v>0</v>
      </c>
      <c r="L131" s="807">
        <f>+L132</f>
        <v>0</v>
      </c>
      <c r="M131" s="1453">
        <f t="shared" si="98"/>
        <v>24043738</v>
      </c>
      <c r="N131" s="4076"/>
      <c r="O131" s="3646"/>
      <c r="P131" s="3651"/>
    </row>
    <row r="132" spans="1:16" s="1721" customFormat="1">
      <c r="A132" s="4148"/>
      <c r="B132" s="1097" t="s">
        <v>19</v>
      </c>
      <c r="C132" s="4127"/>
      <c r="D132" s="766">
        <f>E132+L132+K132+F132+G132+H132+I132+J132</f>
        <v>25155240</v>
      </c>
      <c r="E132" s="1107">
        <f>1252580-141078</f>
        <v>1111502</v>
      </c>
      <c r="F132" s="1107">
        <f>5815550+4820359+2236750</f>
        <v>12872659</v>
      </c>
      <c r="G132" s="1107">
        <f>4825070-4679281+3164601</f>
        <v>3310390</v>
      </c>
      <c r="H132" s="1107">
        <v>4205090</v>
      </c>
      <c r="I132" s="1107">
        <v>2997245</v>
      </c>
      <c r="J132" s="1107">
        <v>658354</v>
      </c>
      <c r="K132" s="1107"/>
      <c r="L132" s="1726"/>
      <c r="M132" s="1018">
        <f>SUM(F132:J132)</f>
        <v>24043738</v>
      </c>
      <c r="N132" s="4077"/>
      <c r="O132" s="3646"/>
      <c r="P132" s="3651"/>
    </row>
    <row r="133" spans="1:16" s="1721" customFormat="1" ht="15.75" customHeight="1">
      <c r="A133" s="4148"/>
      <c r="B133" s="1095" t="s">
        <v>20</v>
      </c>
      <c r="C133" s="850"/>
      <c r="D133" s="834">
        <f t="shared" ref="D133:E133" si="99">+D134+D136</f>
        <v>28114680</v>
      </c>
      <c r="E133" s="834">
        <f t="shared" si="99"/>
        <v>1400000</v>
      </c>
      <c r="F133" s="834">
        <f t="shared" ref="F133:J133" si="100">+F134+F136</f>
        <v>14230000</v>
      </c>
      <c r="G133" s="834">
        <f t="shared" si="100"/>
        <v>3700000</v>
      </c>
      <c r="H133" s="834">
        <f t="shared" si="100"/>
        <v>4700000</v>
      </c>
      <c r="I133" s="834">
        <f t="shared" si="100"/>
        <v>3350000</v>
      </c>
      <c r="J133" s="834">
        <f t="shared" si="100"/>
        <v>734680</v>
      </c>
      <c r="K133" s="834">
        <f>+K134+K136</f>
        <v>0</v>
      </c>
      <c r="L133" s="834">
        <f>+L134+L136</f>
        <v>0</v>
      </c>
      <c r="M133" s="4070" t="s">
        <v>51</v>
      </c>
      <c r="N133" s="4145" t="s">
        <v>510</v>
      </c>
      <c r="O133" s="3646"/>
      <c r="P133" s="3651"/>
    </row>
    <row r="134" spans="1:16" s="1721" customFormat="1">
      <c r="A134" s="4148"/>
      <c r="B134" s="1096" t="s">
        <v>22</v>
      </c>
      <c r="C134" s="4168" t="s">
        <v>193</v>
      </c>
      <c r="D134" s="807">
        <f t="shared" ref="D134:J134" si="101">+D135</f>
        <v>2959440</v>
      </c>
      <c r="E134" s="807">
        <f t="shared" si="101"/>
        <v>147420</v>
      </c>
      <c r="F134" s="807">
        <f t="shared" si="101"/>
        <v>1498419</v>
      </c>
      <c r="G134" s="807">
        <f t="shared" si="101"/>
        <v>389610</v>
      </c>
      <c r="H134" s="807">
        <f t="shared" si="101"/>
        <v>494910</v>
      </c>
      <c r="I134" s="807">
        <f t="shared" si="101"/>
        <v>352755</v>
      </c>
      <c r="J134" s="807">
        <f t="shared" si="101"/>
        <v>76326</v>
      </c>
      <c r="K134" s="807">
        <f>+K135</f>
        <v>0</v>
      </c>
      <c r="L134" s="807">
        <f>+L135</f>
        <v>0</v>
      </c>
      <c r="M134" s="4070"/>
      <c r="N134" s="4146"/>
      <c r="O134" s="3646"/>
      <c r="P134" s="3651"/>
    </row>
    <row r="135" spans="1:16" s="1721" customFormat="1">
      <c r="A135" s="4148"/>
      <c r="B135" s="1097" t="s">
        <v>12</v>
      </c>
      <c r="C135" s="4168"/>
      <c r="D135" s="766">
        <f>E135+L135+K135+F135+G135+H135+I135+J135</f>
        <v>2959440</v>
      </c>
      <c r="E135" s="815">
        <v>147420</v>
      </c>
      <c r="F135" s="815">
        <f>684450+550719+263250</f>
        <v>1498419</v>
      </c>
      <c r="G135" s="815">
        <f>567330-550719+372999</f>
        <v>389610</v>
      </c>
      <c r="H135" s="815">
        <v>494910</v>
      </c>
      <c r="I135" s="815">
        <v>352755</v>
      </c>
      <c r="J135" s="815">
        <v>76326</v>
      </c>
      <c r="K135" s="815"/>
      <c r="L135" s="815"/>
      <c r="M135" s="4070"/>
      <c r="N135" s="4146"/>
      <c r="O135" s="3646"/>
      <c r="P135" s="3651"/>
    </row>
    <row r="136" spans="1:16" s="1721" customFormat="1">
      <c r="A136" s="4148"/>
      <c r="B136" s="1098" t="s">
        <v>17</v>
      </c>
      <c r="C136" s="4168"/>
      <c r="D136" s="807">
        <f t="shared" ref="D136:J136" si="102">+D137</f>
        <v>25155240</v>
      </c>
      <c r="E136" s="807">
        <f t="shared" si="102"/>
        <v>1252580</v>
      </c>
      <c r="F136" s="807">
        <f t="shared" si="102"/>
        <v>12731581</v>
      </c>
      <c r="G136" s="807">
        <f t="shared" si="102"/>
        <v>3310390</v>
      </c>
      <c r="H136" s="807">
        <f t="shared" si="102"/>
        <v>4205090</v>
      </c>
      <c r="I136" s="807">
        <f t="shared" si="102"/>
        <v>2997245</v>
      </c>
      <c r="J136" s="807">
        <f t="shared" si="102"/>
        <v>658354</v>
      </c>
      <c r="K136" s="807">
        <f>+K137</f>
        <v>0</v>
      </c>
      <c r="L136" s="807">
        <f>+L137</f>
        <v>0</v>
      </c>
      <c r="M136" s="4070"/>
      <c r="N136" s="4146"/>
      <c r="O136" s="3646"/>
      <c r="P136" s="3651"/>
    </row>
    <row r="137" spans="1:16" s="1721" customFormat="1" ht="12.75" customHeight="1" thickBot="1">
      <c r="A137" s="4149"/>
      <c r="B137" s="1175" t="s">
        <v>19</v>
      </c>
      <c r="C137" s="4169"/>
      <c r="D137" s="766">
        <f>E137+L137+K137+F137+G137+H137+I137+J137</f>
        <v>25155240</v>
      </c>
      <c r="E137" s="976">
        <v>1252580</v>
      </c>
      <c r="F137" s="976">
        <f>5815550+4679281+2236750</f>
        <v>12731581</v>
      </c>
      <c r="G137" s="976">
        <f>4825070-4679281+3164601</f>
        <v>3310390</v>
      </c>
      <c r="H137" s="976">
        <v>4205090</v>
      </c>
      <c r="I137" s="976">
        <v>2997245</v>
      </c>
      <c r="J137" s="976">
        <v>658354</v>
      </c>
      <c r="K137" s="976"/>
      <c r="L137" s="976"/>
      <c r="M137" s="4032"/>
      <c r="N137" s="4147"/>
      <c r="O137" s="3646"/>
      <c r="P137" s="3651"/>
    </row>
    <row r="138" spans="1:16" ht="36" customHeight="1">
      <c r="A138" s="4150" t="s">
        <v>78</v>
      </c>
      <c r="B138" s="690" t="s">
        <v>461</v>
      </c>
      <c r="C138" s="691" t="s">
        <v>97</v>
      </c>
      <c r="D138" s="652"/>
      <c r="E138" s="1477"/>
      <c r="F138" s="1477"/>
      <c r="G138" s="1477"/>
      <c r="H138" s="1477"/>
      <c r="I138" s="1477"/>
      <c r="J138" s="21"/>
      <c r="K138" s="1477"/>
      <c r="L138" s="1477"/>
      <c r="M138" s="332"/>
      <c r="N138" s="4075" t="s">
        <v>250</v>
      </c>
      <c r="O138" s="3646"/>
      <c r="P138" s="3645"/>
    </row>
    <row r="139" spans="1:16">
      <c r="A139" s="4063"/>
      <c r="B139" s="1095" t="s">
        <v>9</v>
      </c>
      <c r="C139" s="692"/>
      <c r="D139" s="1101">
        <f t="shared" ref="D139:M139" si="103">+D140+D144</f>
        <v>1698344</v>
      </c>
      <c r="E139" s="830">
        <f t="shared" ref="E139" si="104">+E140+E144</f>
        <v>1485985</v>
      </c>
      <c r="F139" s="830">
        <f t="shared" si="103"/>
        <v>212359</v>
      </c>
      <c r="G139" s="2710">
        <f t="shared" si="103"/>
        <v>0</v>
      </c>
      <c r="H139" s="2710">
        <f t="shared" si="103"/>
        <v>0</v>
      </c>
      <c r="I139" s="2710">
        <f t="shared" si="103"/>
        <v>0</v>
      </c>
      <c r="J139" s="2710">
        <f t="shared" si="103"/>
        <v>0</v>
      </c>
      <c r="K139" s="830">
        <f>+K140+K144</f>
        <v>0</v>
      </c>
      <c r="L139" s="830">
        <f>+L140+L144</f>
        <v>0</v>
      </c>
      <c r="M139" s="799">
        <f t="shared" si="103"/>
        <v>212359</v>
      </c>
      <c r="N139" s="4076"/>
      <c r="O139" s="3646"/>
      <c r="P139" s="3645"/>
    </row>
    <row r="140" spans="1:16">
      <c r="A140" s="4063"/>
      <c r="B140" s="1096" t="s">
        <v>22</v>
      </c>
      <c r="C140" s="4068" t="s">
        <v>248</v>
      </c>
      <c r="D140" s="1008">
        <f>+D141</f>
        <v>254752</v>
      </c>
      <c r="E140" s="1008">
        <f t="shared" ref="E140:M140" si="105">+E141</f>
        <v>222898</v>
      </c>
      <c r="F140" s="1008">
        <f t="shared" si="105"/>
        <v>31854</v>
      </c>
      <c r="G140" s="2714">
        <f t="shared" si="105"/>
        <v>0</v>
      </c>
      <c r="H140" s="2714">
        <f t="shared" si="105"/>
        <v>0</v>
      </c>
      <c r="I140" s="2714">
        <f t="shared" si="105"/>
        <v>0</v>
      </c>
      <c r="J140" s="2714">
        <f t="shared" si="105"/>
        <v>0</v>
      </c>
      <c r="K140" s="1008">
        <f>+K141</f>
        <v>0</v>
      </c>
      <c r="L140" s="1008">
        <f>+L141</f>
        <v>0</v>
      </c>
      <c r="M140" s="1176">
        <f t="shared" si="105"/>
        <v>31854</v>
      </c>
      <c r="N140" s="4076"/>
      <c r="O140" s="3646"/>
      <c r="P140" s="3645"/>
    </row>
    <row r="141" spans="1:16">
      <c r="A141" s="4063"/>
      <c r="B141" s="1097" t="s">
        <v>11</v>
      </c>
      <c r="C141" s="4069"/>
      <c r="D141" s="766">
        <f>E141+L141+K141+F141+G141+H141+I141+J141</f>
        <v>254752</v>
      </c>
      <c r="E141" s="1023">
        <f t="shared" ref="E141" si="106">+E142+E143</f>
        <v>222898</v>
      </c>
      <c r="F141" s="810">
        <f t="shared" ref="F141:J141" si="107">+F142+F143</f>
        <v>31854</v>
      </c>
      <c r="G141" s="2708">
        <f t="shared" si="107"/>
        <v>0</v>
      </c>
      <c r="H141" s="2708">
        <f t="shared" si="107"/>
        <v>0</v>
      </c>
      <c r="I141" s="2708">
        <f t="shared" si="107"/>
        <v>0</v>
      </c>
      <c r="J141" s="2708">
        <f t="shared" si="107"/>
        <v>0</v>
      </c>
      <c r="K141" s="1023">
        <f>+K142+K143</f>
        <v>0</v>
      </c>
      <c r="L141" s="1023">
        <f>+L142+L143</f>
        <v>0</v>
      </c>
      <c r="M141" s="1018">
        <f>SUM(F141:J141)</f>
        <v>31854</v>
      </c>
      <c r="N141" s="4076"/>
      <c r="O141" s="3646"/>
      <c r="P141" s="3645"/>
    </row>
    <row r="142" spans="1:16" ht="12.75" hidden="1" customHeight="1">
      <c r="A142" s="4063"/>
      <c r="B142" s="2166" t="s">
        <v>237</v>
      </c>
      <c r="C142" s="4069"/>
      <c r="D142" s="2167">
        <f>SUM(E142:J142)</f>
        <v>70006</v>
      </c>
      <c r="E142" s="2168">
        <f>31970-5265+29499</f>
        <v>56204</v>
      </c>
      <c r="F142" s="2169">
        <v>13802</v>
      </c>
      <c r="G142" s="2726"/>
      <c r="H142" s="2726"/>
      <c r="I142" s="2726"/>
      <c r="J142" s="2726"/>
      <c r="K142" s="2168"/>
      <c r="L142" s="2168"/>
      <c r="M142" s="1177"/>
      <c r="N142" s="4076"/>
      <c r="O142" s="3646"/>
      <c r="P142" s="3645"/>
    </row>
    <row r="143" spans="1:16" ht="12.75" hidden="1" customHeight="1">
      <c r="A143" s="4063"/>
      <c r="B143" s="2155" t="s">
        <v>246</v>
      </c>
      <c r="C143" s="4069"/>
      <c r="D143" s="2157">
        <f>SUM(E143:J143)</f>
        <v>184746</v>
      </c>
      <c r="E143" s="2170">
        <f>86239-12840+93295</f>
        <v>166694</v>
      </c>
      <c r="F143" s="2159">
        <f>18052</f>
        <v>18052</v>
      </c>
      <c r="G143" s="2727"/>
      <c r="H143" s="2727"/>
      <c r="I143" s="2727"/>
      <c r="J143" s="2727"/>
      <c r="K143" s="2170"/>
      <c r="L143" s="2170"/>
      <c r="M143" s="1177"/>
      <c r="N143" s="4076"/>
      <c r="O143" s="3646"/>
      <c r="P143" s="3645"/>
    </row>
    <row r="144" spans="1:16">
      <c r="A144" s="4063"/>
      <c r="B144" s="1096" t="s">
        <v>17</v>
      </c>
      <c r="C144" s="4069"/>
      <c r="D144" s="807">
        <f>+D145</f>
        <v>1443592</v>
      </c>
      <c r="E144" s="807">
        <f t="shared" ref="E144:J144" si="108">+E145</f>
        <v>1263087</v>
      </c>
      <c r="F144" s="807">
        <f t="shared" si="108"/>
        <v>180505</v>
      </c>
      <c r="G144" s="1047">
        <f t="shared" si="108"/>
        <v>0</v>
      </c>
      <c r="H144" s="1047">
        <f t="shared" si="108"/>
        <v>0</v>
      </c>
      <c r="I144" s="1047">
        <f t="shared" si="108"/>
        <v>0</v>
      </c>
      <c r="J144" s="1047">
        <f t="shared" si="108"/>
        <v>0</v>
      </c>
      <c r="K144" s="807">
        <f>+K145</f>
        <v>0</v>
      </c>
      <c r="L144" s="807">
        <f>+L145</f>
        <v>0</v>
      </c>
      <c r="M144" s="1020">
        <f>+M145</f>
        <v>180505</v>
      </c>
      <c r="N144" s="4076"/>
      <c r="O144" s="3646"/>
      <c r="P144" s="3645"/>
    </row>
    <row r="145" spans="1:16">
      <c r="A145" s="4063"/>
      <c r="B145" s="1097" t="s">
        <v>19</v>
      </c>
      <c r="C145" s="4069"/>
      <c r="D145" s="766">
        <f>E145+L145+K145+F145+G145+H145+I145+J145</f>
        <v>1443592</v>
      </c>
      <c r="E145" s="810">
        <f t="shared" ref="E145" si="109">+E146+E147</f>
        <v>1263087</v>
      </c>
      <c r="F145" s="810">
        <f t="shared" ref="F145:J145" si="110">+F146+F147</f>
        <v>180505</v>
      </c>
      <c r="G145" s="2708">
        <f t="shared" si="110"/>
        <v>0</v>
      </c>
      <c r="H145" s="2708">
        <f t="shared" si="110"/>
        <v>0</v>
      </c>
      <c r="I145" s="2708">
        <f t="shared" si="110"/>
        <v>0</v>
      </c>
      <c r="J145" s="2708">
        <f t="shared" si="110"/>
        <v>0</v>
      </c>
      <c r="K145" s="810">
        <f>+K146+K147</f>
        <v>0</v>
      </c>
      <c r="L145" s="810">
        <f>+L146+L147</f>
        <v>0</v>
      </c>
      <c r="M145" s="1018">
        <f>SUM(F145:J145)</f>
        <v>180505</v>
      </c>
      <c r="N145" s="4077"/>
      <c r="O145" s="3646"/>
      <c r="P145" s="3645"/>
    </row>
    <row r="146" spans="1:16" ht="12.75" hidden="1" customHeight="1">
      <c r="A146" s="4063"/>
      <c r="B146" s="2166" t="s">
        <v>237</v>
      </c>
      <c r="C146" s="3593"/>
      <c r="D146" s="2167">
        <f>SUM(E146:J146)</f>
        <v>396698</v>
      </c>
      <c r="E146" s="2169">
        <f>181163-29833+167158</f>
        <v>318488</v>
      </c>
      <c r="F146" s="2169">
        <v>78210</v>
      </c>
      <c r="G146" s="2726"/>
      <c r="H146" s="2726"/>
      <c r="I146" s="2726"/>
      <c r="J146" s="2726"/>
      <c r="K146" s="2169"/>
      <c r="L146" s="2169"/>
      <c r="M146" s="1177"/>
      <c r="N146" s="1087"/>
      <c r="O146" s="3646"/>
      <c r="P146" s="3645"/>
    </row>
    <row r="147" spans="1:16" ht="12.75" hidden="1" customHeight="1">
      <c r="A147" s="4063"/>
      <c r="B147" s="2155" t="s">
        <v>246</v>
      </c>
      <c r="C147" s="2156"/>
      <c r="D147" s="2157">
        <f>SUM(E147:J147)</f>
        <v>1046894</v>
      </c>
      <c r="E147" s="2159">
        <f>488685-72760+528674</f>
        <v>944599</v>
      </c>
      <c r="F147" s="2159">
        <v>102295</v>
      </c>
      <c r="G147" s="2727"/>
      <c r="H147" s="2727"/>
      <c r="I147" s="2727"/>
      <c r="J147" s="2727"/>
      <c r="K147" s="2159"/>
      <c r="L147" s="2159"/>
      <c r="M147" s="1177"/>
      <c r="N147" s="1087"/>
      <c r="O147" s="3646"/>
      <c r="P147" s="3645"/>
    </row>
    <row r="148" spans="1:16">
      <c r="A148" s="4064"/>
      <c r="B148" s="1095" t="s">
        <v>20</v>
      </c>
      <c r="C148" s="850"/>
      <c r="D148" s="1019">
        <f>D149</f>
        <v>1443592</v>
      </c>
      <c r="E148" s="1019">
        <f>+E149</f>
        <v>1443591</v>
      </c>
      <c r="F148" s="1019">
        <f>+F149</f>
        <v>1</v>
      </c>
      <c r="G148" s="2715">
        <f>G149</f>
        <v>0</v>
      </c>
      <c r="H148" s="2715">
        <f>+H149</f>
        <v>0</v>
      </c>
      <c r="I148" s="2715">
        <f>+I149</f>
        <v>0</v>
      </c>
      <c r="J148" s="2715">
        <f>J149</f>
        <v>0</v>
      </c>
      <c r="K148" s="1019">
        <f>+K149</f>
        <v>0</v>
      </c>
      <c r="L148" s="1019">
        <f>+L149</f>
        <v>0</v>
      </c>
      <c r="M148" s="4070" t="s">
        <v>51</v>
      </c>
      <c r="N148" s="3939" t="s">
        <v>246</v>
      </c>
      <c r="O148" s="3646"/>
      <c r="P148" s="3645"/>
    </row>
    <row r="149" spans="1:16">
      <c r="A149" s="4064"/>
      <c r="B149" s="1096" t="s">
        <v>17</v>
      </c>
      <c r="C149" s="4085" t="s">
        <v>290</v>
      </c>
      <c r="D149" s="807">
        <f t="shared" ref="D149:J149" si="111">+D150</f>
        <v>1443592</v>
      </c>
      <c r="E149" s="807">
        <f t="shared" si="111"/>
        <v>1443591</v>
      </c>
      <c r="F149" s="807">
        <f t="shared" si="111"/>
        <v>1</v>
      </c>
      <c r="G149" s="1047">
        <f t="shared" si="111"/>
        <v>0</v>
      </c>
      <c r="H149" s="1047">
        <f t="shared" si="111"/>
        <v>0</v>
      </c>
      <c r="I149" s="1047">
        <f t="shared" si="111"/>
        <v>0</v>
      </c>
      <c r="J149" s="1047">
        <f t="shared" si="111"/>
        <v>0</v>
      </c>
      <c r="K149" s="807">
        <f>+K150</f>
        <v>0</v>
      </c>
      <c r="L149" s="807">
        <f>+L150</f>
        <v>0</v>
      </c>
      <c r="M149" s="4070"/>
      <c r="N149" s="3939"/>
      <c r="O149" s="3646"/>
      <c r="P149" s="3645"/>
    </row>
    <row r="150" spans="1:16" ht="13.5" thickBot="1">
      <c r="A150" s="4065"/>
      <c r="B150" s="1175" t="s">
        <v>19</v>
      </c>
      <c r="C150" s="4086"/>
      <c r="D150" s="1142">
        <f>E150+L150+K150+F150+G150+H150+I150+J150</f>
        <v>1443592</v>
      </c>
      <c r="E150" s="1014">
        <f>669848+773743</f>
        <v>1443591</v>
      </c>
      <c r="F150" s="1014">
        <v>1</v>
      </c>
      <c r="G150" s="1048">
        <v>0</v>
      </c>
      <c r="H150" s="1048">
        <v>0</v>
      </c>
      <c r="I150" s="1048">
        <v>0</v>
      </c>
      <c r="J150" s="1048">
        <v>0</v>
      </c>
      <c r="K150" s="1014"/>
      <c r="L150" s="1014"/>
      <c r="M150" s="4032"/>
      <c r="N150" s="3940"/>
      <c r="O150" s="3646"/>
      <c r="P150" s="3645"/>
    </row>
    <row r="151" spans="1:16" ht="37.5" customHeight="1">
      <c r="A151" s="4150" t="s">
        <v>79</v>
      </c>
      <c r="B151" s="690" t="s">
        <v>334</v>
      </c>
      <c r="C151" s="691" t="s">
        <v>97</v>
      </c>
      <c r="D151" s="652"/>
      <c r="E151" s="1477"/>
      <c r="F151" s="1477"/>
      <c r="G151" s="1477"/>
      <c r="H151" s="1477"/>
      <c r="I151" s="1477"/>
      <c r="J151" s="21"/>
      <c r="K151" s="1477"/>
      <c r="L151" s="1477"/>
      <c r="M151" s="332"/>
      <c r="N151" s="4066" t="s">
        <v>525</v>
      </c>
      <c r="O151" s="3646"/>
      <c r="P151" s="3645"/>
    </row>
    <row r="152" spans="1:16" ht="16.149999999999999" customHeight="1">
      <c r="A152" s="4063"/>
      <c r="B152" s="1095" t="s">
        <v>9</v>
      </c>
      <c r="C152" s="692"/>
      <c r="D152" s="1101">
        <f>+D153</f>
        <v>13580278</v>
      </c>
      <c r="E152" s="830">
        <f t="shared" ref="E152:F152" si="112">+E153</f>
        <v>3420666</v>
      </c>
      <c r="F152" s="830">
        <f t="shared" si="112"/>
        <v>9439249</v>
      </c>
      <c r="G152" s="830">
        <f t="shared" ref="G152" si="113">+G153</f>
        <v>720363</v>
      </c>
      <c r="H152" s="2710">
        <f t="shared" ref="H152" si="114">+H153</f>
        <v>0</v>
      </c>
      <c r="I152" s="2710">
        <f t="shared" ref="I152" si="115">+I153</f>
        <v>0</v>
      </c>
      <c r="J152" s="2710">
        <f t="shared" ref="J152" si="116">+J153</f>
        <v>0</v>
      </c>
      <c r="K152" s="830">
        <f t="shared" ref="K152:M153" si="117">+K153</f>
        <v>0</v>
      </c>
      <c r="L152" s="830">
        <f t="shared" si="117"/>
        <v>0</v>
      </c>
      <c r="M152" s="799">
        <f t="shared" si="117"/>
        <v>10159612</v>
      </c>
      <c r="N152" s="4067"/>
      <c r="O152" s="3649"/>
      <c r="P152" s="3645"/>
    </row>
    <row r="153" spans="1:16" ht="20.25" customHeight="1">
      <c r="A153" s="4063"/>
      <c r="B153" s="1102" t="s">
        <v>17</v>
      </c>
      <c r="C153" s="4071" t="s">
        <v>294</v>
      </c>
      <c r="D153" s="807">
        <f>+D154</f>
        <v>13580278</v>
      </c>
      <c r="E153" s="807">
        <f>+E154</f>
        <v>3420666</v>
      </c>
      <c r="F153" s="807">
        <f t="shared" ref="F153:J153" si="118">+F154</f>
        <v>9439249</v>
      </c>
      <c r="G153" s="807">
        <f t="shared" si="118"/>
        <v>720363</v>
      </c>
      <c r="H153" s="1047">
        <f t="shared" si="118"/>
        <v>0</v>
      </c>
      <c r="I153" s="1047">
        <f t="shared" si="118"/>
        <v>0</v>
      </c>
      <c r="J153" s="1047">
        <f t="shared" si="118"/>
        <v>0</v>
      </c>
      <c r="K153" s="807">
        <f t="shared" si="117"/>
        <v>0</v>
      </c>
      <c r="L153" s="807">
        <f t="shared" si="117"/>
        <v>0</v>
      </c>
      <c r="M153" s="1020">
        <f t="shared" si="117"/>
        <v>10159612</v>
      </c>
      <c r="N153" s="4067"/>
      <c r="O153" s="3646"/>
      <c r="P153" s="3645"/>
    </row>
    <row r="154" spans="1:16" ht="15.75" customHeight="1" thickBot="1">
      <c r="A154" s="4111"/>
      <c r="B154" s="1476" t="s">
        <v>19</v>
      </c>
      <c r="C154" s="4073"/>
      <c r="D154" s="789">
        <f>E154+L154+K154+F154+G154+H154+I154+J154</f>
        <v>13580278</v>
      </c>
      <c r="E154" s="810">
        <f>+E155+E156+E157+E158+E159</f>
        <v>3420666</v>
      </c>
      <c r="F154" s="810">
        <f t="shared" ref="F154" si="119">+F155+F156+F157+F158+F159</f>
        <v>9439249</v>
      </c>
      <c r="G154" s="810">
        <f t="shared" ref="G154" si="120">+G155+G156+G157+G158+G159</f>
        <v>720363</v>
      </c>
      <c r="H154" s="2708">
        <f t="shared" ref="H154" si="121">+H155+H156+H157+H158+H159</f>
        <v>0</v>
      </c>
      <c r="I154" s="2708">
        <f t="shared" ref="I154" si="122">+I155+I156+I157+I158+I159</f>
        <v>0</v>
      </c>
      <c r="J154" s="2708">
        <f t="shared" ref="J154" si="123">+J155+J156+J157+J158+J159</f>
        <v>0</v>
      </c>
      <c r="K154" s="810">
        <f>+K155+K156+K157+K158+K159</f>
        <v>0</v>
      </c>
      <c r="L154" s="810">
        <f>+L155+L156+L157+L158+L159</f>
        <v>0</v>
      </c>
      <c r="M154" s="1018">
        <f t="shared" ref="M154:M159" si="124">SUM(F154:J154)</f>
        <v>10159612</v>
      </c>
      <c r="N154" s="4067"/>
      <c r="O154" s="3646"/>
      <c r="P154" s="3645"/>
    </row>
    <row r="155" spans="1:16" s="218" customFormat="1" ht="12.75" hidden="1" customHeight="1">
      <c r="A155" s="4176"/>
      <c r="B155" s="1159" t="s">
        <v>292</v>
      </c>
      <c r="C155" s="4072"/>
      <c r="D155" s="1160">
        <f>SUM(E155:J155)</f>
        <v>9576521</v>
      </c>
      <c r="E155" s="1161">
        <f>2700000-2610000+2330086</f>
        <v>2420086</v>
      </c>
      <c r="F155" s="1161">
        <f>2044159+946725-929847+3957590+459445</f>
        <v>6478072</v>
      </c>
      <c r="G155" s="1161">
        <f>0+537137-4137+145363</f>
        <v>678363</v>
      </c>
      <c r="H155" s="2728">
        <v>0</v>
      </c>
      <c r="I155" s="2728">
        <v>0</v>
      </c>
      <c r="J155" s="2728">
        <v>0</v>
      </c>
      <c r="K155" s="1161"/>
      <c r="L155" s="1161"/>
      <c r="M155" s="1018">
        <f t="shared" si="124"/>
        <v>7156435</v>
      </c>
      <c r="N155" s="4067"/>
      <c r="O155" s="2097"/>
    </row>
    <row r="156" spans="1:16" s="218" customFormat="1" ht="12.75" hidden="1" customHeight="1">
      <c r="A156" s="4063"/>
      <c r="B156" s="1251" t="s">
        <v>502</v>
      </c>
      <c r="C156" s="4072"/>
      <c r="D156" s="1252">
        <f>SUM(E156:J156)</f>
        <v>1008500</v>
      </c>
      <c r="E156" s="1083">
        <f>293500-190200-8805+219146</f>
        <v>313641</v>
      </c>
      <c r="F156" s="1083">
        <f>378000-92000+28000+259123+121736</f>
        <v>694859</v>
      </c>
      <c r="G156" s="1083">
        <v>0</v>
      </c>
      <c r="H156" s="2729">
        <v>0</v>
      </c>
      <c r="I156" s="2729">
        <v>0</v>
      </c>
      <c r="J156" s="2729">
        <v>0</v>
      </c>
      <c r="K156" s="1083"/>
      <c r="L156" s="1083"/>
      <c r="M156" s="1018">
        <f t="shared" si="124"/>
        <v>694859</v>
      </c>
      <c r="N156" s="4067"/>
      <c r="O156" s="2097"/>
    </row>
    <row r="157" spans="1:16" s="1084" customFormat="1" ht="12.75" hidden="1" customHeight="1">
      <c r="A157" s="4063"/>
      <c r="B157" s="1251" t="s">
        <v>494</v>
      </c>
      <c r="C157" s="4072"/>
      <c r="D157" s="1252">
        <f>SUM(E157:J157)</f>
        <v>603557</v>
      </c>
      <c r="E157" s="1083">
        <v>199824</v>
      </c>
      <c r="F157" s="1083">
        <f>228000+32500+139686+3547</f>
        <v>403733</v>
      </c>
      <c r="G157" s="1083">
        <v>0</v>
      </c>
      <c r="H157" s="2729">
        <v>0</v>
      </c>
      <c r="I157" s="2729">
        <v>0</v>
      </c>
      <c r="J157" s="2729">
        <v>0</v>
      </c>
      <c r="K157" s="1083"/>
      <c r="L157" s="1083">
        <f>174000-30000-144000</f>
        <v>0</v>
      </c>
      <c r="M157" s="1018">
        <f t="shared" si="124"/>
        <v>403733</v>
      </c>
      <c r="N157" s="4067"/>
      <c r="O157" s="2097"/>
    </row>
    <row r="158" spans="1:16" s="1084" customFormat="1" ht="12.75" hidden="1" customHeight="1">
      <c r="A158" s="4063"/>
      <c r="B158" s="1251" t="s">
        <v>500</v>
      </c>
      <c r="C158" s="4072"/>
      <c r="D158" s="1252">
        <f>SUM(E158:J158)</f>
        <v>1894000</v>
      </c>
      <c r="E158" s="1083">
        <v>375392</v>
      </c>
      <c r="F158" s="1083">
        <f>342000+284000+183950+701550+7108</f>
        <v>1518608</v>
      </c>
      <c r="G158" s="1083">
        <v>0</v>
      </c>
      <c r="H158" s="2729">
        <v>0</v>
      </c>
      <c r="I158" s="2729">
        <v>0</v>
      </c>
      <c r="J158" s="2729">
        <v>0</v>
      </c>
      <c r="K158" s="1083"/>
      <c r="L158" s="1083">
        <f>1015500-784500-231000</f>
        <v>0</v>
      </c>
      <c r="M158" s="1018">
        <f t="shared" si="124"/>
        <v>1518608</v>
      </c>
      <c r="N158" s="4067"/>
      <c r="O158" s="2097"/>
    </row>
    <row r="159" spans="1:16" s="1084" customFormat="1" ht="12.75" hidden="1" customHeight="1">
      <c r="A159" s="4063"/>
      <c r="B159" s="1251" t="s">
        <v>237</v>
      </c>
      <c r="C159" s="4074"/>
      <c r="D159" s="1252">
        <f>SUM(E159:J159)</f>
        <v>497700</v>
      </c>
      <c r="E159" s="1083">
        <f>140000-48300-13391+33414</f>
        <v>111723</v>
      </c>
      <c r="F159" s="1083">
        <f>260000-78000+161977</f>
        <v>343977</v>
      </c>
      <c r="G159" s="1083">
        <f>0+42000</f>
        <v>42000</v>
      </c>
      <c r="H159" s="2729">
        <v>0</v>
      </c>
      <c r="I159" s="2729">
        <v>0</v>
      </c>
      <c r="J159" s="2729">
        <v>0</v>
      </c>
      <c r="K159" s="1083"/>
      <c r="L159" s="1083"/>
      <c r="M159" s="1018">
        <f t="shared" si="124"/>
        <v>385977</v>
      </c>
      <c r="N159" s="4107"/>
      <c r="O159" s="2097"/>
    </row>
    <row r="160" spans="1:16">
      <c r="A160" s="4064"/>
      <c r="B160" s="1095" t="s">
        <v>20</v>
      </c>
      <c r="C160" s="850"/>
      <c r="D160" s="1019">
        <f>D161</f>
        <v>13580278</v>
      </c>
      <c r="E160" s="1019">
        <f>+E161</f>
        <v>2291694</v>
      </c>
      <c r="F160" s="1019">
        <f>+F161</f>
        <v>11288584</v>
      </c>
      <c r="G160" s="2715">
        <f>G161</f>
        <v>0</v>
      </c>
      <c r="H160" s="2715">
        <f>+H161</f>
        <v>0</v>
      </c>
      <c r="I160" s="2715">
        <f>+I161</f>
        <v>0</v>
      </c>
      <c r="J160" s="2715">
        <f>J161</f>
        <v>0</v>
      </c>
      <c r="K160" s="1019">
        <f>+K161</f>
        <v>0</v>
      </c>
      <c r="L160" s="1019">
        <f>+L161</f>
        <v>0</v>
      </c>
      <c r="M160" s="4070" t="s">
        <v>51</v>
      </c>
      <c r="N160" s="3938" t="s">
        <v>292</v>
      </c>
      <c r="O160" s="3649"/>
      <c r="P160" s="3645"/>
    </row>
    <row r="161" spans="1:16" s="1719" customFormat="1" ht="13.5" customHeight="1">
      <c r="A161" s="4064"/>
      <c r="B161" s="1102" t="s">
        <v>17</v>
      </c>
      <c r="C161" s="4071" t="s">
        <v>291</v>
      </c>
      <c r="D161" s="807">
        <f t="shared" ref="D161:J161" si="125">+D162</f>
        <v>13580278</v>
      </c>
      <c r="E161" s="807">
        <f t="shared" si="125"/>
        <v>2291694</v>
      </c>
      <c r="F161" s="807">
        <f t="shared" si="125"/>
        <v>11288584</v>
      </c>
      <c r="G161" s="1047">
        <f t="shared" si="125"/>
        <v>0</v>
      </c>
      <c r="H161" s="1047">
        <f t="shared" si="125"/>
        <v>0</v>
      </c>
      <c r="I161" s="1047">
        <f t="shared" si="125"/>
        <v>0</v>
      </c>
      <c r="J161" s="1047">
        <f t="shared" si="125"/>
        <v>0</v>
      </c>
      <c r="K161" s="807">
        <f>+K162</f>
        <v>0</v>
      </c>
      <c r="L161" s="807">
        <f>+L162</f>
        <v>0</v>
      </c>
      <c r="M161" s="4070"/>
      <c r="N161" s="3939"/>
      <c r="O161" s="3647"/>
      <c r="P161" s="3648"/>
    </row>
    <row r="162" spans="1:16" s="1719" customFormat="1" ht="15" customHeight="1" thickBot="1">
      <c r="A162" s="4065"/>
      <c r="B162" s="1103" t="s">
        <v>19</v>
      </c>
      <c r="C162" s="4073"/>
      <c r="D162" s="1142">
        <f>E162+L162+K162+F162+G162+H162+I162+J162</f>
        <v>13580278</v>
      </c>
      <c r="E162" s="1025">
        <f>5291500+3044200+3368437-6103372-3309071</f>
        <v>2291694</v>
      </c>
      <c r="F162" s="1025">
        <f>3252159+1093225-2469300+6103372+3309128</f>
        <v>11288584</v>
      </c>
      <c r="G162" s="1048">
        <f>0+579137-579137</f>
        <v>0</v>
      </c>
      <c r="H162" s="1048">
        <v>0</v>
      </c>
      <c r="I162" s="1048">
        <v>0</v>
      </c>
      <c r="J162" s="1048">
        <v>0</v>
      </c>
      <c r="K162" s="1025"/>
      <c r="L162" s="1025">
        <f>4323000-30000-4293000</f>
        <v>0</v>
      </c>
      <c r="M162" s="4032"/>
      <c r="N162" s="3940"/>
      <c r="O162" s="3654"/>
      <c r="P162" s="3648"/>
    </row>
    <row r="163" spans="1:16" ht="39" customHeight="1">
      <c r="A163" s="4150" t="s">
        <v>80</v>
      </c>
      <c r="B163" s="690" t="s">
        <v>335</v>
      </c>
      <c r="C163" s="691" t="s">
        <v>70</v>
      </c>
      <c r="D163" s="652"/>
      <c r="E163" s="1477"/>
      <c r="F163" s="1477"/>
      <c r="G163" s="1477"/>
      <c r="H163" s="1477"/>
      <c r="I163" s="1477"/>
      <c r="J163" s="21"/>
      <c r="K163" s="1477"/>
      <c r="L163" s="1477"/>
      <c r="M163" s="332"/>
      <c r="N163" s="4075" t="s">
        <v>524</v>
      </c>
      <c r="O163" s="3646"/>
      <c r="P163" s="3645"/>
    </row>
    <row r="164" spans="1:16">
      <c r="A164" s="4063"/>
      <c r="B164" s="1095" t="s">
        <v>9</v>
      </c>
      <c r="C164" s="692"/>
      <c r="D164" s="1101">
        <f>+D165</f>
        <v>35819</v>
      </c>
      <c r="E164" s="830">
        <f t="shared" ref="E164:J164" si="126">E165</f>
        <v>35819</v>
      </c>
      <c r="F164" s="2710">
        <f t="shared" si="126"/>
        <v>0</v>
      </c>
      <c r="G164" s="2710">
        <f t="shared" si="126"/>
        <v>0</v>
      </c>
      <c r="H164" s="2710">
        <f t="shared" si="126"/>
        <v>0</v>
      </c>
      <c r="I164" s="2710">
        <f t="shared" si="126"/>
        <v>0</v>
      </c>
      <c r="J164" s="2710">
        <f t="shared" si="126"/>
        <v>0</v>
      </c>
      <c r="K164" s="830">
        <f>K165</f>
        <v>0</v>
      </c>
      <c r="L164" s="830">
        <f>L165</f>
        <v>0</v>
      </c>
      <c r="M164" s="2716">
        <f>M165</f>
        <v>0</v>
      </c>
      <c r="N164" s="4076"/>
      <c r="O164" s="3646"/>
      <c r="P164" s="3645"/>
    </row>
    <row r="165" spans="1:16" ht="13.15" customHeight="1">
      <c r="A165" s="4063"/>
      <c r="B165" s="1096" t="s">
        <v>17</v>
      </c>
      <c r="C165" s="4083" t="s">
        <v>295</v>
      </c>
      <c r="D165" s="807">
        <f>+D166</f>
        <v>35819</v>
      </c>
      <c r="E165" s="807">
        <f t="shared" ref="E165:J165" si="127">+E166</f>
        <v>35819</v>
      </c>
      <c r="F165" s="1047">
        <f t="shared" si="127"/>
        <v>0</v>
      </c>
      <c r="G165" s="1047">
        <f t="shared" si="127"/>
        <v>0</v>
      </c>
      <c r="H165" s="1047">
        <f t="shared" si="127"/>
        <v>0</v>
      </c>
      <c r="I165" s="1047">
        <f t="shared" si="127"/>
        <v>0</v>
      </c>
      <c r="J165" s="1047">
        <f t="shared" si="127"/>
        <v>0</v>
      </c>
      <c r="K165" s="807">
        <f>+K166</f>
        <v>0</v>
      </c>
      <c r="L165" s="807">
        <f>+L166</f>
        <v>0</v>
      </c>
      <c r="M165" s="2730">
        <f>+M166</f>
        <v>0</v>
      </c>
      <c r="N165" s="4076"/>
      <c r="O165" s="3646"/>
      <c r="P165" s="3645"/>
    </row>
    <row r="166" spans="1:16">
      <c r="A166" s="4063"/>
      <c r="B166" s="1097" t="s">
        <v>19</v>
      </c>
      <c r="C166" s="4084"/>
      <c r="D166" s="766">
        <f>E166+L166+K166+F166+G166+H166+I166+J166</f>
        <v>35819</v>
      </c>
      <c r="E166" s="810">
        <f>+E167+E168+E169</f>
        <v>35819</v>
      </c>
      <c r="F166" s="2708">
        <f t="shared" ref="F166:I166" si="128">+F167+F168+F169</f>
        <v>0</v>
      </c>
      <c r="G166" s="2708">
        <f t="shared" si="128"/>
        <v>0</v>
      </c>
      <c r="H166" s="2708">
        <f t="shared" si="128"/>
        <v>0</v>
      </c>
      <c r="I166" s="2708">
        <f t="shared" si="128"/>
        <v>0</v>
      </c>
      <c r="J166" s="2708">
        <f t="shared" ref="J166" si="129">+J167+J168</f>
        <v>0</v>
      </c>
      <c r="K166" s="810">
        <f>+K167+K168+K169</f>
        <v>0</v>
      </c>
      <c r="L166" s="810"/>
      <c r="M166" s="2718">
        <f>SUM(F166:J166)</f>
        <v>0</v>
      </c>
      <c r="N166" s="4076"/>
      <c r="O166" s="3646"/>
      <c r="P166" s="3645"/>
    </row>
    <row r="167" spans="1:16" ht="12" hidden="1" customHeight="1">
      <c r="A167" s="4063"/>
      <c r="B167" s="1476" t="s">
        <v>292</v>
      </c>
      <c r="C167" s="1026"/>
      <c r="D167" s="815">
        <f>SUM(E167:J167)</f>
        <v>0</v>
      </c>
      <c r="E167" s="810">
        <f>30000-30000</f>
        <v>0</v>
      </c>
      <c r="F167" s="2708">
        <f>100000-49000-51000</f>
        <v>0</v>
      </c>
      <c r="G167" s="2708">
        <f>0+17000-17000</f>
        <v>0</v>
      </c>
      <c r="H167" s="2708">
        <v>0</v>
      </c>
      <c r="I167" s="2708">
        <v>0</v>
      </c>
      <c r="J167" s="2708">
        <v>0</v>
      </c>
      <c r="K167" s="810">
        <f>500000-398000-102000</f>
        <v>0</v>
      </c>
      <c r="L167" s="810">
        <f>30000-30000</f>
        <v>0</v>
      </c>
      <c r="M167" s="1177"/>
      <c r="N167" s="2463"/>
      <c r="O167" s="3649">
        <f>D166-D172</f>
        <v>0</v>
      </c>
      <c r="P167" s="3645"/>
    </row>
    <row r="168" spans="1:16" ht="12" hidden="1" customHeight="1">
      <c r="A168" s="4063"/>
      <c r="B168" s="1476" t="s">
        <v>293</v>
      </c>
      <c r="C168" s="3593"/>
      <c r="D168" s="815">
        <f>SUM(E168:J168)</f>
        <v>0</v>
      </c>
      <c r="E168" s="810">
        <f>80000-80000</f>
        <v>0</v>
      </c>
      <c r="F168" s="2708">
        <f>20000-20000</f>
        <v>0</v>
      </c>
      <c r="G168" s="2708">
        <v>0</v>
      </c>
      <c r="H168" s="2708">
        <v>0</v>
      </c>
      <c r="I168" s="2708">
        <v>0</v>
      </c>
      <c r="J168" s="2708">
        <v>0</v>
      </c>
      <c r="K168" s="810">
        <f>130000-130000</f>
        <v>0</v>
      </c>
      <c r="L168" s="810">
        <f>80000-80000</f>
        <v>0</v>
      </c>
      <c r="M168" s="1177"/>
      <c r="N168" s="2463"/>
      <c r="O168" s="3646"/>
      <c r="P168" s="3645"/>
    </row>
    <row r="169" spans="1:16" s="1727" customFormat="1" ht="12" hidden="1" customHeight="1">
      <c r="A169" s="4063"/>
      <c r="B169" s="1476" t="s">
        <v>98</v>
      </c>
      <c r="C169" s="3593"/>
      <c r="D169" s="815">
        <f>SUM(E169:J169)</f>
        <v>35819</v>
      </c>
      <c r="E169" s="810">
        <f>30000-21247+27066</f>
        <v>35819</v>
      </c>
      <c r="F169" s="2708">
        <v>0</v>
      </c>
      <c r="G169" s="2708">
        <v>0</v>
      </c>
      <c r="H169" s="2708">
        <v>0</v>
      </c>
      <c r="I169" s="2708">
        <v>0</v>
      </c>
      <c r="J169" s="2708">
        <v>0</v>
      </c>
      <c r="K169" s="810"/>
      <c r="L169" s="810"/>
      <c r="M169" s="1177"/>
      <c r="N169" s="2463"/>
      <c r="O169" s="3646"/>
      <c r="P169" s="3662"/>
    </row>
    <row r="170" spans="1:16">
      <c r="A170" s="4064"/>
      <c r="B170" s="1095" t="s">
        <v>20</v>
      </c>
      <c r="C170" s="850"/>
      <c r="D170" s="1019">
        <f>D171</f>
        <v>35819</v>
      </c>
      <c r="E170" s="1019">
        <f>+E171</f>
        <v>35819</v>
      </c>
      <c r="F170" s="2715">
        <f>+F171</f>
        <v>0</v>
      </c>
      <c r="G170" s="2715">
        <f>G171</f>
        <v>0</v>
      </c>
      <c r="H170" s="2715">
        <f>+H171</f>
        <v>0</v>
      </c>
      <c r="I170" s="2715">
        <f>+I171</f>
        <v>0</v>
      </c>
      <c r="J170" s="2715">
        <f>J171</f>
        <v>0</v>
      </c>
      <c r="K170" s="1019">
        <f>+K171</f>
        <v>0</v>
      </c>
      <c r="L170" s="1019">
        <f>+L171</f>
        <v>0</v>
      </c>
      <c r="M170" s="4070" t="s">
        <v>51</v>
      </c>
      <c r="N170" s="3938" t="s">
        <v>292</v>
      </c>
      <c r="O170" s="3646"/>
      <c r="P170" s="3645"/>
    </row>
    <row r="171" spans="1:16">
      <c r="A171" s="4064"/>
      <c r="B171" s="1096" t="s">
        <v>17</v>
      </c>
      <c r="C171" s="4085" t="s">
        <v>291</v>
      </c>
      <c r="D171" s="807">
        <f t="shared" ref="D171:J171" si="130">+D172</f>
        <v>35819</v>
      </c>
      <c r="E171" s="807">
        <f t="shared" si="130"/>
        <v>35819</v>
      </c>
      <c r="F171" s="1047">
        <f t="shared" si="130"/>
        <v>0</v>
      </c>
      <c r="G171" s="1047">
        <f t="shared" si="130"/>
        <v>0</v>
      </c>
      <c r="H171" s="1047">
        <f t="shared" si="130"/>
        <v>0</v>
      </c>
      <c r="I171" s="1047">
        <f t="shared" si="130"/>
        <v>0</v>
      </c>
      <c r="J171" s="1047">
        <f t="shared" si="130"/>
        <v>0</v>
      </c>
      <c r="K171" s="807">
        <f>+K172</f>
        <v>0</v>
      </c>
      <c r="L171" s="807">
        <f>+L172</f>
        <v>0</v>
      </c>
      <c r="M171" s="4070"/>
      <c r="N171" s="3939"/>
      <c r="O171" s="3646"/>
      <c r="P171" s="3645"/>
    </row>
    <row r="172" spans="1:16" ht="13.5" thickBot="1">
      <c r="A172" s="4065"/>
      <c r="B172" s="1175" t="s">
        <v>19</v>
      </c>
      <c r="C172" s="4086"/>
      <c r="D172" s="1142">
        <f>E172+L172+K172+F172+G172+H172+I172+J172</f>
        <v>35819</v>
      </c>
      <c r="E172" s="1014">
        <f>520000-252124-232000-57</f>
        <v>35819</v>
      </c>
      <c r="F172" s="1048">
        <f>120000-49000-71000</f>
        <v>0</v>
      </c>
      <c r="G172" s="1048">
        <f>0+17000-17000</f>
        <v>0</v>
      </c>
      <c r="H172" s="1048">
        <v>0</v>
      </c>
      <c r="I172" s="1048">
        <v>0</v>
      </c>
      <c r="J172" s="1048">
        <v>0</v>
      </c>
      <c r="K172" s="1014"/>
      <c r="L172" s="1014">
        <f>110000+30000-140000</f>
        <v>0</v>
      </c>
      <c r="M172" s="4032"/>
      <c r="N172" s="3940"/>
      <c r="O172" s="3649"/>
      <c r="P172" s="3645"/>
    </row>
    <row r="173" spans="1:16" ht="26.25" customHeight="1">
      <c r="A173" s="4150" t="s">
        <v>81</v>
      </c>
      <c r="B173" s="690" t="s">
        <v>345</v>
      </c>
      <c r="C173" s="691" t="s">
        <v>97</v>
      </c>
      <c r="D173" s="652"/>
      <c r="E173" s="1477"/>
      <c r="F173" s="1477"/>
      <c r="G173" s="1477"/>
      <c r="H173" s="1477"/>
      <c r="I173" s="1477"/>
      <c r="J173" s="21"/>
      <c r="K173" s="1477"/>
      <c r="L173" s="1477"/>
      <c r="M173" s="332"/>
      <c r="N173" s="4075" t="s">
        <v>250</v>
      </c>
      <c r="O173" s="3649"/>
      <c r="P173" s="3645"/>
    </row>
    <row r="174" spans="1:16" ht="14.25" customHeight="1">
      <c r="A174" s="4063"/>
      <c r="B174" s="1095" t="s">
        <v>9</v>
      </c>
      <c r="C174" s="692"/>
      <c r="D174" s="1101">
        <f>+D175+D182</f>
        <v>1184280</v>
      </c>
      <c r="E174" s="830">
        <f t="shared" ref="E174" si="131">+E175+E182</f>
        <v>417230</v>
      </c>
      <c r="F174" s="830">
        <f t="shared" ref="F174:M174" si="132">+F175+F182</f>
        <v>767050</v>
      </c>
      <c r="G174" s="1975">
        <f t="shared" si="132"/>
        <v>0</v>
      </c>
      <c r="H174" s="1975">
        <f t="shared" si="132"/>
        <v>0</v>
      </c>
      <c r="I174" s="1975">
        <f t="shared" si="132"/>
        <v>0</v>
      </c>
      <c r="J174" s="1975">
        <f t="shared" si="132"/>
        <v>0</v>
      </c>
      <c r="K174" s="830">
        <f>+K175+K182</f>
        <v>0</v>
      </c>
      <c r="L174" s="1975">
        <f>+L175+L182</f>
        <v>0</v>
      </c>
      <c r="M174" s="799">
        <f t="shared" si="132"/>
        <v>767050</v>
      </c>
      <c r="N174" s="4076"/>
      <c r="O174" s="3646"/>
      <c r="P174" s="3645"/>
    </row>
    <row r="175" spans="1:16">
      <c r="A175" s="4063"/>
      <c r="B175" s="1096" t="s">
        <v>22</v>
      </c>
      <c r="C175" s="4068" t="s">
        <v>344</v>
      </c>
      <c r="D175" s="1008">
        <f>+D176+D179</f>
        <v>177642</v>
      </c>
      <c r="E175" s="1008">
        <f t="shared" ref="E175" si="133">+E176+E179</f>
        <v>62585</v>
      </c>
      <c r="F175" s="1008">
        <f t="shared" ref="F175:J175" si="134">+F176+F179</f>
        <v>115057</v>
      </c>
      <c r="G175" s="1976">
        <f t="shared" si="134"/>
        <v>0</v>
      </c>
      <c r="H175" s="1976">
        <f t="shared" si="134"/>
        <v>0</v>
      </c>
      <c r="I175" s="1976">
        <f t="shared" si="134"/>
        <v>0</v>
      </c>
      <c r="J175" s="1976">
        <f t="shared" si="134"/>
        <v>0</v>
      </c>
      <c r="K175" s="1008">
        <f>+K176+K179</f>
        <v>0</v>
      </c>
      <c r="L175" s="1976">
        <f>+L176+L179</f>
        <v>0</v>
      </c>
      <c r="M175" s="1176">
        <f>+M176+M179</f>
        <v>115057</v>
      </c>
      <c r="N175" s="4076"/>
      <c r="O175" s="3646"/>
      <c r="P175" s="3645"/>
    </row>
    <row r="176" spans="1:16">
      <c r="A176" s="4063"/>
      <c r="B176" s="1097" t="s">
        <v>11</v>
      </c>
      <c r="C176" s="4069"/>
      <c r="D176" s="766">
        <f>E176+L176+K176+F176+G176+H176+I176+J176</f>
        <v>54214</v>
      </c>
      <c r="E176" s="1023">
        <f>E177+E178</f>
        <v>19018</v>
      </c>
      <c r="F176" s="1023">
        <f t="shared" ref="F176:J176" si="135">F177+F178</f>
        <v>35196</v>
      </c>
      <c r="G176" s="1979">
        <f t="shared" si="135"/>
        <v>0</v>
      </c>
      <c r="H176" s="1979">
        <f t="shared" si="135"/>
        <v>0</v>
      </c>
      <c r="I176" s="1979">
        <f t="shared" si="135"/>
        <v>0</v>
      </c>
      <c r="J176" s="1979">
        <f t="shared" si="135"/>
        <v>0</v>
      </c>
      <c r="K176" s="1023">
        <f>K177+K178</f>
        <v>0</v>
      </c>
      <c r="L176" s="1979">
        <v>0</v>
      </c>
      <c r="M176" s="1018">
        <f t="shared" ref="M176:M181" si="136">SUM(F176:J176)</f>
        <v>35196</v>
      </c>
      <c r="N176" s="4076"/>
      <c r="O176" s="3646"/>
      <c r="P176" s="3645"/>
    </row>
    <row r="177" spans="1:16" s="218" customFormat="1" hidden="1">
      <c r="A177" s="4063"/>
      <c r="B177" s="1986" t="s">
        <v>237</v>
      </c>
      <c r="C177" s="4069"/>
      <c r="D177" s="1980">
        <f>SUM(E177:J177)</f>
        <v>27385</v>
      </c>
      <c r="E177" s="1981">
        <f>14220-4044</f>
        <v>10176</v>
      </c>
      <c r="F177" s="1981">
        <f>14220+2989</f>
        <v>17209</v>
      </c>
      <c r="G177" s="1042">
        <v>0</v>
      </c>
      <c r="H177" s="1042">
        <v>0</v>
      </c>
      <c r="I177" s="1042">
        <v>0</v>
      </c>
      <c r="J177" s="1042">
        <v>0</v>
      </c>
      <c r="K177" s="1981"/>
      <c r="L177" s="1982">
        <v>0</v>
      </c>
      <c r="M177" s="1977">
        <f t="shared" si="136"/>
        <v>17209</v>
      </c>
      <c r="N177" s="4076"/>
      <c r="O177" s="2097"/>
    </row>
    <row r="178" spans="1:16" s="218" customFormat="1" hidden="1">
      <c r="A178" s="4063"/>
      <c r="B178" s="1987" t="s">
        <v>246</v>
      </c>
      <c r="C178" s="4069"/>
      <c r="D178" s="1988">
        <f>SUM(E178:J178)</f>
        <v>26829</v>
      </c>
      <c r="E178" s="1990">
        <f>14199+1350-6707</f>
        <v>8842</v>
      </c>
      <c r="F178" s="1990">
        <f>10075+150+7762</f>
        <v>17987</v>
      </c>
      <c r="G178" s="1989">
        <v>0</v>
      </c>
      <c r="H178" s="1989">
        <v>0</v>
      </c>
      <c r="I178" s="1989">
        <v>0</v>
      </c>
      <c r="J178" s="1989">
        <v>0</v>
      </c>
      <c r="K178" s="1990"/>
      <c r="L178" s="1991">
        <v>0</v>
      </c>
      <c r="M178" s="1977">
        <f t="shared" si="136"/>
        <v>17987</v>
      </c>
      <c r="N178" s="4076"/>
      <c r="O178" s="2097"/>
    </row>
    <row r="179" spans="1:16" s="1043" customFormat="1">
      <c r="A179" s="4063"/>
      <c r="B179" s="1476" t="s">
        <v>12</v>
      </c>
      <c r="C179" s="4069"/>
      <c r="D179" s="766">
        <f>E179+L179+K179+F179+G179+H179+I179+J179</f>
        <v>123428</v>
      </c>
      <c r="E179" s="1023">
        <f>E180+E181</f>
        <v>43567</v>
      </c>
      <c r="F179" s="1023">
        <f t="shared" ref="F179:J179" si="137">F180+F181</f>
        <v>79861</v>
      </c>
      <c r="G179" s="1979">
        <f t="shared" si="137"/>
        <v>0</v>
      </c>
      <c r="H179" s="1979">
        <f t="shared" si="137"/>
        <v>0</v>
      </c>
      <c r="I179" s="1979">
        <f t="shared" si="137"/>
        <v>0</v>
      </c>
      <c r="J179" s="1979">
        <f t="shared" si="137"/>
        <v>0</v>
      </c>
      <c r="K179" s="1023"/>
      <c r="L179" s="1979">
        <v>0</v>
      </c>
      <c r="M179" s="1018">
        <f t="shared" si="136"/>
        <v>79861</v>
      </c>
      <c r="N179" s="4076"/>
      <c r="O179" s="2097"/>
    </row>
    <row r="180" spans="1:16" s="1043" customFormat="1" hidden="1">
      <c r="A180" s="4063"/>
      <c r="B180" s="1986" t="s">
        <v>237</v>
      </c>
      <c r="C180" s="4069"/>
      <c r="D180" s="1980">
        <f>SUM(E180:J180)</f>
        <v>69770</v>
      </c>
      <c r="E180" s="1981">
        <f>36896-11013</f>
        <v>25883</v>
      </c>
      <c r="F180" s="1981">
        <f>34984+8903</f>
        <v>43887</v>
      </c>
      <c r="G180" s="1042">
        <v>0</v>
      </c>
      <c r="H180" s="1042">
        <v>0</v>
      </c>
      <c r="I180" s="1042">
        <v>0</v>
      </c>
      <c r="J180" s="1042">
        <v>0</v>
      </c>
      <c r="K180" s="1981"/>
      <c r="L180" s="1982">
        <v>0</v>
      </c>
      <c r="M180" s="1018">
        <f t="shared" si="136"/>
        <v>43887</v>
      </c>
      <c r="N180" s="4076"/>
      <c r="O180" s="2097"/>
    </row>
    <row r="181" spans="1:16" s="1043" customFormat="1" hidden="1">
      <c r="A181" s="4063"/>
      <c r="B181" s="1987" t="s">
        <v>246</v>
      </c>
      <c r="C181" s="4069"/>
      <c r="D181" s="1988">
        <f>SUM(E181:J181)</f>
        <v>53658</v>
      </c>
      <c r="E181" s="1990">
        <f>28398+2700-13414</f>
        <v>17684</v>
      </c>
      <c r="F181" s="1990">
        <f>20150+300+15524</f>
        <v>35974</v>
      </c>
      <c r="G181" s="1989">
        <v>0</v>
      </c>
      <c r="H181" s="1989">
        <v>0</v>
      </c>
      <c r="I181" s="1989">
        <v>0</v>
      </c>
      <c r="J181" s="1989">
        <v>0</v>
      </c>
      <c r="K181" s="1990"/>
      <c r="L181" s="1991">
        <v>0</v>
      </c>
      <c r="M181" s="1018">
        <f t="shared" si="136"/>
        <v>35974</v>
      </c>
      <c r="N181" s="4076"/>
      <c r="O181" s="2097"/>
    </row>
    <row r="182" spans="1:16">
      <c r="A182" s="4063"/>
      <c r="B182" s="1096" t="s">
        <v>17</v>
      </c>
      <c r="C182" s="4069"/>
      <c r="D182" s="807">
        <f>+D183</f>
        <v>1006638</v>
      </c>
      <c r="E182" s="807">
        <f t="shared" ref="E182:J182" si="138">+E183</f>
        <v>354645</v>
      </c>
      <c r="F182" s="807">
        <f t="shared" si="138"/>
        <v>651993</v>
      </c>
      <c r="G182" s="833">
        <f t="shared" si="138"/>
        <v>0</v>
      </c>
      <c r="H182" s="833">
        <f t="shared" si="138"/>
        <v>0</v>
      </c>
      <c r="I182" s="833">
        <f t="shared" si="138"/>
        <v>0</v>
      </c>
      <c r="J182" s="833">
        <f t="shared" si="138"/>
        <v>0</v>
      </c>
      <c r="K182" s="807">
        <f>+K183</f>
        <v>0</v>
      </c>
      <c r="L182" s="833">
        <f>+L183</f>
        <v>0</v>
      </c>
      <c r="M182" s="1020">
        <f>+M183</f>
        <v>651993</v>
      </c>
      <c r="N182" s="4076"/>
      <c r="O182" s="3646"/>
      <c r="P182" s="3645"/>
    </row>
    <row r="183" spans="1:16">
      <c r="A183" s="4063"/>
      <c r="B183" s="1097" t="s">
        <v>19</v>
      </c>
      <c r="C183" s="4069"/>
      <c r="D183" s="766">
        <f>E183+L183+K183+F183+G183+H183+I183+J183</f>
        <v>1006638</v>
      </c>
      <c r="E183" s="810">
        <f>E184+E185</f>
        <v>354645</v>
      </c>
      <c r="F183" s="810">
        <f t="shared" ref="F183" si="139">F184+F185</f>
        <v>651993</v>
      </c>
      <c r="G183" s="1570">
        <f t="shared" ref="G183" si="140">G184+G185</f>
        <v>0</v>
      </c>
      <c r="H183" s="1570">
        <f t="shared" ref="H183" si="141">H184+H185</f>
        <v>0</v>
      </c>
      <c r="I183" s="1570">
        <f t="shared" ref="I183" si="142">I184+I185</f>
        <v>0</v>
      </c>
      <c r="J183" s="1570">
        <f t="shared" ref="J183" si="143">J184+J185</f>
        <v>0</v>
      </c>
      <c r="K183" s="810">
        <f>K184+K185</f>
        <v>0</v>
      </c>
      <c r="L183" s="1570">
        <v>0</v>
      </c>
      <c r="M183" s="1018">
        <f>SUM(F183:J183)</f>
        <v>651993</v>
      </c>
      <c r="N183" s="4076"/>
      <c r="O183" s="3646"/>
      <c r="P183" s="3645"/>
    </row>
    <row r="184" spans="1:16" s="218" customFormat="1" hidden="1">
      <c r="A184" s="4063"/>
      <c r="B184" s="1986" t="s">
        <v>237</v>
      </c>
      <c r="C184" s="1992"/>
      <c r="D184" s="1980">
        <f>SUM(E184:J184)</f>
        <v>550545</v>
      </c>
      <c r="E184" s="1981">
        <f>289658-85323</f>
        <v>204335</v>
      </c>
      <c r="F184" s="1981">
        <f>278822+67388</f>
        <v>346210</v>
      </c>
      <c r="G184" s="1042">
        <v>0</v>
      </c>
      <c r="H184" s="1042">
        <v>0</v>
      </c>
      <c r="I184" s="1042">
        <v>0</v>
      </c>
      <c r="J184" s="1042">
        <v>0</v>
      </c>
      <c r="K184" s="1981"/>
      <c r="L184" s="1042">
        <v>0</v>
      </c>
      <c r="M184" s="1977">
        <f>SUM(F184:J184)</f>
        <v>346210</v>
      </c>
      <c r="N184" s="4076"/>
      <c r="O184" s="2097"/>
    </row>
    <row r="185" spans="1:16" s="218" customFormat="1" hidden="1">
      <c r="A185" s="4063"/>
      <c r="B185" s="1987" t="s">
        <v>246</v>
      </c>
      <c r="C185" s="1993"/>
      <c r="D185" s="1988">
        <f>SUM(E185:J185)</f>
        <v>456093</v>
      </c>
      <c r="E185" s="1990">
        <f>241383+22950-114023</f>
        <v>150310</v>
      </c>
      <c r="F185" s="1990">
        <f>171275+2550+131958</f>
        <v>305783</v>
      </c>
      <c r="G185" s="1989">
        <v>0</v>
      </c>
      <c r="H185" s="1989">
        <v>0</v>
      </c>
      <c r="I185" s="1989">
        <v>0</v>
      </c>
      <c r="J185" s="1989">
        <v>0</v>
      </c>
      <c r="K185" s="1990"/>
      <c r="L185" s="1989">
        <v>0</v>
      </c>
      <c r="M185" s="1977">
        <f>SUM(F185:J185)</f>
        <v>305783</v>
      </c>
      <c r="N185" s="4077"/>
      <c r="O185" s="2097"/>
    </row>
    <row r="186" spans="1:16">
      <c r="A186" s="4064"/>
      <c r="B186" s="1095" t="s">
        <v>20</v>
      </c>
      <c r="C186" s="1095"/>
      <c r="D186" s="1019">
        <f>D189+D187</f>
        <v>1130066</v>
      </c>
      <c r="E186" s="1019">
        <f t="shared" ref="E186" si="144">E189+E187</f>
        <v>621985</v>
      </c>
      <c r="F186" s="1019">
        <f t="shared" ref="F186:J186" si="145">F189+F187</f>
        <v>508081</v>
      </c>
      <c r="G186" s="1983">
        <f t="shared" si="145"/>
        <v>0</v>
      </c>
      <c r="H186" s="1983">
        <f t="shared" si="145"/>
        <v>0</v>
      </c>
      <c r="I186" s="1983">
        <f t="shared" si="145"/>
        <v>0</v>
      </c>
      <c r="J186" s="1983">
        <f t="shared" si="145"/>
        <v>0</v>
      </c>
      <c r="K186" s="1019">
        <f>K189+K187</f>
        <v>0</v>
      </c>
      <c r="L186" s="1983">
        <f>L189+L187</f>
        <v>0</v>
      </c>
      <c r="M186" s="4070" t="s">
        <v>51</v>
      </c>
      <c r="N186" s="3938" t="s">
        <v>362</v>
      </c>
      <c r="O186" s="3646"/>
      <c r="P186" s="3645"/>
    </row>
    <row r="187" spans="1:16" s="1728" customFormat="1">
      <c r="A187" s="4064"/>
      <c r="B187" s="1102" t="s">
        <v>22</v>
      </c>
      <c r="C187" s="4071" t="s">
        <v>290</v>
      </c>
      <c r="D187" s="807">
        <f t="shared" ref="D187:J189" si="146">+D188</f>
        <v>123428</v>
      </c>
      <c r="E187" s="807">
        <f t="shared" si="146"/>
        <v>67994</v>
      </c>
      <c r="F187" s="807">
        <f t="shared" si="146"/>
        <v>55434</v>
      </c>
      <c r="G187" s="833">
        <f t="shared" si="146"/>
        <v>0</v>
      </c>
      <c r="H187" s="833">
        <f t="shared" si="146"/>
        <v>0</v>
      </c>
      <c r="I187" s="833">
        <f t="shared" si="146"/>
        <v>0</v>
      </c>
      <c r="J187" s="833">
        <f t="shared" si="146"/>
        <v>0</v>
      </c>
      <c r="K187" s="807">
        <f>+K188</f>
        <v>0</v>
      </c>
      <c r="L187" s="833">
        <f>+L188</f>
        <v>0</v>
      </c>
      <c r="M187" s="4070"/>
      <c r="N187" s="3939"/>
      <c r="O187" s="3663"/>
      <c r="P187" s="3664"/>
    </row>
    <row r="188" spans="1:16" s="1728" customFormat="1">
      <c r="A188" s="4064"/>
      <c r="B188" s="1476" t="s">
        <v>12</v>
      </c>
      <c r="C188" s="4072"/>
      <c r="D188" s="789">
        <f>E188+L188+K188+F188+G188+H188+I188+J188</f>
        <v>123428</v>
      </c>
      <c r="E188" s="1045">
        <f>65294+2700</f>
        <v>67994</v>
      </c>
      <c r="F188" s="1045">
        <f>55134+300</f>
        <v>55434</v>
      </c>
      <c r="G188" s="1044">
        <v>0</v>
      </c>
      <c r="H188" s="1044">
        <v>0</v>
      </c>
      <c r="I188" s="1044">
        <v>0</v>
      </c>
      <c r="J188" s="1044">
        <v>0</v>
      </c>
      <c r="K188" s="1045"/>
      <c r="L188" s="1044">
        <v>0</v>
      </c>
      <c r="M188" s="4070"/>
      <c r="N188" s="3939"/>
      <c r="O188" s="3665">
        <f>D188-D179</f>
        <v>0</v>
      </c>
      <c r="P188" s="3664"/>
    </row>
    <row r="189" spans="1:16" ht="12.75" customHeight="1">
      <c r="A189" s="4064"/>
      <c r="B189" s="1096" t="s">
        <v>17</v>
      </c>
      <c r="C189" s="4072"/>
      <c r="D189" s="1037">
        <f t="shared" si="146"/>
        <v>1006638</v>
      </c>
      <c r="E189" s="807">
        <f t="shared" si="146"/>
        <v>553991</v>
      </c>
      <c r="F189" s="807">
        <f t="shared" si="146"/>
        <v>452647</v>
      </c>
      <c r="G189" s="833">
        <f t="shared" si="146"/>
        <v>0</v>
      </c>
      <c r="H189" s="833">
        <f t="shared" si="146"/>
        <v>0</v>
      </c>
      <c r="I189" s="833">
        <f t="shared" si="146"/>
        <v>0</v>
      </c>
      <c r="J189" s="833">
        <f t="shared" si="146"/>
        <v>0</v>
      </c>
      <c r="K189" s="807">
        <f>+K190</f>
        <v>0</v>
      </c>
      <c r="L189" s="833">
        <f>+L190</f>
        <v>0</v>
      </c>
      <c r="M189" s="4070"/>
      <c r="N189" s="3939"/>
      <c r="O189" s="3646"/>
      <c r="P189" s="3645"/>
    </row>
    <row r="190" spans="1:16" ht="13.5" thickBot="1">
      <c r="A190" s="4065"/>
      <c r="B190" s="1175" t="s">
        <v>19</v>
      </c>
      <c r="C190" s="4073"/>
      <c r="D190" s="1142">
        <f>E190+L190+K190+F190+G190+H190+I190+J190</f>
        <v>1006638</v>
      </c>
      <c r="E190" s="1014">
        <f>531041+22950</f>
        <v>553991</v>
      </c>
      <c r="F190" s="1014">
        <f>450097+2550</f>
        <v>452647</v>
      </c>
      <c r="G190" s="1015">
        <v>0</v>
      </c>
      <c r="H190" s="1015">
        <v>0</v>
      </c>
      <c r="I190" s="1015">
        <v>0</v>
      </c>
      <c r="J190" s="1015">
        <v>0</v>
      </c>
      <c r="K190" s="1014"/>
      <c r="L190" s="1015">
        <v>0</v>
      </c>
      <c r="M190" s="4032"/>
      <c r="N190" s="3940"/>
      <c r="O190" s="3649">
        <f>D190-D183</f>
        <v>0</v>
      </c>
      <c r="P190" s="3645"/>
    </row>
    <row r="191" spans="1:16" ht="29.25" customHeight="1" thickBot="1">
      <c r="A191" s="4175" t="s">
        <v>82</v>
      </c>
      <c r="B191" s="690" t="s">
        <v>346</v>
      </c>
      <c r="C191" s="691" t="s">
        <v>70</v>
      </c>
      <c r="D191" s="652"/>
      <c r="E191" s="1477"/>
      <c r="F191" s="1477"/>
      <c r="G191" s="1477"/>
      <c r="H191" s="1477"/>
      <c r="I191" s="1477"/>
      <c r="J191" s="21"/>
      <c r="K191" s="1477"/>
      <c r="L191" s="1477"/>
      <c r="M191" s="332"/>
      <c r="N191" s="4075" t="s">
        <v>246</v>
      </c>
      <c r="O191" s="3646"/>
      <c r="P191" s="3645"/>
    </row>
    <row r="192" spans="1:16" ht="13.5" thickBot="1">
      <c r="A192" s="4108"/>
      <c r="B192" s="1095" t="s">
        <v>9</v>
      </c>
      <c r="C192" s="692"/>
      <c r="D192" s="1101">
        <f t="shared" ref="D192:M192" si="147">+D193+D196</f>
        <v>32078</v>
      </c>
      <c r="E192" s="830">
        <f t="shared" ref="E192" si="148">+E193+E196</f>
        <v>32078</v>
      </c>
      <c r="F192" s="1975">
        <f t="shared" si="147"/>
        <v>0</v>
      </c>
      <c r="G192" s="1975">
        <f t="shared" si="147"/>
        <v>0</v>
      </c>
      <c r="H192" s="1975">
        <f t="shared" si="147"/>
        <v>0</v>
      </c>
      <c r="I192" s="1975">
        <f t="shared" si="147"/>
        <v>0</v>
      </c>
      <c r="J192" s="1975">
        <f t="shared" si="147"/>
        <v>0</v>
      </c>
      <c r="K192" s="830">
        <f>+K193+K196</f>
        <v>0</v>
      </c>
      <c r="L192" s="1975">
        <f>+L193+L196</f>
        <v>0</v>
      </c>
      <c r="M192" s="2716">
        <f t="shared" si="147"/>
        <v>0</v>
      </c>
      <c r="N192" s="4076"/>
      <c r="O192" s="3646"/>
      <c r="P192" s="3645"/>
    </row>
    <row r="193" spans="1:16" ht="13.5" thickBot="1">
      <c r="A193" s="4108"/>
      <c r="B193" s="1096" t="s">
        <v>22</v>
      </c>
      <c r="C193" s="4068" t="s">
        <v>347</v>
      </c>
      <c r="D193" s="1008">
        <f t="shared" ref="D193:J193" si="149">+D194+D195</f>
        <v>4811</v>
      </c>
      <c r="E193" s="1008">
        <f t="shared" ref="E193" si="150">+E194+E195</f>
        <v>4811</v>
      </c>
      <c r="F193" s="1976">
        <f t="shared" si="149"/>
        <v>0</v>
      </c>
      <c r="G193" s="1976">
        <f t="shared" si="149"/>
        <v>0</v>
      </c>
      <c r="H193" s="1976">
        <f t="shared" si="149"/>
        <v>0</v>
      </c>
      <c r="I193" s="1976">
        <f t="shared" si="149"/>
        <v>0</v>
      </c>
      <c r="J193" s="1976">
        <f t="shared" si="149"/>
        <v>0</v>
      </c>
      <c r="K193" s="1008">
        <f>+K194+K195</f>
        <v>0</v>
      </c>
      <c r="L193" s="1976">
        <f>+L194+L195</f>
        <v>0</v>
      </c>
      <c r="M193" s="2731">
        <f>+M194+M195</f>
        <v>0</v>
      </c>
      <c r="N193" s="4076"/>
      <c r="O193" s="3646"/>
      <c r="P193" s="3645"/>
    </row>
    <row r="194" spans="1:16" ht="13.5" thickBot="1">
      <c r="A194" s="4108"/>
      <c r="B194" s="1097" t="s">
        <v>11</v>
      </c>
      <c r="C194" s="4069"/>
      <c r="D194" s="766">
        <f>E194+L194+K194+F194+G194+H194+I194+J194</f>
        <v>1604</v>
      </c>
      <c r="E194" s="1023">
        <f>2975-1275-96</f>
        <v>1604</v>
      </c>
      <c r="F194" s="1979">
        <v>0</v>
      </c>
      <c r="G194" s="1979">
        <v>0</v>
      </c>
      <c r="H194" s="1979">
        <v>0</v>
      </c>
      <c r="I194" s="1979">
        <v>0</v>
      </c>
      <c r="J194" s="1979">
        <v>0</v>
      </c>
      <c r="K194" s="1023"/>
      <c r="L194" s="1979">
        <v>0</v>
      </c>
      <c r="M194" s="2718">
        <f>SUM(F194:J194)</f>
        <v>0</v>
      </c>
      <c r="N194" s="4076"/>
      <c r="O194" s="3646"/>
      <c r="P194" s="3645"/>
    </row>
    <row r="195" spans="1:16" s="1043" customFormat="1" ht="13.5" thickBot="1">
      <c r="A195" s="4108"/>
      <c r="B195" s="1476" t="s">
        <v>12</v>
      </c>
      <c r="C195" s="4069"/>
      <c r="D195" s="766">
        <f>E195+L195+K195+F195+G195+H195+I195+J195</f>
        <v>3207</v>
      </c>
      <c r="E195" s="1023">
        <f>5950-2550-193</f>
        <v>3207</v>
      </c>
      <c r="F195" s="1979">
        <v>0</v>
      </c>
      <c r="G195" s="1979">
        <v>0</v>
      </c>
      <c r="H195" s="1979">
        <v>0</v>
      </c>
      <c r="I195" s="1979">
        <v>0</v>
      </c>
      <c r="J195" s="1979">
        <v>0</v>
      </c>
      <c r="K195" s="1023"/>
      <c r="L195" s="1979">
        <v>0</v>
      </c>
      <c r="M195" s="2718">
        <f>SUM(F195:J195)</f>
        <v>0</v>
      </c>
      <c r="N195" s="4076"/>
      <c r="O195" s="2097"/>
    </row>
    <row r="196" spans="1:16" ht="13.5" thickBot="1">
      <c r="A196" s="4108"/>
      <c r="B196" s="1096" t="s">
        <v>17</v>
      </c>
      <c r="C196" s="4069"/>
      <c r="D196" s="807">
        <f>+D197</f>
        <v>27267</v>
      </c>
      <c r="E196" s="807">
        <f t="shared" ref="E196:J196" si="151">+E197</f>
        <v>27267</v>
      </c>
      <c r="F196" s="833">
        <f t="shared" si="151"/>
        <v>0</v>
      </c>
      <c r="G196" s="833">
        <f t="shared" si="151"/>
        <v>0</v>
      </c>
      <c r="H196" s="833">
        <f t="shared" si="151"/>
        <v>0</v>
      </c>
      <c r="I196" s="833">
        <f t="shared" si="151"/>
        <v>0</v>
      </c>
      <c r="J196" s="833">
        <f t="shared" si="151"/>
        <v>0</v>
      </c>
      <c r="K196" s="807">
        <f>+K197</f>
        <v>0</v>
      </c>
      <c r="L196" s="833">
        <f>+L197</f>
        <v>0</v>
      </c>
      <c r="M196" s="2730">
        <f>+M197</f>
        <v>0</v>
      </c>
      <c r="N196" s="4076"/>
      <c r="O196" s="3646"/>
      <c r="P196" s="3645"/>
    </row>
    <row r="197" spans="1:16" ht="13.5" thickBot="1">
      <c r="A197" s="4108"/>
      <c r="B197" s="1097" t="s">
        <v>19</v>
      </c>
      <c r="C197" s="4069"/>
      <c r="D197" s="766">
        <f>E197+L197+K197+F197+G197+H197+I197+J197</f>
        <v>27267</v>
      </c>
      <c r="E197" s="810">
        <f>50575-21675-1633</f>
        <v>27267</v>
      </c>
      <c r="F197" s="1570">
        <v>0</v>
      </c>
      <c r="G197" s="1570">
        <v>0</v>
      </c>
      <c r="H197" s="1570">
        <v>0</v>
      </c>
      <c r="I197" s="1570">
        <v>0</v>
      </c>
      <c r="J197" s="1570">
        <v>0</v>
      </c>
      <c r="K197" s="810"/>
      <c r="L197" s="1570">
        <v>0</v>
      </c>
      <c r="M197" s="2718">
        <f>SUM(F197:J197)</f>
        <v>0</v>
      </c>
      <c r="N197" s="4076"/>
      <c r="O197" s="3646"/>
      <c r="P197" s="3645"/>
    </row>
    <row r="198" spans="1:16" ht="13.5" thickBot="1">
      <c r="A198" s="4108"/>
      <c r="B198" s="1095" t="s">
        <v>20</v>
      </c>
      <c r="C198" s="1095"/>
      <c r="D198" s="1019">
        <f>D201+D199</f>
        <v>30474</v>
      </c>
      <c r="E198" s="1019">
        <f t="shared" ref="E198" si="152">E201+E199</f>
        <v>30474</v>
      </c>
      <c r="F198" s="1983">
        <f t="shared" ref="F198" si="153">F201+F199</f>
        <v>0</v>
      </c>
      <c r="G198" s="1983">
        <f t="shared" ref="G198" si="154">G201+G199</f>
        <v>0</v>
      </c>
      <c r="H198" s="1983">
        <f t="shared" ref="H198" si="155">H201+H199</f>
        <v>0</v>
      </c>
      <c r="I198" s="1983">
        <f t="shared" ref="I198" si="156">I201+I199</f>
        <v>0</v>
      </c>
      <c r="J198" s="1983">
        <f t="shared" ref="J198" si="157">J201+J199</f>
        <v>0</v>
      </c>
      <c r="K198" s="1019">
        <f>K201+K199</f>
        <v>0</v>
      </c>
      <c r="L198" s="1983">
        <f t="shared" ref="L198" si="158">L201+L199</f>
        <v>0</v>
      </c>
      <c r="M198" s="4070" t="s">
        <v>51</v>
      </c>
      <c r="N198" s="3938" t="s">
        <v>362</v>
      </c>
      <c r="O198" s="3646"/>
      <c r="P198" s="3645"/>
    </row>
    <row r="199" spans="1:16" s="1728" customFormat="1" ht="13.5" thickBot="1">
      <c r="A199" s="4108"/>
      <c r="B199" s="1102" t="s">
        <v>22</v>
      </c>
      <c r="C199" s="4071" t="s">
        <v>290</v>
      </c>
      <c r="D199" s="807">
        <f t="shared" ref="D199:J201" si="159">+D200</f>
        <v>3207</v>
      </c>
      <c r="E199" s="807">
        <f t="shared" si="159"/>
        <v>3207</v>
      </c>
      <c r="F199" s="833">
        <f t="shared" si="159"/>
        <v>0</v>
      </c>
      <c r="G199" s="833">
        <f t="shared" si="159"/>
        <v>0</v>
      </c>
      <c r="H199" s="833">
        <f t="shared" si="159"/>
        <v>0</v>
      </c>
      <c r="I199" s="833">
        <f t="shared" si="159"/>
        <v>0</v>
      </c>
      <c r="J199" s="833">
        <f t="shared" si="159"/>
        <v>0</v>
      </c>
      <c r="K199" s="807">
        <f>+K200</f>
        <v>0</v>
      </c>
      <c r="L199" s="833">
        <f>+L200</f>
        <v>0</v>
      </c>
      <c r="M199" s="4070"/>
      <c r="N199" s="3939"/>
      <c r="O199" s="3663"/>
      <c r="P199" s="3664"/>
    </row>
    <row r="200" spans="1:16" s="1728" customFormat="1" ht="13.5" thickBot="1">
      <c r="A200" s="4108"/>
      <c r="B200" s="1476" t="s">
        <v>12</v>
      </c>
      <c r="C200" s="4072"/>
      <c r="D200" s="789">
        <f>E200+L200+K200+F200+G200+H200+I200+J200</f>
        <v>3207</v>
      </c>
      <c r="E200" s="1045">
        <f>5950-2550-193</f>
        <v>3207</v>
      </c>
      <c r="F200" s="2171">
        <v>0</v>
      </c>
      <c r="G200" s="2171">
        <v>0</v>
      </c>
      <c r="H200" s="2171">
        <v>0</v>
      </c>
      <c r="I200" s="2171">
        <v>0</v>
      </c>
      <c r="J200" s="2171">
        <v>0</v>
      </c>
      <c r="K200" s="1045"/>
      <c r="L200" s="1044">
        <v>0</v>
      </c>
      <c r="M200" s="4070"/>
      <c r="N200" s="3939"/>
      <c r="O200" s="3665">
        <f>D200-D195</f>
        <v>0</v>
      </c>
      <c r="P200" s="3664"/>
    </row>
    <row r="201" spans="1:16" ht="12.75" customHeight="1" thickBot="1">
      <c r="A201" s="4108"/>
      <c r="B201" s="1096" t="s">
        <v>17</v>
      </c>
      <c r="C201" s="4072"/>
      <c r="D201" s="1037">
        <f t="shared" si="159"/>
        <v>27267</v>
      </c>
      <c r="E201" s="807">
        <f t="shared" si="159"/>
        <v>27267</v>
      </c>
      <c r="F201" s="833">
        <f t="shared" si="159"/>
        <v>0</v>
      </c>
      <c r="G201" s="833">
        <f t="shared" si="159"/>
        <v>0</v>
      </c>
      <c r="H201" s="833">
        <f t="shared" si="159"/>
        <v>0</v>
      </c>
      <c r="I201" s="833">
        <f t="shared" si="159"/>
        <v>0</v>
      </c>
      <c r="J201" s="833">
        <f t="shared" si="159"/>
        <v>0</v>
      </c>
      <c r="K201" s="807">
        <f>+K202</f>
        <v>0</v>
      </c>
      <c r="L201" s="833">
        <f>+L202</f>
        <v>0</v>
      </c>
      <c r="M201" s="4070"/>
      <c r="N201" s="3939"/>
      <c r="O201" s="3646"/>
      <c r="P201" s="3645"/>
    </row>
    <row r="202" spans="1:16" ht="13.5" thickBot="1">
      <c r="A202" s="4108"/>
      <c r="B202" s="1175" t="s">
        <v>19</v>
      </c>
      <c r="C202" s="4073"/>
      <c r="D202" s="1142">
        <f>E202+L202+K202+F202+G202+H202+I202+J202</f>
        <v>27267</v>
      </c>
      <c r="E202" s="1014">
        <f>50575-21675-1633</f>
        <v>27267</v>
      </c>
      <c r="F202" s="1015">
        <v>0</v>
      </c>
      <c r="G202" s="1015">
        <v>0</v>
      </c>
      <c r="H202" s="1015">
        <v>0</v>
      </c>
      <c r="I202" s="1015">
        <v>0</v>
      </c>
      <c r="J202" s="1015">
        <v>0</v>
      </c>
      <c r="K202" s="1014"/>
      <c r="L202" s="1015">
        <v>0</v>
      </c>
      <c r="M202" s="4032"/>
      <c r="N202" s="3940"/>
      <c r="O202" s="3649">
        <f>D202-D197</f>
        <v>0</v>
      </c>
      <c r="P202" s="3645"/>
    </row>
    <row r="203" spans="1:16" s="1729" customFormat="1" ht="25.5" customHeight="1" thickBot="1">
      <c r="A203" s="4108" t="s">
        <v>83</v>
      </c>
      <c r="B203" s="690" t="s">
        <v>359</v>
      </c>
      <c r="C203" s="691" t="s">
        <v>97</v>
      </c>
      <c r="D203" s="652"/>
      <c r="E203" s="1477"/>
      <c r="F203" s="1477"/>
      <c r="G203" s="1477"/>
      <c r="H203" s="1477"/>
      <c r="I203" s="1477"/>
      <c r="J203" s="21"/>
      <c r="K203" s="1477"/>
      <c r="L203" s="1477"/>
      <c r="M203" s="332"/>
      <c r="N203" s="4075" t="s">
        <v>250</v>
      </c>
      <c r="O203" s="3649"/>
      <c r="P203" s="3666"/>
    </row>
    <row r="204" spans="1:16" s="1729" customFormat="1" ht="13.5" thickBot="1">
      <c r="A204" s="4108"/>
      <c r="B204" s="1095" t="s">
        <v>9</v>
      </c>
      <c r="C204" s="692"/>
      <c r="D204" s="1101">
        <f>+D205+D212</f>
        <v>828175</v>
      </c>
      <c r="E204" s="830">
        <f t="shared" ref="E204" si="160">+E205+E212</f>
        <v>311139</v>
      </c>
      <c r="F204" s="830">
        <f t="shared" ref="F204:M204" si="161">+F205+F212</f>
        <v>517036</v>
      </c>
      <c r="G204" s="1975">
        <f t="shared" si="161"/>
        <v>0</v>
      </c>
      <c r="H204" s="1975">
        <f t="shared" si="161"/>
        <v>0</v>
      </c>
      <c r="I204" s="1975">
        <f t="shared" si="161"/>
        <v>0</v>
      </c>
      <c r="J204" s="1975">
        <f t="shared" si="161"/>
        <v>0</v>
      </c>
      <c r="K204" s="830">
        <f>+K205+K212</f>
        <v>0</v>
      </c>
      <c r="L204" s="1975">
        <f>+L205+L212</f>
        <v>0</v>
      </c>
      <c r="M204" s="799">
        <f t="shared" si="161"/>
        <v>517036</v>
      </c>
      <c r="N204" s="4076"/>
      <c r="O204" s="3649"/>
      <c r="P204" s="3666"/>
    </row>
    <row r="205" spans="1:16" s="1729" customFormat="1" ht="13.5" thickBot="1">
      <c r="A205" s="4108"/>
      <c r="B205" s="1096" t="s">
        <v>22</v>
      </c>
      <c r="C205" s="4068" t="s">
        <v>352</v>
      </c>
      <c r="D205" s="1008">
        <f>+D206+D209</f>
        <v>124226</v>
      </c>
      <c r="E205" s="1008">
        <f t="shared" ref="E205" si="162">+E206+E209</f>
        <v>46682</v>
      </c>
      <c r="F205" s="1008">
        <f t="shared" ref="F205:J205" si="163">+F206+F209</f>
        <v>77544</v>
      </c>
      <c r="G205" s="1976">
        <f t="shared" si="163"/>
        <v>0</v>
      </c>
      <c r="H205" s="1976">
        <f t="shared" si="163"/>
        <v>0</v>
      </c>
      <c r="I205" s="1976">
        <f t="shared" si="163"/>
        <v>0</v>
      </c>
      <c r="J205" s="1976">
        <f t="shared" si="163"/>
        <v>0</v>
      </c>
      <c r="K205" s="1008">
        <f>+K206+K209</f>
        <v>0</v>
      </c>
      <c r="L205" s="1976">
        <f>+L206+L209</f>
        <v>0</v>
      </c>
      <c r="M205" s="1176">
        <f>+M206+M209</f>
        <v>77544</v>
      </c>
      <c r="N205" s="4076"/>
      <c r="O205" s="3649"/>
      <c r="P205" s="3666"/>
    </row>
    <row r="206" spans="1:16" s="1729" customFormat="1" ht="13.5" thickBot="1">
      <c r="A206" s="4108"/>
      <c r="B206" s="1097" t="s">
        <v>11</v>
      </c>
      <c r="C206" s="4069"/>
      <c r="D206" s="766">
        <f>E206+L206+K206+F206+G206+H206+I206+J206</f>
        <v>41409</v>
      </c>
      <c r="E206" s="1023">
        <f>E207+E208</f>
        <v>15557</v>
      </c>
      <c r="F206" s="1023">
        <f t="shared" ref="F206:J206" si="164">F207+F208</f>
        <v>25852</v>
      </c>
      <c r="G206" s="1979">
        <f t="shared" si="164"/>
        <v>0</v>
      </c>
      <c r="H206" s="1979">
        <f t="shared" si="164"/>
        <v>0</v>
      </c>
      <c r="I206" s="1979">
        <f t="shared" si="164"/>
        <v>0</v>
      </c>
      <c r="J206" s="1979">
        <f t="shared" si="164"/>
        <v>0</v>
      </c>
      <c r="K206" s="1023">
        <f>K207+K208</f>
        <v>0</v>
      </c>
      <c r="L206" s="1979">
        <v>0</v>
      </c>
      <c r="M206" s="1018">
        <f t="shared" ref="M206:M211" si="165">SUM(F206:J206)</f>
        <v>25852</v>
      </c>
      <c r="N206" s="4076"/>
      <c r="O206" s="3649"/>
      <c r="P206" s="3666"/>
    </row>
    <row r="207" spans="1:16" s="1729" customFormat="1" ht="13.5" hidden="1" thickBot="1">
      <c r="A207" s="4108"/>
      <c r="B207" s="1986" t="s">
        <v>237</v>
      </c>
      <c r="C207" s="4069"/>
      <c r="D207" s="1980">
        <f>SUM(E207:J207)</f>
        <v>16432</v>
      </c>
      <c r="E207" s="1981">
        <f>7931-1224</f>
        <v>6707</v>
      </c>
      <c r="F207" s="1981">
        <f>8501+1224</f>
        <v>9725</v>
      </c>
      <c r="G207" s="1042">
        <v>0</v>
      </c>
      <c r="H207" s="1042">
        <v>0</v>
      </c>
      <c r="I207" s="1042">
        <v>0</v>
      </c>
      <c r="J207" s="1042">
        <v>0</v>
      </c>
      <c r="K207" s="1981"/>
      <c r="L207" s="1982">
        <v>0</v>
      </c>
      <c r="M207" s="1977">
        <f t="shared" si="165"/>
        <v>9725</v>
      </c>
      <c r="N207" s="4076"/>
      <c r="O207" s="3649"/>
      <c r="P207" s="3666"/>
    </row>
    <row r="208" spans="1:16" s="1729" customFormat="1" ht="13.5" hidden="1" thickBot="1">
      <c r="A208" s="4108"/>
      <c r="B208" s="1987" t="s">
        <v>246</v>
      </c>
      <c r="C208" s="4069"/>
      <c r="D208" s="1988">
        <f>SUM(E208:J208)</f>
        <v>24977</v>
      </c>
      <c r="E208" s="1990">
        <f>12424-3574</f>
        <v>8850</v>
      </c>
      <c r="F208" s="1990">
        <f>12553+3574</f>
        <v>16127</v>
      </c>
      <c r="G208" s="1989">
        <v>0</v>
      </c>
      <c r="H208" s="1989">
        <v>0</v>
      </c>
      <c r="I208" s="1989">
        <v>0</v>
      </c>
      <c r="J208" s="1989">
        <v>0</v>
      </c>
      <c r="K208" s="1990"/>
      <c r="L208" s="1991">
        <v>0</v>
      </c>
      <c r="M208" s="1977">
        <f t="shared" si="165"/>
        <v>16127</v>
      </c>
      <c r="N208" s="4076"/>
      <c r="O208" s="3649"/>
      <c r="P208" s="3666"/>
    </row>
    <row r="209" spans="1:16" s="1729" customFormat="1" ht="13.5" thickBot="1">
      <c r="A209" s="4108"/>
      <c r="B209" s="1476" t="s">
        <v>12</v>
      </c>
      <c r="C209" s="4069"/>
      <c r="D209" s="766">
        <f>E209+L209+K209+F209+G209+H209+I209+J209</f>
        <v>82817</v>
      </c>
      <c r="E209" s="1023">
        <f>E210+E211</f>
        <v>31125</v>
      </c>
      <c r="F209" s="1023">
        <f t="shared" ref="F209:J209" si="166">F210+F211</f>
        <v>51692</v>
      </c>
      <c r="G209" s="1979">
        <f t="shared" si="166"/>
        <v>0</v>
      </c>
      <c r="H209" s="1979">
        <f t="shared" si="166"/>
        <v>0</v>
      </c>
      <c r="I209" s="1979">
        <f t="shared" si="166"/>
        <v>0</v>
      </c>
      <c r="J209" s="1979">
        <f t="shared" si="166"/>
        <v>0</v>
      </c>
      <c r="K209" s="1023">
        <f>K210+K211</f>
        <v>0</v>
      </c>
      <c r="L209" s="1979">
        <v>0</v>
      </c>
      <c r="M209" s="1018">
        <f t="shared" si="165"/>
        <v>51692</v>
      </c>
      <c r="N209" s="4076"/>
      <c r="O209" s="3649"/>
      <c r="P209" s="3666"/>
    </row>
    <row r="210" spans="1:16" s="1729" customFormat="1" ht="13.5" hidden="1" thickBot="1">
      <c r="A210" s="4108"/>
      <c r="B210" s="1986" t="s">
        <v>237</v>
      </c>
      <c r="C210" s="4069"/>
      <c r="D210" s="1980">
        <f>SUM(E210:J210)</f>
        <v>32863</v>
      </c>
      <c r="E210" s="1981">
        <f>15862-2443</f>
        <v>13419</v>
      </c>
      <c r="F210" s="1981">
        <f>17001+2443</f>
        <v>19444</v>
      </c>
      <c r="G210" s="1042">
        <v>0</v>
      </c>
      <c r="H210" s="1042">
        <v>0</v>
      </c>
      <c r="I210" s="1042">
        <v>0</v>
      </c>
      <c r="J210" s="1042">
        <v>0</v>
      </c>
      <c r="K210" s="1981"/>
      <c r="L210" s="1982">
        <v>0</v>
      </c>
      <c r="M210" s="1018">
        <f t="shared" si="165"/>
        <v>19444</v>
      </c>
      <c r="N210" s="4076"/>
      <c r="O210" s="3649"/>
      <c r="P210" s="3666"/>
    </row>
    <row r="211" spans="1:16" s="1729" customFormat="1" ht="13.5" hidden="1" thickBot="1">
      <c r="A211" s="4108"/>
      <c r="B211" s="1987" t="s">
        <v>246</v>
      </c>
      <c r="C211" s="4069"/>
      <c r="D211" s="1988">
        <f>SUM(E211:J211)</f>
        <v>49954</v>
      </c>
      <c r="E211" s="1990">
        <f>24848-7142</f>
        <v>17706</v>
      </c>
      <c r="F211" s="1990">
        <f>25106+7142</f>
        <v>32248</v>
      </c>
      <c r="G211" s="1989">
        <v>0</v>
      </c>
      <c r="H211" s="1989">
        <v>0</v>
      </c>
      <c r="I211" s="1989">
        <v>0</v>
      </c>
      <c r="J211" s="1989">
        <v>0</v>
      </c>
      <c r="K211" s="1990"/>
      <c r="L211" s="1991">
        <v>0</v>
      </c>
      <c r="M211" s="1018">
        <f t="shared" si="165"/>
        <v>32248</v>
      </c>
      <c r="N211" s="4076"/>
      <c r="O211" s="3649"/>
      <c r="P211" s="3666"/>
    </row>
    <row r="212" spans="1:16" s="1729" customFormat="1" ht="13.5" thickBot="1">
      <c r="A212" s="4108"/>
      <c r="B212" s="1096" t="s">
        <v>17</v>
      </c>
      <c r="C212" s="4069"/>
      <c r="D212" s="807">
        <f>+D213</f>
        <v>703949</v>
      </c>
      <c r="E212" s="807">
        <f t="shared" ref="E212:J212" si="167">+E213</f>
        <v>264457</v>
      </c>
      <c r="F212" s="807">
        <f t="shared" si="167"/>
        <v>439492</v>
      </c>
      <c r="G212" s="833">
        <f t="shared" si="167"/>
        <v>0</v>
      </c>
      <c r="H212" s="833">
        <f t="shared" si="167"/>
        <v>0</v>
      </c>
      <c r="I212" s="833">
        <f t="shared" si="167"/>
        <v>0</v>
      </c>
      <c r="J212" s="833">
        <f t="shared" si="167"/>
        <v>0</v>
      </c>
      <c r="K212" s="807">
        <f>+K213</f>
        <v>0</v>
      </c>
      <c r="L212" s="833">
        <f>+L213</f>
        <v>0</v>
      </c>
      <c r="M212" s="1020">
        <f>+M213</f>
        <v>439492</v>
      </c>
      <c r="N212" s="4076"/>
      <c r="O212" s="3649"/>
      <c r="P212" s="3666"/>
    </row>
    <row r="213" spans="1:16" s="1729" customFormat="1" ht="13.5" thickBot="1">
      <c r="A213" s="4108"/>
      <c r="B213" s="1097" t="s">
        <v>19</v>
      </c>
      <c r="C213" s="4069"/>
      <c r="D213" s="766">
        <f>E213+L213+K213+F213+G213+H213+I213+J213</f>
        <v>703949</v>
      </c>
      <c r="E213" s="810">
        <f>E214+E215</f>
        <v>264457</v>
      </c>
      <c r="F213" s="810">
        <f t="shared" ref="F213:J213" si="168">F214+F215</f>
        <v>439492</v>
      </c>
      <c r="G213" s="1570">
        <f t="shared" si="168"/>
        <v>0</v>
      </c>
      <c r="H213" s="1570">
        <f t="shared" si="168"/>
        <v>0</v>
      </c>
      <c r="I213" s="1570">
        <f t="shared" si="168"/>
        <v>0</v>
      </c>
      <c r="J213" s="1570">
        <f t="shared" si="168"/>
        <v>0</v>
      </c>
      <c r="K213" s="810">
        <f>K214+K215</f>
        <v>0</v>
      </c>
      <c r="L213" s="1570">
        <v>0</v>
      </c>
      <c r="M213" s="1018">
        <f>SUM(F213:J213)</f>
        <v>439492</v>
      </c>
      <c r="N213" s="4076"/>
      <c r="O213" s="3649"/>
      <c r="P213" s="3666"/>
    </row>
    <row r="214" spans="1:16" s="1729" customFormat="1" ht="13.5" hidden="1" thickBot="1">
      <c r="A214" s="4108"/>
      <c r="B214" s="1986" t="s">
        <v>237</v>
      </c>
      <c r="C214" s="1992"/>
      <c r="D214" s="1980">
        <f>SUM(E214:J214)</f>
        <v>279340</v>
      </c>
      <c r="E214" s="1981">
        <f>134827-20811</f>
        <v>114016</v>
      </c>
      <c r="F214" s="1981">
        <f>144513+20811</f>
        <v>165324</v>
      </c>
      <c r="G214" s="1042">
        <v>0</v>
      </c>
      <c r="H214" s="1042">
        <v>0</v>
      </c>
      <c r="I214" s="1042">
        <v>0</v>
      </c>
      <c r="J214" s="1042">
        <v>0</v>
      </c>
      <c r="K214" s="1981"/>
      <c r="L214" s="1042">
        <v>0</v>
      </c>
      <c r="M214" s="1977">
        <f>SUM(F214:J214)</f>
        <v>165324</v>
      </c>
      <c r="N214" s="4076"/>
      <c r="O214" s="3649"/>
      <c r="P214" s="3666"/>
    </row>
    <row r="215" spans="1:16" s="1729" customFormat="1" ht="13.5" hidden="1" thickBot="1">
      <c r="A215" s="4108"/>
      <c r="B215" s="1987" t="s">
        <v>246</v>
      </c>
      <c r="C215" s="1993"/>
      <c r="D215" s="1988">
        <f>SUM(E215:J215)</f>
        <v>424609</v>
      </c>
      <c r="E215" s="1990">
        <f>211208-60767</f>
        <v>150441</v>
      </c>
      <c r="F215" s="1990">
        <f>213401+60767</f>
        <v>274168</v>
      </c>
      <c r="G215" s="1989">
        <v>0</v>
      </c>
      <c r="H215" s="1989">
        <v>0</v>
      </c>
      <c r="I215" s="1989">
        <v>0</v>
      </c>
      <c r="J215" s="1989">
        <v>0</v>
      </c>
      <c r="K215" s="1990"/>
      <c r="L215" s="1989">
        <v>0</v>
      </c>
      <c r="M215" s="1977">
        <f>SUM(F215:J215)</f>
        <v>274168</v>
      </c>
      <c r="N215" s="4077"/>
      <c r="O215" s="3649"/>
      <c r="P215" s="3666"/>
    </row>
    <row r="216" spans="1:16" s="1729" customFormat="1" ht="13.5" thickBot="1">
      <c r="A216" s="4109"/>
      <c r="B216" s="1095" t="s">
        <v>20</v>
      </c>
      <c r="C216" s="1095"/>
      <c r="D216" s="1019">
        <f>D219+D217</f>
        <v>786766</v>
      </c>
      <c r="E216" s="1019">
        <f t="shared" ref="E216" si="169">E219+E217</f>
        <v>306983</v>
      </c>
      <c r="F216" s="1019">
        <f t="shared" ref="F216:J216" si="170">F219+F217</f>
        <v>479783</v>
      </c>
      <c r="G216" s="1983">
        <f t="shared" si="170"/>
        <v>0</v>
      </c>
      <c r="H216" s="1983">
        <f t="shared" si="170"/>
        <v>0</v>
      </c>
      <c r="I216" s="1983">
        <f t="shared" si="170"/>
        <v>0</v>
      </c>
      <c r="J216" s="1983">
        <f t="shared" si="170"/>
        <v>0</v>
      </c>
      <c r="K216" s="1019">
        <f>K219+K217</f>
        <v>0</v>
      </c>
      <c r="L216" s="1983">
        <f>L219+L217</f>
        <v>0</v>
      </c>
      <c r="M216" s="4032" t="s">
        <v>51</v>
      </c>
      <c r="N216" s="4104" t="s">
        <v>351</v>
      </c>
      <c r="O216" s="3649"/>
      <c r="P216" s="3666"/>
    </row>
    <row r="217" spans="1:16" s="1729" customFormat="1" ht="13.5" thickBot="1">
      <c r="A217" s="4109"/>
      <c r="B217" s="1102" t="s">
        <v>22</v>
      </c>
      <c r="C217" s="4105" t="s">
        <v>290</v>
      </c>
      <c r="D217" s="807">
        <f t="shared" ref="D217:J219" si="171">+D218</f>
        <v>82817</v>
      </c>
      <c r="E217" s="807">
        <f t="shared" si="171"/>
        <v>32325</v>
      </c>
      <c r="F217" s="807">
        <f t="shared" si="171"/>
        <v>50492</v>
      </c>
      <c r="G217" s="833">
        <f t="shared" si="171"/>
        <v>0</v>
      </c>
      <c r="H217" s="833">
        <f t="shared" si="171"/>
        <v>0</v>
      </c>
      <c r="I217" s="833">
        <f t="shared" si="171"/>
        <v>0</v>
      </c>
      <c r="J217" s="833">
        <f t="shared" si="171"/>
        <v>0</v>
      </c>
      <c r="K217" s="807">
        <f>+K218</f>
        <v>0</v>
      </c>
      <c r="L217" s="833">
        <f>+L218</f>
        <v>0</v>
      </c>
      <c r="M217" s="3990"/>
      <c r="N217" s="3989"/>
      <c r="O217" s="3649"/>
      <c r="P217" s="3666"/>
    </row>
    <row r="218" spans="1:16" s="1729" customFormat="1" ht="13.5" thickBot="1">
      <c r="A218" s="4109"/>
      <c r="B218" s="1476" t="s">
        <v>12</v>
      </c>
      <c r="C218" s="4106"/>
      <c r="D218" s="789">
        <f>E218+L218+K218+F218+G218+H218+I218+J218</f>
        <v>82817</v>
      </c>
      <c r="E218" s="1045">
        <f>40710-8385</f>
        <v>32325</v>
      </c>
      <c r="F218" s="1045">
        <f>42107+8385</f>
        <v>50492</v>
      </c>
      <c r="G218" s="1044">
        <v>0</v>
      </c>
      <c r="H218" s="1044">
        <v>0</v>
      </c>
      <c r="I218" s="1044">
        <v>0</v>
      </c>
      <c r="J218" s="1044">
        <v>0</v>
      </c>
      <c r="K218" s="1045"/>
      <c r="L218" s="1044">
        <v>0</v>
      </c>
      <c r="M218" s="3990"/>
      <c r="N218" s="3989"/>
      <c r="O218" s="3649">
        <f>D218-D209</f>
        <v>0</v>
      </c>
      <c r="P218" s="3666"/>
    </row>
    <row r="219" spans="1:16" s="1729" customFormat="1" ht="13.5" thickBot="1">
      <c r="A219" s="4109"/>
      <c r="B219" s="1096" t="s">
        <v>17</v>
      </c>
      <c r="C219" s="4106"/>
      <c r="D219" s="1037">
        <f t="shared" si="171"/>
        <v>703949</v>
      </c>
      <c r="E219" s="807">
        <f t="shared" si="171"/>
        <v>274658</v>
      </c>
      <c r="F219" s="807">
        <f t="shared" si="171"/>
        <v>429291</v>
      </c>
      <c r="G219" s="833">
        <f t="shared" si="171"/>
        <v>0</v>
      </c>
      <c r="H219" s="833">
        <f t="shared" si="171"/>
        <v>0</v>
      </c>
      <c r="I219" s="833">
        <f t="shared" si="171"/>
        <v>0</v>
      </c>
      <c r="J219" s="833">
        <f t="shared" si="171"/>
        <v>0</v>
      </c>
      <c r="K219" s="807">
        <f>+K220</f>
        <v>0</v>
      </c>
      <c r="L219" s="833">
        <f>+L220</f>
        <v>0</v>
      </c>
      <c r="M219" s="3990"/>
      <c r="N219" s="3989"/>
      <c r="O219" s="3649"/>
      <c r="P219" s="3666"/>
    </row>
    <row r="220" spans="1:16" s="1729" customFormat="1" ht="13.5" thickBot="1">
      <c r="A220" s="4109"/>
      <c r="B220" s="1175" t="s">
        <v>19</v>
      </c>
      <c r="C220" s="4106"/>
      <c r="D220" s="1142">
        <f>E220+L220+K220+F220+G220+H220+I220+J220</f>
        <v>703949</v>
      </c>
      <c r="E220" s="1014">
        <f>346035-71377</f>
        <v>274658</v>
      </c>
      <c r="F220" s="1014">
        <f>357914+71377</f>
        <v>429291</v>
      </c>
      <c r="G220" s="1015">
        <v>0</v>
      </c>
      <c r="H220" s="1015">
        <v>0</v>
      </c>
      <c r="I220" s="1015">
        <v>0</v>
      </c>
      <c r="J220" s="1015">
        <v>0</v>
      </c>
      <c r="K220" s="1014"/>
      <c r="L220" s="1015">
        <v>0</v>
      </c>
      <c r="M220" s="3990"/>
      <c r="N220" s="3989"/>
      <c r="O220" s="3649">
        <f>D220-D213</f>
        <v>0</v>
      </c>
      <c r="P220" s="3666"/>
    </row>
    <row r="221" spans="1:16" s="1729" customFormat="1" ht="26.25" customHeight="1" thickBot="1">
      <c r="A221" s="4062" t="s">
        <v>84</v>
      </c>
      <c r="B221" s="690" t="s">
        <v>357</v>
      </c>
      <c r="C221" s="691" t="s">
        <v>97</v>
      </c>
      <c r="D221" s="652"/>
      <c r="E221" s="1477"/>
      <c r="F221" s="1477"/>
      <c r="G221" s="1477"/>
      <c r="H221" s="1477"/>
      <c r="I221" s="1477"/>
      <c r="J221" s="21"/>
      <c r="K221" s="1477"/>
      <c r="L221" s="1477"/>
      <c r="M221" s="332"/>
      <c r="N221" s="4081" t="s">
        <v>250</v>
      </c>
      <c r="O221" s="3649"/>
      <c r="P221" s="3666"/>
    </row>
    <row r="222" spans="1:16" s="1729" customFormat="1" ht="13.5" thickBot="1">
      <c r="A222" s="4063"/>
      <c r="B222" s="1095" t="s">
        <v>9</v>
      </c>
      <c r="C222" s="692"/>
      <c r="D222" s="1101">
        <f t="shared" ref="D222:M222" si="172">+D223+D227</f>
        <v>9832942</v>
      </c>
      <c r="E222" s="830">
        <f t="shared" ref="E222" si="173">+E223+E227</f>
        <v>455533</v>
      </c>
      <c r="F222" s="830">
        <f t="shared" si="172"/>
        <v>3782259</v>
      </c>
      <c r="G222" s="830">
        <f t="shared" si="172"/>
        <v>2819850</v>
      </c>
      <c r="H222" s="830">
        <f t="shared" si="172"/>
        <v>2338050</v>
      </c>
      <c r="I222" s="830">
        <f t="shared" si="172"/>
        <v>437250</v>
      </c>
      <c r="J222" s="1975">
        <f t="shared" si="172"/>
        <v>0</v>
      </c>
      <c r="K222" s="830">
        <f>+K223+K227</f>
        <v>0</v>
      </c>
      <c r="L222" s="1975">
        <f>+L223+L227</f>
        <v>0</v>
      </c>
      <c r="M222" s="799">
        <f t="shared" si="172"/>
        <v>9377409</v>
      </c>
      <c r="N222" s="4081"/>
      <c r="O222" s="3649"/>
      <c r="P222" s="3666"/>
    </row>
    <row r="223" spans="1:16" s="1729" customFormat="1" ht="13.5" thickBot="1">
      <c r="A223" s="4063"/>
      <c r="B223" s="1096" t="s">
        <v>22</v>
      </c>
      <c r="C223" s="4068" t="s">
        <v>248</v>
      </c>
      <c r="D223" s="1008">
        <f>+D224</f>
        <v>1545738</v>
      </c>
      <c r="E223" s="1008">
        <f t="shared" ref="E223:J223" si="174">+E224</f>
        <v>71610</v>
      </c>
      <c r="F223" s="1008">
        <f t="shared" si="174"/>
        <v>594570</v>
      </c>
      <c r="G223" s="1008">
        <f t="shared" si="174"/>
        <v>443281</v>
      </c>
      <c r="H223" s="1008">
        <f t="shared" si="174"/>
        <v>367541</v>
      </c>
      <c r="I223" s="1008">
        <f t="shared" si="174"/>
        <v>68736</v>
      </c>
      <c r="J223" s="1976">
        <f t="shared" si="174"/>
        <v>0</v>
      </c>
      <c r="K223" s="1008">
        <f>+K224</f>
        <v>0</v>
      </c>
      <c r="L223" s="1976">
        <f>+L224</f>
        <v>0</v>
      </c>
      <c r="M223" s="1176">
        <f>+M224</f>
        <v>1474128</v>
      </c>
      <c r="N223" s="4081"/>
      <c r="O223" s="3649"/>
      <c r="P223" s="3666"/>
    </row>
    <row r="224" spans="1:16" s="1729" customFormat="1" ht="13.5" thickBot="1">
      <c r="A224" s="4063"/>
      <c r="B224" s="1476" t="s">
        <v>12</v>
      </c>
      <c r="C224" s="4069"/>
      <c r="D224" s="766">
        <f>E224+L224+K224+F224+G224+H224+I224+J224</f>
        <v>1545738</v>
      </c>
      <c r="E224" s="1023">
        <f>E225+E226</f>
        <v>71610</v>
      </c>
      <c r="F224" s="1023">
        <f t="shared" ref="F224:J224" si="175">F225+F226</f>
        <v>594570</v>
      </c>
      <c r="G224" s="1023">
        <f t="shared" si="175"/>
        <v>443281</v>
      </c>
      <c r="H224" s="1023">
        <f t="shared" si="175"/>
        <v>367541</v>
      </c>
      <c r="I224" s="1023">
        <f t="shared" si="175"/>
        <v>68736</v>
      </c>
      <c r="J224" s="1979">
        <f t="shared" si="175"/>
        <v>0</v>
      </c>
      <c r="K224" s="1023">
        <f>K225+K226</f>
        <v>0</v>
      </c>
      <c r="L224" s="1979">
        <v>0</v>
      </c>
      <c r="M224" s="1018">
        <f>SUM(F224:J224)</f>
        <v>1474128</v>
      </c>
      <c r="N224" s="4081"/>
      <c r="O224" s="3649">
        <f>D224-D233</f>
        <v>0</v>
      </c>
      <c r="P224" s="3666"/>
    </row>
    <row r="225" spans="1:16" s="1729" customFormat="1" ht="13.5" hidden="1" thickBot="1">
      <c r="A225" s="4063"/>
      <c r="B225" s="1986" t="s">
        <v>237</v>
      </c>
      <c r="C225" s="4069"/>
      <c r="D225" s="1980">
        <f>SUM(E225:J225)</f>
        <v>157767</v>
      </c>
      <c r="E225" s="1981">
        <f>14831-218</f>
        <v>14613</v>
      </c>
      <c r="F225" s="1981">
        <f>54829+218</f>
        <v>55047</v>
      </c>
      <c r="G225" s="1981">
        <v>41576</v>
      </c>
      <c r="H225" s="1981">
        <v>37625</v>
      </c>
      <c r="I225" s="1981">
        <v>8906</v>
      </c>
      <c r="J225" s="1042">
        <v>0</v>
      </c>
      <c r="K225" s="1981"/>
      <c r="L225" s="1982">
        <v>0</v>
      </c>
      <c r="M225" s="1018">
        <f>SUM(F225:J225)</f>
        <v>143154</v>
      </c>
      <c r="N225" s="4081"/>
      <c r="O225" s="3649"/>
      <c r="P225" s="3666"/>
    </row>
    <row r="226" spans="1:16" s="1729" customFormat="1" ht="13.5" hidden="1" thickBot="1">
      <c r="A226" s="4063"/>
      <c r="B226" s="1987" t="s">
        <v>246</v>
      </c>
      <c r="C226" s="4069"/>
      <c r="D226" s="1988">
        <f>SUM(E226:J226)</f>
        <v>1387971</v>
      </c>
      <c r="E226" s="1990">
        <f>71629-14632</f>
        <v>56997</v>
      </c>
      <c r="F226" s="1990">
        <f>593198+14632-68307</f>
        <v>539523</v>
      </c>
      <c r="G226" s="1990">
        <f>389047+12658</f>
        <v>401705</v>
      </c>
      <c r="H226" s="1990">
        <f>328187+1729</f>
        <v>329916</v>
      </c>
      <c r="I226" s="1990">
        <v>59830</v>
      </c>
      <c r="J226" s="1989">
        <v>0</v>
      </c>
      <c r="K226" s="1990"/>
      <c r="L226" s="1991">
        <v>0</v>
      </c>
      <c r="M226" s="1018">
        <f>SUM(F226:J226)</f>
        <v>1330974</v>
      </c>
      <c r="N226" s="4081"/>
      <c r="O226" s="3649"/>
      <c r="P226" s="3666"/>
    </row>
    <row r="227" spans="1:16" s="1729" customFormat="1" ht="13.5" thickBot="1">
      <c r="A227" s="4063"/>
      <c r="B227" s="1096" t="s">
        <v>17</v>
      </c>
      <c r="C227" s="4069"/>
      <c r="D227" s="807">
        <f>+D228</f>
        <v>8287204</v>
      </c>
      <c r="E227" s="807">
        <f t="shared" ref="E227:J227" si="176">+E228</f>
        <v>383923</v>
      </c>
      <c r="F227" s="807">
        <f t="shared" si="176"/>
        <v>3187689</v>
      </c>
      <c r="G227" s="807">
        <f t="shared" si="176"/>
        <v>2376569</v>
      </c>
      <c r="H227" s="807">
        <f t="shared" si="176"/>
        <v>1970509</v>
      </c>
      <c r="I227" s="807">
        <f t="shared" si="176"/>
        <v>368514</v>
      </c>
      <c r="J227" s="833">
        <f t="shared" si="176"/>
        <v>0</v>
      </c>
      <c r="K227" s="807">
        <f>+K228</f>
        <v>0</v>
      </c>
      <c r="L227" s="833">
        <f>+L228</f>
        <v>0</v>
      </c>
      <c r="M227" s="1020">
        <f>+M228</f>
        <v>7903281</v>
      </c>
      <c r="N227" s="4081"/>
      <c r="O227" s="3649"/>
      <c r="P227" s="3666"/>
    </row>
    <row r="228" spans="1:16" s="1729" customFormat="1" ht="13.5" thickBot="1">
      <c r="A228" s="4063"/>
      <c r="B228" s="1097" t="s">
        <v>19</v>
      </c>
      <c r="C228" s="4069"/>
      <c r="D228" s="766">
        <f>E228+L228+K228+F228+G228+H228+I228+J228</f>
        <v>8287204</v>
      </c>
      <c r="E228" s="810">
        <f>E229+E230</f>
        <v>383923</v>
      </c>
      <c r="F228" s="810">
        <f t="shared" ref="F228:J228" si="177">F229+F230</f>
        <v>3187689</v>
      </c>
      <c r="G228" s="810">
        <f t="shared" si="177"/>
        <v>2376569</v>
      </c>
      <c r="H228" s="810">
        <f t="shared" si="177"/>
        <v>1970509</v>
      </c>
      <c r="I228" s="810">
        <f t="shared" si="177"/>
        <v>368514</v>
      </c>
      <c r="J228" s="1570">
        <f t="shared" si="177"/>
        <v>0</v>
      </c>
      <c r="K228" s="810">
        <f>K229+K230</f>
        <v>0</v>
      </c>
      <c r="L228" s="1570">
        <v>0</v>
      </c>
      <c r="M228" s="1018">
        <f>SUM(F228:J228)</f>
        <v>7903281</v>
      </c>
      <c r="N228" s="4081"/>
      <c r="O228" s="3649">
        <f>D228-D235</f>
        <v>0</v>
      </c>
      <c r="P228" s="3666"/>
    </row>
    <row r="229" spans="1:16" s="1729" customFormat="1" ht="13.5" hidden="1" thickBot="1">
      <c r="A229" s="4063"/>
      <c r="B229" s="1986" t="s">
        <v>237</v>
      </c>
      <c r="C229" s="1992"/>
      <c r="D229" s="1980">
        <f>SUM(E229:J229)</f>
        <v>845836</v>
      </c>
      <c r="E229" s="1981">
        <f>79510-1163</f>
        <v>78347</v>
      </c>
      <c r="F229" s="1981">
        <f>293952+1163</f>
        <v>295115</v>
      </c>
      <c r="G229" s="1981">
        <v>222904</v>
      </c>
      <c r="H229" s="1981">
        <v>201723</v>
      </c>
      <c r="I229" s="1981">
        <v>47747</v>
      </c>
      <c r="J229" s="1042">
        <v>0</v>
      </c>
      <c r="K229" s="1981"/>
      <c r="L229" s="1042">
        <v>0</v>
      </c>
      <c r="M229" s="1977">
        <f>SUM(F229:J229)</f>
        <v>767489</v>
      </c>
      <c r="N229" s="4081"/>
      <c r="O229" s="3649"/>
      <c r="P229" s="3666"/>
    </row>
    <row r="230" spans="1:16" s="1729" customFormat="1" hidden="1">
      <c r="A230" s="4063"/>
      <c r="B230" s="1987" t="s">
        <v>246</v>
      </c>
      <c r="C230" s="1993"/>
      <c r="D230" s="1988">
        <f>SUM(E230:J230)</f>
        <v>7441368</v>
      </c>
      <c r="E230" s="1990">
        <f>384030-78454</f>
        <v>305576</v>
      </c>
      <c r="F230" s="1990">
        <f>3180333+78454-366213</f>
        <v>2892574</v>
      </c>
      <c r="G230" s="1990">
        <f>2085803+67862</f>
        <v>2153665</v>
      </c>
      <c r="H230" s="1990">
        <f>1759515+9271</f>
        <v>1768786</v>
      </c>
      <c r="I230" s="1990">
        <v>320767</v>
      </c>
      <c r="J230" s="1989">
        <v>0</v>
      </c>
      <c r="K230" s="1990"/>
      <c r="L230" s="1989">
        <v>0</v>
      </c>
      <c r="M230" s="1977">
        <f>SUM(F230:J230)</f>
        <v>7135792</v>
      </c>
      <c r="N230" s="4082"/>
      <c r="O230" s="3649"/>
      <c r="P230" s="3666"/>
    </row>
    <row r="231" spans="1:16" s="1729" customFormat="1">
      <c r="A231" s="4064"/>
      <c r="B231" s="1095" t="s">
        <v>20</v>
      </c>
      <c r="C231" s="1095"/>
      <c r="D231" s="1019">
        <f>D234+D232</f>
        <v>9832942</v>
      </c>
      <c r="E231" s="1019">
        <f t="shared" ref="E231" si="178">E234+E232</f>
        <v>550000</v>
      </c>
      <c r="F231" s="1019">
        <f t="shared" ref="F231:J231" si="179">F234+F232</f>
        <v>3687792</v>
      </c>
      <c r="G231" s="1019">
        <f t="shared" si="179"/>
        <v>2819850</v>
      </c>
      <c r="H231" s="1019">
        <f t="shared" si="179"/>
        <v>2338050</v>
      </c>
      <c r="I231" s="1019">
        <f t="shared" si="179"/>
        <v>437250</v>
      </c>
      <c r="J231" s="1983">
        <f t="shared" si="179"/>
        <v>0</v>
      </c>
      <c r="K231" s="1019">
        <f>K234+K232</f>
        <v>0</v>
      </c>
      <c r="L231" s="1983">
        <f>L234+L232</f>
        <v>0</v>
      </c>
      <c r="M231" s="4070" t="s">
        <v>51</v>
      </c>
      <c r="N231" s="3938" t="s">
        <v>246</v>
      </c>
      <c r="O231" s="3649"/>
      <c r="P231" s="3666"/>
    </row>
    <row r="232" spans="1:16" s="1729" customFormat="1">
      <c r="A232" s="4064"/>
      <c r="B232" s="1102" t="s">
        <v>22</v>
      </c>
      <c r="C232" s="4071" t="s">
        <v>353</v>
      </c>
      <c r="D232" s="807">
        <f t="shared" ref="D232:J234" si="180">+D233</f>
        <v>1545738</v>
      </c>
      <c r="E232" s="807">
        <f t="shared" si="180"/>
        <v>86460</v>
      </c>
      <c r="F232" s="807">
        <f t="shared" si="180"/>
        <v>579720</v>
      </c>
      <c r="G232" s="807">
        <f t="shared" si="180"/>
        <v>443281</v>
      </c>
      <c r="H232" s="807">
        <f t="shared" si="180"/>
        <v>367541</v>
      </c>
      <c r="I232" s="807">
        <f t="shared" si="180"/>
        <v>68736</v>
      </c>
      <c r="J232" s="833">
        <f t="shared" si="180"/>
        <v>0</v>
      </c>
      <c r="K232" s="807">
        <f>+K233</f>
        <v>0</v>
      </c>
      <c r="L232" s="833">
        <f>+L233</f>
        <v>0</v>
      </c>
      <c r="M232" s="4070"/>
      <c r="N232" s="3939"/>
      <c r="O232" s="3649"/>
      <c r="P232" s="3666"/>
    </row>
    <row r="233" spans="1:16" s="1729" customFormat="1">
      <c r="A233" s="4064"/>
      <c r="B233" s="1476" t="s">
        <v>12</v>
      </c>
      <c r="C233" s="4072"/>
      <c r="D233" s="789">
        <f>E233+L233+K233+F233+G233+H233+I233+J233</f>
        <v>1545738</v>
      </c>
      <c r="E233" s="1045">
        <v>86460</v>
      </c>
      <c r="F233" s="1045">
        <f>648027-68307</f>
        <v>579720</v>
      </c>
      <c r="G233" s="1045">
        <f>430623+12658</f>
        <v>443281</v>
      </c>
      <c r="H233" s="1045">
        <f>365812+1729</f>
        <v>367541</v>
      </c>
      <c r="I233" s="1045">
        <v>68736</v>
      </c>
      <c r="J233" s="1044">
        <v>0</v>
      </c>
      <c r="K233" s="1045"/>
      <c r="L233" s="1044">
        <v>0</v>
      </c>
      <c r="M233" s="4070"/>
      <c r="N233" s="3939"/>
      <c r="O233" s="3649"/>
      <c r="P233" s="3666"/>
    </row>
    <row r="234" spans="1:16" s="1729" customFormat="1">
      <c r="A234" s="4064"/>
      <c r="B234" s="1096" t="s">
        <v>17</v>
      </c>
      <c r="C234" s="4072"/>
      <c r="D234" s="1037">
        <f t="shared" si="180"/>
        <v>8287204</v>
      </c>
      <c r="E234" s="807">
        <f t="shared" si="180"/>
        <v>463540</v>
      </c>
      <c r="F234" s="807">
        <f t="shared" si="180"/>
        <v>3108072</v>
      </c>
      <c r="G234" s="807">
        <f t="shared" si="180"/>
        <v>2376569</v>
      </c>
      <c r="H234" s="807">
        <f t="shared" si="180"/>
        <v>1970509</v>
      </c>
      <c r="I234" s="807">
        <f t="shared" si="180"/>
        <v>368514</v>
      </c>
      <c r="J234" s="833">
        <f t="shared" si="180"/>
        <v>0</v>
      </c>
      <c r="K234" s="807">
        <f>+K235</f>
        <v>0</v>
      </c>
      <c r="L234" s="833">
        <f>+L235</f>
        <v>0</v>
      </c>
      <c r="M234" s="4070"/>
      <c r="N234" s="3939"/>
      <c r="O234" s="3649"/>
      <c r="P234" s="3666"/>
    </row>
    <row r="235" spans="1:16" s="1729" customFormat="1" ht="13.5" thickBot="1">
      <c r="A235" s="4065"/>
      <c r="B235" s="1175" t="s">
        <v>19</v>
      </c>
      <c r="C235" s="4073"/>
      <c r="D235" s="1142">
        <f>E235+L235+K235+F235+G235+H235+I235+J235</f>
        <v>8287204</v>
      </c>
      <c r="E235" s="1014">
        <v>463540</v>
      </c>
      <c r="F235" s="1014">
        <f>3474285-366213</f>
        <v>3108072</v>
      </c>
      <c r="G235" s="1014">
        <f>2308707+67862</f>
        <v>2376569</v>
      </c>
      <c r="H235" s="1014">
        <f>1961238+9271</f>
        <v>1970509</v>
      </c>
      <c r="I235" s="1014">
        <v>368514</v>
      </c>
      <c r="J235" s="1015">
        <v>0</v>
      </c>
      <c r="K235" s="1014"/>
      <c r="L235" s="1015">
        <v>0</v>
      </c>
      <c r="M235" s="4032"/>
      <c r="N235" s="3940"/>
      <c r="O235" s="3649"/>
      <c r="P235" s="3666"/>
    </row>
    <row r="236" spans="1:16" s="1721" customFormat="1" ht="24.75" thickBot="1">
      <c r="A236" s="4062" t="s">
        <v>85</v>
      </c>
      <c r="B236" s="690" t="s">
        <v>515</v>
      </c>
      <c r="C236" s="691" t="s">
        <v>70</v>
      </c>
      <c r="D236" s="652"/>
      <c r="E236" s="1477"/>
      <c r="F236" s="1477"/>
      <c r="G236" s="1477"/>
      <c r="H236" s="1477"/>
      <c r="I236" s="1477"/>
      <c r="J236" s="21"/>
      <c r="K236" s="1477"/>
      <c r="L236" s="1477"/>
      <c r="M236" s="332"/>
      <c r="N236" s="4081" t="s">
        <v>355</v>
      </c>
      <c r="O236" s="3649"/>
      <c r="P236" s="3651"/>
    </row>
    <row r="237" spans="1:16" s="1721" customFormat="1" ht="13.5" thickBot="1">
      <c r="A237" s="4063"/>
      <c r="B237" s="1095" t="s">
        <v>9</v>
      </c>
      <c r="C237" s="692"/>
      <c r="D237" s="1101">
        <f t="shared" ref="D237:J237" si="181">+D238+D240</f>
        <v>343000</v>
      </c>
      <c r="E237" s="1975">
        <f t="shared" si="181"/>
        <v>0</v>
      </c>
      <c r="F237" s="830">
        <f t="shared" si="181"/>
        <v>343000</v>
      </c>
      <c r="G237" s="1975">
        <f t="shared" si="181"/>
        <v>0</v>
      </c>
      <c r="H237" s="1975">
        <f t="shared" si="181"/>
        <v>0</v>
      </c>
      <c r="I237" s="1975">
        <f t="shared" si="181"/>
        <v>0</v>
      </c>
      <c r="J237" s="1975">
        <f t="shared" si="181"/>
        <v>0</v>
      </c>
      <c r="K237" s="1975">
        <f>+K238+K240</f>
        <v>0</v>
      </c>
      <c r="L237" s="1975">
        <f>+L238+L240</f>
        <v>0</v>
      </c>
      <c r="M237" s="799">
        <f t="shared" ref="M237" si="182">+M238+M240</f>
        <v>343000</v>
      </c>
      <c r="N237" s="4081"/>
      <c r="O237" s="3649"/>
      <c r="P237" s="3651"/>
    </row>
    <row r="238" spans="1:16" s="1721" customFormat="1" ht="13.5" thickBot="1">
      <c r="A238" s="4063"/>
      <c r="B238" s="1096" t="s">
        <v>22</v>
      </c>
      <c r="C238" s="4068" t="s">
        <v>516</v>
      </c>
      <c r="D238" s="1008">
        <f>+D239</f>
        <v>53920</v>
      </c>
      <c r="E238" s="1976">
        <f t="shared" ref="E238:J238" si="183">+E239</f>
        <v>0</v>
      </c>
      <c r="F238" s="1008">
        <f t="shared" si="183"/>
        <v>53920</v>
      </c>
      <c r="G238" s="1976">
        <f t="shared" si="183"/>
        <v>0</v>
      </c>
      <c r="H238" s="1976">
        <f t="shared" si="183"/>
        <v>0</v>
      </c>
      <c r="I238" s="1976">
        <f t="shared" si="183"/>
        <v>0</v>
      </c>
      <c r="J238" s="1976">
        <f t="shared" si="183"/>
        <v>0</v>
      </c>
      <c r="K238" s="1976">
        <f>+K239</f>
        <v>0</v>
      </c>
      <c r="L238" s="1976">
        <f>+L239</f>
        <v>0</v>
      </c>
      <c r="M238" s="1176">
        <f>+M239</f>
        <v>53920</v>
      </c>
      <c r="N238" s="4081"/>
      <c r="O238" s="3649"/>
      <c r="P238" s="3651"/>
    </row>
    <row r="239" spans="1:16" s="1721" customFormat="1" ht="13.5" thickBot="1">
      <c r="A239" s="4063"/>
      <c r="B239" s="1476" t="s">
        <v>12</v>
      </c>
      <c r="C239" s="4069"/>
      <c r="D239" s="766">
        <f>E239+L239+K239+F239+G239+H239+I239+J239</f>
        <v>53920</v>
      </c>
      <c r="E239" s="1985">
        <v>0</v>
      </c>
      <c r="F239" s="1023">
        <v>53920</v>
      </c>
      <c r="G239" s="1979">
        <v>0</v>
      </c>
      <c r="H239" s="1979">
        <v>0</v>
      </c>
      <c r="I239" s="1979">
        <v>0</v>
      </c>
      <c r="J239" s="1979">
        <v>0</v>
      </c>
      <c r="K239" s="1979">
        <v>0</v>
      </c>
      <c r="L239" s="1979">
        <v>0</v>
      </c>
      <c r="M239" s="1018">
        <f>SUM(F239:J239)</f>
        <v>53920</v>
      </c>
      <c r="N239" s="4081"/>
      <c r="O239" s="3649"/>
      <c r="P239" s="3651"/>
    </row>
    <row r="240" spans="1:16" s="1721" customFormat="1" ht="13.5" thickBot="1">
      <c r="A240" s="4063"/>
      <c r="B240" s="1096" t="s">
        <v>17</v>
      </c>
      <c r="C240" s="4069"/>
      <c r="D240" s="807">
        <f>+D241</f>
        <v>289080</v>
      </c>
      <c r="E240" s="833">
        <f t="shared" ref="E240:J240" si="184">+E241</f>
        <v>0</v>
      </c>
      <c r="F240" s="807">
        <f t="shared" si="184"/>
        <v>289080</v>
      </c>
      <c r="G240" s="833">
        <f t="shared" si="184"/>
        <v>0</v>
      </c>
      <c r="H240" s="833">
        <f t="shared" si="184"/>
        <v>0</v>
      </c>
      <c r="I240" s="833">
        <f t="shared" si="184"/>
        <v>0</v>
      </c>
      <c r="J240" s="833">
        <f t="shared" si="184"/>
        <v>0</v>
      </c>
      <c r="K240" s="833">
        <f>+K241</f>
        <v>0</v>
      </c>
      <c r="L240" s="833">
        <f>+L241</f>
        <v>0</v>
      </c>
      <c r="M240" s="1020">
        <f>+M241</f>
        <v>289080</v>
      </c>
      <c r="N240" s="4081"/>
      <c r="O240" s="3649"/>
      <c r="P240" s="3651"/>
    </row>
    <row r="241" spans="1:16" s="1721" customFormat="1">
      <c r="A241" s="4063"/>
      <c r="B241" s="1097" t="s">
        <v>19</v>
      </c>
      <c r="C241" s="4069"/>
      <c r="D241" s="766">
        <f>E241+L241+K241+F241+G241+H241+I241+J241</f>
        <v>289080</v>
      </c>
      <c r="E241" s="1985">
        <v>0</v>
      </c>
      <c r="F241" s="810">
        <v>289080</v>
      </c>
      <c r="G241" s="1570">
        <v>0</v>
      </c>
      <c r="H241" s="1570">
        <v>0</v>
      </c>
      <c r="I241" s="1570">
        <v>0</v>
      </c>
      <c r="J241" s="1570">
        <v>0</v>
      </c>
      <c r="K241" s="1570">
        <v>0</v>
      </c>
      <c r="L241" s="1570">
        <v>0</v>
      </c>
      <c r="M241" s="1018">
        <f>SUM(F241:J241)</f>
        <v>289080</v>
      </c>
      <c r="N241" s="4082"/>
      <c r="O241" s="3649"/>
      <c r="P241" s="3651"/>
    </row>
    <row r="242" spans="1:16" s="1721" customFormat="1" ht="13.5" thickBot="1">
      <c r="A242" s="4064"/>
      <c r="B242" s="1095" t="s">
        <v>20</v>
      </c>
      <c r="C242" s="1095"/>
      <c r="D242" s="1019">
        <f>D245+D243</f>
        <v>343000</v>
      </c>
      <c r="E242" s="1983">
        <f t="shared" ref="E242:J242" si="185">E245+E243</f>
        <v>0</v>
      </c>
      <c r="F242" s="1019">
        <f t="shared" si="185"/>
        <v>343000</v>
      </c>
      <c r="G242" s="1983">
        <f t="shared" si="185"/>
        <v>0</v>
      </c>
      <c r="H242" s="1983">
        <f t="shared" si="185"/>
        <v>0</v>
      </c>
      <c r="I242" s="1983">
        <f t="shared" si="185"/>
        <v>0</v>
      </c>
      <c r="J242" s="1983">
        <f t="shared" si="185"/>
        <v>0</v>
      </c>
      <c r="K242" s="1983">
        <f>K245+K243</f>
        <v>0</v>
      </c>
      <c r="L242" s="1983">
        <f>L245+L243</f>
        <v>0</v>
      </c>
      <c r="M242" s="4070" t="s">
        <v>51</v>
      </c>
      <c r="N242" s="3940" t="s">
        <v>246</v>
      </c>
      <c r="O242" s="3649"/>
      <c r="P242" s="3651"/>
    </row>
    <row r="243" spans="1:16" s="1721" customFormat="1" ht="13.5" thickBot="1">
      <c r="A243" s="4064"/>
      <c r="B243" s="1102" t="s">
        <v>22</v>
      </c>
      <c r="C243" s="4071" t="s">
        <v>353</v>
      </c>
      <c r="D243" s="807">
        <f t="shared" ref="D243:J245" si="186">+D244</f>
        <v>53920</v>
      </c>
      <c r="E243" s="833">
        <f t="shared" si="186"/>
        <v>0</v>
      </c>
      <c r="F243" s="807">
        <f t="shared" si="186"/>
        <v>53920</v>
      </c>
      <c r="G243" s="833">
        <f t="shared" si="186"/>
        <v>0</v>
      </c>
      <c r="H243" s="833">
        <f t="shared" si="186"/>
        <v>0</v>
      </c>
      <c r="I243" s="833">
        <f t="shared" si="186"/>
        <v>0</v>
      </c>
      <c r="J243" s="833">
        <f t="shared" si="186"/>
        <v>0</v>
      </c>
      <c r="K243" s="833">
        <f>+K244</f>
        <v>0</v>
      </c>
      <c r="L243" s="833">
        <f>+L244</f>
        <v>0</v>
      </c>
      <c r="M243" s="4070"/>
      <c r="N243" s="3989"/>
      <c r="O243" s="3649"/>
      <c r="P243" s="3651"/>
    </row>
    <row r="244" spans="1:16" s="1721" customFormat="1" ht="13.5" thickBot="1">
      <c r="A244" s="4064"/>
      <c r="B244" s="1476" t="s">
        <v>12</v>
      </c>
      <c r="C244" s="4072"/>
      <c r="D244" s="789">
        <f>E244+L244+K244+F244+G244+H244+I244+J244</f>
        <v>53920</v>
      </c>
      <c r="E244" s="1044">
        <v>0</v>
      </c>
      <c r="F244" s="1045">
        <v>53920</v>
      </c>
      <c r="G244" s="2171">
        <v>0</v>
      </c>
      <c r="H244" s="2171">
        <v>0</v>
      </c>
      <c r="I244" s="2171">
        <v>0</v>
      </c>
      <c r="J244" s="1044">
        <v>0</v>
      </c>
      <c r="K244" s="2171">
        <v>0</v>
      </c>
      <c r="L244" s="1044">
        <v>0</v>
      </c>
      <c r="M244" s="4070"/>
      <c r="N244" s="3989"/>
      <c r="O244" s="3649"/>
      <c r="P244" s="3651"/>
    </row>
    <row r="245" spans="1:16" s="1721" customFormat="1">
      <c r="A245" s="4064"/>
      <c r="B245" s="1096" t="s">
        <v>17</v>
      </c>
      <c r="C245" s="4072"/>
      <c r="D245" s="1037">
        <f t="shared" si="186"/>
        <v>289080</v>
      </c>
      <c r="E245" s="833">
        <f t="shared" si="186"/>
        <v>0</v>
      </c>
      <c r="F245" s="807">
        <f t="shared" si="186"/>
        <v>289080</v>
      </c>
      <c r="G245" s="833">
        <f t="shared" si="186"/>
        <v>0</v>
      </c>
      <c r="H245" s="833">
        <f t="shared" si="186"/>
        <v>0</v>
      </c>
      <c r="I245" s="833">
        <f t="shared" si="186"/>
        <v>0</v>
      </c>
      <c r="J245" s="833">
        <f t="shared" si="186"/>
        <v>0</v>
      </c>
      <c r="K245" s="833">
        <f>+K246</f>
        <v>0</v>
      </c>
      <c r="L245" s="833">
        <f>+L246</f>
        <v>0</v>
      </c>
      <c r="M245" s="4070"/>
      <c r="N245" s="4110"/>
      <c r="O245" s="3649"/>
      <c r="P245" s="3651"/>
    </row>
    <row r="246" spans="1:16" s="1721" customFormat="1" ht="13.5" thickBot="1">
      <c r="A246" s="4065"/>
      <c r="B246" s="1175" t="s">
        <v>19</v>
      </c>
      <c r="C246" s="4073"/>
      <c r="D246" s="1142">
        <f>E246+L246+K246+F246+G246+H246+I246+J246</f>
        <v>289080</v>
      </c>
      <c r="E246" s="1360">
        <v>0</v>
      </c>
      <c r="F246" s="1014">
        <v>289080</v>
      </c>
      <c r="G246" s="1015">
        <v>0</v>
      </c>
      <c r="H246" s="1015">
        <v>0</v>
      </c>
      <c r="I246" s="1015">
        <v>0</v>
      </c>
      <c r="J246" s="1015">
        <v>0</v>
      </c>
      <c r="K246" s="1015">
        <v>0</v>
      </c>
      <c r="L246" s="1015">
        <v>0</v>
      </c>
      <c r="M246" s="4032"/>
      <c r="N246" s="3940"/>
      <c r="O246" s="3649"/>
      <c r="P246" s="3651"/>
    </row>
    <row r="247" spans="1:16" s="1729" customFormat="1" ht="18.75" customHeight="1">
      <c r="A247" s="4062" t="s">
        <v>86</v>
      </c>
      <c r="B247" s="690" t="s">
        <v>358</v>
      </c>
      <c r="C247" s="691" t="s">
        <v>97</v>
      </c>
      <c r="D247" s="652"/>
      <c r="E247" s="1477"/>
      <c r="F247" s="1477"/>
      <c r="G247" s="1477"/>
      <c r="H247" s="1477"/>
      <c r="I247" s="1477"/>
      <c r="J247" s="21"/>
      <c r="K247" s="1477"/>
      <c r="L247" s="1477"/>
      <c r="M247" s="332"/>
      <c r="N247" s="4066" t="s">
        <v>250</v>
      </c>
      <c r="O247" s="3649"/>
      <c r="P247" s="3666"/>
    </row>
    <row r="248" spans="1:16" s="1729" customFormat="1">
      <c r="A248" s="4063"/>
      <c r="B248" s="1095" t="s">
        <v>9</v>
      </c>
      <c r="C248" s="692"/>
      <c r="D248" s="1101">
        <f>+D249+D256</f>
        <v>3546922</v>
      </c>
      <c r="E248" s="830">
        <f t="shared" ref="E248" si="187">+E249+E256</f>
        <v>702330</v>
      </c>
      <c r="F248" s="830">
        <f t="shared" ref="F248:M248" si="188">+F249+F256</f>
        <v>1638806</v>
      </c>
      <c r="G248" s="830">
        <f t="shared" si="188"/>
        <v>1205786</v>
      </c>
      <c r="H248" s="1975">
        <f t="shared" si="188"/>
        <v>0</v>
      </c>
      <c r="I248" s="1975">
        <f t="shared" si="188"/>
        <v>0</v>
      </c>
      <c r="J248" s="1975">
        <f t="shared" si="188"/>
        <v>0</v>
      </c>
      <c r="K248" s="830">
        <f>+K249+K256</f>
        <v>0</v>
      </c>
      <c r="L248" s="1975">
        <f>+L249+L256</f>
        <v>0</v>
      </c>
      <c r="M248" s="799">
        <f t="shared" si="188"/>
        <v>2844592</v>
      </c>
      <c r="N248" s="4067"/>
      <c r="O248" s="3649"/>
      <c r="P248" s="3666"/>
    </row>
    <row r="249" spans="1:16" s="1729" customFormat="1" ht="12.75" customHeight="1">
      <c r="A249" s="4063"/>
      <c r="B249" s="1096" t="s">
        <v>22</v>
      </c>
      <c r="C249" s="4068" t="s">
        <v>352</v>
      </c>
      <c r="D249" s="1008">
        <f>+D250+D253</f>
        <v>532038</v>
      </c>
      <c r="E249" s="1008">
        <f>+E250+E253</f>
        <v>105374</v>
      </c>
      <c r="F249" s="1008">
        <f t="shared" ref="F249:J249" si="189">+F250+F253</f>
        <v>245796</v>
      </c>
      <c r="G249" s="1008">
        <f t="shared" si="189"/>
        <v>180868</v>
      </c>
      <c r="H249" s="1976">
        <f t="shared" si="189"/>
        <v>0</v>
      </c>
      <c r="I249" s="1976">
        <f t="shared" si="189"/>
        <v>0</v>
      </c>
      <c r="J249" s="1976">
        <f t="shared" si="189"/>
        <v>0</v>
      </c>
      <c r="K249" s="1008">
        <f>+K250+K253</f>
        <v>0</v>
      </c>
      <c r="L249" s="1976">
        <f>+L250+L253</f>
        <v>0</v>
      </c>
      <c r="M249" s="1176">
        <f>+M250+M253</f>
        <v>426664</v>
      </c>
      <c r="N249" s="4067"/>
      <c r="O249" s="3649"/>
      <c r="P249" s="3666"/>
    </row>
    <row r="250" spans="1:16" s="1729" customFormat="1">
      <c r="A250" s="4063"/>
      <c r="B250" s="1097" t="s">
        <v>11</v>
      </c>
      <c r="C250" s="4069"/>
      <c r="D250" s="766">
        <f>E250+L250+K250+F250+G250+H250+I250+J250</f>
        <v>177346</v>
      </c>
      <c r="E250" s="1023">
        <f>E251+E252</f>
        <v>35116</v>
      </c>
      <c r="F250" s="1023">
        <f t="shared" ref="F250:J250" si="190">F251+F252</f>
        <v>81941</v>
      </c>
      <c r="G250" s="1023">
        <f t="shared" si="190"/>
        <v>60289</v>
      </c>
      <c r="H250" s="1979">
        <f t="shared" si="190"/>
        <v>0</v>
      </c>
      <c r="I250" s="1979">
        <f t="shared" si="190"/>
        <v>0</v>
      </c>
      <c r="J250" s="1979">
        <f t="shared" si="190"/>
        <v>0</v>
      </c>
      <c r="K250" s="1023">
        <f>K251+K252</f>
        <v>0</v>
      </c>
      <c r="L250" s="1979">
        <v>0</v>
      </c>
      <c r="M250" s="1018">
        <f t="shared" ref="M250:M255" si="191">SUM(F250:J250)</f>
        <v>142230</v>
      </c>
      <c r="N250" s="4067"/>
      <c r="O250" s="3649"/>
      <c r="P250" s="3666"/>
    </row>
    <row r="251" spans="1:16" s="1729" customFormat="1" hidden="1">
      <c r="A251" s="4063"/>
      <c r="B251" s="1986" t="s">
        <v>237</v>
      </c>
      <c r="C251" s="4069"/>
      <c r="D251" s="1980">
        <f>SUM(E251:J251)</f>
        <v>61066</v>
      </c>
      <c r="E251" s="1981">
        <f>19284-5749</f>
        <v>13535</v>
      </c>
      <c r="F251" s="1981">
        <f>20891+5749</f>
        <v>26640</v>
      </c>
      <c r="G251" s="1981">
        <v>20891</v>
      </c>
      <c r="H251" s="1042">
        <v>0</v>
      </c>
      <c r="I251" s="1042">
        <v>0</v>
      </c>
      <c r="J251" s="1042">
        <v>0</v>
      </c>
      <c r="K251" s="1981"/>
      <c r="L251" s="1982">
        <v>0</v>
      </c>
      <c r="M251" s="1977">
        <f t="shared" si="191"/>
        <v>47531</v>
      </c>
      <c r="N251" s="4067"/>
      <c r="O251" s="3649"/>
      <c r="P251" s="3666"/>
    </row>
    <row r="252" spans="1:16" s="1729" customFormat="1" hidden="1">
      <c r="A252" s="4063"/>
      <c r="B252" s="1987" t="s">
        <v>246</v>
      </c>
      <c r="C252" s="4069"/>
      <c r="D252" s="1988">
        <f>SUM(E252:J252)</f>
        <v>116280</v>
      </c>
      <c r="E252" s="1990">
        <f>37412-15831</f>
        <v>21581</v>
      </c>
      <c r="F252" s="1990">
        <f>39470+15831</f>
        <v>55301</v>
      </c>
      <c r="G252" s="1990">
        <v>39398</v>
      </c>
      <c r="H252" s="1989">
        <v>0</v>
      </c>
      <c r="I252" s="1989">
        <v>0</v>
      </c>
      <c r="J252" s="1989">
        <v>0</v>
      </c>
      <c r="K252" s="1990"/>
      <c r="L252" s="1991">
        <v>0</v>
      </c>
      <c r="M252" s="1977">
        <f t="shared" si="191"/>
        <v>94699</v>
      </c>
      <c r="N252" s="4067"/>
      <c r="O252" s="3649"/>
      <c r="P252" s="3666"/>
    </row>
    <row r="253" spans="1:16" s="1729" customFormat="1">
      <c r="A253" s="4063"/>
      <c r="B253" s="1476" t="s">
        <v>12</v>
      </c>
      <c r="C253" s="4069"/>
      <c r="D253" s="766">
        <f>E253+L253+K253+F253+G253+H253+I253+J253</f>
        <v>354692</v>
      </c>
      <c r="E253" s="1023">
        <f>E254+E255</f>
        <v>70258</v>
      </c>
      <c r="F253" s="1023">
        <f t="shared" ref="F253:J253" si="192">F254+F255</f>
        <v>163855</v>
      </c>
      <c r="G253" s="1023">
        <f t="shared" si="192"/>
        <v>120579</v>
      </c>
      <c r="H253" s="1979">
        <f t="shared" si="192"/>
        <v>0</v>
      </c>
      <c r="I253" s="1979">
        <f t="shared" si="192"/>
        <v>0</v>
      </c>
      <c r="J253" s="1979">
        <f t="shared" si="192"/>
        <v>0</v>
      </c>
      <c r="K253" s="1023">
        <f>K254+K255</f>
        <v>0</v>
      </c>
      <c r="L253" s="1979">
        <v>0</v>
      </c>
      <c r="M253" s="1018">
        <f t="shared" si="191"/>
        <v>284434</v>
      </c>
      <c r="N253" s="4067"/>
      <c r="O253" s="3649">
        <f>D253-D262</f>
        <v>0</v>
      </c>
      <c r="P253" s="3666"/>
    </row>
    <row r="254" spans="1:16" s="1729" customFormat="1" hidden="1">
      <c r="A254" s="4063"/>
      <c r="B254" s="1986" t="s">
        <v>237</v>
      </c>
      <c r="C254" s="4069"/>
      <c r="D254" s="1980">
        <f>SUM(E254:J254)</f>
        <v>122132</v>
      </c>
      <c r="E254" s="1981">
        <f>38568-11488</f>
        <v>27080</v>
      </c>
      <c r="F254" s="1981">
        <f>41782+11488</f>
        <v>53270</v>
      </c>
      <c r="G254" s="1981">
        <v>41782</v>
      </c>
      <c r="H254" s="1042">
        <v>0</v>
      </c>
      <c r="I254" s="1042">
        <v>0</v>
      </c>
      <c r="J254" s="1042">
        <v>0</v>
      </c>
      <c r="K254" s="1981"/>
      <c r="L254" s="1982">
        <v>0</v>
      </c>
      <c r="M254" s="1018">
        <f t="shared" si="191"/>
        <v>95052</v>
      </c>
      <c r="N254" s="4067"/>
      <c r="O254" s="3649"/>
      <c r="P254" s="3666"/>
    </row>
    <row r="255" spans="1:16" s="1729" customFormat="1" hidden="1">
      <c r="A255" s="4063"/>
      <c r="B255" s="1987" t="s">
        <v>246</v>
      </c>
      <c r="C255" s="4069"/>
      <c r="D255" s="1988">
        <f>SUM(E255:J255)</f>
        <v>232560</v>
      </c>
      <c r="E255" s="1990">
        <f>74823-31645</f>
        <v>43178</v>
      </c>
      <c r="F255" s="1990">
        <f>78940+31645</f>
        <v>110585</v>
      </c>
      <c r="G255" s="1990">
        <v>78797</v>
      </c>
      <c r="H255" s="1989">
        <v>0</v>
      </c>
      <c r="I255" s="1989">
        <v>0</v>
      </c>
      <c r="J255" s="1989">
        <v>0</v>
      </c>
      <c r="K255" s="1990"/>
      <c r="L255" s="1991">
        <v>0</v>
      </c>
      <c r="M255" s="1018">
        <f t="shared" si="191"/>
        <v>189382</v>
      </c>
      <c r="N255" s="4067"/>
      <c r="O255" s="3649"/>
      <c r="P255" s="3666"/>
    </row>
    <row r="256" spans="1:16" s="1729" customFormat="1">
      <c r="A256" s="4063"/>
      <c r="B256" s="1096" t="s">
        <v>17</v>
      </c>
      <c r="C256" s="4069"/>
      <c r="D256" s="807">
        <f>+D257</f>
        <v>3014884</v>
      </c>
      <c r="E256" s="807">
        <f t="shared" ref="E256:J256" si="193">+E257</f>
        <v>596956</v>
      </c>
      <c r="F256" s="807">
        <f t="shared" si="193"/>
        <v>1393010</v>
      </c>
      <c r="G256" s="807">
        <f t="shared" si="193"/>
        <v>1024918</v>
      </c>
      <c r="H256" s="833">
        <f t="shared" si="193"/>
        <v>0</v>
      </c>
      <c r="I256" s="833">
        <f t="shared" si="193"/>
        <v>0</v>
      </c>
      <c r="J256" s="833">
        <f t="shared" si="193"/>
        <v>0</v>
      </c>
      <c r="K256" s="807">
        <f>+K257</f>
        <v>0</v>
      </c>
      <c r="L256" s="833">
        <f>+L257</f>
        <v>0</v>
      </c>
      <c r="M256" s="1020">
        <f>+M257</f>
        <v>2417928</v>
      </c>
      <c r="N256" s="4067"/>
      <c r="O256" s="3649">
        <f>D256-D263</f>
        <v>0</v>
      </c>
      <c r="P256" s="3666"/>
    </row>
    <row r="257" spans="1:16" s="1729" customFormat="1">
      <c r="A257" s="4063"/>
      <c r="B257" s="1097" t="s">
        <v>19</v>
      </c>
      <c r="C257" s="4069"/>
      <c r="D257" s="766">
        <f>E257+L257+K257+F257+G257+H257+I257+J257</f>
        <v>3014884</v>
      </c>
      <c r="E257" s="810">
        <f>E258+E259</f>
        <v>596956</v>
      </c>
      <c r="F257" s="810">
        <f t="shared" ref="F257:J257" si="194">F258+F259</f>
        <v>1393010</v>
      </c>
      <c r="G257" s="810">
        <f t="shared" si="194"/>
        <v>1024918</v>
      </c>
      <c r="H257" s="1570">
        <f t="shared" si="194"/>
        <v>0</v>
      </c>
      <c r="I257" s="1570">
        <f t="shared" si="194"/>
        <v>0</v>
      </c>
      <c r="J257" s="1570">
        <f t="shared" si="194"/>
        <v>0</v>
      </c>
      <c r="K257" s="810">
        <f>K258+K259</f>
        <v>0</v>
      </c>
      <c r="L257" s="1570">
        <v>0</v>
      </c>
      <c r="M257" s="1018">
        <f>SUM(F257:J257)</f>
        <v>2417928</v>
      </c>
      <c r="N257" s="4067"/>
      <c r="O257" s="3649"/>
      <c r="P257" s="3666"/>
    </row>
    <row r="258" spans="1:16" s="1729" customFormat="1" ht="12.75" hidden="1" customHeight="1">
      <c r="A258" s="4063"/>
      <c r="B258" s="1986" t="s">
        <v>237</v>
      </c>
      <c r="C258" s="1992"/>
      <c r="D258" s="1980">
        <f>SUM(E258:J258)</f>
        <v>1038122</v>
      </c>
      <c r="E258" s="1981">
        <f>327828-97740</f>
        <v>230088</v>
      </c>
      <c r="F258" s="1981">
        <f>355147+97740</f>
        <v>452887</v>
      </c>
      <c r="G258" s="1981">
        <v>355147</v>
      </c>
      <c r="H258" s="1042">
        <v>0</v>
      </c>
      <c r="I258" s="1042">
        <v>0</v>
      </c>
      <c r="J258" s="1042">
        <v>0</v>
      </c>
      <c r="K258" s="1981"/>
      <c r="L258" s="1042">
        <v>0</v>
      </c>
      <c r="M258" s="1977">
        <f>SUM(F258:J258)</f>
        <v>808034</v>
      </c>
      <c r="N258" s="4067"/>
      <c r="O258" s="3649"/>
      <c r="P258" s="3666"/>
    </row>
    <row r="259" spans="1:16" s="1729" customFormat="1" hidden="1">
      <c r="A259" s="4063"/>
      <c r="B259" s="1987" t="s">
        <v>246</v>
      </c>
      <c r="C259" s="1993"/>
      <c r="D259" s="1988">
        <f>SUM(E259:J259)</f>
        <v>1976762</v>
      </c>
      <c r="E259" s="1990">
        <f>635997-269129</f>
        <v>366868</v>
      </c>
      <c r="F259" s="1990">
        <f>670994+269129</f>
        <v>940123</v>
      </c>
      <c r="G259" s="1990">
        <v>669771</v>
      </c>
      <c r="H259" s="1989">
        <v>0</v>
      </c>
      <c r="I259" s="1989">
        <v>0</v>
      </c>
      <c r="J259" s="1989">
        <v>0</v>
      </c>
      <c r="K259" s="1990"/>
      <c r="L259" s="1989">
        <v>0</v>
      </c>
      <c r="M259" s="1977">
        <f>SUM(F259:J259)</f>
        <v>1609894</v>
      </c>
      <c r="N259" s="4107"/>
      <c r="O259" s="3649"/>
      <c r="P259" s="3666"/>
    </row>
    <row r="260" spans="1:16" s="1729" customFormat="1">
      <c r="A260" s="4064"/>
      <c r="B260" s="1095" t="s">
        <v>20</v>
      </c>
      <c r="C260" s="1095"/>
      <c r="D260" s="1019">
        <f>D263+D261</f>
        <v>3369576</v>
      </c>
      <c r="E260" s="1019">
        <f t="shared" ref="E260" si="195">E263+E261</f>
        <v>1077216</v>
      </c>
      <c r="F260" s="1019">
        <f t="shared" ref="F260:J260" si="196">F263+F261</f>
        <v>1146863</v>
      </c>
      <c r="G260" s="1019">
        <f t="shared" si="196"/>
        <v>1145497</v>
      </c>
      <c r="H260" s="1983">
        <f t="shared" si="196"/>
        <v>0</v>
      </c>
      <c r="I260" s="1983">
        <f t="shared" si="196"/>
        <v>0</v>
      </c>
      <c r="J260" s="1983">
        <f t="shared" si="196"/>
        <v>0</v>
      </c>
      <c r="K260" s="1019">
        <f>K263+K261</f>
        <v>0</v>
      </c>
      <c r="L260" s="1983">
        <f>L263+L261</f>
        <v>0</v>
      </c>
      <c r="M260" s="4070" t="s">
        <v>51</v>
      </c>
      <c r="N260" s="3938" t="s">
        <v>351</v>
      </c>
      <c r="O260" s="3649"/>
      <c r="P260" s="3666"/>
    </row>
    <row r="261" spans="1:16" s="1729" customFormat="1">
      <c r="A261" s="4064"/>
      <c r="B261" s="1102" t="s">
        <v>22</v>
      </c>
      <c r="C261" s="4071" t="s">
        <v>290</v>
      </c>
      <c r="D261" s="807">
        <f t="shared" ref="D261:J263" si="197">+D262</f>
        <v>354692</v>
      </c>
      <c r="E261" s="807">
        <f t="shared" si="197"/>
        <v>113391</v>
      </c>
      <c r="F261" s="807">
        <f t="shared" si="197"/>
        <v>120722</v>
      </c>
      <c r="G261" s="807">
        <f t="shared" si="197"/>
        <v>120579</v>
      </c>
      <c r="H261" s="833">
        <f t="shared" si="197"/>
        <v>0</v>
      </c>
      <c r="I261" s="833">
        <f t="shared" si="197"/>
        <v>0</v>
      </c>
      <c r="J261" s="833">
        <f t="shared" si="197"/>
        <v>0</v>
      </c>
      <c r="K261" s="807">
        <f>+K262</f>
        <v>0</v>
      </c>
      <c r="L261" s="833">
        <f>+L262</f>
        <v>0</v>
      </c>
      <c r="M261" s="4070"/>
      <c r="N261" s="3939"/>
      <c r="O261" s="3649"/>
      <c r="P261" s="3666"/>
    </row>
    <row r="262" spans="1:16" s="1729" customFormat="1">
      <c r="A262" s="4064"/>
      <c r="B262" s="1476" t="s">
        <v>12</v>
      </c>
      <c r="C262" s="4072"/>
      <c r="D262" s="789">
        <f>E262+L262+K262+F262+G262+H262+I262+J262</f>
        <v>354692</v>
      </c>
      <c r="E262" s="1045">
        <v>113391</v>
      </c>
      <c r="F262" s="1045">
        <v>120722</v>
      </c>
      <c r="G262" s="1045">
        <v>120579</v>
      </c>
      <c r="H262" s="1044">
        <v>0</v>
      </c>
      <c r="I262" s="1044">
        <v>0</v>
      </c>
      <c r="J262" s="1044">
        <v>0</v>
      </c>
      <c r="K262" s="1045"/>
      <c r="L262" s="1044">
        <v>0</v>
      </c>
      <c r="M262" s="4070"/>
      <c r="N262" s="3939"/>
      <c r="O262" s="3649"/>
      <c r="P262" s="3666"/>
    </row>
    <row r="263" spans="1:16" s="1729" customFormat="1">
      <c r="A263" s="4064"/>
      <c r="B263" s="1096" t="s">
        <v>17</v>
      </c>
      <c r="C263" s="4072"/>
      <c r="D263" s="1037">
        <f t="shared" si="197"/>
        <v>3014884</v>
      </c>
      <c r="E263" s="807">
        <f t="shared" si="197"/>
        <v>963825</v>
      </c>
      <c r="F263" s="807">
        <f t="shared" si="197"/>
        <v>1026141</v>
      </c>
      <c r="G263" s="807">
        <f t="shared" si="197"/>
        <v>1024918</v>
      </c>
      <c r="H263" s="833">
        <f t="shared" si="197"/>
        <v>0</v>
      </c>
      <c r="I263" s="833">
        <f t="shared" si="197"/>
        <v>0</v>
      </c>
      <c r="J263" s="833">
        <f t="shared" si="197"/>
        <v>0</v>
      </c>
      <c r="K263" s="807">
        <f>+K264</f>
        <v>0</v>
      </c>
      <c r="L263" s="833">
        <f>+L264</f>
        <v>0</v>
      </c>
      <c r="M263" s="4070"/>
      <c r="N263" s="3939"/>
      <c r="O263" s="3649"/>
      <c r="P263" s="3666"/>
    </row>
    <row r="264" spans="1:16" s="1729" customFormat="1" ht="13.5" thickBot="1">
      <c r="A264" s="4065"/>
      <c r="B264" s="1175" t="s">
        <v>19</v>
      </c>
      <c r="C264" s="4073"/>
      <c r="D264" s="1142">
        <f>E264+L264+K264+F264+G264+H264+I264+J264</f>
        <v>3014884</v>
      </c>
      <c r="E264" s="1014">
        <v>963825</v>
      </c>
      <c r="F264" s="1014">
        <v>1026141</v>
      </c>
      <c r="G264" s="1014">
        <v>1024918</v>
      </c>
      <c r="H264" s="1015">
        <v>0</v>
      </c>
      <c r="I264" s="1015">
        <v>0</v>
      </c>
      <c r="J264" s="1015">
        <v>0</v>
      </c>
      <c r="K264" s="1014"/>
      <c r="L264" s="1015">
        <v>0</v>
      </c>
      <c r="M264" s="4032"/>
      <c r="N264" s="3940"/>
      <c r="O264" s="3649"/>
      <c r="P264" s="3666"/>
    </row>
    <row r="265" spans="1:16" s="1729" customFormat="1" ht="24.75" customHeight="1">
      <c r="A265" s="4062" t="s">
        <v>88</v>
      </c>
      <c r="B265" s="690" t="s">
        <v>377</v>
      </c>
      <c r="C265" s="691" t="s">
        <v>97</v>
      </c>
      <c r="D265" s="652"/>
      <c r="E265" s="1477"/>
      <c r="F265" s="1477"/>
      <c r="G265" s="1477"/>
      <c r="H265" s="1477"/>
      <c r="I265" s="1477"/>
      <c r="J265" s="21"/>
      <c r="K265" s="1477"/>
      <c r="L265" s="1477"/>
      <c r="M265" s="332"/>
      <c r="N265" s="4075" t="s">
        <v>250</v>
      </c>
      <c r="O265" s="3649"/>
      <c r="P265" s="3666"/>
    </row>
    <row r="266" spans="1:16" s="1729" customFormat="1">
      <c r="A266" s="4063"/>
      <c r="B266" s="1095" t="s">
        <v>9</v>
      </c>
      <c r="C266" s="692"/>
      <c r="D266" s="1101">
        <f t="shared" ref="D266:M266" si="198">+D267+D271</f>
        <v>2823073</v>
      </c>
      <c r="E266" s="830">
        <f t="shared" ref="E266" si="199">+E267+E271</f>
        <v>647079</v>
      </c>
      <c r="F266" s="830">
        <f t="shared" si="198"/>
        <v>1285319</v>
      </c>
      <c r="G266" s="830">
        <f t="shared" si="198"/>
        <v>890675</v>
      </c>
      <c r="H266" s="2570">
        <f t="shared" si="198"/>
        <v>0</v>
      </c>
      <c r="I266" s="2570">
        <f t="shared" si="198"/>
        <v>0</v>
      </c>
      <c r="J266" s="2571">
        <f t="shared" si="198"/>
        <v>0</v>
      </c>
      <c r="K266" s="830">
        <f>+K267+K271</f>
        <v>0</v>
      </c>
      <c r="L266" s="1975">
        <f>+L267+L271</f>
        <v>0</v>
      </c>
      <c r="M266" s="799">
        <f t="shared" si="198"/>
        <v>2175994</v>
      </c>
      <c r="N266" s="4076"/>
      <c r="O266" s="3649">
        <f>D266+D281</f>
        <v>3392273</v>
      </c>
      <c r="P266" s="3666"/>
    </row>
    <row r="267" spans="1:16" s="1729" customFormat="1">
      <c r="A267" s="4063"/>
      <c r="B267" s="1096" t="s">
        <v>22</v>
      </c>
      <c r="C267" s="4068" t="s">
        <v>352</v>
      </c>
      <c r="D267" s="1008">
        <f>+D268</f>
        <v>80369</v>
      </c>
      <c r="E267" s="1008">
        <f t="shared" ref="E267:J267" si="200">+E268</f>
        <v>18442</v>
      </c>
      <c r="F267" s="1008">
        <f t="shared" si="200"/>
        <v>36632</v>
      </c>
      <c r="G267" s="1008">
        <f t="shared" si="200"/>
        <v>25295</v>
      </c>
      <c r="H267" s="2572">
        <f t="shared" si="200"/>
        <v>0</v>
      </c>
      <c r="I267" s="2572">
        <f t="shared" si="200"/>
        <v>0</v>
      </c>
      <c r="J267" s="2572">
        <f t="shared" si="200"/>
        <v>0</v>
      </c>
      <c r="K267" s="1008">
        <f>+K268</f>
        <v>0</v>
      </c>
      <c r="L267" s="1976">
        <f>+L268</f>
        <v>0</v>
      </c>
      <c r="M267" s="1176">
        <f>+M268</f>
        <v>61927</v>
      </c>
      <c r="N267" s="4076"/>
      <c r="O267" s="3649"/>
      <c r="P267" s="3666"/>
    </row>
    <row r="268" spans="1:16" s="1729" customFormat="1">
      <c r="A268" s="4063"/>
      <c r="B268" s="1476" t="s">
        <v>12</v>
      </c>
      <c r="C268" s="4069"/>
      <c r="D268" s="766">
        <f>E268+L268+K268+F268+G268+H268+I268+J268</f>
        <v>80369</v>
      </c>
      <c r="E268" s="1023">
        <f>E269+E270</f>
        <v>18442</v>
      </c>
      <c r="F268" s="1023">
        <f t="shared" ref="F268:J268" si="201">F269+F270</f>
        <v>36632</v>
      </c>
      <c r="G268" s="1023">
        <f t="shared" si="201"/>
        <v>25295</v>
      </c>
      <c r="H268" s="2573">
        <f t="shared" si="201"/>
        <v>0</v>
      </c>
      <c r="I268" s="2573">
        <f t="shared" si="201"/>
        <v>0</v>
      </c>
      <c r="J268" s="2574">
        <f t="shared" si="201"/>
        <v>0</v>
      </c>
      <c r="K268" s="1023">
        <f>K269+K270</f>
        <v>0</v>
      </c>
      <c r="L268" s="1979">
        <v>0</v>
      </c>
      <c r="M268" s="1018">
        <f>SUM(F268:J268)</f>
        <v>61927</v>
      </c>
      <c r="N268" s="4076"/>
      <c r="O268" s="3649">
        <f>D268-D277</f>
        <v>0</v>
      </c>
      <c r="P268" s="3666"/>
    </row>
    <row r="269" spans="1:16" s="1729" customFormat="1" hidden="1">
      <c r="A269" s="4063"/>
      <c r="B269" s="1986" t="s">
        <v>237</v>
      </c>
      <c r="C269" s="4069"/>
      <c r="D269" s="1980">
        <f>SUM(E269:J269)</f>
        <v>17859</v>
      </c>
      <c r="E269" s="2563">
        <f>7649-1062-1</f>
        <v>6586</v>
      </c>
      <c r="F269" s="2563">
        <f>5437+1062+1-328</f>
        <v>6172</v>
      </c>
      <c r="G269" s="1981">
        <f>4773+328</f>
        <v>5101</v>
      </c>
      <c r="H269" s="2737"/>
      <c r="I269" s="2737"/>
      <c r="J269" s="2738">
        <v>0</v>
      </c>
      <c r="K269" s="2563"/>
      <c r="L269" s="1982">
        <v>0</v>
      </c>
      <c r="M269" s="1018">
        <f>SUM(F269:J269)</f>
        <v>11273</v>
      </c>
      <c r="N269" s="4076"/>
      <c r="O269" s="3649"/>
      <c r="P269" s="3666"/>
    </row>
    <row r="270" spans="1:16" s="1729" customFormat="1" hidden="1">
      <c r="A270" s="4063"/>
      <c r="B270" s="1987" t="s">
        <v>246</v>
      </c>
      <c r="C270" s="4069"/>
      <c r="D270" s="1988">
        <f>SUM(E270:J270)</f>
        <v>62510</v>
      </c>
      <c r="E270" s="2172">
        <f>21245-920-8470+1</f>
        <v>11856</v>
      </c>
      <c r="F270" s="2172">
        <f>24550+8470-1-2559</f>
        <v>30460</v>
      </c>
      <c r="G270" s="1990">
        <f>17635+2559</f>
        <v>20194</v>
      </c>
      <c r="H270" s="2739"/>
      <c r="I270" s="2739"/>
      <c r="J270" s="2740">
        <v>0</v>
      </c>
      <c r="K270" s="2172"/>
      <c r="L270" s="1991">
        <v>0</v>
      </c>
      <c r="M270" s="1018">
        <f>SUM(F270:J270)</f>
        <v>50654</v>
      </c>
      <c r="N270" s="4076"/>
      <c r="O270" s="3649"/>
      <c r="P270" s="3666"/>
    </row>
    <row r="271" spans="1:16" s="1729" customFormat="1">
      <c r="A271" s="4063"/>
      <c r="B271" s="1096" t="s">
        <v>17</v>
      </c>
      <c r="C271" s="4069"/>
      <c r="D271" s="807">
        <f>+D272</f>
        <v>2742704</v>
      </c>
      <c r="E271" s="807">
        <f t="shared" ref="E271:J271" si="202">+E272</f>
        <v>628637</v>
      </c>
      <c r="F271" s="807">
        <f t="shared" si="202"/>
        <v>1248687</v>
      </c>
      <c r="G271" s="807">
        <f t="shared" si="202"/>
        <v>865380</v>
      </c>
      <c r="H271" s="2447">
        <f t="shared" si="202"/>
        <v>0</v>
      </c>
      <c r="I271" s="2447">
        <f t="shared" si="202"/>
        <v>0</v>
      </c>
      <c r="J271" s="1052">
        <f t="shared" si="202"/>
        <v>0</v>
      </c>
      <c r="K271" s="807">
        <f>+K272</f>
        <v>0</v>
      </c>
      <c r="L271" s="833">
        <f>+L272</f>
        <v>0</v>
      </c>
      <c r="M271" s="1020">
        <f>+M272</f>
        <v>2114067</v>
      </c>
      <c r="N271" s="4076"/>
      <c r="O271" s="3649">
        <f>D271-D278</f>
        <v>0</v>
      </c>
      <c r="P271" s="3666"/>
    </row>
    <row r="272" spans="1:16" s="1729" customFormat="1">
      <c r="A272" s="4063"/>
      <c r="B272" s="1097" t="s">
        <v>19</v>
      </c>
      <c r="C272" s="4069"/>
      <c r="D272" s="766">
        <f>E272+L272+K272+F272+G272+H272+I272+J272</f>
        <v>2742704</v>
      </c>
      <c r="E272" s="810">
        <f>E273+E274</f>
        <v>628637</v>
      </c>
      <c r="F272" s="810">
        <f t="shared" ref="F272:J272" si="203">F273+F274</f>
        <v>1248687</v>
      </c>
      <c r="G272" s="810">
        <f t="shared" si="203"/>
        <v>865380</v>
      </c>
      <c r="H272" s="2575">
        <f t="shared" si="203"/>
        <v>0</v>
      </c>
      <c r="I272" s="2575">
        <f t="shared" si="203"/>
        <v>0</v>
      </c>
      <c r="J272" s="1053">
        <f t="shared" si="203"/>
        <v>0</v>
      </c>
      <c r="K272" s="810">
        <f>K273+K274</f>
        <v>0</v>
      </c>
      <c r="L272" s="1570">
        <v>0</v>
      </c>
      <c r="M272" s="1018">
        <f>SUM(F272:J272)</f>
        <v>2114067</v>
      </c>
      <c r="N272" s="4076"/>
      <c r="O272" s="3649"/>
      <c r="P272" s="3666"/>
    </row>
    <row r="273" spans="1:16" s="1729" customFormat="1" hidden="1">
      <c r="A273" s="4063"/>
      <c r="B273" s="1986" t="s">
        <v>237</v>
      </c>
      <c r="C273" s="1992"/>
      <c r="D273" s="1980">
        <f>SUM(E273:J273)</f>
        <v>608761</v>
      </c>
      <c r="E273" s="1981">
        <f>260714-36195</f>
        <v>224519</v>
      </c>
      <c r="F273" s="1981">
        <f>185342+36195-11149</f>
        <v>210388</v>
      </c>
      <c r="G273" s="1981">
        <f>162705+11149</f>
        <v>173854</v>
      </c>
      <c r="H273" s="2737">
        <v>0</v>
      </c>
      <c r="I273" s="2737">
        <v>0</v>
      </c>
      <c r="J273" s="2738">
        <v>0</v>
      </c>
      <c r="K273" s="1981"/>
      <c r="L273" s="1042">
        <v>0</v>
      </c>
      <c r="M273" s="1977">
        <f>SUM(F273:J273)</f>
        <v>384242</v>
      </c>
      <c r="N273" s="4076"/>
      <c r="O273" s="3649"/>
      <c r="P273" s="3666"/>
    </row>
    <row r="274" spans="1:16" s="1729" customFormat="1" hidden="1">
      <c r="A274" s="4063"/>
      <c r="B274" s="1987" t="s">
        <v>246</v>
      </c>
      <c r="C274" s="1993"/>
      <c r="D274" s="1988">
        <f>SUM(E274:J274)</f>
        <v>2133943</v>
      </c>
      <c r="E274" s="1990">
        <f>724218-31379-288721</f>
        <v>404118</v>
      </c>
      <c r="F274" s="1990">
        <f>836856+288721-87278</f>
        <v>1038299</v>
      </c>
      <c r="G274" s="1990">
        <f>604248+87278</f>
        <v>691526</v>
      </c>
      <c r="H274" s="2739"/>
      <c r="I274" s="2739"/>
      <c r="J274" s="2740">
        <v>0</v>
      </c>
      <c r="K274" s="1990"/>
      <c r="L274" s="1989">
        <v>0</v>
      </c>
      <c r="M274" s="1977">
        <f>SUM(F274:J274)</f>
        <v>1729825</v>
      </c>
      <c r="N274" s="4077"/>
      <c r="O274" s="3649"/>
      <c r="P274" s="3666"/>
    </row>
    <row r="275" spans="1:16" s="1729" customFormat="1" ht="13.5" thickBot="1">
      <c r="A275" s="4064"/>
      <c r="B275" s="1095" t="s">
        <v>20</v>
      </c>
      <c r="C275" s="1095"/>
      <c r="D275" s="1019">
        <f>D278+D276</f>
        <v>2823073</v>
      </c>
      <c r="E275" s="1019">
        <f t="shared" ref="E275" si="204">E278+E276</f>
        <v>981527</v>
      </c>
      <c r="F275" s="1019">
        <f t="shared" ref="F275:J275" si="205">F278+F276</f>
        <v>950871</v>
      </c>
      <c r="G275" s="1019">
        <f t="shared" si="205"/>
        <v>890675</v>
      </c>
      <c r="H275" s="2576">
        <f t="shared" si="205"/>
        <v>0</v>
      </c>
      <c r="I275" s="2576">
        <f t="shared" si="205"/>
        <v>0</v>
      </c>
      <c r="J275" s="2577">
        <f t="shared" si="205"/>
        <v>0</v>
      </c>
      <c r="K275" s="1019">
        <f>K278+K276</f>
        <v>0</v>
      </c>
      <c r="L275" s="1983">
        <f>L278+L276</f>
        <v>0</v>
      </c>
      <c r="M275" s="4070" t="s">
        <v>51</v>
      </c>
      <c r="N275" s="4104" t="s">
        <v>351</v>
      </c>
      <c r="O275" s="3649"/>
      <c r="P275" s="3666"/>
    </row>
    <row r="276" spans="1:16" s="1729" customFormat="1" ht="12.75" customHeight="1" thickBot="1">
      <c r="A276" s="4064"/>
      <c r="B276" s="1102" t="s">
        <v>22</v>
      </c>
      <c r="C276" s="4071" t="s">
        <v>290</v>
      </c>
      <c r="D276" s="807">
        <f t="shared" ref="D276:J278" si="206">+D277</f>
        <v>80369</v>
      </c>
      <c r="E276" s="807">
        <f t="shared" si="206"/>
        <v>27974</v>
      </c>
      <c r="F276" s="807">
        <f t="shared" si="206"/>
        <v>27100</v>
      </c>
      <c r="G276" s="807">
        <f t="shared" si="206"/>
        <v>25295</v>
      </c>
      <c r="H276" s="2447">
        <f t="shared" si="206"/>
        <v>0</v>
      </c>
      <c r="I276" s="2447">
        <f t="shared" si="206"/>
        <v>0</v>
      </c>
      <c r="J276" s="1052">
        <f t="shared" si="206"/>
        <v>0</v>
      </c>
      <c r="K276" s="807">
        <f>+K277</f>
        <v>0</v>
      </c>
      <c r="L276" s="833">
        <f>+L277</f>
        <v>0</v>
      </c>
      <c r="M276" s="4070"/>
      <c r="N276" s="3989"/>
      <c r="O276" s="3649"/>
      <c r="P276" s="3666"/>
    </row>
    <row r="277" spans="1:16" s="1729" customFormat="1" ht="13.5" thickBot="1">
      <c r="A277" s="4064"/>
      <c r="B277" s="1476" t="s">
        <v>12</v>
      </c>
      <c r="C277" s="4072"/>
      <c r="D277" s="789">
        <f>E277+L277+K277+F277+G277+H277+I277+J277</f>
        <v>80369</v>
      </c>
      <c r="E277" s="1045">
        <f>28894-920</f>
        <v>27974</v>
      </c>
      <c r="F277" s="1045">
        <f>29987-2887</f>
        <v>27100</v>
      </c>
      <c r="G277" s="1045">
        <f>22408+2887</f>
        <v>25295</v>
      </c>
      <c r="H277" s="2578"/>
      <c r="I277" s="2578"/>
      <c r="J277" s="2579">
        <v>0</v>
      </c>
      <c r="K277" s="1045"/>
      <c r="L277" s="1044">
        <v>0</v>
      </c>
      <c r="M277" s="4070"/>
      <c r="N277" s="3989"/>
      <c r="O277" s="3649"/>
      <c r="P277" s="3666"/>
    </row>
    <row r="278" spans="1:16" s="1729" customFormat="1" ht="13.5" thickBot="1">
      <c r="A278" s="4064"/>
      <c r="B278" s="1096" t="s">
        <v>17</v>
      </c>
      <c r="C278" s="4072"/>
      <c r="D278" s="1037">
        <f t="shared" si="206"/>
        <v>2742704</v>
      </c>
      <c r="E278" s="807">
        <f t="shared" si="206"/>
        <v>953553</v>
      </c>
      <c r="F278" s="807">
        <f t="shared" si="206"/>
        <v>923771</v>
      </c>
      <c r="G278" s="807">
        <f t="shared" si="206"/>
        <v>865380</v>
      </c>
      <c r="H278" s="2447">
        <f t="shared" si="206"/>
        <v>0</v>
      </c>
      <c r="I278" s="2447">
        <f t="shared" si="206"/>
        <v>0</v>
      </c>
      <c r="J278" s="1052">
        <f t="shared" si="206"/>
        <v>0</v>
      </c>
      <c r="K278" s="807">
        <f>+K279</f>
        <v>0</v>
      </c>
      <c r="L278" s="833">
        <f>+L279</f>
        <v>0</v>
      </c>
      <c r="M278" s="4070"/>
      <c r="N278" s="3989"/>
      <c r="O278" s="3649"/>
      <c r="P278" s="3666"/>
    </row>
    <row r="279" spans="1:16" s="1729" customFormat="1" ht="13.5" thickBot="1">
      <c r="A279" s="4065"/>
      <c r="B279" s="1175" t="s">
        <v>19</v>
      </c>
      <c r="C279" s="4073"/>
      <c r="D279" s="1142">
        <f>E279+L279+K279+F279+G279+H279+I279+J279</f>
        <v>2742704</v>
      </c>
      <c r="E279" s="1014">
        <f>984932-31379</f>
        <v>953553</v>
      </c>
      <c r="F279" s="1014">
        <f>1022198-98427</f>
        <v>923771</v>
      </c>
      <c r="G279" s="1014">
        <f>766953+98427</f>
        <v>865380</v>
      </c>
      <c r="H279" s="1055"/>
      <c r="I279" s="1055"/>
      <c r="J279" s="1054">
        <v>0</v>
      </c>
      <c r="K279" s="1014"/>
      <c r="L279" s="1015">
        <v>0</v>
      </c>
      <c r="M279" s="4032"/>
      <c r="N279" s="3989"/>
      <c r="O279" s="3649"/>
      <c r="P279" s="3666"/>
    </row>
    <row r="280" spans="1:16" s="1729" customFormat="1" ht="25.5" customHeight="1" thickBot="1">
      <c r="A280" s="4062" t="s">
        <v>235</v>
      </c>
      <c r="B280" s="690" t="s">
        <v>378</v>
      </c>
      <c r="C280" s="691" t="s">
        <v>70</v>
      </c>
      <c r="D280" s="652"/>
      <c r="E280" s="1477"/>
      <c r="F280" s="1477"/>
      <c r="G280" s="1477"/>
      <c r="H280" s="1477"/>
      <c r="I280" s="1477"/>
      <c r="J280" s="21"/>
      <c r="K280" s="1477"/>
      <c r="L280" s="1477"/>
      <c r="M280" s="332"/>
      <c r="N280" s="4081" t="s">
        <v>355</v>
      </c>
      <c r="O280" s="3649"/>
      <c r="P280" s="3666"/>
    </row>
    <row r="281" spans="1:16" s="1729" customFormat="1" ht="14.25" customHeight="1" thickBot="1">
      <c r="A281" s="4063"/>
      <c r="B281" s="1095" t="s">
        <v>9</v>
      </c>
      <c r="C281" s="692"/>
      <c r="D281" s="1101">
        <f t="shared" ref="D281:M281" si="207">+D282+D284</f>
        <v>569200</v>
      </c>
      <c r="E281" s="830">
        <f t="shared" ref="E281" si="208">+E282+E284</f>
        <v>528511</v>
      </c>
      <c r="F281" s="830">
        <f t="shared" si="207"/>
        <v>40689</v>
      </c>
      <c r="G281" s="2570">
        <f t="shared" si="207"/>
        <v>0</v>
      </c>
      <c r="H281" s="2570">
        <f t="shared" si="207"/>
        <v>0</v>
      </c>
      <c r="I281" s="2570">
        <f t="shared" si="207"/>
        <v>0</v>
      </c>
      <c r="J281" s="2571">
        <f t="shared" si="207"/>
        <v>0</v>
      </c>
      <c r="K281" s="830">
        <f>+K282+K284</f>
        <v>0</v>
      </c>
      <c r="L281" s="1975">
        <f>+L282+L284</f>
        <v>0</v>
      </c>
      <c r="M281" s="799">
        <f t="shared" si="207"/>
        <v>40689</v>
      </c>
      <c r="N281" s="4081"/>
      <c r="O281" s="3649"/>
      <c r="P281" s="3666"/>
    </row>
    <row r="282" spans="1:16" s="1729" customFormat="1" ht="13.5" thickBot="1">
      <c r="A282" s="4063"/>
      <c r="B282" s="1096" t="s">
        <v>22</v>
      </c>
      <c r="C282" s="4068" t="s">
        <v>356</v>
      </c>
      <c r="D282" s="1008">
        <f>+D283</f>
        <v>16222</v>
      </c>
      <c r="E282" s="1008">
        <f t="shared" ref="E282:J282" si="209">+E283</f>
        <v>15062</v>
      </c>
      <c r="F282" s="1008">
        <f t="shared" si="209"/>
        <v>1160</v>
      </c>
      <c r="G282" s="2572">
        <f t="shared" si="209"/>
        <v>0</v>
      </c>
      <c r="H282" s="2572">
        <f t="shared" si="209"/>
        <v>0</v>
      </c>
      <c r="I282" s="2572">
        <f t="shared" si="209"/>
        <v>0</v>
      </c>
      <c r="J282" s="2572">
        <f t="shared" si="209"/>
        <v>0</v>
      </c>
      <c r="K282" s="1008">
        <f>+K283</f>
        <v>0</v>
      </c>
      <c r="L282" s="1976">
        <f>+L283</f>
        <v>0</v>
      </c>
      <c r="M282" s="1176">
        <f>+M283</f>
        <v>1160</v>
      </c>
      <c r="N282" s="4081"/>
      <c r="O282" s="3649"/>
      <c r="P282" s="3666"/>
    </row>
    <row r="283" spans="1:16" s="1729" customFormat="1" ht="12" customHeight="1" thickBot="1">
      <c r="A283" s="4063"/>
      <c r="B283" s="1476" t="s">
        <v>12</v>
      </c>
      <c r="C283" s="4069"/>
      <c r="D283" s="766">
        <f>E283+L283+K283+F283+G283+H283+I283+J283</f>
        <v>16222</v>
      </c>
      <c r="E283" s="1023">
        <f>15302+920-1160</f>
        <v>15062</v>
      </c>
      <c r="F283" s="1023">
        <v>1160</v>
      </c>
      <c r="G283" s="2573">
        <v>0</v>
      </c>
      <c r="H283" s="2573">
        <v>0</v>
      </c>
      <c r="I283" s="2573">
        <v>0</v>
      </c>
      <c r="J283" s="2574">
        <v>0</v>
      </c>
      <c r="K283" s="1023"/>
      <c r="L283" s="1979">
        <v>0</v>
      </c>
      <c r="M283" s="1018">
        <f>SUM(F283:J283)</f>
        <v>1160</v>
      </c>
      <c r="N283" s="4081"/>
      <c r="O283" s="3649"/>
      <c r="P283" s="3666"/>
    </row>
    <row r="284" spans="1:16" s="1729" customFormat="1" ht="12" customHeight="1" thickBot="1">
      <c r="A284" s="4063"/>
      <c r="B284" s="1096" t="s">
        <v>17</v>
      </c>
      <c r="C284" s="4069"/>
      <c r="D284" s="807">
        <f>+D285</f>
        <v>552978</v>
      </c>
      <c r="E284" s="807">
        <f t="shared" ref="E284:J284" si="210">+E285</f>
        <v>513449</v>
      </c>
      <c r="F284" s="807">
        <f t="shared" si="210"/>
        <v>39529</v>
      </c>
      <c r="G284" s="2447">
        <f t="shared" si="210"/>
        <v>0</v>
      </c>
      <c r="H284" s="2447">
        <f t="shared" si="210"/>
        <v>0</v>
      </c>
      <c r="I284" s="2447">
        <f t="shared" si="210"/>
        <v>0</v>
      </c>
      <c r="J284" s="1052">
        <f t="shared" si="210"/>
        <v>0</v>
      </c>
      <c r="K284" s="807">
        <f>+K285</f>
        <v>0</v>
      </c>
      <c r="L284" s="833">
        <f>+L285</f>
        <v>0</v>
      </c>
      <c r="M284" s="1020">
        <f>+M285</f>
        <v>39529</v>
      </c>
      <c r="N284" s="4081"/>
      <c r="O284" s="3649"/>
      <c r="P284" s="3666"/>
    </row>
    <row r="285" spans="1:16" s="1729" customFormat="1">
      <c r="A285" s="4063"/>
      <c r="B285" s="1097" t="s">
        <v>19</v>
      </c>
      <c r="C285" s="4069"/>
      <c r="D285" s="766">
        <f>E285+L285+K285+F285+G285+H285+I285+J285</f>
        <v>552978</v>
      </c>
      <c r="E285" s="810">
        <f>521599+31379-39529</f>
        <v>513449</v>
      </c>
      <c r="F285" s="810">
        <v>39529</v>
      </c>
      <c r="G285" s="2575">
        <v>0</v>
      </c>
      <c r="H285" s="2575">
        <v>0</v>
      </c>
      <c r="I285" s="2575">
        <v>0</v>
      </c>
      <c r="J285" s="1053">
        <v>0</v>
      </c>
      <c r="K285" s="810"/>
      <c r="L285" s="1570">
        <v>0</v>
      </c>
      <c r="M285" s="1018">
        <f>SUM(F285:J285)</f>
        <v>39529</v>
      </c>
      <c r="N285" s="4082"/>
      <c r="O285" s="3649"/>
      <c r="P285" s="3666"/>
    </row>
    <row r="286" spans="1:16" s="1729" customFormat="1" ht="12.75" customHeight="1" thickBot="1">
      <c r="A286" s="4064"/>
      <c r="B286" s="1095" t="s">
        <v>20</v>
      </c>
      <c r="C286" s="1095"/>
      <c r="D286" s="1019">
        <f>D289+D287</f>
        <v>569200</v>
      </c>
      <c r="E286" s="1019">
        <f t="shared" ref="E286" si="211">E289+E287</f>
        <v>536900</v>
      </c>
      <c r="F286" s="1019">
        <f t="shared" ref="F286:J286" si="212">F289+F287</f>
        <v>32300</v>
      </c>
      <c r="G286" s="2576">
        <f t="shared" si="212"/>
        <v>0</v>
      </c>
      <c r="H286" s="2576">
        <f t="shared" si="212"/>
        <v>0</v>
      </c>
      <c r="I286" s="2576">
        <f t="shared" si="212"/>
        <v>0</v>
      </c>
      <c r="J286" s="2577">
        <f t="shared" si="212"/>
        <v>0</v>
      </c>
      <c r="K286" s="1019">
        <f>K289+K287</f>
        <v>0</v>
      </c>
      <c r="L286" s="1983">
        <f>L289+L287</f>
        <v>0</v>
      </c>
      <c r="M286" s="4070" t="s">
        <v>51</v>
      </c>
      <c r="N286" s="3940" t="s">
        <v>351</v>
      </c>
      <c r="O286" s="3649"/>
      <c r="P286" s="3666"/>
    </row>
    <row r="287" spans="1:16" s="1729" customFormat="1" ht="13.5" thickBot="1">
      <c r="A287" s="4064"/>
      <c r="B287" s="1102" t="s">
        <v>22</v>
      </c>
      <c r="C287" s="4071" t="s">
        <v>290</v>
      </c>
      <c r="D287" s="807">
        <f t="shared" ref="D287:J289" si="213">+D288</f>
        <v>16222</v>
      </c>
      <c r="E287" s="807">
        <f t="shared" si="213"/>
        <v>15302</v>
      </c>
      <c r="F287" s="807">
        <f t="shared" si="213"/>
        <v>920</v>
      </c>
      <c r="G287" s="2447">
        <f t="shared" si="213"/>
        <v>0</v>
      </c>
      <c r="H287" s="2447">
        <f t="shared" si="213"/>
        <v>0</v>
      </c>
      <c r="I287" s="2447">
        <f t="shared" si="213"/>
        <v>0</v>
      </c>
      <c r="J287" s="1052">
        <f t="shared" si="213"/>
        <v>0</v>
      </c>
      <c r="K287" s="807">
        <f>+K288</f>
        <v>0</v>
      </c>
      <c r="L287" s="833">
        <f>+L288</f>
        <v>0</v>
      </c>
      <c r="M287" s="4070"/>
      <c r="N287" s="3989"/>
      <c r="O287" s="3649"/>
      <c r="P287" s="3666"/>
    </row>
    <row r="288" spans="1:16" s="1729" customFormat="1" ht="13.5" thickBot="1">
      <c r="A288" s="4064"/>
      <c r="B288" s="1476" t="s">
        <v>12</v>
      </c>
      <c r="C288" s="4072"/>
      <c r="D288" s="789">
        <f>E288+L288+K288+F288+G288+H288+I288+J288</f>
        <v>16222</v>
      </c>
      <c r="E288" s="1045">
        <f>15302+920-920</f>
        <v>15302</v>
      </c>
      <c r="F288" s="1045">
        <v>920</v>
      </c>
      <c r="G288" s="2578">
        <v>0</v>
      </c>
      <c r="H288" s="2578">
        <v>0</v>
      </c>
      <c r="I288" s="2578">
        <v>0</v>
      </c>
      <c r="J288" s="2579">
        <v>0</v>
      </c>
      <c r="K288" s="1045"/>
      <c r="L288" s="1044">
        <v>0</v>
      </c>
      <c r="M288" s="4070"/>
      <c r="N288" s="3989"/>
      <c r="O288" s="3649"/>
      <c r="P288" s="3666"/>
    </row>
    <row r="289" spans="1:16" s="1729" customFormat="1">
      <c r="A289" s="4064"/>
      <c r="B289" s="1096" t="s">
        <v>17</v>
      </c>
      <c r="C289" s="4072"/>
      <c r="D289" s="1037">
        <f t="shared" si="213"/>
        <v>552978</v>
      </c>
      <c r="E289" s="807">
        <f t="shared" si="213"/>
        <v>521598</v>
      </c>
      <c r="F289" s="807">
        <f t="shared" si="213"/>
        <v>31380</v>
      </c>
      <c r="G289" s="2447">
        <f t="shared" si="213"/>
        <v>0</v>
      </c>
      <c r="H289" s="2447">
        <f t="shared" si="213"/>
        <v>0</v>
      </c>
      <c r="I289" s="2447">
        <f t="shared" si="213"/>
        <v>0</v>
      </c>
      <c r="J289" s="1052">
        <f t="shared" si="213"/>
        <v>0</v>
      </c>
      <c r="K289" s="807">
        <f>+K290</f>
        <v>0</v>
      </c>
      <c r="L289" s="833">
        <f>+L290</f>
        <v>0</v>
      </c>
      <c r="M289" s="4070"/>
      <c r="N289" s="4110"/>
      <c r="O289" s="3649"/>
      <c r="P289" s="3666"/>
    </row>
    <row r="290" spans="1:16" s="1729" customFormat="1" ht="13.5" thickBot="1">
      <c r="A290" s="4065"/>
      <c r="B290" s="1175" t="s">
        <v>19</v>
      </c>
      <c r="C290" s="4073"/>
      <c r="D290" s="1142">
        <f>E290+L290+K290+F290+G290+H290+I290+J290</f>
        <v>552978</v>
      </c>
      <c r="E290" s="1014">
        <f>521599+31379-31380</f>
        <v>521598</v>
      </c>
      <c r="F290" s="1014">
        <v>31380</v>
      </c>
      <c r="G290" s="1055">
        <v>0</v>
      </c>
      <c r="H290" s="1055">
        <v>0</v>
      </c>
      <c r="I290" s="1055">
        <v>0</v>
      </c>
      <c r="J290" s="1054">
        <v>0</v>
      </c>
      <c r="K290" s="1014"/>
      <c r="L290" s="1015">
        <v>0</v>
      </c>
      <c r="M290" s="4032"/>
      <c r="N290" s="3940"/>
      <c r="O290" s="3649"/>
      <c r="P290" s="3666"/>
    </row>
    <row r="291" spans="1:16" s="3463" customFormat="1" ht="26.25" customHeight="1">
      <c r="A291" s="4062" t="s">
        <v>92</v>
      </c>
      <c r="B291" s="690" t="s">
        <v>376</v>
      </c>
      <c r="C291" s="691" t="s">
        <v>97</v>
      </c>
      <c r="D291" s="652"/>
      <c r="E291" s="1477"/>
      <c r="F291" s="1477"/>
      <c r="G291" s="1477"/>
      <c r="H291" s="1477"/>
      <c r="I291" s="1477"/>
      <c r="J291" s="21"/>
      <c r="K291" s="1477"/>
      <c r="L291" s="1477"/>
      <c r="M291" s="332"/>
      <c r="N291" s="4075" t="s">
        <v>250</v>
      </c>
      <c r="O291" s="3654"/>
      <c r="P291" s="3667"/>
    </row>
    <row r="292" spans="1:16" s="3463" customFormat="1" ht="15.75" customHeight="1">
      <c r="A292" s="4063"/>
      <c r="B292" s="1095" t="s">
        <v>9</v>
      </c>
      <c r="C292" s="692"/>
      <c r="D292" s="1101">
        <f>+D293+D300</f>
        <v>1294515</v>
      </c>
      <c r="E292" s="830">
        <f t="shared" ref="E292" si="214">+E293+E300</f>
        <v>210500</v>
      </c>
      <c r="F292" s="830">
        <f t="shared" ref="F292:M292" si="215">+F293+F300</f>
        <v>531736</v>
      </c>
      <c r="G292" s="830">
        <f t="shared" si="215"/>
        <v>466420</v>
      </c>
      <c r="H292" s="830">
        <f t="shared" si="215"/>
        <v>85859</v>
      </c>
      <c r="I292" s="1975">
        <f t="shared" si="215"/>
        <v>0</v>
      </c>
      <c r="J292" s="1975">
        <f t="shared" si="215"/>
        <v>0</v>
      </c>
      <c r="K292" s="830">
        <f>+K293+K300</f>
        <v>0</v>
      </c>
      <c r="L292" s="1975">
        <f>+L293+L300</f>
        <v>0</v>
      </c>
      <c r="M292" s="799">
        <f t="shared" si="215"/>
        <v>1084015</v>
      </c>
      <c r="N292" s="4076"/>
      <c r="O292" s="3654"/>
      <c r="P292" s="3667"/>
    </row>
    <row r="293" spans="1:16" s="3463" customFormat="1" ht="15" customHeight="1">
      <c r="A293" s="4063"/>
      <c r="B293" s="1102" t="s">
        <v>22</v>
      </c>
      <c r="C293" s="4068" t="s">
        <v>344</v>
      </c>
      <c r="D293" s="1008">
        <f>+D294+D297</f>
        <v>203498</v>
      </c>
      <c r="E293" s="1008">
        <f t="shared" ref="E293" si="216">+E294+E297</f>
        <v>33091</v>
      </c>
      <c r="F293" s="1008">
        <f t="shared" ref="F293:J293" si="217">+F294+F297</f>
        <v>83589</v>
      </c>
      <c r="G293" s="1008">
        <f t="shared" si="217"/>
        <v>73321</v>
      </c>
      <c r="H293" s="1008">
        <f t="shared" si="217"/>
        <v>13497</v>
      </c>
      <c r="I293" s="1976">
        <f t="shared" si="217"/>
        <v>0</v>
      </c>
      <c r="J293" s="1976">
        <f t="shared" si="217"/>
        <v>0</v>
      </c>
      <c r="K293" s="1008">
        <f>+K294+K297</f>
        <v>0</v>
      </c>
      <c r="L293" s="1976">
        <f>+L294+L297</f>
        <v>0</v>
      </c>
      <c r="M293" s="1176">
        <f>+M294+M297</f>
        <v>170407</v>
      </c>
      <c r="N293" s="4076"/>
      <c r="O293" s="3654"/>
      <c r="P293" s="3667"/>
    </row>
    <row r="294" spans="1:16" s="3463" customFormat="1" hidden="1">
      <c r="A294" s="4063"/>
      <c r="B294" s="1476" t="s">
        <v>11</v>
      </c>
      <c r="C294" s="4069"/>
      <c r="D294" s="766">
        <f>E294+L294+K294+F294+G294+H294+I294+J294</f>
        <v>0</v>
      </c>
      <c r="E294" s="1023">
        <f>E295+E296</f>
        <v>0</v>
      </c>
      <c r="F294" s="1023">
        <f t="shared" ref="F294:J294" si="218">F295+F296</f>
        <v>0</v>
      </c>
      <c r="G294" s="1023">
        <f t="shared" si="218"/>
        <v>0</v>
      </c>
      <c r="H294" s="1023">
        <f t="shared" si="218"/>
        <v>0</v>
      </c>
      <c r="I294" s="1979">
        <f t="shared" si="218"/>
        <v>0</v>
      </c>
      <c r="J294" s="1979">
        <f t="shared" si="218"/>
        <v>0</v>
      </c>
      <c r="K294" s="1023">
        <f>K295+K296</f>
        <v>0</v>
      </c>
      <c r="L294" s="1979">
        <v>0</v>
      </c>
      <c r="M294" s="2877">
        <f t="shared" ref="M294:M299" si="219">SUM(F294:J294)</f>
        <v>0</v>
      </c>
      <c r="N294" s="4076"/>
      <c r="O294" s="3654"/>
      <c r="P294" s="3667"/>
    </row>
    <row r="295" spans="1:16" s="3463" customFormat="1" hidden="1">
      <c r="A295" s="4063"/>
      <c r="B295" s="3464" t="s">
        <v>237</v>
      </c>
      <c r="C295" s="4069"/>
      <c r="D295" s="1980">
        <f>SUM(E295:J295)</f>
        <v>0</v>
      </c>
      <c r="E295" s="1981"/>
      <c r="F295" s="1981"/>
      <c r="G295" s="1981"/>
      <c r="H295" s="1981">
        <v>0</v>
      </c>
      <c r="I295" s="1042">
        <v>0</v>
      </c>
      <c r="J295" s="1042">
        <v>0</v>
      </c>
      <c r="K295" s="1981"/>
      <c r="L295" s="1982">
        <v>0</v>
      </c>
      <c r="M295" s="1977">
        <f t="shared" si="219"/>
        <v>0</v>
      </c>
      <c r="N295" s="4076"/>
      <c r="O295" s="3654"/>
      <c r="P295" s="3667"/>
    </row>
    <row r="296" spans="1:16" s="3463" customFormat="1" hidden="1">
      <c r="A296" s="4063"/>
      <c r="B296" s="3465" t="s">
        <v>246</v>
      </c>
      <c r="C296" s="4069"/>
      <c r="D296" s="1988">
        <f>SUM(E296:J296)</f>
        <v>0</v>
      </c>
      <c r="E296" s="1990"/>
      <c r="F296" s="1990"/>
      <c r="G296" s="1990"/>
      <c r="H296" s="1990">
        <v>0</v>
      </c>
      <c r="I296" s="1989">
        <v>0</v>
      </c>
      <c r="J296" s="1989">
        <v>0</v>
      </c>
      <c r="K296" s="1990"/>
      <c r="L296" s="1991">
        <v>0</v>
      </c>
      <c r="M296" s="1977">
        <f t="shared" si="219"/>
        <v>0</v>
      </c>
      <c r="N296" s="4076"/>
      <c r="O296" s="3654"/>
      <c r="P296" s="3667"/>
    </row>
    <row r="297" spans="1:16" s="3463" customFormat="1" ht="13.5" customHeight="1">
      <c r="A297" s="4063"/>
      <c r="B297" s="1476" t="s">
        <v>12</v>
      </c>
      <c r="C297" s="4069"/>
      <c r="D297" s="766">
        <f>E297+L297+K297+F297+G297+H297+I297+J297</f>
        <v>203498</v>
      </c>
      <c r="E297" s="1023">
        <f>E298+E299</f>
        <v>33091</v>
      </c>
      <c r="F297" s="1023">
        <f t="shared" ref="F297:J297" si="220">F298+F299</f>
        <v>83589</v>
      </c>
      <c r="G297" s="1023">
        <f t="shared" si="220"/>
        <v>73321</v>
      </c>
      <c r="H297" s="1023">
        <f t="shared" si="220"/>
        <v>13497</v>
      </c>
      <c r="I297" s="1979">
        <f t="shared" si="220"/>
        <v>0</v>
      </c>
      <c r="J297" s="1979">
        <f t="shared" si="220"/>
        <v>0</v>
      </c>
      <c r="K297" s="1023">
        <f>K298+K299</f>
        <v>0</v>
      </c>
      <c r="L297" s="1979">
        <v>0</v>
      </c>
      <c r="M297" s="1018">
        <f t="shared" si="219"/>
        <v>170407</v>
      </c>
      <c r="N297" s="4076"/>
      <c r="O297" s="3654"/>
      <c r="P297" s="3667"/>
    </row>
    <row r="298" spans="1:16" s="3463" customFormat="1" hidden="1">
      <c r="A298" s="4063"/>
      <c r="B298" s="3464" t="s">
        <v>237</v>
      </c>
      <c r="C298" s="4069"/>
      <c r="D298" s="1980">
        <f>SUM(E298:J298)</f>
        <v>111493</v>
      </c>
      <c r="E298" s="1981">
        <f>27998-5935</f>
        <v>22063</v>
      </c>
      <c r="F298" s="1981">
        <f>38418+5935-5200</f>
        <v>39153</v>
      </c>
      <c r="G298" s="1981">
        <f>38208+885</f>
        <v>39093</v>
      </c>
      <c r="H298" s="1981">
        <f>10929+255</f>
        <v>11184</v>
      </c>
      <c r="I298" s="1042">
        <v>0</v>
      </c>
      <c r="J298" s="1042">
        <v>0</v>
      </c>
      <c r="K298" s="1981"/>
      <c r="L298" s="1982">
        <v>0</v>
      </c>
      <c r="M298" s="1018">
        <f t="shared" si="219"/>
        <v>89430</v>
      </c>
      <c r="N298" s="4076"/>
      <c r="O298" s="3654">
        <f>D297-D306</f>
        <v>0</v>
      </c>
      <c r="P298" s="3667"/>
    </row>
    <row r="299" spans="1:16" s="3463" customFormat="1" hidden="1">
      <c r="A299" s="4063"/>
      <c r="B299" s="3465" t="s">
        <v>246</v>
      </c>
      <c r="C299" s="4069"/>
      <c r="D299" s="1988">
        <f>SUM(E299:J299)</f>
        <v>92005</v>
      </c>
      <c r="E299" s="1990">
        <f>18226-7198</f>
        <v>11028</v>
      </c>
      <c r="F299" s="1990">
        <f>23275+7198+13963</f>
        <v>44436</v>
      </c>
      <c r="G299" s="1990">
        <f>17099+17129</f>
        <v>34228</v>
      </c>
      <c r="H299" s="1990">
        <f>816+1497</f>
        <v>2313</v>
      </c>
      <c r="I299" s="1989">
        <v>0</v>
      </c>
      <c r="J299" s="1989">
        <v>0</v>
      </c>
      <c r="K299" s="1990"/>
      <c r="L299" s="1991">
        <v>0</v>
      </c>
      <c r="M299" s="1018">
        <f t="shared" si="219"/>
        <v>80977</v>
      </c>
      <c r="N299" s="4076"/>
      <c r="O299" s="3654"/>
      <c r="P299" s="3668">
        <f>D299+D303</f>
        <v>585278</v>
      </c>
    </row>
    <row r="300" spans="1:16" s="3463" customFormat="1" ht="14.25" customHeight="1">
      <c r="A300" s="4063"/>
      <c r="B300" s="1102" t="s">
        <v>17</v>
      </c>
      <c r="C300" s="4069"/>
      <c r="D300" s="807">
        <f>+D301</f>
        <v>1091017</v>
      </c>
      <c r="E300" s="807">
        <f t="shared" ref="E300:J300" si="221">+E301</f>
        <v>177409</v>
      </c>
      <c r="F300" s="807">
        <f t="shared" si="221"/>
        <v>448147</v>
      </c>
      <c r="G300" s="807">
        <f t="shared" si="221"/>
        <v>393099</v>
      </c>
      <c r="H300" s="807">
        <f t="shared" si="221"/>
        <v>72362</v>
      </c>
      <c r="I300" s="833">
        <f t="shared" si="221"/>
        <v>0</v>
      </c>
      <c r="J300" s="833">
        <f t="shared" si="221"/>
        <v>0</v>
      </c>
      <c r="K300" s="807">
        <f>+K301</f>
        <v>0</v>
      </c>
      <c r="L300" s="833">
        <f>+L301</f>
        <v>0</v>
      </c>
      <c r="M300" s="1020">
        <f>+M301</f>
        <v>913608</v>
      </c>
      <c r="N300" s="4076"/>
      <c r="O300" s="3654">
        <f>D301-D308</f>
        <v>0</v>
      </c>
      <c r="P300" s="3667"/>
    </row>
    <row r="301" spans="1:16" s="3463" customFormat="1" ht="15" customHeight="1">
      <c r="A301" s="4063"/>
      <c r="B301" s="1476" t="s">
        <v>19</v>
      </c>
      <c r="C301" s="4069"/>
      <c r="D301" s="766">
        <f>E301+L301+K301+F301+G301+H301+I301+J301</f>
        <v>1091017</v>
      </c>
      <c r="E301" s="810">
        <f>E302+E303</f>
        <v>177409</v>
      </c>
      <c r="F301" s="810">
        <f t="shared" ref="F301:J301" si="222">F302+F303</f>
        <v>448147</v>
      </c>
      <c r="G301" s="810">
        <f t="shared" si="222"/>
        <v>393099</v>
      </c>
      <c r="H301" s="810">
        <f t="shared" si="222"/>
        <v>72362</v>
      </c>
      <c r="I301" s="1570">
        <f t="shared" si="222"/>
        <v>0</v>
      </c>
      <c r="J301" s="1570">
        <f t="shared" si="222"/>
        <v>0</v>
      </c>
      <c r="K301" s="810">
        <f>K302+K303</f>
        <v>0</v>
      </c>
      <c r="L301" s="1570">
        <v>0</v>
      </c>
      <c r="M301" s="1018">
        <f>SUM(F301:J301)</f>
        <v>913608</v>
      </c>
      <c r="N301" s="4076"/>
      <c r="O301" s="3654"/>
      <c r="P301" s="3667"/>
    </row>
    <row r="302" spans="1:16" s="3463" customFormat="1" hidden="1">
      <c r="A302" s="4063"/>
      <c r="B302" s="3464" t="s">
        <v>237</v>
      </c>
      <c r="C302" s="1992"/>
      <c r="D302" s="1980">
        <f>SUM(E302:J302)</f>
        <v>597744</v>
      </c>
      <c r="E302" s="1981">
        <f>150106-31824</f>
        <v>118282</v>
      </c>
      <c r="F302" s="1981">
        <f>205970+31824-27882</f>
        <v>209912</v>
      </c>
      <c r="G302" s="1981">
        <f>204850+4744</f>
        <v>209594</v>
      </c>
      <c r="H302" s="1981">
        <f>58596+1360</f>
        <v>59956</v>
      </c>
      <c r="I302" s="1042">
        <v>0</v>
      </c>
      <c r="J302" s="1042">
        <v>0</v>
      </c>
      <c r="K302" s="1981"/>
      <c r="L302" s="1042">
        <v>0</v>
      </c>
      <c r="M302" s="1977">
        <f>SUM(F302:J302)</f>
        <v>479462</v>
      </c>
      <c r="N302" s="4076"/>
      <c r="O302" s="3654"/>
      <c r="P302" s="3667"/>
    </row>
    <row r="303" spans="1:16" s="3463" customFormat="1" hidden="1">
      <c r="A303" s="4063"/>
      <c r="B303" s="3465" t="s">
        <v>246</v>
      </c>
      <c r="C303" s="1993"/>
      <c r="D303" s="1988">
        <f>SUM(E303:J303)</f>
        <v>493273</v>
      </c>
      <c r="E303" s="1990">
        <f>97714-38587</f>
        <v>59127</v>
      </c>
      <c r="F303" s="1990">
        <f>124784+38587+74864</f>
        <v>238235</v>
      </c>
      <c r="G303" s="1990">
        <f>91671+91834</f>
        <v>183505</v>
      </c>
      <c r="H303" s="1990">
        <f>4375+8031</f>
        <v>12406</v>
      </c>
      <c r="I303" s="1989">
        <v>0</v>
      </c>
      <c r="J303" s="1989">
        <v>0</v>
      </c>
      <c r="K303" s="1990"/>
      <c r="L303" s="1989">
        <v>0</v>
      </c>
      <c r="M303" s="1977">
        <f>SUM(F303:J303)</f>
        <v>434146</v>
      </c>
      <c r="N303" s="4077"/>
      <c r="O303" s="3654"/>
      <c r="P303" s="3667"/>
    </row>
    <row r="304" spans="1:16" s="3463" customFormat="1" ht="15.75" customHeight="1">
      <c r="A304" s="4064"/>
      <c r="B304" s="1095" t="s">
        <v>20</v>
      </c>
      <c r="C304" s="1095"/>
      <c r="D304" s="834">
        <f>D307+D305</f>
        <v>1294515</v>
      </c>
      <c r="E304" s="834">
        <f t="shared" ref="E304" si="223">E307+E305</f>
        <v>210500</v>
      </c>
      <c r="F304" s="834">
        <f t="shared" ref="F304:J304" si="224">F307+F305</f>
        <v>531736</v>
      </c>
      <c r="G304" s="834">
        <f>G307+G305</f>
        <v>466420</v>
      </c>
      <c r="H304" s="834">
        <f t="shared" si="224"/>
        <v>85859</v>
      </c>
      <c r="I304" s="2147">
        <f t="shared" si="224"/>
        <v>0</v>
      </c>
      <c r="J304" s="2147">
        <f t="shared" si="224"/>
        <v>0</v>
      </c>
      <c r="K304" s="834">
        <f>K307+K305</f>
        <v>0</v>
      </c>
      <c r="L304" s="2147">
        <f>L307+L305</f>
        <v>0</v>
      </c>
      <c r="M304" s="4070" t="s">
        <v>51</v>
      </c>
      <c r="N304" s="3938" t="s">
        <v>246</v>
      </c>
      <c r="O304" s="3654"/>
      <c r="P304" s="3667"/>
    </row>
    <row r="305" spans="1:16" s="3463" customFormat="1" ht="15" customHeight="1">
      <c r="A305" s="4064"/>
      <c r="B305" s="1102" t="s">
        <v>22</v>
      </c>
      <c r="C305" s="4071" t="s">
        <v>347</v>
      </c>
      <c r="D305" s="807">
        <f t="shared" ref="D305:J307" si="225">+D306</f>
        <v>203498</v>
      </c>
      <c r="E305" s="807">
        <f t="shared" si="225"/>
        <v>33091</v>
      </c>
      <c r="F305" s="807">
        <f t="shared" si="225"/>
        <v>83589</v>
      </c>
      <c r="G305" s="807">
        <f t="shared" si="225"/>
        <v>73321</v>
      </c>
      <c r="H305" s="807">
        <f t="shared" si="225"/>
        <v>13497</v>
      </c>
      <c r="I305" s="833">
        <f t="shared" si="225"/>
        <v>0</v>
      </c>
      <c r="J305" s="833">
        <f t="shared" si="225"/>
        <v>0</v>
      </c>
      <c r="K305" s="807">
        <f>+K306</f>
        <v>0</v>
      </c>
      <c r="L305" s="833">
        <f>+L306</f>
        <v>0</v>
      </c>
      <c r="M305" s="4070"/>
      <c r="N305" s="3939"/>
      <c r="O305" s="3654"/>
      <c r="P305" s="3667"/>
    </row>
    <row r="306" spans="1:16" s="3463" customFormat="1" ht="15.75" customHeight="1">
      <c r="A306" s="4064"/>
      <c r="B306" s="1476" t="s">
        <v>12</v>
      </c>
      <c r="C306" s="4072"/>
      <c r="D306" s="789">
        <f>E306+L306+K306+F306+G306+H306+I306+J306</f>
        <v>203498</v>
      </c>
      <c r="E306" s="2777">
        <f>46224-13133</f>
        <v>33091</v>
      </c>
      <c r="F306" s="2777">
        <f>61693+13133+8763</f>
        <v>83589</v>
      </c>
      <c r="G306" s="2777">
        <f>55307+18014</f>
        <v>73321</v>
      </c>
      <c r="H306" s="2777">
        <f>11745+1752</f>
        <v>13497</v>
      </c>
      <c r="I306" s="2816">
        <v>0</v>
      </c>
      <c r="J306" s="2816">
        <v>0</v>
      </c>
      <c r="K306" s="2777"/>
      <c r="L306" s="2816">
        <v>0</v>
      </c>
      <c r="M306" s="4070"/>
      <c r="N306" s="3939"/>
      <c r="O306" s="3654"/>
      <c r="P306" s="3667"/>
    </row>
    <row r="307" spans="1:16" s="3463" customFormat="1" ht="14.25" customHeight="1">
      <c r="A307" s="4064"/>
      <c r="B307" s="1102" t="s">
        <v>17</v>
      </c>
      <c r="C307" s="4072"/>
      <c r="D307" s="1037">
        <f t="shared" si="225"/>
        <v>1091017</v>
      </c>
      <c r="E307" s="1037">
        <f t="shared" si="225"/>
        <v>177409</v>
      </c>
      <c r="F307" s="1037">
        <f t="shared" si="225"/>
        <v>448147</v>
      </c>
      <c r="G307" s="1037">
        <f t="shared" si="225"/>
        <v>393099</v>
      </c>
      <c r="H307" s="1037">
        <f t="shared" si="225"/>
        <v>72362</v>
      </c>
      <c r="I307" s="833">
        <f t="shared" si="225"/>
        <v>0</v>
      </c>
      <c r="J307" s="833">
        <f t="shared" si="225"/>
        <v>0</v>
      </c>
      <c r="K307" s="1037">
        <f>+K308</f>
        <v>0</v>
      </c>
      <c r="L307" s="833">
        <f>+L308</f>
        <v>0</v>
      </c>
      <c r="M307" s="4070"/>
      <c r="N307" s="3939"/>
      <c r="O307" s="3654"/>
      <c r="P307" s="3667"/>
    </row>
    <row r="308" spans="1:16" s="3463" customFormat="1" ht="13.5" thickBot="1">
      <c r="A308" s="4065"/>
      <c r="B308" s="1103" t="s">
        <v>19</v>
      </c>
      <c r="C308" s="4073"/>
      <c r="D308" s="1142">
        <f>E308+L308+K308+F308+G308+H308+I308+J308</f>
        <v>1091017</v>
      </c>
      <c r="E308" s="1142">
        <f>247820-70411</f>
        <v>177409</v>
      </c>
      <c r="F308" s="1142">
        <f>330754+70411+46982</f>
        <v>448147</v>
      </c>
      <c r="G308" s="1142">
        <f>296521+96578</f>
        <v>393099</v>
      </c>
      <c r="H308" s="1142">
        <f>62971+9391</f>
        <v>72362</v>
      </c>
      <c r="I308" s="1015">
        <v>0</v>
      </c>
      <c r="J308" s="1015">
        <v>0</v>
      </c>
      <c r="K308" s="1142"/>
      <c r="L308" s="1015">
        <v>0</v>
      </c>
      <c r="M308" s="4032"/>
      <c r="N308" s="3940"/>
      <c r="O308" s="3654"/>
      <c r="P308" s="3667"/>
    </row>
    <row r="309" spans="1:16" s="1721" customFormat="1" ht="48">
      <c r="A309" s="4062" t="s">
        <v>236</v>
      </c>
      <c r="B309" s="1599" t="s">
        <v>496</v>
      </c>
      <c r="C309" s="2580" t="s">
        <v>97</v>
      </c>
      <c r="D309" s="652"/>
      <c r="E309" s="1477"/>
      <c r="F309" s="1477"/>
      <c r="G309" s="1477"/>
      <c r="H309" s="1477"/>
      <c r="I309" s="1477"/>
      <c r="J309" s="21"/>
      <c r="K309" s="1477"/>
      <c r="L309" s="1477"/>
      <c r="M309" s="332"/>
      <c r="N309" s="2464"/>
      <c r="O309" s="3649"/>
      <c r="P309" s="3651"/>
    </row>
    <row r="310" spans="1:16" s="1721" customFormat="1">
      <c r="A310" s="4063"/>
      <c r="B310" s="1095" t="s">
        <v>9</v>
      </c>
      <c r="C310" s="2581"/>
      <c r="D310" s="1101">
        <f>D311+D316</f>
        <v>395741</v>
      </c>
      <c r="E310" s="1975">
        <f t="shared" ref="E310:M310" si="226">E311+E316</f>
        <v>0</v>
      </c>
      <c r="F310" s="1101">
        <f t="shared" si="226"/>
        <v>107226</v>
      </c>
      <c r="G310" s="1101">
        <f t="shared" si="226"/>
        <v>147677</v>
      </c>
      <c r="H310" s="1101">
        <f t="shared" si="226"/>
        <v>129127</v>
      </c>
      <c r="I310" s="1101">
        <f t="shared" si="226"/>
        <v>11711</v>
      </c>
      <c r="J310" s="1975">
        <f t="shared" si="226"/>
        <v>0</v>
      </c>
      <c r="K310" s="1975">
        <f>K311+K316</f>
        <v>0</v>
      </c>
      <c r="L310" s="1101">
        <f t="shared" si="226"/>
        <v>0</v>
      </c>
      <c r="M310" s="696">
        <f t="shared" si="226"/>
        <v>395741</v>
      </c>
      <c r="N310" s="3939" t="s">
        <v>499</v>
      </c>
      <c r="O310" s="3649"/>
      <c r="P310" s="3651"/>
    </row>
    <row r="311" spans="1:16" s="1721" customFormat="1" ht="12.75" customHeight="1">
      <c r="A311" s="4063"/>
      <c r="B311" s="1096" t="s">
        <v>22</v>
      </c>
      <c r="C311" s="4112" t="s">
        <v>497</v>
      </c>
      <c r="D311" s="1008">
        <f>D312</f>
        <v>59362</v>
      </c>
      <c r="E311" s="1979">
        <f>E312</f>
        <v>0</v>
      </c>
      <c r="F311" s="1008">
        <f t="shared" ref="F311:L311" si="227">F312</f>
        <v>16084</v>
      </c>
      <c r="G311" s="1008">
        <f t="shared" si="227"/>
        <v>22152</v>
      </c>
      <c r="H311" s="1008">
        <f t="shared" si="227"/>
        <v>19369</v>
      </c>
      <c r="I311" s="1008">
        <f t="shared" si="227"/>
        <v>1757</v>
      </c>
      <c r="J311" s="1979">
        <f t="shared" si="227"/>
        <v>0</v>
      </c>
      <c r="K311" s="1979">
        <f>K312</f>
        <v>0</v>
      </c>
      <c r="L311" s="1976">
        <f t="shared" si="227"/>
        <v>0</v>
      </c>
      <c r="M311" s="1176">
        <f>M312</f>
        <v>59362</v>
      </c>
      <c r="N311" s="3939"/>
      <c r="O311" s="3649"/>
      <c r="P311" s="3651"/>
    </row>
    <row r="312" spans="1:16" s="1721" customFormat="1" ht="13.5" customHeight="1" thickBot="1">
      <c r="A312" s="4063"/>
      <c r="B312" s="1097" t="s">
        <v>11</v>
      </c>
      <c r="C312" s="4113"/>
      <c r="D312" s="1460">
        <f>D313+D314</f>
        <v>59362</v>
      </c>
      <c r="E312" s="1985">
        <f>E313+E314</f>
        <v>0</v>
      </c>
      <c r="F312" s="1008">
        <f t="shared" ref="F312:J312" si="228">F313+F314</f>
        <v>16084</v>
      </c>
      <c r="G312" s="1008">
        <f t="shared" si="228"/>
        <v>22152</v>
      </c>
      <c r="H312" s="1008">
        <f t="shared" si="228"/>
        <v>19369</v>
      </c>
      <c r="I312" s="1008">
        <f t="shared" si="228"/>
        <v>1757</v>
      </c>
      <c r="J312" s="1979">
        <f t="shared" si="228"/>
        <v>0</v>
      </c>
      <c r="K312" s="1985">
        <f>K313+K314</f>
        <v>0</v>
      </c>
      <c r="L312" s="2465"/>
      <c r="M312" s="1018">
        <f>M313+M314</f>
        <v>59362</v>
      </c>
      <c r="N312" s="3939"/>
      <c r="O312" s="3649"/>
      <c r="P312" s="3651"/>
    </row>
    <row r="313" spans="1:16" s="1721" customFormat="1" ht="13.5" hidden="1" thickBot="1">
      <c r="A313" s="4063"/>
      <c r="B313" s="1097" t="s">
        <v>237</v>
      </c>
      <c r="C313" s="4113"/>
      <c r="D313" s="1460">
        <f>E313+K313+F313+G313+H313+I313+J313</f>
        <v>23637</v>
      </c>
      <c r="E313" s="1985">
        <v>0</v>
      </c>
      <c r="F313" s="1023">
        <v>6639</v>
      </c>
      <c r="G313" s="1023">
        <v>7702</v>
      </c>
      <c r="H313" s="1023">
        <v>7702</v>
      </c>
      <c r="I313" s="1023">
        <v>1594</v>
      </c>
      <c r="J313" s="1979">
        <v>0</v>
      </c>
      <c r="K313" s="1985">
        <v>0</v>
      </c>
      <c r="L313" s="2465"/>
      <c r="M313" s="1977">
        <f>SUM(F313:J313)</f>
        <v>23637</v>
      </c>
      <c r="N313" s="3939"/>
      <c r="O313" s="3649"/>
      <c r="P313" s="3651"/>
    </row>
    <row r="314" spans="1:16" s="1721" customFormat="1" ht="13.5" hidden="1" thickBot="1">
      <c r="A314" s="4063"/>
      <c r="B314" s="1097" t="s">
        <v>495</v>
      </c>
      <c r="C314" s="4113"/>
      <c r="D314" s="789">
        <f>E314+K314+F314+G314+H314+I314+J314</f>
        <v>35725</v>
      </c>
      <c r="E314" s="1985">
        <v>0</v>
      </c>
      <c r="F314" s="1023">
        <v>9445</v>
      </c>
      <c r="G314" s="1023">
        <v>14450</v>
      </c>
      <c r="H314" s="1023">
        <v>11667</v>
      </c>
      <c r="I314" s="1023">
        <v>163</v>
      </c>
      <c r="J314" s="1979">
        <v>0</v>
      </c>
      <c r="K314" s="1985">
        <v>0</v>
      </c>
      <c r="L314" s="2465"/>
      <c r="M314" s="1977">
        <f>SUM(F314:J314)</f>
        <v>35725</v>
      </c>
      <c r="N314" s="3939"/>
      <c r="O314" s="3649"/>
      <c r="P314" s="3651"/>
    </row>
    <row r="315" spans="1:16" s="1721" customFormat="1">
      <c r="A315" s="4063"/>
      <c r="B315" s="1096" t="s">
        <v>17</v>
      </c>
      <c r="C315" s="4113"/>
      <c r="D315" s="807">
        <f>D316</f>
        <v>336379</v>
      </c>
      <c r="E315" s="1979">
        <f t="shared" ref="E315:L315" si="229">E316</f>
        <v>0</v>
      </c>
      <c r="F315" s="807">
        <f t="shared" si="229"/>
        <v>91142</v>
      </c>
      <c r="G315" s="807">
        <f t="shared" si="229"/>
        <v>125525</v>
      </c>
      <c r="H315" s="807">
        <f t="shared" si="229"/>
        <v>109758</v>
      </c>
      <c r="I315" s="807">
        <f t="shared" si="229"/>
        <v>9954</v>
      </c>
      <c r="J315" s="1979">
        <f t="shared" si="229"/>
        <v>0</v>
      </c>
      <c r="K315" s="1979">
        <f>K316</f>
        <v>0</v>
      </c>
      <c r="L315" s="807">
        <f t="shared" si="229"/>
        <v>0</v>
      </c>
      <c r="M315" s="2466">
        <f>M316</f>
        <v>336379</v>
      </c>
      <c r="N315" s="3939"/>
      <c r="O315" s="3649"/>
      <c r="P315" s="3651"/>
    </row>
    <row r="316" spans="1:16" s="1721" customFormat="1" ht="13.5" thickBot="1">
      <c r="A316" s="4063"/>
      <c r="B316" s="1097" t="s">
        <v>19</v>
      </c>
      <c r="C316" s="4113"/>
      <c r="D316" s="1460">
        <f>D317+D318</f>
        <v>336379</v>
      </c>
      <c r="E316" s="1985">
        <f>E317+E318</f>
        <v>0</v>
      </c>
      <c r="F316" s="1023">
        <f t="shared" ref="F316" si="230">F317+F318</f>
        <v>91142</v>
      </c>
      <c r="G316" s="1023">
        <f t="shared" ref="G316" si="231">G317+G318</f>
        <v>125525</v>
      </c>
      <c r="H316" s="1023">
        <f t="shared" ref="H316" si="232">H317+H318</f>
        <v>109758</v>
      </c>
      <c r="I316" s="1023">
        <f t="shared" ref="I316" si="233">I317+I318</f>
        <v>9954</v>
      </c>
      <c r="J316" s="1979">
        <f t="shared" ref="J316" si="234">J317+J318</f>
        <v>0</v>
      </c>
      <c r="K316" s="1985">
        <f t="shared" ref="K316" si="235">K317+K318</f>
        <v>0</v>
      </c>
      <c r="L316" s="2465"/>
      <c r="M316" s="2467">
        <f>M317+M318</f>
        <v>336379</v>
      </c>
      <c r="N316" s="3939"/>
      <c r="O316" s="3649"/>
      <c r="P316" s="3651"/>
    </row>
    <row r="317" spans="1:16" s="1721" customFormat="1" ht="13.5" hidden="1" thickBot="1">
      <c r="A317" s="4063"/>
      <c r="B317" s="1097" t="s">
        <v>237</v>
      </c>
      <c r="C317" s="4113"/>
      <c r="D317" s="1460">
        <f>E317+K317+F317+G317+H317+I317+J317</f>
        <v>133942</v>
      </c>
      <c r="E317" s="1985">
        <v>0</v>
      </c>
      <c r="F317" s="1023">
        <v>37624</v>
      </c>
      <c r="G317" s="1023">
        <v>43644</v>
      </c>
      <c r="H317" s="1023">
        <v>43644</v>
      </c>
      <c r="I317" s="1023">
        <v>9030</v>
      </c>
      <c r="J317" s="1979">
        <v>0</v>
      </c>
      <c r="K317" s="1985">
        <v>0</v>
      </c>
      <c r="L317" s="2465"/>
      <c r="M317" s="2467">
        <f>SUM(F317:J317)</f>
        <v>133942</v>
      </c>
      <c r="N317" s="3939"/>
      <c r="O317" s="3649"/>
      <c r="P317" s="3651"/>
    </row>
    <row r="318" spans="1:16" s="1721" customFormat="1" ht="13.5" hidden="1" thickBot="1">
      <c r="A318" s="4063"/>
      <c r="B318" s="1097" t="s">
        <v>495</v>
      </c>
      <c r="C318" s="4114"/>
      <c r="D318" s="789">
        <f>E318+K318+F318+G318+H318+I318+J318</f>
        <v>202437</v>
      </c>
      <c r="E318" s="1985">
        <v>0</v>
      </c>
      <c r="F318" s="1023">
        <v>53518</v>
      </c>
      <c r="G318" s="1023">
        <v>81881</v>
      </c>
      <c r="H318" s="1023">
        <v>66114</v>
      </c>
      <c r="I318" s="1023">
        <v>924</v>
      </c>
      <c r="J318" s="1979">
        <v>0</v>
      </c>
      <c r="K318" s="1985">
        <v>0</v>
      </c>
      <c r="L318" s="2465"/>
      <c r="M318" s="2468">
        <f>SUM(F318:J318)</f>
        <v>202437</v>
      </c>
      <c r="N318" s="3939"/>
      <c r="O318" s="3649"/>
      <c r="P318" s="3651"/>
    </row>
    <row r="319" spans="1:16" s="1721" customFormat="1" ht="13.5" thickBot="1">
      <c r="A319" s="4063"/>
      <c r="B319" s="1095" t="s">
        <v>20</v>
      </c>
      <c r="C319" s="2581"/>
      <c r="D319" s="1019">
        <f>D320</f>
        <v>336379</v>
      </c>
      <c r="E319" s="1975">
        <f t="shared" ref="E319:J319" si="236">E320</f>
        <v>0</v>
      </c>
      <c r="F319" s="1975">
        <f t="shared" si="236"/>
        <v>0</v>
      </c>
      <c r="G319" s="1019">
        <f t="shared" si="236"/>
        <v>112063</v>
      </c>
      <c r="H319" s="1019">
        <f t="shared" si="236"/>
        <v>122897</v>
      </c>
      <c r="I319" s="1019">
        <f t="shared" si="236"/>
        <v>101419</v>
      </c>
      <c r="J319" s="1975">
        <f t="shared" si="236"/>
        <v>0</v>
      </c>
      <c r="K319" s="1975">
        <f>K320</f>
        <v>0</v>
      </c>
      <c r="L319" s="2465"/>
      <c r="M319" s="4070" t="s">
        <v>51</v>
      </c>
      <c r="N319" s="3938" t="s">
        <v>495</v>
      </c>
      <c r="O319" s="3649"/>
      <c r="P319" s="3651"/>
    </row>
    <row r="320" spans="1:16" s="1721" customFormat="1" ht="13.5" thickBot="1">
      <c r="A320" s="4063"/>
      <c r="B320" s="1096" t="s">
        <v>17</v>
      </c>
      <c r="C320" s="4115" t="s">
        <v>498</v>
      </c>
      <c r="D320" s="1037">
        <f t="shared" ref="D320:L320" si="237">+D321</f>
        <v>336379</v>
      </c>
      <c r="E320" s="833">
        <f t="shared" si="237"/>
        <v>0</v>
      </c>
      <c r="F320" s="833">
        <f t="shared" si="237"/>
        <v>0</v>
      </c>
      <c r="G320" s="1037">
        <f t="shared" si="237"/>
        <v>112063</v>
      </c>
      <c r="H320" s="1037">
        <f t="shared" si="237"/>
        <v>122897</v>
      </c>
      <c r="I320" s="1008">
        <f t="shared" si="237"/>
        <v>101419</v>
      </c>
      <c r="J320" s="833">
        <f t="shared" si="237"/>
        <v>0</v>
      </c>
      <c r="K320" s="833">
        <f>+K321</f>
        <v>0</v>
      </c>
      <c r="L320" s="2469">
        <f t="shared" si="237"/>
        <v>0</v>
      </c>
      <c r="M320" s="4070">
        <f t="shared" ref="M320:M321" si="238">SUM(F320:J320)</f>
        <v>336379</v>
      </c>
      <c r="N320" s="3939"/>
      <c r="O320" s="3649"/>
      <c r="P320" s="3651"/>
    </row>
    <row r="321" spans="1:16" s="1721" customFormat="1" ht="16.5" customHeight="1" thickBot="1">
      <c r="A321" s="4111"/>
      <c r="B321" s="1175" t="s">
        <v>19</v>
      </c>
      <c r="C321" s="4116"/>
      <c r="D321" s="1003">
        <f>E321+L321+K321+F321+G321+H321+I321+J321</f>
        <v>336379</v>
      </c>
      <c r="E321" s="1360">
        <v>0</v>
      </c>
      <c r="F321" s="1360">
        <v>0</v>
      </c>
      <c r="G321" s="1142">
        <v>112063</v>
      </c>
      <c r="H321" s="1142">
        <v>122897</v>
      </c>
      <c r="I321" s="1025">
        <v>101419</v>
      </c>
      <c r="J321" s="1015">
        <v>0</v>
      </c>
      <c r="K321" s="1360">
        <v>0</v>
      </c>
      <c r="L321" s="2465"/>
      <c r="M321" s="4070">
        <f t="shared" si="238"/>
        <v>336379</v>
      </c>
      <c r="N321" s="3940"/>
      <c r="O321" s="3649"/>
      <c r="P321" s="3651"/>
    </row>
    <row r="322" spans="1:16" s="1721" customFormat="1" ht="25.5" customHeight="1">
      <c r="A322" s="4078" t="s">
        <v>175</v>
      </c>
      <c r="B322" s="690" t="s">
        <v>547</v>
      </c>
      <c r="C322" s="2580" t="s">
        <v>97</v>
      </c>
      <c r="D322" s="652"/>
      <c r="E322" s="1477"/>
      <c r="F322" s="1477"/>
      <c r="G322" s="1477"/>
      <c r="H322" s="1477"/>
      <c r="I322" s="1477"/>
      <c r="J322" s="21"/>
      <c r="K322" s="1477"/>
      <c r="L322" s="1477"/>
      <c r="M322" s="332"/>
      <c r="N322" s="2464"/>
      <c r="O322" s="3649"/>
      <c r="P322" s="3651"/>
    </row>
    <row r="323" spans="1:16" s="1721" customFormat="1" ht="15.75" customHeight="1">
      <c r="A323" s="4079"/>
      <c r="B323" s="1095" t="s">
        <v>9</v>
      </c>
      <c r="C323" s="2581"/>
      <c r="D323" s="1101">
        <f>D324+D329</f>
        <v>571329</v>
      </c>
      <c r="E323" s="1975">
        <f t="shared" ref="E323:J323" si="239">E324+E329</f>
        <v>0</v>
      </c>
      <c r="F323" s="1101">
        <f t="shared" si="239"/>
        <v>66433</v>
      </c>
      <c r="G323" s="1101">
        <f t="shared" si="239"/>
        <v>240811</v>
      </c>
      <c r="H323" s="1101">
        <f t="shared" si="239"/>
        <v>209145</v>
      </c>
      <c r="I323" s="1101">
        <f t="shared" si="239"/>
        <v>54940</v>
      </c>
      <c r="J323" s="1975">
        <f t="shared" si="239"/>
        <v>0</v>
      </c>
      <c r="K323" s="1975">
        <f>K324+K329</f>
        <v>0</v>
      </c>
      <c r="L323" s="1101">
        <f t="shared" ref="L323:M323" si="240">L324+L329</f>
        <v>0</v>
      </c>
      <c r="M323" s="696">
        <f t="shared" si="240"/>
        <v>571329</v>
      </c>
      <c r="N323" s="3939" t="s">
        <v>499</v>
      </c>
      <c r="O323" s="3649"/>
      <c r="P323" s="3651"/>
    </row>
    <row r="324" spans="1:16" s="1721" customFormat="1" ht="15" customHeight="1">
      <c r="A324" s="4079"/>
      <c r="B324" s="1102" t="s">
        <v>22</v>
      </c>
      <c r="C324" s="4112" t="s">
        <v>545</v>
      </c>
      <c r="D324" s="1008">
        <f>D325</f>
        <v>85699</v>
      </c>
      <c r="E324" s="1979">
        <f>E325</f>
        <v>0</v>
      </c>
      <c r="F324" s="1008">
        <f t="shared" ref="F324:L324" si="241">F325</f>
        <v>9964</v>
      </c>
      <c r="G324" s="1008">
        <f t="shared" si="241"/>
        <v>36122</v>
      </c>
      <c r="H324" s="1008">
        <f t="shared" si="241"/>
        <v>31371</v>
      </c>
      <c r="I324" s="1008">
        <f t="shared" si="241"/>
        <v>8242</v>
      </c>
      <c r="J324" s="1979">
        <f t="shared" si="241"/>
        <v>0</v>
      </c>
      <c r="K324" s="1979">
        <f>K325</f>
        <v>0</v>
      </c>
      <c r="L324" s="1976">
        <f t="shared" si="241"/>
        <v>0</v>
      </c>
      <c r="M324" s="1176">
        <f>M325</f>
        <v>85699</v>
      </c>
      <c r="N324" s="3939"/>
      <c r="O324" s="3649"/>
      <c r="P324" s="3651"/>
    </row>
    <row r="325" spans="1:16" s="1721" customFormat="1" ht="14.25" customHeight="1" thickBot="1">
      <c r="A325" s="4079"/>
      <c r="B325" s="1097" t="s">
        <v>11</v>
      </c>
      <c r="C325" s="4113"/>
      <c r="D325" s="1460">
        <f>D326+D327</f>
        <v>85699</v>
      </c>
      <c r="E325" s="1985">
        <f>E326+E327</f>
        <v>0</v>
      </c>
      <c r="F325" s="2111">
        <f t="shared" ref="F325:J325" si="242">F326+F327</f>
        <v>9964</v>
      </c>
      <c r="G325" s="2111">
        <f t="shared" si="242"/>
        <v>36122</v>
      </c>
      <c r="H325" s="2111">
        <f t="shared" si="242"/>
        <v>31371</v>
      </c>
      <c r="I325" s="2111">
        <f t="shared" si="242"/>
        <v>8242</v>
      </c>
      <c r="J325" s="1979">
        <f t="shared" si="242"/>
        <v>0</v>
      </c>
      <c r="K325" s="1985">
        <f>K326+K327</f>
        <v>0</v>
      </c>
      <c r="L325" s="2465"/>
      <c r="M325" s="1018">
        <f>M326+M327</f>
        <v>85699</v>
      </c>
      <c r="N325" s="3939"/>
      <c r="O325" s="3649"/>
      <c r="P325" s="3651"/>
    </row>
    <row r="326" spans="1:16" s="1721" customFormat="1" ht="12.75" hidden="1" customHeight="1" thickBot="1">
      <c r="A326" s="4079"/>
      <c r="B326" s="3464" t="s">
        <v>237</v>
      </c>
      <c r="C326" s="4113"/>
      <c r="D326" s="1980">
        <f>E326+K326+F326+G326+H326+I326+J326</f>
        <v>48768</v>
      </c>
      <c r="E326" s="1981">
        <v>0</v>
      </c>
      <c r="F326" s="1981">
        <v>7483</v>
      </c>
      <c r="G326" s="1981">
        <v>18700</v>
      </c>
      <c r="H326" s="1981">
        <v>20051</v>
      </c>
      <c r="I326" s="1981">
        <v>2534</v>
      </c>
      <c r="J326" s="1042">
        <v>0</v>
      </c>
      <c r="K326" s="1985">
        <v>0</v>
      </c>
      <c r="L326" s="2465"/>
      <c r="M326" s="1977">
        <f>SUM(F326:J326)</f>
        <v>48768</v>
      </c>
      <c r="N326" s="3939"/>
      <c r="O326" s="3649"/>
      <c r="P326" s="3651"/>
    </row>
    <row r="327" spans="1:16" s="1721" customFormat="1" ht="12.75" hidden="1" customHeight="1" thickBot="1">
      <c r="A327" s="4079"/>
      <c r="B327" s="3465" t="s">
        <v>495</v>
      </c>
      <c r="C327" s="4113"/>
      <c r="D327" s="1988">
        <f>E327+K327+F327+G327+H327+I327+J327</f>
        <v>36931</v>
      </c>
      <c r="E327" s="1990">
        <v>0</v>
      </c>
      <c r="F327" s="1990">
        <v>2481</v>
      </c>
      <c r="G327" s="1990">
        <v>17422</v>
      </c>
      <c r="H327" s="1990">
        <v>11320</v>
      </c>
      <c r="I327" s="1990">
        <v>5708</v>
      </c>
      <c r="J327" s="1989">
        <v>0</v>
      </c>
      <c r="K327" s="1985">
        <v>0</v>
      </c>
      <c r="L327" s="2465"/>
      <c r="M327" s="1977">
        <f>SUM(F327:J327)</f>
        <v>36931</v>
      </c>
      <c r="N327" s="3939"/>
      <c r="O327" s="3649"/>
      <c r="P327" s="3651"/>
    </row>
    <row r="328" spans="1:16" s="1721" customFormat="1" ht="15" customHeight="1">
      <c r="A328" s="4079"/>
      <c r="B328" s="1102" t="s">
        <v>17</v>
      </c>
      <c r="C328" s="4113"/>
      <c r="D328" s="807">
        <f>D329</f>
        <v>485630</v>
      </c>
      <c r="E328" s="1979">
        <f t="shared" ref="E328:L328" si="243">E329</f>
        <v>0</v>
      </c>
      <c r="F328" s="807">
        <f t="shared" si="243"/>
        <v>56469</v>
      </c>
      <c r="G328" s="807">
        <f t="shared" si="243"/>
        <v>204689</v>
      </c>
      <c r="H328" s="807">
        <f t="shared" si="243"/>
        <v>177774</v>
      </c>
      <c r="I328" s="807">
        <f t="shared" si="243"/>
        <v>46698</v>
      </c>
      <c r="J328" s="1979">
        <f t="shared" si="243"/>
        <v>0</v>
      </c>
      <c r="K328" s="1979">
        <f>K329</f>
        <v>0</v>
      </c>
      <c r="L328" s="807">
        <f t="shared" si="243"/>
        <v>0</v>
      </c>
      <c r="M328" s="2466">
        <f>M329</f>
        <v>485630</v>
      </c>
      <c r="N328" s="3939"/>
      <c r="O328" s="3649"/>
      <c r="P328" s="3651"/>
    </row>
    <row r="329" spans="1:16" s="1721" customFormat="1" ht="14.25" customHeight="1" thickBot="1">
      <c r="A329" s="4079"/>
      <c r="B329" s="1097" t="s">
        <v>19</v>
      </c>
      <c r="C329" s="4113"/>
      <c r="D329" s="1460">
        <f>D330+D331</f>
        <v>485630</v>
      </c>
      <c r="E329" s="1985">
        <f>E330+E331</f>
        <v>0</v>
      </c>
      <c r="F329" s="1023">
        <f t="shared" ref="F329:K329" si="244">F330+F331</f>
        <v>56469</v>
      </c>
      <c r="G329" s="1023">
        <f t="shared" si="244"/>
        <v>204689</v>
      </c>
      <c r="H329" s="1023">
        <f t="shared" si="244"/>
        <v>177774</v>
      </c>
      <c r="I329" s="1023">
        <f t="shared" si="244"/>
        <v>46698</v>
      </c>
      <c r="J329" s="1979">
        <f t="shared" si="244"/>
        <v>0</v>
      </c>
      <c r="K329" s="1985">
        <f t="shared" si="244"/>
        <v>0</v>
      </c>
      <c r="L329" s="2465"/>
      <c r="M329" s="2467">
        <f>M330+M331</f>
        <v>485630</v>
      </c>
      <c r="N329" s="3939"/>
      <c r="O329" s="3649"/>
      <c r="P329" s="3651"/>
    </row>
    <row r="330" spans="1:16" s="1721" customFormat="1" ht="12.75" hidden="1" customHeight="1" thickBot="1">
      <c r="A330" s="4079"/>
      <c r="B330" s="3464" t="s">
        <v>237</v>
      </c>
      <c r="C330" s="4113"/>
      <c r="D330" s="1980">
        <f>E330+K330+F330+G330+H330+I330+J330</f>
        <v>276351</v>
      </c>
      <c r="E330" s="1981">
        <v>0</v>
      </c>
      <c r="F330" s="1981">
        <v>42408</v>
      </c>
      <c r="G330" s="1981">
        <v>105965</v>
      </c>
      <c r="H330" s="1981">
        <v>113622</v>
      </c>
      <c r="I330" s="1981">
        <v>14356</v>
      </c>
      <c r="J330" s="1042">
        <v>0</v>
      </c>
      <c r="K330" s="1985">
        <v>0</v>
      </c>
      <c r="L330" s="2465"/>
      <c r="M330" s="2467">
        <f>SUM(F330:J330)</f>
        <v>276351</v>
      </c>
      <c r="N330" s="3939"/>
      <c r="O330" s="3649"/>
      <c r="P330" s="3651"/>
    </row>
    <row r="331" spans="1:16" s="1721" customFormat="1" ht="12.75" hidden="1" customHeight="1" thickBot="1">
      <c r="A331" s="4079"/>
      <c r="B331" s="3465" t="s">
        <v>495</v>
      </c>
      <c r="C331" s="4114"/>
      <c r="D331" s="1988">
        <f>E331+K331+F331+G331+H331+I331+J331</f>
        <v>209279</v>
      </c>
      <c r="E331" s="1990">
        <v>0</v>
      </c>
      <c r="F331" s="1990">
        <v>14061</v>
      </c>
      <c r="G331" s="1990">
        <v>98724</v>
      </c>
      <c r="H331" s="1990">
        <v>64152</v>
      </c>
      <c r="I331" s="1990">
        <v>32342</v>
      </c>
      <c r="J331" s="1989">
        <v>0</v>
      </c>
      <c r="K331" s="1985">
        <v>0</v>
      </c>
      <c r="L331" s="2465"/>
      <c r="M331" s="2468">
        <f>SUM(F331:J331)</f>
        <v>209279</v>
      </c>
      <c r="N331" s="3939"/>
      <c r="O331" s="3649"/>
      <c r="P331" s="3651"/>
    </row>
    <row r="332" spans="1:16" s="1721" customFormat="1" ht="15" customHeight="1" thickBot="1">
      <c r="A332" s="4079"/>
      <c r="B332" s="1095" t="s">
        <v>20</v>
      </c>
      <c r="C332" s="2581"/>
      <c r="D332" s="1019">
        <f>D333</f>
        <v>485630</v>
      </c>
      <c r="E332" s="1975">
        <f t="shared" ref="E332:J332" si="245">E333</f>
        <v>0</v>
      </c>
      <c r="F332" s="1975">
        <f t="shared" si="245"/>
        <v>0</v>
      </c>
      <c r="G332" s="1019">
        <f t="shared" si="245"/>
        <v>73526</v>
      </c>
      <c r="H332" s="1019">
        <f t="shared" si="245"/>
        <v>202446</v>
      </c>
      <c r="I332" s="1019">
        <f t="shared" si="245"/>
        <v>162960</v>
      </c>
      <c r="J332" s="1019">
        <f t="shared" si="245"/>
        <v>46698</v>
      </c>
      <c r="K332" s="1975">
        <f>K333</f>
        <v>0</v>
      </c>
      <c r="L332" s="2465"/>
      <c r="M332" s="4070" t="s">
        <v>51</v>
      </c>
      <c r="N332" s="3938" t="s">
        <v>495</v>
      </c>
      <c r="O332" s="3649"/>
      <c r="P332" s="3651"/>
    </row>
    <row r="333" spans="1:16" s="1721" customFormat="1" ht="15.75" customHeight="1" thickBot="1">
      <c r="A333" s="4079"/>
      <c r="B333" s="1102" t="s">
        <v>17</v>
      </c>
      <c r="C333" s="4115" t="s">
        <v>546</v>
      </c>
      <c r="D333" s="1037">
        <f t="shared" ref="D333:L333" si="246">+D334</f>
        <v>485630</v>
      </c>
      <c r="E333" s="833">
        <f t="shared" si="246"/>
        <v>0</v>
      </c>
      <c r="F333" s="833">
        <f t="shared" si="246"/>
        <v>0</v>
      </c>
      <c r="G333" s="1037">
        <f t="shared" si="246"/>
        <v>73526</v>
      </c>
      <c r="H333" s="1037">
        <f t="shared" si="246"/>
        <v>202446</v>
      </c>
      <c r="I333" s="1008">
        <f t="shared" si="246"/>
        <v>162960</v>
      </c>
      <c r="J333" s="1008">
        <f t="shared" si="246"/>
        <v>46698</v>
      </c>
      <c r="K333" s="833">
        <f>+K334</f>
        <v>0</v>
      </c>
      <c r="L333" s="2469">
        <f t="shared" si="246"/>
        <v>0</v>
      </c>
      <c r="M333" s="4070">
        <f t="shared" ref="M333:M334" si="247">SUM(F333:J333)</f>
        <v>485630</v>
      </c>
      <c r="N333" s="3939"/>
      <c r="O333" s="3649"/>
      <c r="P333" s="3651"/>
    </row>
    <row r="334" spans="1:16" s="1721" customFormat="1" ht="15.75" customHeight="1" thickBot="1">
      <c r="A334" s="4080"/>
      <c r="B334" s="1175" t="s">
        <v>19</v>
      </c>
      <c r="C334" s="4116"/>
      <c r="D334" s="1003">
        <f>SUM(E334:J334)</f>
        <v>485630</v>
      </c>
      <c r="E334" s="1360">
        <v>0</v>
      </c>
      <c r="F334" s="1360">
        <v>0</v>
      </c>
      <c r="G334" s="1142">
        <v>73526</v>
      </c>
      <c r="H334" s="1142">
        <v>202446</v>
      </c>
      <c r="I334" s="1025">
        <v>162960</v>
      </c>
      <c r="J334" s="1025">
        <v>46698</v>
      </c>
      <c r="K334" s="1360">
        <v>0</v>
      </c>
      <c r="L334" s="2465"/>
      <c r="M334" s="4032">
        <f t="shared" si="247"/>
        <v>485630</v>
      </c>
      <c r="N334" s="3940"/>
      <c r="O334" s="3649"/>
      <c r="P334" s="3651"/>
    </row>
    <row r="335" spans="1:16" s="1721" customFormat="1" ht="28.5" customHeight="1">
      <c r="A335" s="4179" t="s">
        <v>176</v>
      </c>
      <c r="B335" s="690" t="s">
        <v>585</v>
      </c>
      <c r="C335" s="2580" t="s">
        <v>97</v>
      </c>
      <c r="D335" s="652"/>
      <c r="E335" s="1477"/>
      <c r="F335" s="1477"/>
      <c r="G335" s="1477"/>
      <c r="H335" s="1477"/>
      <c r="I335" s="1477"/>
      <c r="J335" s="21"/>
      <c r="K335" s="1477"/>
      <c r="L335" s="1477"/>
      <c r="M335" s="332"/>
      <c r="N335" s="2464"/>
      <c r="O335" s="3649"/>
      <c r="P335" s="3651"/>
    </row>
    <row r="336" spans="1:16" s="1721" customFormat="1" ht="15.75" customHeight="1">
      <c r="A336" s="4180"/>
      <c r="B336" s="1095" t="s">
        <v>9</v>
      </c>
      <c r="C336" s="2581"/>
      <c r="D336" s="1101">
        <f>D337+D342</f>
        <v>1307924</v>
      </c>
      <c r="E336" s="1975">
        <f t="shared" ref="E336:J336" si="248">E337+E342</f>
        <v>0</v>
      </c>
      <c r="F336" s="1101">
        <f t="shared" si="248"/>
        <v>297102</v>
      </c>
      <c r="G336" s="1101">
        <f t="shared" si="248"/>
        <v>535002</v>
      </c>
      <c r="H336" s="1101">
        <f t="shared" si="248"/>
        <v>475820</v>
      </c>
      <c r="I336" s="1975">
        <f t="shared" si="248"/>
        <v>0</v>
      </c>
      <c r="J336" s="1975">
        <f t="shared" si="248"/>
        <v>0</v>
      </c>
      <c r="K336" s="1975">
        <f>K337+K342</f>
        <v>0</v>
      </c>
      <c r="L336" s="1101">
        <f t="shared" ref="L336:M336" si="249">L337+L342</f>
        <v>0</v>
      </c>
      <c r="M336" s="696">
        <f t="shared" si="249"/>
        <v>1307924</v>
      </c>
      <c r="N336" s="3939" t="s">
        <v>586</v>
      </c>
      <c r="O336" s="3649"/>
      <c r="P336" s="3651"/>
    </row>
    <row r="337" spans="1:16" s="1721" customFormat="1" ht="15.75" customHeight="1">
      <c r="A337" s="4180"/>
      <c r="B337" s="1102" t="s">
        <v>22</v>
      </c>
      <c r="C337" s="4112" t="s">
        <v>545</v>
      </c>
      <c r="D337" s="1008">
        <f>D338</f>
        <v>340777</v>
      </c>
      <c r="E337" s="1979">
        <f>E338</f>
        <v>0</v>
      </c>
      <c r="F337" s="1008">
        <f t="shared" ref="F337:L337" si="250">F338</f>
        <v>68155</v>
      </c>
      <c r="G337" s="1008">
        <f t="shared" si="250"/>
        <v>136311</v>
      </c>
      <c r="H337" s="1008">
        <f t="shared" si="250"/>
        <v>136311</v>
      </c>
      <c r="I337" s="1979">
        <f t="shared" si="250"/>
        <v>0</v>
      </c>
      <c r="J337" s="1979">
        <f t="shared" si="250"/>
        <v>0</v>
      </c>
      <c r="K337" s="1979">
        <f>K338</f>
        <v>0</v>
      </c>
      <c r="L337" s="1976">
        <f t="shared" si="250"/>
        <v>0</v>
      </c>
      <c r="M337" s="1176">
        <f>M338</f>
        <v>340777</v>
      </c>
      <c r="N337" s="3939"/>
      <c r="O337" s="3649"/>
      <c r="P337" s="3651"/>
    </row>
    <row r="338" spans="1:16" s="1721" customFormat="1" ht="15.75" customHeight="1" thickBot="1">
      <c r="A338" s="4180"/>
      <c r="B338" s="1097" t="s">
        <v>11</v>
      </c>
      <c r="C338" s="4113"/>
      <c r="D338" s="1460">
        <f>D339+D340</f>
        <v>340777</v>
      </c>
      <c r="E338" s="1985">
        <f>E339+E340</f>
        <v>0</v>
      </c>
      <c r="F338" s="2111">
        <f t="shared" ref="F338:J338" si="251">F339+F340</f>
        <v>68155</v>
      </c>
      <c r="G338" s="2111">
        <f t="shared" si="251"/>
        <v>136311</v>
      </c>
      <c r="H338" s="2111">
        <f t="shared" si="251"/>
        <v>136311</v>
      </c>
      <c r="I338" s="1979">
        <f t="shared" si="251"/>
        <v>0</v>
      </c>
      <c r="J338" s="1979">
        <f t="shared" si="251"/>
        <v>0</v>
      </c>
      <c r="K338" s="1985">
        <f>K339+K340</f>
        <v>0</v>
      </c>
      <c r="L338" s="2465"/>
      <c r="M338" s="1018">
        <f>M339+M340</f>
        <v>340777</v>
      </c>
      <c r="N338" s="3939"/>
      <c r="O338" s="3649"/>
      <c r="P338" s="3651"/>
    </row>
    <row r="339" spans="1:16" s="1721" customFormat="1" ht="12.75" hidden="1" customHeight="1" thickBot="1">
      <c r="A339" s="4180"/>
      <c r="B339" s="3464" t="s">
        <v>237</v>
      </c>
      <c r="C339" s="4113"/>
      <c r="D339" s="1980">
        <f>E339+K339+F339+G339+H339+I339+J339</f>
        <v>340777</v>
      </c>
      <c r="E339" s="1981">
        <v>0</v>
      </c>
      <c r="F339" s="1981">
        <v>68155</v>
      </c>
      <c r="G339" s="1981">
        <v>136311</v>
      </c>
      <c r="H339" s="1981">
        <v>136311</v>
      </c>
      <c r="I339" s="1042"/>
      <c r="J339" s="1042">
        <v>0</v>
      </c>
      <c r="K339" s="1985">
        <v>0</v>
      </c>
      <c r="L339" s="2465"/>
      <c r="M339" s="1977">
        <f>SUM(F339:J339)</f>
        <v>340777</v>
      </c>
      <c r="N339" s="3939"/>
      <c r="O339" s="3649"/>
      <c r="P339" s="3651"/>
    </row>
    <row r="340" spans="1:16" s="1721" customFormat="1" ht="12.75" hidden="1" customHeight="1" thickBot="1">
      <c r="A340" s="4180"/>
      <c r="B340" s="3465" t="s">
        <v>495</v>
      </c>
      <c r="C340" s="4113"/>
      <c r="D340" s="1988">
        <f>E340+K340+F340+G340+H340+I340+J340</f>
        <v>0</v>
      </c>
      <c r="E340" s="1990">
        <v>0</v>
      </c>
      <c r="F340" s="1990"/>
      <c r="G340" s="1990"/>
      <c r="H340" s="1990"/>
      <c r="I340" s="1989"/>
      <c r="J340" s="1989">
        <v>0</v>
      </c>
      <c r="K340" s="1985">
        <v>0</v>
      </c>
      <c r="L340" s="2465"/>
      <c r="M340" s="1977">
        <f>SUM(F340:J340)</f>
        <v>0</v>
      </c>
      <c r="N340" s="3939"/>
      <c r="O340" s="3649"/>
      <c r="P340" s="3651"/>
    </row>
    <row r="341" spans="1:16" s="1721" customFormat="1" ht="15.75" customHeight="1">
      <c r="A341" s="4180"/>
      <c r="B341" s="1102" t="s">
        <v>17</v>
      </c>
      <c r="C341" s="4113"/>
      <c r="D341" s="807">
        <f>D342</f>
        <v>967147</v>
      </c>
      <c r="E341" s="1979">
        <f t="shared" ref="E341:L341" si="252">E342</f>
        <v>0</v>
      </c>
      <c r="F341" s="807">
        <f t="shared" si="252"/>
        <v>228947</v>
      </c>
      <c r="G341" s="807">
        <f t="shared" si="252"/>
        <v>398691</v>
      </c>
      <c r="H341" s="807">
        <f t="shared" si="252"/>
        <v>339509</v>
      </c>
      <c r="I341" s="1979">
        <f t="shared" si="252"/>
        <v>0</v>
      </c>
      <c r="J341" s="1979">
        <f t="shared" si="252"/>
        <v>0</v>
      </c>
      <c r="K341" s="1979">
        <f>K342</f>
        <v>0</v>
      </c>
      <c r="L341" s="807">
        <f t="shared" si="252"/>
        <v>0</v>
      </c>
      <c r="M341" s="2466">
        <f>M342</f>
        <v>967147</v>
      </c>
      <c r="N341" s="3939"/>
      <c r="O341" s="3649"/>
      <c r="P341" s="3651"/>
    </row>
    <row r="342" spans="1:16" s="1721" customFormat="1" ht="15.75" customHeight="1" thickBot="1">
      <c r="A342" s="4180"/>
      <c r="B342" s="1097" t="s">
        <v>19</v>
      </c>
      <c r="C342" s="4113"/>
      <c r="D342" s="1460">
        <f>D343+D344</f>
        <v>967147</v>
      </c>
      <c r="E342" s="1985">
        <f>E343+E344</f>
        <v>0</v>
      </c>
      <c r="F342" s="1023">
        <f t="shared" ref="F342:K342" si="253">F343+F344</f>
        <v>228947</v>
      </c>
      <c r="G342" s="1023">
        <f t="shared" si="253"/>
        <v>398691</v>
      </c>
      <c r="H342" s="1023">
        <f t="shared" si="253"/>
        <v>339509</v>
      </c>
      <c r="I342" s="1979">
        <f t="shared" si="253"/>
        <v>0</v>
      </c>
      <c r="J342" s="1979">
        <f t="shared" si="253"/>
        <v>0</v>
      </c>
      <c r="K342" s="1985">
        <f t="shared" si="253"/>
        <v>0</v>
      </c>
      <c r="L342" s="2465"/>
      <c r="M342" s="2467">
        <f>M343+M344</f>
        <v>967147</v>
      </c>
      <c r="N342" s="3939"/>
      <c r="O342" s="3649"/>
      <c r="P342" s="3651"/>
    </row>
    <row r="343" spans="1:16" s="1721" customFormat="1" ht="15.75" hidden="1" customHeight="1" thickBot="1">
      <c r="A343" s="4180"/>
      <c r="B343" s="3464" t="s">
        <v>237</v>
      </c>
      <c r="C343" s="4113"/>
      <c r="D343" s="1980">
        <f>E343+K343+F343+G343+H343+I343+J343</f>
        <v>217987</v>
      </c>
      <c r="E343" s="1981">
        <v>0</v>
      </c>
      <c r="F343" s="1981">
        <v>49517</v>
      </c>
      <c r="G343" s="1981">
        <v>89167</v>
      </c>
      <c r="H343" s="1981">
        <v>79303</v>
      </c>
      <c r="I343" s="1042"/>
      <c r="J343" s="1042">
        <v>0</v>
      </c>
      <c r="K343" s="1985">
        <v>0</v>
      </c>
      <c r="L343" s="2465"/>
      <c r="M343" s="2467">
        <f>SUM(F343:J343)</f>
        <v>217987</v>
      </c>
      <c r="N343" s="3939"/>
      <c r="O343" s="3649"/>
      <c r="P343" s="3651"/>
    </row>
    <row r="344" spans="1:16" s="1721" customFormat="1" ht="15.75" hidden="1" customHeight="1" thickBot="1">
      <c r="A344" s="4180"/>
      <c r="B344" s="3465" t="s">
        <v>495</v>
      </c>
      <c r="C344" s="4114"/>
      <c r="D344" s="1988">
        <f>E344+K344+F344+G344+H344+I344+J344</f>
        <v>749160</v>
      </c>
      <c r="E344" s="1990">
        <v>0</v>
      </c>
      <c r="F344" s="1990">
        <v>179430</v>
      </c>
      <c r="G344" s="1990">
        <v>309524</v>
      </c>
      <c r="H344" s="1990">
        <v>260206</v>
      </c>
      <c r="I344" s="1989">
        <v>0</v>
      </c>
      <c r="J344" s="1989">
        <v>0</v>
      </c>
      <c r="K344" s="1985">
        <v>0</v>
      </c>
      <c r="L344" s="2465"/>
      <c r="M344" s="2468">
        <f>SUM(F344:J344)</f>
        <v>749160</v>
      </c>
      <c r="N344" s="3939"/>
      <c r="O344" s="3649"/>
      <c r="P344" s="3651"/>
    </row>
    <row r="345" spans="1:16" s="1721" customFormat="1" ht="15.75" customHeight="1" thickBot="1">
      <c r="A345" s="4180"/>
      <c r="B345" s="1095" t="s">
        <v>20</v>
      </c>
      <c r="C345" s="2581"/>
      <c r="D345" s="1019">
        <f>D346</f>
        <v>967147</v>
      </c>
      <c r="E345" s="1975">
        <f t="shared" ref="E345:J345" si="254">E346</f>
        <v>0</v>
      </c>
      <c r="F345" s="1019">
        <f t="shared" si="254"/>
        <v>382385</v>
      </c>
      <c r="G345" s="1019">
        <f t="shared" si="254"/>
        <v>584762</v>
      </c>
      <c r="H345" s="1983">
        <f t="shared" si="254"/>
        <v>0</v>
      </c>
      <c r="I345" s="1983">
        <f t="shared" si="254"/>
        <v>0</v>
      </c>
      <c r="J345" s="1983">
        <f t="shared" si="254"/>
        <v>0</v>
      </c>
      <c r="K345" s="1975">
        <f>K346</f>
        <v>0</v>
      </c>
      <c r="L345" s="2465"/>
      <c r="M345" s="4070" t="s">
        <v>51</v>
      </c>
      <c r="N345" s="3938" t="s">
        <v>526</v>
      </c>
      <c r="O345" s="3649"/>
      <c r="P345" s="3651"/>
    </row>
    <row r="346" spans="1:16" s="1721" customFormat="1" ht="15.75" customHeight="1" thickBot="1">
      <c r="A346" s="4180"/>
      <c r="B346" s="1102" t="s">
        <v>17</v>
      </c>
      <c r="C346" s="4115" t="s">
        <v>546</v>
      </c>
      <c r="D346" s="1037">
        <f t="shared" ref="D346:L346" si="255">+D347</f>
        <v>967147</v>
      </c>
      <c r="E346" s="833">
        <f t="shared" si="255"/>
        <v>0</v>
      </c>
      <c r="F346" s="1037">
        <f t="shared" si="255"/>
        <v>382385</v>
      </c>
      <c r="G346" s="1037">
        <f t="shared" si="255"/>
        <v>584762</v>
      </c>
      <c r="H346" s="1471">
        <f t="shared" si="255"/>
        <v>0</v>
      </c>
      <c r="I346" s="1976">
        <f t="shared" si="255"/>
        <v>0</v>
      </c>
      <c r="J346" s="1976">
        <f t="shared" si="255"/>
        <v>0</v>
      </c>
      <c r="K346" s="833">
        <f>+K347</f>
        <v>0</v>
      </c>
      <c r="L346" s="2469">
        <f t="shared" si="255"/>
        <v>0</v>
      </c>
      <c r="M346" s="4070">
        <f t="shared" ref="M346:M347" si="256">SUM(F346:J346)</f>
        <v>967147</v>
      </c>
      <c r="N346" s="3939"/>
      <c r="O346" s="3649"/>
      <c r="P346" s="3651"/>
    </row>
    <row r="347" spans="1:16" s="1721" customFormat="1" ht="15.75" customHeight="1" thickBot="1">
      <c r="A347" s="4181"/>
      <c r="B347" s="1175" t="s">
        <v>19</v>
      </c>
      <c r="C347" s="4116"/>
      <c r="D347" s="1003">
        <f>SUM(E347:J347)</f>
        <v>967147</v>
      </c>
      <c r="E347" s="1360">
        <v>0</v>
      </c>
      <c r="F347" s="1142">
        <v>382385</v>
      </c>
      <c r="G347" s="1142">
        <v>584762</v>
      </c>
      <c r="H347" s="1360">
        <v>0</v>
      </c>
      <c r="I347" s="3669">
        <v>0</v>
      </c>
      <c r="J347" s="3669">
        <v>0</v>
      </c>
      <c r="K347" s="1360">
        <v>0</v>
      </c>
      <c r="L347" s="2465"/>
      <c r="M347" s="4032">
        <f t="shared" si="256"/>
        <v>967147</v>
      </c>
      <c r="N347" s="3940"/>
      <c r="O347" s="3649"/>
      <c r="P347" s="3651"/>
    </row>
    <row r="348" spans="1:16" s="1721" customFormat="1" ht="16.5" customHeight="1">
      <c r="A348" s="4062" t="s">
        <v>229</v>
      </c>
      <c r="B348" s="690" t="s">
        <v>587</v>
      </c>
      <c r="C348" s="691" t="s">
        <v>97</v>
      </c>
      <c r="D348" s="652"/>
      <c r="E348" s="652"/>
      <c r="F348" s="652"/>
      <c r="G348" s="652"/>
      <c r="H348" s="652"/>
      <c r="I348" s="652"/>
      <c r="J348" s="21"/>
      <c r="K348" s="1477"/>
      <c r="L348" s="1477"/>
      <c r="M348" s="332"/>
      <c r="N348" s="4066" t="s">
        <v>250</v>
      </c>
      <c r="O348" s="3649"/>
      <c r="P348" s="3651"/>
    </row>
    <row r="349" spans="1:16" s="1721" customFormat="1" ht="15.75" customHeight="1">
      <c r="A349" s="4063"/>
      <c r="B349" s="1095" t="s">
        <v>9</v>
      </c>
      <c r="C349" s="692"/>
      <c r="D349" s="1101">
        <f>+D350+D357</f>
        <v>5178964</v>
      </c>
      <c r="E349" s="1975">
        <f t="shared" ref="E349:J349" si="257">+E350+E357</f>
        <v>0</v>
      </c>
      <c r="F349" s="830">
        <f t="shared" si="257"/>
        <v>360607</v>
      </c>
      <c r="G349" s="830">
        <f t="shared" si="257"/>
        <v>1857514</v>
      </c>
      <c r="H349" s="830">
        <f t="shared" si="257"/>
        <v>1928030</v>
      </c>
      <c r="I349" s="830">
        <f t="shared" si="257"/>
        <v>1032813</v>
      </c>
      <c r="J349" s="1975">
        <f t="shared" si="257"/>
        <v>0</v>
      </c>
      <c r="K349" s="830">
        <f>+K350+K357</f>
        <v>0</v>
      </c>
      <c r="L349" s="1975">
        <f>+L350+L357</f>
        <v>0</v>
      </c>
      <c r="M349" s="799">
        <f t="shared" ref="M349" si="258">+M350+M357</f>
        <v>5178964</v>
      </c>
      <c r="N349" s="4067"/>
      <c r="O349" s="3649"/>
      <c r="P349" s="3651"/>
    </row>
    <row r="350" spans="1:16" s="1721" customFormat="1" ht="15.75" customHeight="1">
      <c r="A350" s="4063"/>
      <c r="B350" s="1102" t="s">
        <v>22</v>
      </c>
      <c r="C350" s="4068" t="s">
        <v>352</v>
      </c>
      <c r="D350" s="1008">
        <f>+D351+D354</f>
        <v>776845</v>
      </c>
      <c r="E350" s="1976">
        <f>+E351+E354</f>
        <v>0</v>
      </c>
      <c r="F350" s="1008">
        <f t="shared" ref="F350:J350" si="259">+F351+F354</f>
        <v>54104</v>
      </c>
      <c r="G350" s="1008">
        <f t="shared" si="259"/>
        <v>278692</v>
      </c>
      <c r="H350" s="1008">
        <f t="shared" si="259"/>
        <v>289272</v>
      </c>
      <c r="I350" s="1008">
        <f t="shared" si="259"/>
        <v>154777</v>
      </c>
      <c r="J350" s="1976">
        <f t="shared" si="259"/>
        <v>0</v>
      </c>
      <c r="K350" s="1008">
        <f>+K351+K354</f>
        <v>0</v>
      </c>
      <c r="L350" s="1976">
        <f>+L351+L354</f>
        <v>0</v>
      </c>
      <c r="M350" s="1176">
        <f>+M351+M354</f>
        <v>776845</v>
      </c>
      <c r="N350" s="4067"/>
      <c r="O350" s="3649"/>
      <c r="P350" s="3651"/>
    </row>
    <row r="351" spans="1:16" s="1721" customFormat="1" ht="15.75" customHeight="1">
      <c r="A351" s="4063"/>
      <c r="B351" s="1476" t="s">
        <v>11</v>
      </c>
      <c r="C351" s="4069"/>
      <c r="D351" s="766">
        <f>E351+L351+K351+F351+G351+H351+I351+J351</f>
        <v>258948</v>
      </c>
      <c r="E351" s="1979">
        <f>E352+E353</f>
        <v>0</v>
      </c>
      <c r="F351" s="1023">
        <f t="shared" ref="F351:J351" si="260">F352+F353</f>
        <v>18030</v>
      </c>
      <c r="G351" s="1023">
        <f t="shared" si="260"/>
        <v>92876</v>
      </c>
      <c r="H351" s="1023">
        <f t="shared" si="260"/>
        <v>96401</v>
      </c>
      <c r="I351" s="1023">
        <f t="shared" si="260"/>
        <v>51641</v>
      </c>
      <c r="J351" s="1979">
        <f t="shared" si="260"/>
        <v>0</v>
      </c>
      <c r="K351" s="1023">
        <f>K352+K353</f>
        <v>0</v>
      </c>
      <c r="L351" s="1979">
        <v>0</v>
      </c>
      <c r="M351" s="1018">
        <f t="shared" ref="M351:M356" si="261">SUM(F351:J351)</f>
        <v>258948</v>
      </c>
      <c r="N351" s="4067"/>
      <c r="O351" s="3649"/>
      <c r="P351" s="3651"/>
    </row>
    <row r="352" spans="1:16" s="1772" customFormat="1" ht="15.75" hidden="1" customHeight="1">
      <c r="A352" s="4063"/>
      <c r="B352" s="3464" t="s">
        <v>237</v>
      </c>
      <c r="C352" s="4069"/>
      <c r="D352" s="1980">
        <f>SUM(E352:J352)</f>
        <v>96776</v>
      </c>
      <c r="E352" s="1042">
        <v>0</v>
      </c>
      <c r="F352" s="1981">
        <v>11352</v>
      </c>
      <c r="G352" s="1981">
        <v>31614</v>
      </c>
      <c r="H352" s="1981">
        <v>32074</v>
      </c>
      <c r="I352" s="1981">
        <v>21736</v>
      </c>
      <c r="J352" s="1042">
        <v>0</v>
      </c>
      <c r="K352" s="1981"/>
      <c r="L352" s="1982">
        <v>0</v>
      </c>
      <c r="M352" s="1977">
        <f t="shared" si="261"/>
        <v>96776</v>
      </c>
      <c r="N352" s="4067"/>
      <c r="O352" s="3654"/>
      <c r="P352" s="3657"/>
    </row>
    <row r="353" spans="1:16" s="1721" customFormat="1" ht="15.75" hidden="1" customHeight="1">
      <c r="A353" s="4063"/>
      <c r="B353" s="1987" t="s">
        <v>246</v>
      </c>
      <c r="C353" s="4069"/>
      <c r="D353" s="1988">
        <f>SUM(E353:J353)</f>
        <v>162172</v>
      </c>
      <c r="E353" s="1989">
        <v>0</v>
      </c>
      <c r="F353" s="1990">
        <v>6678</v>
      </c>
      <c r="G353" s="1990">
        <v>61262</v>
      </c>
      <c r="H353" s="1990">
        <v>64327</v>
      </c>
      <c r="I353" s="1990">
        <v>29905</v>
      </c>
      <c r="J353" s="1989">
        <v>0</v>
      </c>
      <c r="K353" s="1990"/>
      <c r="L353" s="1991">
        <v>0</v>
      </c>
      <c r="M353" s="1977">
        <f t="shared" si="261"/>
        <v>162172</v>
      </c>
      <c r="N353" s="4067"/>
      <c r="O353" s="3649"/>
      <c r="P353" s="3651"/>
    </row>
    <row r="354" spans="1:16" s="1721" customFormat="1" ht="15.75" customHeight="1">
      <c r="A354" s="4063"/>
      <c r="B354" s="1476" t="s">
        <v>12</v>
      </c>
      <c r="C354" s="4069"/>
      <c r="D354" s="766">
        <f>E354+L354+K354+F354+G354+H354+I354+J354</f>
        <v>517897</v>
      </c>
      <c r="E354" s="1979">
        <f>E355+E356</f>
        <v>0</v>
      </c>
      <c r="F354" s="1023">
        <f t="shared" ref="F354:J354" si="262">F355+F356</f>
        <v>36074</v>
      </c>
      <c r="G354" s="1023">
        <f t="shared" si="262"/>
        <v>185816</v>
      </c>
      <c r="H354" s="1023">
        <f t="shared" si="262"/>
        <v>192871</v>
      </c>
      <c r="I354" s="1023">
        <f t="shared" si="262"/>
        <v>103136</v>
      </c>
      <c r="J354" s="1979">
        <f t="shared" si="262"/>
        <v>0</v>
      </c>
      <c r="K354" s="1023">
        <f>K355+K356</f>
        <v>0</v>
      </c>
      <c r="L354" s="1979">
        <v>0</v>
      </c>
      <c r="M354" s="1018">
        <f t="shared" si="261"/>
        <v>517897</v>
      </c>
      <c r="N354" s="4067"/>
      <c r="O354" s="3649">
        <f>D354-D363</f>
        <v>0</v>
      </c>
      <c r="P354" s="3651"/>
    </row>
    <row r="355" spans="1:16" s="1721" customFormat="1" ht="15.75" hidden="1" customHeight="1">
      <c r="A355" s="4063"/>
      <c r="B355" s="1986" t="s">
        <v>237</v>
      </c>
      <c r="C355" s="4069"/>
      <c r="D355" s="1980">
        <f>SUM(E355:J355)</f>
        <v>193458</v>
      </c>
      <c r="E355" s="1042"/>
      <c r="F355" s="1981">
        <v>22712</v>
      </c>
      <c r="G355" s="1981">
        <v>63251</v>
      </c>
      <c r="H355" s="1981">
        <v>64171</v>
      </c>
      <c r="I355" s="1981">
        <v>43324</v>
      </c>
      <c r="J355" s="1042">
        <v>0</v>
      </c>
      <c r="K355" s="1981"/>
      <c r="L355" s="1982">
        <v>0</v>
      </c>
      <c r="M355" s="1018">
        <f t="shared" si="261"/>
        <v>193458</v>
      </c>
      <c r="N355" s="4067"/>
      <c r="O355" s="3649"/>
      <c r="P355" s="3651"/>
    </row>
    <row r="356" spans="1:16" s="1721" customFormat="1" ht="15.75" hidden="1" customHeight="1">
      <c r="A356" s="4063"/>
      <c r="B356" s="1987" t="s">
        <v>246</v>
      </c>
      <c r="C356" s="4069"/>
      <c r="D356" s="1988">
        <f>SUM(E356:J356)</f>
        <v>324439</v>
      </c>
      <c r="E356" s="1989"/>
      <c r="F356" s="1990">
        <v>13362</v>
      </c>
      <c r="G356" s="1990">
        <v>122565</v>
      </c>
      <c r="H356" s="1990">
        <v>128700</v>
      </c>
      <c r="I356" s="1990">
        <v>59812</v>
      </c>
      <c r="J356" s="1989">
        <v>0</v>
      </c>
      <c r="K356" s="1990"/>
      <c r="L356" s="1991">
        <v>0</v>
      </c>
      <c r="M356" s="1018">
        <f t="shared" si="261"/>
        <v>324439</v>
      </c>
      <c r="N356" s="4067"/>
      <c r="O356" s="3649"/>
      <c r="P356" s="3651"/>
    </row>
    <row r="357" spans="1:16" s="1721" customFormat="1" ht="15.75" customHeight="1">
      <c r="A357" s="4063"/>
      <c r="B357" s="1096" t="s">
        <v>17</v>
      </c>
      <c r="C357" s="4069"/>
      <c r="D357" s="807">
        <f>+D358</f>
        <v>4402119</v>
      </c>
      <c r="E357" s="833">
        <f t="shared" ref="E357:J357" si="263">+E358</f>
        <v>0</v>
      </c>
      <c r="F357" s="807">
        <f t="shared" si="263"/>
        <v>306503</v>
      </c>
      <c r="G357" s="807">
        <f t="shared" si="263"/>
        <v>1578822</v>
      </c>
      <c r="H357" s="807">
        <f t="shared" si="263"/>
        <v>1638758</v>
      </c>
      <c r="I357" s="807">
        <f t="shared" si="263"/>
        <v>878036</v>
      </c>
      <c r="J357" s="833">
        <f t="shared" si="263"/>
        <v>0</v>
      </c>
      <c r="K357" s="807">
        <f>+K358</f>
        <v>0</v>
      </c>
      <c r="L357" s="833">
        <f>+L358</f>
        <v>0</v>
      </c>
      <c r="M357" s="1020">
        <f>+M358</f>
        <v>4402119</v>
      </c>
      <c r="N357" s="4067"/>
      <c r="O357" s="3649">
        <f>D358-D365</f>
        <v>0</v>
      </c>
      <c r="P357" s="3651"/>
    </row>
    <row r="358" spans="1:16" s="1721" customFormat="1" ht="15.75" customHeight="1">
      <c r="A358" s="4063"/>
      <c r="B358" s="1097" t="s">
        <v>19</v>
      </c>
      <c r="C358" s="4069"/>
      <c r="D358" s="766">
        <f>E358+L358+K358+F358+G358+H358+I358+J358</f>
        <v>4402119</v>
      </c>
      <c r="E358" s="1570">
        <f>E359+E360</f>
        <v>0</v>
      </c>
      <c r="F358" s="810">
        <f t="shared" ref="F358:J358" si="264">F359+F360</f>
        <v>306503</v>
      </c>
      <c r="G358" s="810">
        <f t="shared" si="264"/>
        <v>1578822</v>
      </c>
      <c r="H358" s="810">
        <f t="shared" si="264"/>
        <v>1638758</v>
      </c>
      <c r="I358" s="810">
        <f t="shared" si="264"/>
        <v>878036</v>
      </c>
      <c r="J358" s="1570">
        <f t="shared" si="264"/>
        <v>0</v>
      </c>
      <c r="K358" s="810">
        <f>K359+K360</f>
        <v>0</v>
      </c>
      <c r="L358" s="1570">
        <v>0</v>
      </c>
      <c r="M358" s="1018">
        <f>SUM(F358:J358)</f>
        <v>4402119</v>
      </c>
      <c r="N358" s="4067"/>
      <c r="O358" s="3649"/>
      <c r="P358" s="3651"/>
    </row>
    <row r="359" spans="1:16" s="1721" customFormat="1" ht="15.75" hidden="1" customHeight="1">
      <c r="A359" s="4063"/>
      <c r="B359" s="1986" t="s">
        <v>237</v>
      </c>
      <c r="C359" s="1992"/>
      <c r="D359" s="1980">
        <f>SUM(E359:J359)</f>
        <v>1645284</v>
      </c>
      <c r="E359" s="1042"/>
      <c r="F359" s="1981">
        <v>192973</v>
      </c>
      <c r="G359" s="1981">
        <v>537419</v>
      </c>
      <c r="H359" s="1981">
        <v>545237</v>
      </c>
      <c r="I359" s="1981">
        <v>369655</v>
      </c>
      <c r="J359" s="1042">
        <v>0</v>
      </c>
      <c r="K359" s="1981"/>
      <c r="L359" s="1042">
        <v>0</v>
      </c>
      <c r="M359" s="1977">
        <f>SUM(F359:J359)</f>
        <v>1645284</v>
      </c>
      <c r="N359" s="4067"/>
      <c r="O359" s="3649"/>
      <c r="P359" s="3651"/>
    </row>
    <row r="360" spans="1:16" s="1721" customFormat="1" ht="15.75" hidden="1" customHeight="1">
      <c r="A360" s="4063"/>
      <c r="B360" s="1987" t="s">
        <v>246</v>
      </c>
      <c r="C360" s="1993"/>
      <c r="D360" s="1988">
        <f>SUM(E360:J360)</f>
        <v>2756835</v>
      </c>
      <c r="E360" s="1989"/>
      <c r="F360" s="1990">
        <v>113530</v>
      </c>
      <c r="G360" s="1990">
        <v>1041403</v>
      </c>
      <c r="H360" s="1990">
        <v>1093521</v>
      </c>
      <c r="I360" s="1990">
        <v>508381</v>
      </c>
      <c r="J360" s="1989">
        <v>0</v>
      </c>
      <c r="K360" s="1990"/>
      <c r="L360" s="1989">
        <v>0</v>
      </c>
      <c r="M360" s="1977">
        <f>SUM(F360:J360)</f>
        <v>2756835</v>
      </c>
      <c r="N360" s="4107"/>
      <c r="O360" s="3649"/>
      <c r="P360" s="3651"/>
    </row>
    <row r="361" spans="1:16" s="1721" customFormat="1" ht="15.75" customHeight="1">
      <c r="A361" s="4064"/>
      <c r="B361" s="1095" t="s">
        <v>20</v>
      </c>
      <c r="C361" s="1095"/>
      <c r="D361" s="1019">
        <f>D364+D362</f>
        <v>4920016</v>
      </c>
      <c r="E361" s="1983">
        <f t="shared" ref="E361:J361" si="265">E364+E362</f>
        <v>0</v>
      </c>
      <c r="F361" s="1019">
        <f t="shared" si="265"/>
        <v>342577</v>
      </c>
      <c r="G361" s="1019">
        <f t="shared" si="265"/>
        <v>1764638</v>
      </c>
      <c r="H361" s="1019">
        <f t="shared" si="265"/>
        <v>1831629</v>
      </c>
      <c r="I361" s="1019">
        <f t="shared" si="265"/>
        <v>981172</v>
      </c>
      <c r="J361" s="1983">
        <f t="shared" si="265"/>
        <v>0</v>
      </c>
      <c r="K361" s="1019">
        <f>K364+K362</f>
        <v>0</v>
      </c>
      <c r="L361" s="1983">
        <f>L364+L362</f>
        <v>0</v>
      </c>
      <c r="M361" s="4070" t="s">
        <v>51</v>
      </c>
      <c r="N361" s="3938" t="s">
        <v>351</v>
      </c>
      <c r="O361" s="3649"/>
      <c r="P361" s="3651"/>
    </row>
    <row r="362" spans="1:16" s="1721" customFormat="1" ht="15.75" customHeight="1">
      <c r="A362" s="4064"/>
      <c r="B362" s="3670" t="s">
        <v>22</v>
      </c>
      <c r="C362" s="4071" t="s">
        <v>290</v>
      </c>
      <c r="D362" s="807">
        <f t="shared" ref="D362:J364" si="266">+D363</f>
        <v>517897</v>
      </c>
      <c r="E362" s="833">
        <f t="shared" si="266"/>
        <v>0</v>
      </c>
      <c r="F362" s="807">
        <f t="shared" si="266"/>
        <v>36074</v>
      </c>
      <c r="G362" s="807">
        <f t="shared" si="266"/>
        <v>185816</v>
      </c>
      <c r="H362" s="807">
        <f t="shared" si="266"/>
        <v>192871</v>
      </c>
      <c r="I362" s="807">
        <f t="shared" si="266"/>
        <v>103136</v>
      </c>
      <c r="J362" s="833">
        <f t="shared" si="266"/>
        <v>0</v>
      </c>
      <c r="K362" s="807">
        <f>+K363</f>
        <v>0</v>
      </c>
      <c r="L362" s="833">
        <f>+L363</f>
        <v>0</v>
      </c>
      <c r="M362" s="4070"/>
      <c r="N362" s="3939"/>
      <c r="O362" s="3649"/>
      <c r="P362" s="3651"/>
    </row>
    <row r="363" spans="1:16" s="1721" customFormat="1" ht="15.75" customHeight="1">
      <c r="A363" s="4064"/>
      <c r="B363" s="1476" t="s">
        <v>12</v>
      </c>
      <c r="C363" s="4072"/>
      <c r="D363" s="789">
        <f>E363+L363+K363+F363+G363+H363+I363+J363</f>
        <v>517897</v>
      </c>
      <c r="E363" s="2171"/>
      <c r="F363" s="1045">
        <v>36074</v>
      </c>
      <c r="G363" s="1045">
        <v>185816</v>
      </c>
      <c r="H363" s="1045">
        <v>192871</v>
      </c>
      <c r="I363" s="1045">
        <v>103136</v>
      </c>
      <c r="J363" s="1044">
        <v>0</v>
      </c>
      <c r="K363" s="1045"/>
      <c r="L363" s="1044">
        <v>0</v>
      </c>
      <c r="M363" s="4070"/>
      <c r="N363" s="3939"/>
      <c r="O363" s="3649"/>
      <c r="P363" s="3651"/>
    </row>
    <row r="364" spans="1:16" s="1721" customFormat="1" ht="15.75" customHeight="1">
      <c r="A364" s="4064"/>
      <c r="B364" s="1102" t="s">
        <v>17</v>
      </c>
      <c r="C364" s="4072"/>
      <c r="D364" s="1037">
        <f t="shared" si="266"/>
        <v>4402119</v>
      </c>
      <c r="E364" s="833">
        <f t="shared" si="266"/>
        <v>0</v>
      </c>
      <c r="F364" s="807">
        <f t="shared" si="266"/>
        <v>306503</v>
      </c>
      <c r="G364" s="807">
        <f t="shared" si="266"/>
        <v>1578822</v>
      </c>
      <c r="H364" s="807">
        <f t="shared" si="266"/>
        <v>1638758</v>
      </c>
      <c r="I364" s="807">
        <f t="shared" si="266"/>
        <v>878036</v>
      </c>
      <c r="J364" s="833">
        <f t="shared" si="266"/>
        <v>0</v>
      </c>
      <c r="K364" s="807">
        <f>+K365</f>
        <v>0</v>
      </c>
      <c r="L364" s="833">
        <f>+L365</f>
        <v>0</v>
      </c>
      <c r="M364" s="4070"/>
      <c r="N364" s="3939"/>
      <c r="O364" s="3649"/>
      <c r="P364" s="3651"/>
    </row>
    <row r="365" spans="1:16" s="1721" customFormat="1" ht="15.75" customHeight="1" thickBot="1">
      <c r="A365" s="4065"/>
      <c r="B365" s="1175" t="s">
        <v>19</v>
      </c>
      <c r="C365" s="4073"/>
      <c r="D365" s="1142">
        <f>E365+L365+K365+F365+G365+H365+I365+J365</f>
        <v>4402119</v>
      </c>
      <c r="E365" s="1015"/>
      <c r="F365" s="1014">
        <v>306503</v>
      </c>
      <c r="G365" s="1014">
        <v>1578822</v>
      </c>
      <c r="H365" s="1014">
        <v>1638758</v>
      </c>
      <c r="I365" s="1014">
        <v>878036</v>
      </c>
      <c r="J365" s="1015">
        <v>0</v>
      </c>
      <c r="K365" s="1014"/>
      <c r="L365" s="1015">
        <v>0</v>
      </c>
      <c r="M365" s="4032"/>
      <c r="N365" s="3940"/>
      <c r="O365" s="3649"/>
      <c r="P365" s="3651"/>
    </row>
    <row r="366" spans="1:16" s="1721" customFormat="1" ht="27" customHeight="1">
      <c r="A366" s="4062">
        <v>25</v>
      </c>
      <c r="B366" s="690" t="s">
        <v>590</v>
      </c>
      <c r="C366" s="691" t="s">
        <v>97</v>
      </c>
      <c r="D366" s="652"/>
      <c r="E366" s="652"/>
      <c r="F366" s="652"/>
      <c r="G366" s="652"/>
      <c r="H366" s="652"/>
      <c r="I366" s="652"/>
      <c r="J366" s="21"/>
      <c r="K366" s="1477"/>
      <c r="L366" s="1477"/>
      <c r="M366" s="332"/>
      <c r="N366" s="4066" t="s">
        <v>246</v>
      </c>
      <c r="O366" s="3649"/>
      <c r="P366" s="3651"/>
    </row>
    <row r="367" spans="1:16" s="1721" customFormat="1" ht="15.75" customHeight="1">
      <c r="A367" s="4063"/>
      <c r="B367" s="1095" t="s">
        <v>9</v>
      </c>
      <c r="C367" s="692"/>
      <c r="D367" s="1101">
        <f t="shared" ref="D367:M367" si="267">+D368+D371</f>
        <v>1388890</v>
      </c>
      <c r="E367" s="1975">
        <f t="shared" si="267"/>
        <v>0</v>
      </c>
      <c r="F367" s="830">
        <f t="shared" si="267"/>
        <v>37300</v>
      </c>
      <c r="G367" s="830">
        <f t="shared" si="267"/>
        <v>705300</v>
      </c>
      <c r="H367" s="830">
        <f t="shared" si="267"/>
        <v>646290</v>
      </c>
      <c r="I367" s="1975">
        <f t="shared" si="267"/>
        <v>0</v>
      </c>
      <c r="J367" s="1975">
        <f t="shared" si="267"/>
        <v>0</v>
      </c>
      <c r="K367" s="830">
        <f t="shared" si="267"/>
        <v>0</v>
      </c>
      <c r="L367" s="1975">
        <f t="shared" si="267"/>
        <v>0</v>
      </c>
      <c r="M367" s="799">
        <f t="shared" si="267"/>
        <v>1388890</v>
      </c>
      <c r="N367" s="4067"/>
      <c r="O367" s="3649"/>
      <c r="P367" s="3651"/>
    </row>
    <row r="368" spans="1:16" s="1721" customFormat="1" ht="15.75" customHeight="1">
      <c r="A368" s="4063"/>
      <c r="B368" s="1102" t="s">
        <v>22</v>
      </c>
      <c r="C368" s="4068" t="s">
        <v>591</v>
      </c>
      <c r="D368" s="1008">
        <f t="shared" ref="D368:M368" si="268">+D369+D370</f>
        <v>326390</v>
      </c>
      <c r="E368" s="1976">
        <f t="shared" si="268"/>
        <v>0</v>
      </c>
      <c r="F368" s="1008">
        <f t="shared" si="268"/>
        <v>5595</v>
      </c>
      <c r="G368" s="1008">
        <f t="shared" si="268"/>
        <v>190795</v>
      </c>
      <c r="H368" s="1008">
        <f t="shared" si="268"/>
        <v>130000</v>
      </c>
      <c r="I368" s="1976">
        <f t="shared" si="268"/>
        <v>0</v>
      </c>
      <c r="J368" s="1976">
        <f t="shared" si="268"/>
        <v>0</v>
      </c>
      <c r="K368" s="1008">
        <f t="shared" si="268"/>
        <v>0</v>
      </c>
      <c r="L368" s="1976">
        <f t="shared" si="268"/>
        <v>0</v>
      </c>
      <c r="M368" s="1176">
        <f t="shared" si="268"/>
        <v>326390</v>
      </c>
      <c r="N368" s="4067"/>
      <c r="O368" s="3649"/>
      <c r="P368" s="3651"/>
    </row>
    <row r="369" spans="1:16" s="1721" customFormat="1" ht="15.75" customHeight="1">
      <c r="A369" s="4063"/>
      <c r="B369" s="1476" t="s">
        <v>11</v>
      </c>
      <c r="C369" s="4069"/>
      <c r="D369" s="766">
        <f>E369+F369+G369+H369+I369+J369</f>
        <v>138890</v>
      </c>
      <c r="E369" s="1979"/>
      <c r="F369" s="1023">
        <v>0</v>
      </c>
      <c r="G369" s="1023">
        <v>100000</v>
      </c>
      <c r="H369" s="1023">
        <v>38890</v>
      </c>
      <c r="I369" s="1979">
        <v>0</v>
      </c>
      <c r="J369" s="1979">
        <v>0</v>
      </c>
      <c r="K369" s="1023"/>
      <c r="L369" s="1979">
        <v>0</v>
      </c>
      <c r="M369" s="1018">
        <f t="shared" ref="M369:M370" si="269">SUM(F369:J369)</f>
        <v>138890</v>
      </c>
      <c r="N369" s="4067"/>
      <c r="O369" s="3649"/>
      <c r="P369" s="3651"/>
    </row>
    <row r="370" spans="1:16" s="1721" customFormat="1" ht="15.75" customHeight="1">
      <c r="A370" s="4063"/>
      <c r="B370" s="1476" t="s">
        <v>12</v>
      </c>
      <c r="C370" s="4069"/>
      <c r="D370" s="766">
        <f>E370+F370+G370+H370+I370+J370</f>
        <v>187500</v>
      </c>
      <c r="E370" s="1979"/>
      <c r="F370" s="1023">
        <v>5595</v>
      </c>
      <c r="G370" s="1023">
        <v>90795</v>
      </c>
      <c r="H370" s="1023">
        <v>91110</v>
      </c>
      <c r="I370" s="1979">
        <v>0</v>
      </c>
      <c r="J370" s="1979">
        <v>0</v>
      </c>
      <c r="K370" s="1023"/>
      <c r="L370" s="1979">
        <v>0</v>
      </c>
      <c r="M370" s="1018">
        <f t="shared" si="269"/>
        <v>187500</v>
      </c>
      <c r="N370" s="4067"/>
      <c r="O370" s="3649"/>
      <c r="P370" s="3651"/>
    </row>
    <row r="371" spans="1:16" s="1721" customFormat="1" ht="15.75" customHeight="1">
      <c r="A371" s="4063"/>
      <c r="B371" s="1102" t="s">
        <v>17</v>
      </c>
      <c r="C371" s="4069"/>
      <c r="D371" s="807">
        <f>+D372</f>
        <v>1062500</v>
      </c>
      <c r="E371" s="833">
        <f t="shared" ref="E371:J371" si="270">+E372</f>
        <v>0</v>
      </c>
      <c r="F371" s="807">
        <f t="shared" si="270"/>
        <v>31705</v>
      </c>
      <c r="G371" s="807">
        <f t="shared" si="270"/>
        <v>514505</v>
      </c>
      <c r="H371" s="807">
        <f t="shared" si="270"/>
        <v>516290</v>
      </c>
      <c r="I371" s="833">
        <f t="shared" si="270"/>
        <v>0</v>
      </c>
      <c r="J371" s="833">
        <f t="shared" si="270"/>
        <v>0</v>
      </c>
      <c r="K371" s="807">
        <f>+K372</f>
        <v>0</v>
      </c>
      <c r="L371" s="833">
        <f>+L372</f>
        <v>0</v>
      </c>
      <c r="M371" s="1020">
        <f>+M372</f>
        <v>1062500</v>
      </c>
      <c r="N371" s="4067"/>
      <c r="O371" s="3649"/>
      <c r="P371" s="3651"/>
    </row>
    <row r="372" spans="1:16" s="1721" customFormat="1" ht="15.75" customHeight="1">
      <c r="A372" s="4063"/>
      <c r="B372" s="1097" t="s">
        <v>19</v>
      </c>
      <c r="C372" s="4069"/>
      <c r="D372" s="766">
        <f>E372+F372+G372+H372+I372+J372</f>
        <v>1062500</v>
      </c>
      <c r="E372" s="1570"/>
      <c r="F372" s="810">
        <v>31705</v>
      </c>
      <c r="G372" s="810">
        <v>514505</v>
      </c>
      <c r="H372" s="810">
        <v>516290</v>
      </c>
      <c r="I372" s="1570"/>
      <c r="J372" s="1570"/>
      <c r="K372" s="810"/>
      <c r="L372" s="1570">
        <v>0</v>
      </c>
      <c r="M372" s="1018">
        <f>SUM(F372:J372)</f>
        <v>1062500</v>
      </c>
      <c r="N372" s="4067"/>
      <c r="O372" s="3649"/>
      <c r="P372" s="3651"/>
    </row>
    <row r="373" spans="1:16" s="1721" customFormat="1" ht="15.75" customHeight="1">
      <c r="A373" s="4064"/>
      <c r="B373" s="1095" t="s">
        <v>20</v>
      </c>
      <c r="C373" s="1095"/>
      <c r="D373" s="1019">
        <f>D376+D374</f>
        <v>1250000</v>
      </c>
      <c r="E373" s="1983">
        <f t="shared" ref="E373:J373" si="271">E376+E374</f>
        <v>0</v>
      </c>
      <c r="F373" s="1019">
        <f t="shared" si="271"/>
        <v>37300</v>
      </c>
      <c r="G373" s="1019">
        <f t="shared" si="271"/>
        <v>605300</v>
      </c>
      <c r="H373" s="1019">
        <f t="shared" si="271"/>
        <v>607400</v>
      </c>
      <c r="I373" s="1983">
        <f t="shared" si="271"/>
        <v>0</v>
      </c>
      <c r="J373" s="1983">
        <f t="shared" si="271"/>
        <v>0</v>
      </c>
      <c r="K373" s="1019">
        <f>K376+K374</f>
        <v>0</v>
      </c>
      <c r="L373" s="1983">
        <f>L376+L374</f>
        <v>0</v>
      </c>
      <c r="M373" s="4070" t="s">
        <v>51</v>
      </c>
      <c r="N373" s="3938" t="s">
        <v>246</v>
      </c>
      <c r="O373" s="3649"/>
      <c r="P373" s="3651"/>
    </row>
    <row r="374" spans="1:16" s="1721" customFormat="1" ht="15.75" customHeight="1">
      <c r="A374" s="4064"/>
      <c r="B374" s="1102" t="s">
        <v>22</v>
      </c>
      <c r="C374" s="4071" t="s">
        <v>591</v>
      </c>
      <c r="D374" s="807">
        <f t="shared" ref="D374:J376" si="272">+D375</f>
        <v>187500</v>
      </c>
      <c r="E374" s="833">
        <f t="shared" si="272"/>
        <v>0</v>
      </c>
      <c r="F374" s="807">
        <f t="shared" si="272"/>
        <v>5595</v>
      </c>
      <c r="G374" s="807">
        <f t="shared" si="272"/>
        <v>90795</v>
      </c>
      <c r="H374" s="807">
        <f t="shared" si="272"/>
        <v>91110</v>
      </c>
      <c r="I374" s="833">
        <f t="shared" si="272"/>
        <v>0</v>
      </c>
      <c r="J374" s="833">
        <f t="shared" si="272"/>
        <v>0</v>
      </c>
      <c r="K374" s="807">
        <f>+K375</f>
        <v>0</v>
      </c>
      <c r="L374" s="833">
        <f>+L375</f>
        <v>0</v>
      </c>
      <c r="M374" s="4070"/>
      <c r="N374" s="3939"/>
      <c r="O374" s="3649"/>
      <c r="P374" s="3651"/>
    </row>
    <row r="375" spans="1:16" s="1721" customFormat="1" ht="15.75" customHeight="1">
      <c r="A375" s="4064"/>
      <c r="B375" s="1476" t="s">
        <v>12</v>
      </c>
      <c r="C375" s="4072"/>
      <c r="D375" s="789">
        <f>E375+L375+K375+F375+G375+H375+I375+J375</f>
        <v>187500</v>
      </c>
      <c r="E375" s="2171"/>
      <c r="F375" s="1023">
        <v>5595</v>
      </c>
      <c r="G375" s="1023">
        <v>90795</v>
      </c>
      <c r="H375" s="1023">
        <v>91110</v>
      </c>
      <c r="I375" s="2171">
        <v>0</v>
      </c>
      <c r="J375" s="1044">
        <v>0</v>
      </c>
      <c r="K375" s="1045"/>
      <c r="L375" s="1044">
        <v>0</v>
      </c>
      <c r="M375" s="4070"/>
      <c r="N375" s="3939"/>
      <c r="O375" s="3649"/>
      <c r="P375" s="3651"/>
    </row>
    <row r="376" spans="1:16" s="1721" customFormat="1" ht="15.75" customHeight="1">
      <c r="A376" s="4064"/>
      <c r="B376" s="1102" t="s">
        <v>17</v>
      </c>
      <c r="C376" s="4072"/>
      <c r="D376" s="1037">
        <f t="shared" si="272"/>
        <v>1062500</v>
      </c>
      <c r="E376" s="833">
        <f t="shared" si="272"/>
        <v>0</v>
      </c>
      <c r="F376" s="807">
        <f t="shared" si="272"/>
        <v>31705</v>
      </c>
      <c r="G376" s="807">
        <f t="shared" si="272"/>
        <v>514505</v>
      </c>
      <c r="H376" s="807">
        <f t="shared" si="272"/>
        <v>516290</v>
      </c>
      <c r="I376" s="833">
        <f t="shared" si="272"/>
        <v>0</v>
      </c>
      <c r="J376" s="833">
        <f t="shared" si="272"/>
        <v>0</v>
      </c>
      <c r="K376" s="807">
        <f>+K377</f>
        <v>0</v>
      </c>
      <c r="L376" s="833">
        <f>+L377</f>
        <v>0</v>
      </c>
      <c r="M376" s="4070"/>
      <c r="N376" s="3939"/>
      <c r="O376" s="3649"/>
      <c r="P376" s="3651"/>
    </row>
    <row r="377" spans="1:16" s="1721" customFormat="1" ht="15.75" customHeight="1" thickBot="1">
      <c r="A377" s="4065"/>
      <c r="B377" s="1175" t="s">
        <v>19</v>
      </c>
      <c r="C377" s="4073"/>
      <c r="D377" s="1142">
        <f>E377+L377+K377+F377+G377+H377+I377+J377</f>
        <v>1062500</v>
      </c>
      <c r="E377" s="1015"/>
      <c r="F377" s="810">
        <v>31705</v>
      </c>
      <c r="G377" s="810">
        <v>514505</v>
      </c>
      <c r="H377" s="810">
        <v>516290</v>
      </c>
      <c r="I377" s="1015">
        <v>0</v>
      </c>
      <c r="J377" s="1015">
        <v>0</v>
      </c>
      <c r="K377" s="1014"/>
      <c r="L377" s="1015">
        <v>0</v>
      </c>
      <c r="M377" s="4032"/>
      <c r="N377" s="3940"/>
      <c r="O377" s="3649"/>
      <c r="P377" s="3651"/>
    </row>
    <row r="378" spans="1:16" s="1721" customFormat="1" ht="30" customHeight="1" thickBot="1">
      <c r="A378" s="93" t="s">
        <v>449</v>
      </c>
      <c r="B378" s="94"/>
      <c r="C378" s="94"/>
      <c r="D378" s="94"/>
      <c r="E378" s="763"/>
      <c r="F378" s="94"/>
      <c r="G378" s="94"/>
      <c r="H378" s="94"/>
      <c r="I378" s="94"/>
      <c r="J378" s="94"/>
      <c r="K378" s="94"/>
      <c r="L378" s="94"/>
      <c r="M378" s="495"/>
      <c r="N378" s="1918"/>
      <c r="O378" s="3649"/>
      <c r="P378" s="3651"/>
    </row>
    <row r="379" spans="1:16" s="1721" customFormat="1" ht="15.75" customHeight="1">
      <c r="A379" s="4095"/>
      <c r="B379" s="103" t="s">
        <v>65</v>
      </c>
      <c r="C379" s="104"/>
      <c r="D379" s="1544">
        <f>D380+D381</f>
        <v>11960000</v>
      </c>
      <c r="E379" s="2118">
        <f t="shared" ref="E379:H379" si="273">E380+E381</f>
        <v>0</v>
      </c>
      <c r="F379" s="105">
        <f t="shared" si="273"/>
        <v>3960000</v>
      </c>
      <c r="G379" s="105">
        <f t="shared" si="273"/>
        <v>4000000</v>
      </c>
      <c r="H379" s="105">
        <f t="shared" si="273"/>
        <v>4000000</v>
      </c>
      <c r="I379" s="2118">
        <v>0</v>
      </c>
      <c r="J379" s="2118">
        <v>0</v>
      </c>
      <c r="K379" s="2118">
        <f>K380+K381</f>
        <v>0</v>
      </c>
      <c r="L379" s="105">
        <f>L380+L381</f>
        <v>0</v>
      </c>
      <c r="M379" s="1545">
        <f>M380+M381</f>
        <v>11960000</v>
      </c>
      <c r="N379" s="4098"/>
      <c r="O379" s="3649"/>
      <c r="P379" s="3651"/>
    </row>
    <row r="380" spans="1:16" s="1721" customFormat="1" ht="15.75" customHeight="1" thickBot="1">
      <c r="A380" s="4096"/>
      <c r="B380" s="106" t="s">
        <v>66</v>
      </c>
      <c r="C380" s="107"/>
      <c r="D380" s="1546">
        <f>D387</f>
        <v>11960000</v>
      </c>
      <c r="E380" s="651">
        <f t="shared" ref="E380:H380" si="274">E387</f>
        <v>0</v>
      </c>
      <c r="F380" s="114">
        <f t="shared" si="274"/>
        <v>3960000</v>
      </c>
      <c r="G380" s="114">
        <f t="shared" si="274"/>
        <v>4000000</v>
      </c>
      <c r="H380" s="114">
        <f t="shared" si="274"/>
        <v>4000000</v>
      </c>
      <c r="I380" s="651">
        <v>0</v>
      </c>
      <c r="J380" s="651">
        <v>0</v>
      </c>
      <c r="K380" s="651">
        <f>K387</f>
        <v>0</v>
      </c>
      <c r="L380" s="114">
        <f>L387</f>
        <v>0</v>
      </c>
      <c r="M380" s="1374">
        <f>SUM(F380:J380)</f>
        <v>11960000</v>
      </c>
      <c r="N380" s="4099"/>
      <c r="O380" s="3649"/>
      <c r="P380" s="3651"/>
    </row>
    <row r="381" spans="1:16" s="1721" customFormat="1" ht="13.5" thickBot="1">
      <c r="A381" s="4096"/>
      <c r="B381" s="115" t="s">
        <v>8</v>
      </c>
      <c r="C381" s="107"/>
      <c r="D381" s="114">
        <v>0</v>
      </c>
      <c r="E381" s="2119">
        <v>0</v>
      </c>
      <c r="F381" s="2120">
        <v>0</v>
      </c>
      <c r="G381" s="2120">
        <v>0</v>
      </c>
      <c r="H381" s="2120">
        <v>0</v>
      </c>
      <c r="I381" s="2120">
        <v>0</v>
      </c>
      <c r="J381" s="2120">
        <v>0</v>
      </c>
      <c r="K381" s="2120">
        <v>0</v>
      </c>
      <c r="L381" s="108">
        <v>0</v>
      </c>
      <c r="M381" s="1039">
        <v>0</v>
      </c>
      <c r="N381" s="4100"/>
      <c r="O381" s="3649"/>
      <c r="P381" s="3651"/>
    </row>
    <row r="382" spans="1:16" s="1721" customFormat="1" ht="13.5" thickBot="1">
      <c r="A382" s="4096"/>
      <c r="B382" s="83" t="s">
        <v>9</v>
      </c>
      <c r="C382" s="84"/>
      <c r="D382" s="58">
        <f>D383</f>
        <v>11960000</v>
      </c>
      <c r="E382" s="2121">
        <f t="shared" ref="E382:J383" si="275">E383</f>
        <v>0</v>
      </c>
      <c r="F382" s="58">
        <f t="shared" si="275"/>
        <v>3960000</v>
      </c>
      <c r="G382" s="58">
        <f t="shared" si="275"/>
        <v>4000000</v>
      </c>
      <c r="H382" s="58">
        <f t="shared" si="275"/>
        <v>4000000</v>
      </c>
      <c r="I382" s="2121">
        <f t="shared" si="275"/>
        <v>0</v>
      </c>
      <c r="J382" s="2121">
        <f t="shared" si="275"/>
        <v>0</v>
      </c>
      <c r="K382" s="2121">
        <f>K383</f>
        <v>0</v>
      </c>
      <c r="L382" s="58">
        <f>L383</f>
        <v>0</v>
      </c>
      <c r="M382" s="1390">
        <f>M383</f>
        <v>11960000</v>
      </c>
      <c r="N382" s="4100"/>
      <c r="O382" s="3649"/>
      <c r="P382" s="3651"/>
    </row>
    <row r="383" spans="1:16" s="1721" customFormat="1" ht="13.5" thickBot="1">
      <c r="A383" s="4096"/>
      <c r="B383" s="2105" t="s">
        <v>10</v>
      </c>
      <c r="C383" s="4102" t="s">
        <v>51</v>
      </c>
      <c r="D383" s="840">
        <f>D384</f>
        <v>11960000</v>
      </c>
      <c r="E383" s="2122">
        <f t="shared" si="275"/>
        <v>0</v>
      </c>
      <c r="F383" s="840">
        <f t="shared" si="275"/>
        <v>3960000</v>
      </c>
      <c r="G383" s="840">
        <f t="shared" si="275"/>
        <v>4000000</v>
      </c>
      <c r="H383" s="840">
        <f t="shared" si="275"/>
        <v>4000000</v>
      </c>
      <c r="I383" s="2122">
        <f t="shared" si="275"/>
        <v>0</v>
      </c>
      <c r="J383" s="2122">
        <f t="shared" si="275"/>
        <v>0</v>
      </c>
      <c r="K383" s="2122">
        <f>K384</f>
        <v>0</v>
      </c>
      <c r="L383" s="840">
        <f>L384</f>
        <v>0</v>
      </c>
      <c r="M383" s="841">
        <f>+M384</f>
        <v>11960000</v>
      </c>
      <c r="N383" s="4100"/>
      <c r="O383" s="3649"/>
      <c r="P383" s="3651"/>
    </row>
    <row r="384" spans="1:16" s="1721" customFormat="1" ht="13.5" thickBot="1">
      <c r="A384" s="4097"/>
      <c r="B384" s="62" t="s">
        <v>11</v>
      </c>
      <c r="C384" s="4103"/>
      <c r="D384" s="1313">
        <f t="shared" ref="D384:H384" si="276">D388</f>
        <v>11960000</v>
      </c>
      <c r="E384" s="2123">
        <f t="shared" si="276"/>
        <v>0</v>
      </c>
      <c r="F384" s="1313">
        <f t="shared" si="276"/>
        <v>3960000</v>
      </c>
      <c r="G384" s="1313">
        <f t="shared" si="276"/>
        <v>4000000</v>
      </c>
      <c r="H384" s="1313">
        <f t="shared" si="276"/>
        <v>4000000</v>
      </c>
      <c r="I384" s="2123">
        <f t="shared" ref="I384:J384" si="277">I392</f>
        <v>0</v>
      </c>
      <c r="J384" s="2123">
        <f t="shared" si="277"/>
        <v>0</v>
      </c>
      <c r="K384" s="2123">
        <f>K388</f>
        <v>0</v>
      </c>
      <c r="L384" s="1313">
        <f>L392</f>
        <v>0</v>
      </c>
      <c r="M384" s="1877">
        <f>SUM(F384:J384)</f>
        <v>11960000</v>
      </c>
      <c r="N384" s="4101"/>
      <c r="O384" s="3649"/>
      <c r="P384" s="3651"/>
    </row>
    <row r="385" spans="1:16" s="1721" customFormat="1" ht="26.25" customHeight="1">
      <c r="A385" s="4092" t="s">
        <v>53</v>
      </c>
      <c r="B385" s="1007" t="s">
        <v>451</v>
      </c>
      <c r="C385" s="1149" t="s">
        <v>97</v>
      </c>
      <c r="D385" s="88"/>
      <c r="E385" s="2173"/>
      <c r="F385" s="217"/>
      <c r="G385" s="217"/>
      <c r="H385" s="217"/>
      <c r="I385" s="217"/>
      <c r="J385" s="1286"/>
      <c r="K385" s="2173"/>
      <c r="L385" s="217"/>
      <c r="M385" s="191"/>
      <c r="N385" s="4089" t="s">
        <v>462</v>
      </c>
      <c r="O385" s="3649"/>
      <c r="P385" s="3651"/>
    </row>
    <row r="386" spans="1:16" s="1721" customFormat="1" ht="18" customHeight="1">
      <c r="A386" s="4093"/>
      <c r="B386" s="650" t="s">
        <v>9</v>
      </c>
      <c r="C386" s="1557"/>
      <c r="D386" s="2174">
        <f>+D387</f>
        <v>11960000</v>
      </c>
      <c r="E386" s="2175">
        <f t="shared" ref="E386:M387" si="278">+E387</f>
        <v>0</v>
      </c>
      <c r="F386" s="2174">
        <f t="shared" si="278"/>
        <v>3960000</v>
      </c>
      <c r="G386" s="2174">
        <f t="shared" si="278"/>
        <v>4000000</v>
      </c>
      <c r="H386" s="2174">
        <f t="shared" si="278"/>
        <v>4000000</v>
      </c>
      <c r="I386" s="2175">
        <f t="shared" si="278"/>
        <v>0</v>
      </c>
      <c r="J386" s="2175">
        <f t="shared" si="278"/>
        <v>0</v>
      </c>
      <c r="K386" s="2175">
        <f>+K387</f>
        <v>0</v>
      </c>
      <c r="L386" s="2174">
        <f>+L387</f>
        <v>0</v>
      </c>
      <c r="M386" s="1894">
        <f t="shared" si="278"/>
        <v>11960000</v>
      </c>
      <c r="N386" s="4090"/>
      <c r="O386" s="3649"/>
      <c r="P386" s="3651"/>
    </row>
    <row r="387" spans="1:16" s="1721" customFormat="1" ht="16.5" customHeight="1">
      <c r="A387" s="4093"/>
      <c r="B387" s="814" t="s">
        <v>22</v>
      </c>
      <c r="C387" s="4087" t="s">
        <v>463</v>
      </c>
      <c r="D387" s="2176">
        <f>+D388</f>
        <v>11960000</v>
      </c>
      <c r="E387" s="2177">
        <f t="shared" si="278"/>
        <v>0</v>
      </c>
      <c r="F387" s="2178">
        <f t="shared" si="278"/>
        <v>3960000</v>
      </c>
      <c r="G387" s="2178">
        <f t="shared" si="278"/>
        <v>4000000</v>
      </c>
      <c r="H387" s="2178">
        <f t="shared" si="278"/>
        <v>4000000</v>
      </c>
      <c r="I387" s="2559">
        <f t="shared" si="278"/>
        <v>0</v>
      </c>
      <c r="J387" s="2559">
        <f t="shared" si="278"/>
        <v>0</v>
      </c>
      <c r="K387" s="2559">
        <f>+K388</f>
        <v>0</v>
      </c>
      <c r="L387" s="2179">
        <f>+L388</f>
        <v>0</v>
      </c>
      <c r="M387" s="1895">
        <f t="shared" si="278"/>
        <v>11960000</v>
      </c>
      <c r="N387" s="4090"/>
      <c r="O387" s="3649"/>
      <c r="P387" s="3651"/>
    </row>
    <row r="388" spans="1:16" s="1721" customFormat="1" ht="22.5" customHeight="1" thickBot="1">
      <c r="A388" s="4094"/>
      <c r="B388" s="2456" t="s">
        <v>11</v>
      </c>
      <c r="C388" s="4088"/>
      <c r="D388" s="1259">
        <f>E388+L388+K388+F388+G388+H388+I388+J388</f>
        <v>11960000</v>
      </c>
      <c r="E388" s="2458">
        <f>E389+E390</f>
        <v>0</v>
      </c>
      <c r="F388" s="2459">
        <f>F389+F390</f>
        <v>3960000</v>
      </c>
      <c r="G388" s="2459">
        <f>G389+G390</f>
        <v>4000000</v>
      </c>
      <c r="H388" s="2459">
        <f>H389+H390</f>
        <v>4000000</v>
      </c>
      <c r="I388" s="2560">
        <v>0</v>
      </c>
      <c r="J388" s="2560">
        <v>0</v>
      </c>
      <c r="K388" s="2458">
        <f>K389+K390</f>
        <v>0</v>
      </c>
      <c r="L388" s="2181">
        <v>0</v>
      </c>
      <c r="M388" s="2356">
        <f>SUM(F388:J388)</f>
        <v>11960000</v>
      </c>
      <c r="N388" s="4091"/>
      <c r="O388" s="3649"/>
      <c r="P388" s="3651"/>
    </row>
    <row r="389" spans="1:16" s="1721" customFormat="1" ht="13.5" hidden="1" thickBot="1">
      <c r="A389" s="481"/>
      <c r="B389" s="2494" t="s">
        <v>450</v>
      </c>
      <c r="C389" s="2489"/>
      <c r="D389" s="2182">
        <f>E389+L389+K389+F389+G389+H389+I389+J389</f>
        <v>10910000</v>
      </c>
      <c r="E389" s="2183">
        <v>0</v>
      </c>
      <c r="F389" s="2182">
        <f>3650000-40000</f>
        <v>3610000</v>
      </c>
      <c r="G389" s="2182">
        <v>3650000</v>
      </c>
      <c r="H389" s="2182">
        <v>3650000</v>
      </c>
      <c r="I389" s="2183">
        <v>0</v>
      </c>
      <c r="J389" s="2183">
        <v>0</v>
      </c>
      <c r="K389" s="2183">
        <v>0</v>
      </c>
      <c r="L389" s="2184"/>
      <c r="M389" s="2457">
        <f>SUM(F389:J389)</f>
        <v>10910000</v>
      </c>
      <c r="N389" s="2491"/>
      <c r="O389" s="3649"/>
      <c r="P389" s="3651"/>
    </row>
    <row r="390" spans="1:16" s="1721" customFormat="1" ht="13.5" hidden="1" thickBot="1">
      <c r="A390" s="2493"/>
      <c r="B390" s="2485" t="s">
        <v>292</v>
      </c>
      <c r="C390" s="2490"/>
      <c r="D390" s="2486">
        <f>E390+L390+K390+F390+G390+H390+I390+J390</f>
        <v>1050000</v>
      </c>
      <c r="E390" s="2487">
        <v>0</v>
      </c>
      <c r="F390" s="2486">
        <v>350000</v>
      </c>
      <c r="G390" s="2486">
        <v>350000</v>
      </c>
      <c r="H390" s="2486">
        <v>350000</v>
      </c>
      <c r="I390" s="2487">
        <v>0</v>
      </c>
      <c r="J390" s="2487">
        <v>0</v>
      </c>
      <c r="K390" s="2487">
        <v>0</v>
      </c>
      <c r="L390" s="2488"/>
      <c r="M390" s="2185">
        <f>SUM(F390:J390)</f>
        <v>1050000</v>
      </c>
      <c r="N390" s="2492"/>
      <c r="O390" s="3649"/>
      <c r="P390" s="3651"/>
    </row>
    <row r="391" spans="1:16" s="1721" customFormat="1">
      <c r="A391" s="1783"/>
      <c r="B391" s="2098"/>
      <c r="C391" s="1784"/>
      <c r="D391" s="2099"/>
      <c r="E391" s="2100"/>
      <c r="F391" s="2101"/>
      <c r="G391" s="2101"/>
      <c r="H391" s="2101"/>
      <c r="I391" s="2101"/>
      <c r="J391" s="2101"/>
      <c r="K391" s="2101"/>
      <c r="L391" s="2102"/>
      <c r="M391" s="2103"/>
      <c r="N391" s="2104"/>
      <c r="O391" s="1745"/>
    </row>
    <row r="392" spans="1:16" hidden="1">
      <c r="B392" s="1730" t="s">
        <v>301</v>
      </c>
      <c r="C392" s="1730"/>
      <c r="D392" s="1730"/>
      <c r="E392" s="1730"/>
      <c r="F392" s="1730"/>
      <c r="G392" s="1730"/>
      <c r="H392" s="1730"/>
      <c r="I392" s="1730"/>
      <c r="J392" s="1730"/>
      <c r="K392" s="1730"/>
      <c r="L392" s="1730"/>
    </row>
    <row r="393" spans="1:16" hidden="1">
      <c r="B393" s="1730" t="s">
        <v>302</v>
      </c>
      <c r="C393" s="1730"/>
      <c r="D393" s="1731">
        <f>D37+D71+D84+D108+D148+D160+D186+D216+D231+D260+D275+D304+D133+D56+D319+D332+D345+D361+D373</f>
        <v>147384638</v>
      </c>
      <c r="E393" s="1731">
        <f t="shared" ref="E393:J393" si="279">E37+E71+E84+E108+E148+E160+E186+E216+E231+E260+E275+E304+E133+E56+E319+E332+E345+E361+E373</f>
        <v>37815505</v>
      </c>
      <c r="F393" s="1731">
        <f t="shared" si="279"/>
        <v>45161067</v>
      </c>
      <c r="G393" s="1731">
        <f t="shared" si="279"/>
        <v>23221516</v>
      </c>
      <c r="H393" s="1731">
        <f t="shared" si="279"/>
        <v>20726587</v>
      </c>
      <c r="I393" s="1731">
        <f t="shared" si="279"/>
        <v>13431295</v>
      </c>
      <c r="J393" s="1731">
        <f t="shared" si="279"/>
        <v>7028668</v>
      </c>
      <c r="K393" s="1731">
        <f>K37+K71+K84+K108+K148+K160+K186+K216+K231+K260+K275+K304+K133+K56+K319</f>
        <v>0</v>
      </c>
      <c r="L393" s="1731">
        <f>L37+L71+L84+L108+L148+L160+L186+L216+L231+L260+L275+L304+L133</f>
        <v>0</v>
      </c>
    </row>
    <row r="394" spans="1:16" hidden="1">
      <c r="B394" s="1730" t="s">
        <v>303</v>
      </c>
      <c r="C394" s="1730"/>
      <c r="D394" s="1731">
        <f>D96+D120+D170+D198+D286+D242</f>
        <v>1060684</v>
      </c>
      <c r="E394" s="1731">
        <f t="shared" ref="E394:J394" si="280">E96+E120+E170+E198+E286+E242</f>
        <v>685384</v>
      </c>
      <c r="F394" s="1731">
        <f t="shared" si="280"/>
        <v>375300</v>
      </c>
      <c r="G394" s="1731">
        <f t="shared" si="280"/>
        <v>0</v>
      </c>
      <c r="H394" s="1731">
        <f t="shared" si="280"/>
        <v>0</v>
      </c>
      <c r="I394" s="1731">
        <f t="shared" si="280"/>
        <v>0</v>
      </c>
      <c r="J394" s="1731">
        <f t="shared" si="280"/>
        <v>0</v>
      </c>
      <c r="K394" s="1731">
        <f>K96+K120+K170+K198+K286+K242</f>
        <v>0</v>
      </c>
      <c r="L394" s="1731">
        <f>L96+L120+L170+L198+L286</f>
        <v>0</v>
      </c>
    </row>
    <row r="395" spans="1:16" hidden="1">
      <c r="B395" s="1730" t="s">
        <v>304</v>
      </c>
      <c r="C395" s="1730"/>
      <c r="D395" s="681">
        <f>D393+D394</f>
        <v>148445322</v>
      </c>
      <c r="E395" s="681">
        <f t="shared" ref="E395:J395" si="281">E393+E394</f>
        <v>38500889</v>
      </c>
      <c r="F395" s="681">
        <f t="shared" si="281"/>
        <v>45536367</v>
      </c>
      <c r="G395" s="681">
        <f t="shared" si="281"/>
        <v>23221516</v>
      </c>
      <c r="H395" s="681">
        <f t="shared" si="281"/>
        <v>20726587</v>
      </c>
      <c r="I395" s="681">
        <f t="shared" si="281"/>
        <v>13431295</v>
      </c>
      <c r="J395" s="681">
        <f t="shared" si="281"/>
        <v>7028668</v>
      </c>
      <c r="K395" s="681">
        <f>K393+K394</f>
        <v>0</v>
      </c>
      <c r="L395" s="681">
        <f>L393+L394</f>
        <v>0</v>
      </c>
    </row>
    <row r="396" spans="1:16" hidden="1">
      <c r="B396" s="682" t="s">
        <v>39</v>
      </c>
      <c r="C396" s="682"/>
      <c r="D396" s="683">
        <f t="shared" ref="D396:L396" si="282">D395-D17</f>
        <v>0</v>
      </c>
      <c r="E396" s="683">
        <f t="shared" si="282"/>
        <v>0</v>
      </c>
      <c r="F396" s="683">
        <f t="shared" si="282"/>
        <v>0</v>
      </c>
      <c r="G396" s="683">
        <f t="shared" si="282"/>
        <v>0</v>
      </c>
      <c r="H396" s="683">
        <f t="shared" si="282"/>
        <v>0</v>
      </c>
      <c r="I396" s="683">
        <f t="shared" si="282"/>
        <v>0</v>
      </c>
      <c r="J396" s="683">
        <f t="shared" si="282"/>
        <v>0</v>
      </c>
      <c r="K396" s="683">
        <f t="shared" si="282"/>
        <v>0</v>
      </c>
      <c r="L396" s="683">
        <f t="shared" si="282"/>
        <v>0</v>
      </c>
    </row>
    <row r="397" spans="1:16" hidden="1">
      <c r="B397" s="1687"/>
      <c r="C397" s="1687"/>
      <c r="D397" s="1687"/>
      <c r="E397" s="1687"/>
      <c r="F397" s="1687"/>
      <c r="G397" s="1687"/>
      <c r="H397" s="1687"/>
      <c r="I397" s="1687"/>
      <c r="J397" s="1687"/>
    </row>
    <row r="398" spans="1:16" hidden="1"/>
    <row r="399" spans="1:16" ht="31.5" hidden="1" customHeight="1">
      <c r="B399" s="1285" t="s">
        <v>440</v>
      </c>
    </row>
    <row r="511" spans="1:1" ht="13.5" thickBot="1">
      <c r="A511" s="1732"/>
    </row>
    <row r="512" spans="1:1" ht="13.5" thickBot="1">
      <c r="A512" s="1733"/>
    </row>
    <row r="513" spans="1:14" ht="13.5" thickBot="1">
      <c r="A513" s="1733"/>
    </row>
    <row r="514" spans="1:14" ht="13.5" thickBot="1">
      <c r="A514" s="1733"/>
    </row>
    <row r="515" spans="1:14" ht="13.5" thickBot="1">
      <c r="A515" s="1733"/>
    </row>
    <row r="516" spans="1:14" ht="13.5" thickBot="1">
      <c r="A516" s="1733"/>
    </row>
    <row r="517" spans="1:14" ht="13.5" thickBot="1">
      <c r="A517" s="1733"/>
      <c r="K517" s="1734"/>
      <c r="L517" s="1734"/>
      <c r="M517" s="1735"/>
      <c r="N517" s="1735"/>
    </row>
    <row r="518" spans="1:14" ht="13.5" thickBot="1">
      <c r="A518" s="1733"/>
      <c r="C518" s="1735"/>
      <c r="K518" s="1736"/>
      <c r="L518" s="1736"/>
      <c r="M518" s="1737"/>
      <c r="N518" s="1737"/>
    </row>
    <row r="519" spans="1:14" ht="13.5" thickBot="1">
      <c r="A519" s="1733"/>
      <c r="C519" s="1737"/>
      <c r="D519" s="1735"/>
      <c r="E519" s="1735"/>
      <c r="F519" s="1735"/>
      <c r="G519" s="1735"/>
      <c r="H519" s="1735"/>
      <c r="I519" s="1735"/>
      <c r="J519" s="1735"/>
      <c r="K519" s="1738"/>
      <c r="L519" s="1738"/>
      <c r="M519" s="1737"/>
      <c r="N519" s="1737"/>
    </row>
    <row r="520" spans="1:14" ht="13.5" thickBot="1">
      <c r="A520" s="1733"/>
      <c r="C520" s="1739"/>
      <c r="D520" s="1739"/>
      <c r="E520" s="1739"/>
      <c r="F520" s="1739"/>
      <c r="G520" s="1739"/>
      <c r="H520" s="1739"/>
      <c r="I520" s="1739"/>
      <c r="J520" s="1739"/>
      <c r="K520" s="1739"/>
      <c r="L520" s="1739"/>
      <c r="M520" s="1739"/>
      <c r="N520" s="1737"/>
    </row>
    <row r="521" spans="1:14" ht="13.5" thickBot="1">
      <c r="A521" s="1733"/>
      <c r="N521" s="1737"/>
    </row>
    <row r="522" spans="1:14" ht="13.5" thickBot="1">
      <c r="A522" s="1733"/>
      <c r="N522" s="1737"/>
    </row>
    <row r="523" spans="1:14" ht="13.5" thickBot="1">
      <c r="A523" s="1733"/>
      <c r="N523" s="1737"/>
    </row>
    <row r="524" spans="1:14" ht="13.5" thickBot="1">
      <c r="A524" s="1733"/>
      <c r="N524" s="1737"/>
    </row>
    <row r="525" spans="1:14" ht="13.5" thickBot="1">
      <c r="A525" s="1733"/>
      <c r="N525" s="1739"/>
    </row>
    <row r="526" spans="1:14" ht="13.5" thickBot="1">
      <c r="A526" s="1733"/>
    </row>
    <row r="527" spans="1:14" ht="13.5" thickBot="1">
      <c r="A527" s="1733"/>
    </row>
    <row r="528" spans="1:14">
      <c r="A528" s="1740"/>
    </row>
    <row r="626" spans="1:14" ht="13.5" thickBot="1">
      <c r="N626" s="1735"/>
    </row>
    <row r="627" spans="1:14" ht="13.5" thickBot="1">
      <c r="N627" s="1737"/>
    </row>
    <row r="628" spans="1:14" ht="13.5" thickBot="1">
      <c r="N628" s="1737"/>
    </row>
    <row r="629" spans="1:14" ht="13.5" thickBot="1">
      <c r="N629" s="1737"/>
    </row>
    <row r="630" spans="1:14" ht="13.5" thickBot="1">
      <c r="K630" s="1734"/>
      <c r="L630" s="1734"/>
      <c r="M630" s="1735"/>
      <c r="N630" s="1737"/>
    </row>
    <row r="631" spans="1:14" ht="13.5" thickBot="1">
      <c r="K631" s="1736"/>
      <c r="L631" s="1736"/>
      <c r="M631" s="1737"/>
      <c r="N631" s="1737"/>
    </row>
    <row r="632" spans="1:14" ht="13.5" thickBot="1">
      <c r="K632" s="1736"/>
      <c r="L632" s="1736"/>
      <c r="M632" s="1737"/>
      <c r="N632" s="1737"/>
    </row>
    <row r="633" spans="1:14" ht="13.5" thickBot="1">
      <c r="K633" s="1736"/>
      <c r="L633" s="1736"/>
      <c r="M633" s="1737"/>
      <c r="N633" s="1737"/>
    </row>
    <row r="634" spans="1:14" ht="13.5" thickBot="1">
      <c r="K634" s="1736"/>
      <c r="L634" s="1736"/>
      <c r="M634" s="1737"/>
      <c r="N634" s="1737"/>
    </row>
    <row r="635" spans="1:14" ht="13.5" thickBot="1">
      <c r="A635" s="1732"/>
      <c r="B635" s="1735"/>
      <c r="C635" s="1735"/>
      <c r="D635" s="1735"/>
      <c r="E635" s="1735"/>
      <c r="F635" s="1735"/>
      <c r="G635" s="1735"/>
      <c r="H635" s="1735"/>
      <c r="I635" s="1735"/>
      <c r="J635" s="1735"/>
      <c r="K635" s="1738"/>
      <c r="L635" s="1738"/>
      <c r="M635" s="1737"/>
      <c r="N635" s="1737"/>
    </row>
    <row r="636" spans="1:14" ht="13.5" thickBot="1">
      <c r="A636" s="1733"/>
      <c r="B636" s="1739"/>
      <c r="C636" s="1739"/>
      <c r="D636" s="1739"/>
      <c r="E636" s="1739"/>
      <c r="F636" s="1739"/>
      <c r="G636" s="1739"/>
      <c r="H636" s="1739"/>
      <c r="I636" s="1739"/>
      <c r="J636" s="1739"/>
      <c r="K636" s="1739"/>
      <c r="L636" s="1739"/>
      <c r="M636" s="1739"/>
      <c r="N636" s="1737"/>
    </row>
    <row r="637" spans="1:14" ht="13.5" thickBot="1">
      <c r="A637" s="1733"/>
      <c r="N637" s="1737"/>
    </row>
    <row r="638" spans="1:14" ht="13.5" thickBot="1">
      <c r="A638" s="1733"/>
      <c r="N638" s="1737"/>
    </row>
    <row r="639" spans="1:14" ht="13.5" thickBot="1">
      <c r="A639" s="1733"/>
      <c r="N639" s="1737"/>
    </row>
    <row r="640" spans="1:14" ht="13.5" thickBot="1">
      <c r="A640" s="1733"/>
      <c r="N640" s="1737"/>
    </row>
    <row r="641" spans="1:14" ht="13.5" thickBot="1">
      <c r="A641" s="1733"/>
      <c r="N641" s="1737"/>
    </row>
    <row r="642" spans="1:14" ht="13.5" thickBot="1">
      <c r="A642" s="1733"/>
      <c r="N642" s="1737"/>
    </row>
    <row r="643" spans="1:14">
      <c r="A643" s="1740"/>
      <c r="N643" s="1739"/>
    </row>
  </sheetData>
  <mergeCells count="166">
    <mergeCell ref="N280:N285"/>
    <mergeCell ref="C282:C285"/>
    <mergeCell ref="M286:M290"/>
    <mergeCell ref="N286:N290"/>
    <mergeCell ref="C287:C290"/>
    <mergeCell ref="A335:A347"/>
    <mergeCell ref="C337:C344"/>
    <mergeCell ref="C346:C347"/>
    <mergeCell ref="N336:N344"/>
    <mergeCell ref="M345:M347"/>
    <mergeCell ref="N345:N347"/>
    <mergeCell ref="C324:C331"/>
    <mergeCell ref="C333:C334"/>
    <mergeCell ref="N323:N331"/>
    <mergeCell ref="M332:M334"/>
    <mergeCell ref="N332:N334"/>
    <mergeCell ref="A89:A100"/>
    <mergeCell ref="C109:C112"/>
    <mergeCell ref="C91:C95"/>
    <mergeCell ref="A101:A112"/>
    <mergeCell ref="A125:A137"/>
    <mergeCell ref="C103:C107"/>
    <mergeCell ref="M108:M112"/>
    <mergeCell ref="N89:N95"/>
    <mergeCell ref="N125:N132"/>
    <mergeCell ref="C127:C132"/>
    <mergeCell ref="N133:N137"/>
    <mergeCell ref="N113:N119"/>
    <mergeCell ref="M133:M137"/>
    <mergeCell ref="C134:C137"/>
    <mergeCell ref="N77:N83"/>
    <mergeCell ref="N101:N107"/>
    <mergeCell ref="N108:N112"/>
    <mergeCell ref="N84:N88"/>
    <mergeCell ref="A191:A202"/>
    <mergeCell ref="C193:C197"/>
    <mergeCell ref="M198:M202"/>
    <mergeCell ref="C199:C202"/>
    <mergeCell ref="N173:N185"/>
    <mergeCell ref="N186:N190"/>
    <mergeCell ref="A138:A150"/>
    <mergeCell ref="C140:C145"/>
    <mergeCell ref="M148:M150"/>
    <mergeCell ref="C149:C150"/>
    <mergeCell ref="A173:A190"/>
    <mergeCell ref="C175:C183"/>
    <mergeCell ref="M186:M190"/>
    <mergeCell ref="C187:C190"/>
    <mergeCell ref="A163:A172"/>
    <mergeCell ref="N151:N159"/>
    <mergeCell ref="M170:M172"/>
    <mergeCell ref="A151:A162"/>
    <mergeCell ref="M160:M162"/>
    <mergeCell ref="C161:C162"/>
    <mergeCell ref="C57:C59"/>
    <mergeCell ref="A43:A59"/>
    <mergeCell ref="M56:M59"/>
    <mergeCell ref="N43:N55"/>
    <mergeCell ref="N120:N124"/>
    <mergeCell ref="N96:N100"/>
    <mergeCell ref="N60:N68"/>
    <mergeCell ref="N71:N75"/>
    <mergeCell ref="A77:A88"/>
    <mergeCell ref="C79:C83"/>
    <mergeCell ref="C85:C88"/>
    <mergeCell ref="M84:M88"/>
    <mergeCell ref="A60:A75"/>
    <mergeCell ref="C62:C68"/>
    <mergeCell ref="C72:C75"/>
    <mergeCell ref="M71:M75"/>
    <mergeCell ref="A113:A124"/>
    <mergeCell ref="C115:C119"/>
    <mergeCell ref="M120:M124"/>
    <mergeCell ref="C121:C124"/>
    <mergeCell ref="M96:M100"/>
    <mergeCell ref="C97:C100"/>
    <mergeCell ref="C45:C55"/>
    <mergeCell ref="N56:N59"/>
    <mergeCell ref="C3:C4"/>
    <mergeCell ref="D3:D4"/>
    <mergeCell ref="N3:N4"/>
    <mergeCell ref="M3:M4"/>
    <mergeCell ref="B3:B4"/>
    <mergeCell ref="A3:A4"/>
    <mergeCell ref="A23:A42"/>
    <mergeCell ref="C25:C36"/>
    <mergeCell ref="C38:C42"/>
    <mergeCell ref="M37:M42"/>
    <mergeCell ref="M17:M22"/>
    <mergeCell ref="L3:L4"/>
    <mergeCell ref="N23:N36"/>
    <mergeCell ref="F3:J3"/>
    <mergeCell ref="K3:K4"/>
    <mergeCell ref="N37:N41"/>
    <mergeCell ref="N236:N241"/>
    <mergeCell ref="C238:C241"/>
    <mergeCell ref="M242:M246"/>
    <mergeCell ref="N242:N246"/>
    <mergeCell ref="C243:C246"/>
    <mergeCell ref="A309:A321"/>
    <mergeCell ref="C311:C318"/>
    <mergeCell ref="C320:C321"/>
    <mergeCell ref="M319:M321"/>
    <mergeCell ref="N310:N318"/>
    <mergeCell ref="N319:N321"/>
    <mergeCell ref="M275:M279"/>
    <mergeCell ref="N275:N279"/>
    <mergeCell ref="C276:C279"/>
    <mergeCell ref="A291:A308"/>
    <mergeCell ref="N291:N303"/>
    <mergeCell ref="A265:A279"/>
    <mergeCell ref="N265:N274"/>
    <mergeCell ref="C267:C272"/>
    <mergeCell ref="C293:C301"/>
    <mergeCell ref="M304:M308"/>
    <mergeCell ref="N304:N308"/>
    <mergeCell ref="C305:C308"/>
    <mergeCell ref="A280:A290"/>
    <mergeCell ref="N138:N145"/>
    <mergeCell ref="C165:C166"/>
    <mergeCell ref="C171:C172"/>
    <mergeCell ref="N148:N150"/>
    <mergeCell ref="C387:C388"/>
    <mergeCell ref="N385:N388"/>
    <mergeCell ref="A385:A388"/>
    <mergeCell ref="A379:A384"/>
    <mergeCell ref="N379:N384"/>
    <mergeCell ref="C383:C384"/>
    <mergeCell ref="M216:M220"/>
    <mergeCell ref="N216:N220"/>
    <mergeCell ref="C217:C220"/>
    <mergeCell ref="N260:N264"/>
    <mergeCell ref="C261:C264"/>
    <mergeCell ref="A348:A365"/>
    <mergeCell ref="N348:N360"/>
    <mergeCell ref="C350:C358"/>
    <mergeCell ref="M361:M365"/>
    <mergeCell ref="N361:N365"/>
    <mergeCell ref="C362:C365"/>
    <mergeCell ref="A247:A264"/>
    <mergeCell ref="N247:N259"/>
    <mergeCell ref="A203:A220"/>
    <mergeCell ref="A366:A377"/>
    <mergeCell ref="N366:N372"/>
    <mergeCell ref="C368:C372"/>
    <mergeCell ref="M373:M377"/>
    <mergeCell ref="N373:N377"/>
    <mergeCell ref="C374:C377"/>
    <mergeCell ref="C153:C159"/>
    <mergeCell ref="N163:N166"/>
    <mergeCell ref="N160:N162"/>
    <mergeCell ref="N170:N172"/>
    <mergeCell ref="N191:N197"/>
    <mergeCell ref="N198:N202"/>
    <mergeCell ref="N203:N215"/>
    <mergeCell ref="C205:C213"/>
    <mergeCell ref="C249:C257"/>
    <mergeCell ref="M260:M264"/>
    <mergeCell ref="A221:A235"/>
    <mergeCell ref="A322:A334"/>
    <mergeCell ref="N221:N230"/>
    <mergeCell ref="C223:C228"/>
    <mergeCell ref="M231:M235"/>
    <mergeCell ref="N231:N235"/>
    <mergeCell ref="C232:C235"/>
    <mergeCell ref="A236:A24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26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6" manualBreakCount="6">
    <brk id="59" max="13" man="1"/>
    <brk id="124" max="13" man="1"/>
    <brk id="172" max="13" man="1"/>
    <brk id="235" max="13" man="1"/>
    <brk id="290" max="13" man="1"/>
    <brk id="347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28"/>
  <sheetViews>
    <sheetView showGridLines="0" view="pageBreakPreview" topLeftCell="A84" zoomScaleSheetLayoutView="100" workbookViewId="0">
      <selection activeCell="J101" sqref="J101:J114"/>
    </sheetView>
  </sheetViews>
  <sheetFormatPr defaultColWidth="9.140625" defaultRowHeight="12.75"/>
  <cols>
    <col min="1" max="1" width="3.7109375" style="145" customWidth="1"/>
    <col min="2" max="2" width="60.5703125" style="146" customWidth="1"/>
    <col min="3" max="3" width="9.85546875" style="146" customWidth="1"/>
    <col min="4" max="4" width="15.28515625" style="146" customWidth="1"/>
    <col min="5" max="5" width="13.85546875" style="146" customWidth="1"/>
    <col min="6" max="10" width="11.7109375" style="146" customWidth="1"/>
    <col min="11" max="12" width="10.140625" style="146" hidden="1" customWidth="1"/>
    <col min="13" max="13" width="12.7109375" style="146" customWidth="1"/>
    <col min="14" max="14" width="17" style="209" customWidth="1"/>
    <col min="15" max="15" width="11.5703125" style="208" hidden="1" customWidth="1"/>
    <col min="16" max="16" width="10.140625" style="208" hidden="1" customWidth="1"/>
    <col min="17" max="17" width="10.7109375" style="208" hidden="1" customWidth="1"/>
    <col min="18" max="18" width="9.140625" style="208"/>
    <col min="19" max="19" width="10.140625" style="208" customWidth="1"/>
    <col min="20" max="20" width="9.140625" style="208"/>
    <col min="21" max="21" width="10.7109375" style="208" customWidth="1"/>
    <col min="22" max="22" width="10.140625" style="208" bestFit="1" customWidth="1"/>
    <col min="23" max="30" width="9.140625" style="208"/>
    <col min="31" max="31" width="8.5703125" style="208" customWidth="1"/>
    <col min="32" max="43" width="9.140625" style="208"/>
    <col min="44" max="44" width="8.7109375" style="208" customWidth="1"/>
    <col min="45" max="54" width="9.140625" style="208"/>
    <col min="55" max="55" width="4.28515625" style="208" customWidth="1"/>
    <col min="56" max="65" width="9.140625" style="208"/>
    <col min="66" max="66" width="5" style="208" customWidth="1"/>
    <col min="67" max="76" width="9.140625" style="208"/>
    <col min="77" max="77" width="3.85546875" style="208" customWidth="1"/>
    <col min="78" max="89" width="9.140625" style="208"/>
    <col min="90" max="90" width="5.28515625" style="208" customWidth="1"/>
    <col min="91" max="102" width="9.140625" style="208"/>
    <col min="103" max="103" width="1.5703125" style="208" customWidth="1"/>
    <col min="104" max="116" width="9.140625" style="208"/>
    <col min="117" max="117" width="0.7109375" style="208" customWidth="1"/>
    <col min="118" max="129" width="9.140625" style="208"/>
    <col min="130" max="130" width="8.28515625" style="208" customWidth="1"/>
    <col min="131" max="139" width="9.140625" style="208"/>
    <col min="140" max="140" width="0.28515625" style="208" customWidth="1"/>
    <col min="141" max="166" width="9.140625" style="208"/>
    <col min="167" max="167" width="0.7109375" style="208" customWidth="1"/>
    <col min="168" max="16384" width="9.140625" style="208"/>
  </cols>
  <sheetData>
    <row r="1" spans="1:18" ht="17.25" customHeight="1">
      <c r="D1" s="149"/>
      <c r="E1" s="149"/>
      <c r="G1" s="3"/>
      <c r="H1" s="3"/>
      <c r="I1" s="151" t="s">
        <v>595</v>
      </c>
      <c r="J1" s="3"/>
      <c r="K1" s="3"/>
      <c r="L1" s="3"/>
      <c r="M1" s="3"/>
      <c r="N1" s="4"/>
    </row>
    <row r="2" spans="1:18" ht="36.75" customHeight="1" thickBot="1">
      <c r="A2" s="4183" t="s">
        <v>416</v>
      </c>
      <c r="B2" s="4184"/>
      <c r="C2" s="4184"/>
      <c r="D2" s="4184"/>
      <c r="E2" s="4184"/>
      <c r="F2" s="4184"/>
      <c r="G2" s="4184"/>
      <c r="H2" s="4184"/>
      <c r="I2" s="4184"/>
      <c r="J2" s="4184"/>
      <c r="K2" s="4184"/>
      <c r="L2" s="4184"/>
      <c r="M2" s="4184"/>
      <c r="N2" s="4185"/>
    </row>
    <row r="3" spans="1:18" s="121" customFormat="1" ht="18.75" customHeight="1" thickBot="1">
      <c r="A3" s="3632"/>
      <c r="B3" s="3634"/>
      <c r="C3" s="3628"/>
      <c r="D3" s="3629"/>
      <c r="E3" s="2562" t="s">
        <v>517</v>
      </c>
      <c r="F3" s="1678" t="s">
        <v>163</v>
      </c>
      <c r="G3" s="1678" t="s">
        <v>164</v>
      </c>
      <c r="H3" s="1678" t="s">
        <v>202</v>
      </c>
      <c r="I3" s="1678" t="s">
        <v>203</v>
      </c>
      <c r="J3" s="1678" t="s">
        <v>201</v>
      </c>
      <c r="K3" s="3671"/>
      <c r="L3" s="3633"/>
      <c r="M3" s="3631"/>
      <c r="N3" s="3630"/>
      <c r="O3" s="236"/>
      <c r="P3" s="236"/>
    </row>
    <row r="4" spans="1:18" s="128" customFormat="1" ht="12.75" customHeight="1" thickBot="1">
      <c r="A4" s="5">
        <v>1</v>
      </c>
      <c r="B4" s="6">
        <v>2</v>
      </c>
      <c r="C4" s="7">
        <v>3</v>
      </c>
      <c r="D4" s="2133">
        <v>4</v>
      </c>
      <c r="E4" s="8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/>
      <c r="L4" s="2186"/>
      <c r="M4" s="10">
        <v>11</v>
      </c>
      <c r="N4" s="11">
        <v>12</v>
      </c>
      <c r="O4" s="127"/>
      <c r="P4" s="127"/>
    </row>
    <row r="5" spans="1:18" s="121" customFormat="1" ht="16.5" customHeight="1">
      <c r="A5" s="211"/>
      <c r="B5" s="123" t="s">
        <v>65</v>
      </c>
      <c r="C5" s="104"/>
      <c r="D5" s="105">
        <f>+D6+D7</f>
        <v>38992820</v>
      </c>
      <c r="E5" s="105">
        <f>+E6+E7</f>
        <v>1886007</v>
      </c>
      <c r="F5" s="105">
        <f t="shared" ref="F5:J5" si="0">+F6+F7</f>
        <v>19940391</v>
      </c>
      <c r="G5" s="105">
        <f t="shared" si="0"/>
        <v>14900991</v>
      </c>
      <c r="H5" s="105">
        <f t="shared" si="0"/>
        <v>2265431</v>
      </c>
      <c r="I5" s="105">
        <f t="shared" si="0"/>
        <v>0</v>
      </c>
      <c r="J5" s="105">
        <f t="shared" si="0"/>
        <v>0</v>
      </c>
      <c r="K5" s="105">
        <f>+K6+K7</f>
        <v>0</v>
      </c>
      <c r="L5" s="105">
        <f t="shared" ref="L5" si="1">+L6+L7</f>
        <v>0</v>
      </c>
      <c r="M5" s="12">
        <f>+M6+M7</f>
        <v>37106813</v>
      </c>
      <c r="N5" s="446"/>
      <c r="O5" s="236"/>
    </row>
    <row r="6" spans="1:18" s="121" customFormat="1" ht="16.5" customHeight="1">
      <c r="A6" s="213"/>
      <c r="B6" s="117" t="s">
        <v>66</v>
      </c>
      <c r="C6" s="107"/>
      <c r="D6" s="108">
        <f>+D34</f>
        <v>1266343</v>
      </c>
      <c r="E6" s="108">
        <f>+E34</f>
        <v>62758</v>
      </c>
      <c r="F6" s="108">
        <f t="shared" ref="F6:H6" si="2">+F34</f>
        <v>660257</v>
      </c>
      <c r="G6" s="108">
        <f t="shared" si="2"/>
        <v>471595</v>
      </c>
      <c r="H6" s="108">
        <f t="shared" si="2"/>
        <v>71733</v>
      </c>
      <c r="I6" s="108">
        <f t="shared" ref="I6:J6" si="3">+I433+I451+I369</f>
        <v>0</v>
      </c>
      <c r="J6" s="108">
        <f t="shared" si="3"/>
        <v>0</v>
      </c>
      <c r="K6" s="108">
        <f>+K34</f>
        <v>0</v>
      </c>
      <c r="L6" s="108">
        <f t="shared" ref="L6" si="4">+L433+L451+L369</f>
        <v>0</v>
      </c>
      <c r="M6" s="486">
        <f>SUM(F6:J6)</f>
        <v>1203585</v>
      </c>
      <c r="N6" s="447"/>
    </row>
    <row r="7" spans="1:18" s="121" customFormat="1" ht="16.5" customHeight="1" thickBot="1">
      <c r="A7" s="213"/>
      <c r="B7" s="1289" t="s">
        <v>8</v>
      </c>
      <c r="C7" s="448"/>
      <c r="D7" s="449">
        <f>+D23+D25+D27</f>
        <v>37726477</v>
      </c>
      <c r="E7" s="449">
        <f t="shared" ref="E7:J7" si="5">+E23+E25+E27</f>
        <v>1823249</v>
      </c>
      <c r="F7" s="449">
        <f t="shared" si="5"/>
        <v>19280134</v>
      </c>
      <c r="G7" s="449">
        <f t="shared" si="5"/>
        <v>14429396</v>
      </c>
      <c r="H7" s="449">
        <f t="shared" si="5"/>
        <v>2193698</v>
      </c>
      <c r="I7" s="449">
        <f t="shared" si="5"/>
        <v>0</v>
      </c>
      <c r="J7" s="449">
        <f t="shared" si="5"/>
        <v>0</v>
      </c>
      <c r="K7" s="449">
        <f>+K23+K25+K27</f>
        <v>0</v>
      </c>
      <c r="L7" s="449">
        <f>+L23+L25+L27</f>
        <v>0</v>
      </c>
      <c r="M7" s="54">
        <f>+H7+G7+F7+I7+J7</f>
        <v>35903228</v>
      </c>
      <c r="N7" s="447"/>
    </row>
    <row r="8" spans="1:18" s="121" customFormat="1" ht="14.25" customHeight="1">
      <c r="A8" s="213"/>
      <c r="B8" s="83" t="s">
        <v>9</v>
      </c>
      <c r="C8" s="15"/>
      <c r="D8" s="450">
        <f t="shared" ref="D8:M8" si="6">+D9+D13</f>
        <v>39992442</v>
      </c>
      <c r="E8" s="2566">
        <f t="shared" si="6"/>
        <v>1982568</v>
      </c>
      <c r="F8" s="450">
        <f t="shared" si="6"/>
        <v>20843452</v>
      </c>
      <c r="G8" s="450">
        <f t="shared" si="6"/>
        <v>14900991</v>
      </c>
      <c r="H8" s="450">
        <f t="shared" si="6"/>
        <v>2265431</v>
      </c>
      <c r="I8" s="450">
        <f t="shared" si="6"/>
        <v>0</v>
      </c>
      <c r="J8" s="450">
        <f t="shared" si="6"/>
        <v>0</v>
      </c>
      <c r="K8" s="450">
        <f>+K9+K13</f>
        <v>0</v>
      </c>
      <c r="L8" s="450">
        <f>+L9+L13</f>
        <v>0</v>
      </c>
      <c r="M8" s="451">
        <f t="shared" si="6"/>
        <v>37106813</v>
      </c>
      <c r="N8" s="391"/>
      <c r="O8" s="452"/>
      <c r="P8" s="236"/>
      <c r="R8" s="236"/>
    </row>
    <row r="9" spans="1:18" s="455" customFormat="1" ht="14.25" customHeight="1">
      <c r="A9" s="213"/>
      <c r="B9" s="1290" t="s">
        <v>10</v>
      </c>
      <c r="C9" s="1206"/>
      <c r="D9" s="487">
        <f>+D10+D11+D12</f>
        <v>5998866</v>
      </c>
      <c r="E9" s="489">
        <f t="shared" ref="E9:J9" si="7">+E10+E11+E12</f>
        <v>297896</v>
      </c>
      <c r="F9" s="487">
        <f t="shared" si="7"/>
        <v>3119747</v>
      </c>
      <c r="G9" s="487">
        <f t="shared" si="7"/>
        <v>2241409</v>
      </c>
      <c r="H9" s="487">
        <f t="shared" si="7"/>
        <v>339814</v>
      </c>
      <c r="I9" s="487">
        <f t="shared" si="7"/>
        <v>0</v>
      </c>
      <c r="J9" s="487">
        <f t="shared" si="7"/>
        <v>0</v>
      </c>
      <c r="K9" s="487">
        <f>+K10+K11+K12</f>
        <v>0</v>
      </c>
      <c r="L9" s="487">
        <f>+L10+L11+L12</f>
        <v>0</v>
      </c>
      <c r="M9" s="1207">
        <f>SUM(M10:M12)</f>
        <v>4797909</v>
      </c>
      <c r="N9" s="453"/>
      <c r="O9" s="454"/>
      <c r="P9" s="452"/>
    </row>
    <row r="10" spans="1:18" s="121" customFormat="1" ht="14.25" customHeight="1">
      <c r="A10" s="213"/>
      <c r="B10" s="1211" t="s">
        <v>114</v>
      </c>
      <c r="C10" s="456"/>
      <c r="D10" s="488">
        <f>+D23+D36</f>
        <v>1000000</v>
      </c>
      <c r="E10" s="488">
        <f>+E23+E36</f>
        <v>3138</v>
      </c>
      <c r="F10" s="488">
        <f>+F23+F36</f>
        <v>131545</v>
      </c>
      <c r="G10" s="488">
        <f>+G23+G36</f>
        <v>752046</v>
      </c>
      <c r="H10" s="488">
        <f>+H23+H36</f>
        <v>113271</v>
      </c>
      <c r="I10" s="488">
        <f t="shared" ref="I10:J10" si="8">+I23</f>
        <v>0</v>
      </c>
      <c r="J10" s="488">
        <f t="shared" si="8"/>
        <v>0</v>
      </c>
      <c r="K10" s="488">
        <f>+K23+K36</f>
        <v>0</v>
      </c>
      <c r="L10" s="488">
        <f>+L23</f>
        <v>0</v>
      </c>
      <c r="M10" s="2187">
        <f>SUM(F10:J10)</f>
        <v>996862</v>
      </c>
      <c r="N10" s="391"/>
      <c r="O10" s="236"/>
      <c r="P10" s="236"/>
      <c r="R10" s="236"/>
    </row>
    <row r="11" spans="1:18" s="121" customFormat="1" ht="14.25" customHeight="1">
      <c r="A11" s="213"/>
      <c r="B11" s="1211" t="s">
        <v>29</v>
      </c>
      <c r="C11" s="1208"/>
      <c r="D11" s="488">
        <f>+D24</f>
        <v>999622</v>
      </c>
      <c r="E11" s="488">
        <f t="shared" ref="E11:J11" si="9">+E24</f>
        <v>96561</v>
      </c>
      <c r="F11" s="488">
        <f t="shared" si="9"/>
        <v>903061</v>
      </c>
      <c r="G11" s="3614">
        <f t="shared" si="9"/>
        <v>0</v>
      </c>
      <c r="H11" s="3614">
        <f t="shared" si="9"/>
        <v>0</v>
      </c>
      <c r="I11" s="488">
        <f t="shared" si="9"/>
        <v>0</v>
      </c>
      <c r="J11" s="488">
        <f t="shared" si="9"/>
        <v>0</v>
      </c>
      <c r="K11" s="488">
        <f>+K24</f>
        <v>0</v>
      </c>
      <c r="L11" s="488">
        <f>+L24</f>
        <v>0</v>
      </c>
      <c r="M11" s="2188">
        <v>0</v>
      </c>
      <c r="N11" s="457"/>
      <c r="O11" s="236"/>
    </row>
    <row r="12" spans="1:18" s="121" customFormat="1" ht="15.75" customHeight="1">
      <c r="A12" s="213"/>
      <c r="B12" s="1211" t="s">
        <v>413</v>
      </c>
      <c r="C12" s="456"/>
      <c r="D12" s="488">
        <f>+D25+D37</f>
        <v>3999244</v>
      </c>
      <c r="E12" s="488">
        <f t="shared" ref="E12:H12" si="10">+E25+E37</f>
        <v>198197</v>
      </c>
      <c r="F12" s="488">
        <f t="shared" si="10"/>
        <v>2085141</v>
      </c>
      <c r="G12" s="488">
        <f t="shared" si="10"/>
        <v>1489363</v>
      </c>
      <c r="H12" s="488">
        <f t="shared" si="10"/>
        <v>226543</v>
      </c>
      <c r="I12" s="488">
        <f t="shared" ref="I12:J12" si="11">+I25</f>
        <v>0</v>
      </c>
      <c r="J12" s="488">
        <f t="shared" si="11"/>
        <v>0</v>
      </c>
      <c r="K12" s="488">
        <f>+K25+K37</f>
        <v>0</v>
      </c>
      <c r="L12" s="488">
        <f>+L25</f>
        <v>0</v>
      </c>
      <c r="M12" s="2187">
        <f>SUM(F12:J12)</f>
        <v>3801047</v>
      </c>
      <c r="N12" s="457"/>
      <c r="O12" s="236"/>
    </row>
    <row r="13" spans="1:18" s="455" customFormat="1" ht="14.25" customHeight="1">
      <c r="A13" s="213"/>
      <c r="B13" s="1290" t="s">
        <v>17</v>
      </c>
      <c r="C13" s="458"/>
      <c r="D13" s="487">
        <f>+D14</f>
        <v>33993576</v>
      </c>
      <c r="E13" s="489">
        <f t="shared" ref="E13:I13" si="12">+E14</f>
        <v>1684672</v>
      </c>
      <c r="F13" s="487">
        <f t="shared" si="12"/>
        <v>17723705</v>
      </c>
      <c r="G13" s="487">
        <f t="shared" si="12"/>
        <v>12659582</v>
      </c>
      <c r="H13" s="487">
        <f t="shared" si="12"/>
        <v>1925617</v>
      </c>
      <c r="I13" s="487">
        <f t="shared" si="12"/>
        <v>0</v>
      </c>
      <c r="J13" s="487">
        <f>+J14</f>
        <v>0</v>
      </c>
      <c r="K13" s="487">
        <f>+K14</f>
        <v>0</v>
      </c>
      <c r="L13" s="487">
        <f>+L14</f>
        <v>0</v>
      </c>
      <c r="M13" s="1209">
        <f>+M14</f>
        <v>32308904</v>
      </c>
      <c r="N13" s="459"/>
      <c r="O13" s="454"/>
      <c r="P13" s="452"/>
    </row>
    <row r="14" spans="1:18" s="121" customFormat="1" ht="14.25" customHeight="1">
      <c r="A14" s="213"/>
      <c r="B14" s="1211" t="s">
        <v>19</v>
      </c>
      <c r="C14" s="1210"/>
      <c r="D14" s="488">
        <f>+D27+D39</f>
        <v>33993576</v>
      </c>
      <c r="E14" s="488">
        <f t="shared" ref="E14:H14" si="13">+E27+E39</f>
        <v>1684672</v>
      </c>
      <c r="F14" s="488">
        <f t="shared" si="13"/>
        <v>17723705</v>
      </c>
      <c r="G14" s="488">
        <f t="shared" si="13"/>
        <v>12659582</v>
      </c>
      <c r="H14" s="488">
        <f t="shared" si="13"/>
        <v>1925617</v>
      </c>
      <c r="I14" s="488">
        <f t="shared" ref="I14:J14" si="14">+I27</f>
        <v>0</v>
      </c>
      <c r="J14" s="488">
        <f t="shared" si="14"/>
        <v>0</v>
      </c>
      <c r="K14" s="488">
        <f>+K27+K39</f>
        <v>0</v>
      </c>
      <c r="L14" s="488">
        <f>+L27</f>
        <v>0</v>
      </c>
      <c r="M14" s="2187">
        <f>SUM(F14:J14)</f>
        <v>32308904</v>
      </c>
      <c r="N14" s="391"/>
      <c r="O14" s="236"/>
      <c r="P14" s="236"/>
    </row>
    <row r="15" spans="1:18" s="121" customFormat="1" ht="14.25" customHeight="1">
      <c r="A15" s="213"/>
      <c r="B15" s="1212" t="s">
        <v>20</v>
      </c>
      <c r="C15" s="797"/>
      <c r="D15" s="377">
        <f>+D16+D18</f>
        <v>37992820</v>
      </c>
      <c r="E15" s="377">
        <f t="shared" ref="E15:J15" si="15">+E16+E18</f>
        <v>1882869</v>
      </c>
      <c r="F15" s="377">
        <f t="shared" si="15"/>
        <v>19808846</v>
      </c>
      <c r="G15" s="377">
        <f t="shared" si="15"/>
        <v>14148945</v>
      </c>
      <c r="H15" s="377">
        <f t="shared" si="15"/>
        <v>2152160</v>
      </c>
      <c r="I15" s="377">
        <f t="shared" si="15"/>
        <v>0</v>
      </c>
      <c r="J15" s="377">
        <f t="shared" si="15"/>
        <v>0</v>
      </c>
      <c r="K15" s="377">
        <f>+K16+K18</f>
        <v>0</v>
      </c>
      <c r="L15" s="377">
        <f>+L16+L18</f>
        <v>0</v>
      </c>
      <c r="M15" s="4186" t="s">
        <v>51</v>
      </c>
      <c r="N15" s="391"/>
      <c r="O15" s="236"/>
      <c r="R15" s="452"/>
    </row>
    <row r="16" spans="1:18" s="121" customFormat="1" ht="14.25" customHeight="1">
      <c r="A16" s="213"/>
      <c r="B16" s="1213" t="s">
        <v>22</v>
      </c>
      <c r="C16" s="1214"/>
      <c r="D16" s="489">
        <f>+D17</f>
        <v>3999244</v>
      </c>
      <c r="E16" s="489">
        <f t="shared" ref="E16:J16" si="16">+E17</f>
        <v>198197</v>
      </c>
      <c r="F16" s="489">
        <f t="shared" si="16"/>
        <v>2085141</v>
      </c>
      <c r="G16" s="489">
        <f t="shared" si="16"/>
        <v>1489363</v>
      </c>
      <c r="H16" s="489">
        <f t="shared" si="16"/>
        <v>226543</v>
      </c>
      <c r="I16" s="489">
        <f t="shared" si="16"/>
        <v>0</v>
      </c>
      <c r="J16" s="489">
        <f t="shared" si="16"/>
        <v>0</v>
      </c>
      <c r="K16" s="489">
        <f>+K17</f>
        <v>0</v>
      </c>
      <c r="L16" s="489">
        <f>+L17</f>
        <v>0</v>
      </c>
      <c r="M16" s="4187"/>
      <c r="N16" s="391"/>
    </row>
    <row r="17" spans="1:16" s="121" customFormat="1" ht="14.25" customHeight="1">
      <c r="A17" s="213"/>
      <c r="B17" s="1291" t="s">
        <v>16</v>
      </c>
      <c r="C17" s="18"/>
      <c r="D17" s="488">
        <f>+D42+D30</f>
        <v>3999244</v>
      </c>
      <c r="E17" s="488">
        <f t="shared" ref="E17:H17" si="17">+E30+E42</f>
        <v>198197</v>
      </c>
      <c r="F17" s="488">
        <f t="shared" si="17"/>
        <v>2085141</v>
      </c>
      <c r="G17" s="488">
        <f t="shared" si="17"/>
        <v>1489363</v>
      </c>
      <c r="H17" s="488">
        <f t="shared" si="17"/>
        <v>226543</v>
      </c>
      <c r="I17" s="488">
        <f t="shared" ref="I17:J17" si="18">+I30</f>
        <v>0</v>
      </c>
      <c r="J17" s="488">
        <f t="shared" si="18"/>
        <v>0</v>
      </c>
      <c r="K17" s="488">
        <f>+K30+K42</f>
        <v>0</v>
      </c>
      <c r="L17" s="488">
        <f>+L30</f>
        <v>0</v>
      </c>
      <c r="M17" s="4187"/>
      <c r="N17" s="457"/>
      <c r="O17" s="236"/>
    </row>
    <row r="18" spans="1:16" s="121" customFormat="1" ht="14.25" customHeight="1">
      <c r="A18" s="213"/>
      <c r="B18" s="1215" t="s">
        <v>17</v>
      </c>
      <c r="C18" s="1216"/>
      <c r="D18" s="489">
        <f>+D19</f>
        <v>33993576</v>
      </c>
      <c r="E18" s="489">
        <f t="shared" ref="E18:J18" si="19">+E19</f>
        <v>1684672</v>
      </c>
      <c r="F18" s="489">
        <f t="shared" si="19"/>
        <v>17723705</v>
      </c>
      <c r="G18" s="489">
        <f t="shared" si="19"/>
        <v>12659582</v>
      </c>
      <c r="H18" s="489">
        <f t="shared" si="19"/>
        <v>1925617</v>
      </c>
      <c r="I18" s="489">
        <f t="shared" si="19"/>
        <v>0</v>
      </c>
      <c r="J18" s="489">
        <f t="shared" si="19"/>
        <v>0</v>
      </c>
      <c r="K18" s="489">
        <f>+K19</f>
        <v>0</v>
      </c>
      <c r="L18" s="489">
        <f>+L19</f>
        <v>0</v>
      </c>
      <c r="M18" s="4187"/>
      <c r="N18" s="457"/>
      <c r="O18" s="236"/>
    </row>
    <row r="19" spans="1:16" s="121" customFormat="1" ht="15" customHeight="1" thickBot="1">
      <c r="A19" s="214"/>
      <c r="B19" s="1292" t="s">
        <v>19</v>
      </c>
      <c r="C19" s="1293"/>
      <c r="D19" s="1294">
        <f>+D32+D44</f>
        <v>33993576</v>
      </c>
      <c r="E19" s="1294">
        <f t="shared" ref="E19:H19" si="20">+E32+E44</f>
        <v>1684672</v>
      </c>
      <c r="F19" s="1294">
        <f t="shared" si="20"/>
        <v>17723705</v>
      </c>
      <c r="G19" s="1294">
        <f t="shared" si="20"/>
        <v>12659582</v>
      </c>
      <c r="H19" s="1294">
        <f t="shared" si="20"/>
        <v>1925617</v>
      </c>
      <c r="I19" s="1294">
        <f t="shared" ref="I19:J19" si="21">+I32</f>
        <v>0</v>
      </c>
      <c r="J19" s="1294">
        <f t="shared" si="21"/>
        <v>0</v>
      </c>
      <c r="K19" s="1294">
        <f>+K32+K44</f>
        <v>0</v>
      </c>
      <c r="L19" s="1294">
        <f>+L32</f>
        <v>0</v>
      </c>
      <c r="M19" s="4188"/>
      <c r="N19" s="1217"/>
    </row>
    <row r="20" spans="1:16" ht="27.75" customHeight="1">
      <c r="A20" s="4189" t="s">
        <v>53</v>
      </c>
      <c r="B20" s="86" t="s">
        <v>484</v>
      </c>
      <c r="C20" s="338" t="s">
        <v>70</v>
      </c>
      <c r="D20" s="1520"/>
      <c r="E20" s="1481"/>
      <c r="F20" s="1521"/>
      <c r="G20" s="1521"/>
      <c r="H20" s="1521"/>
      <c r="I20" s="1481"/>
      <c r="J20" s="1522"/>
      <c r="K20" s="1481"/>
      <c r="L20" s="1481"/>
      <c r="M20" s="1602"/>
      <c r="N20" s="4059" t="s">
        <v>414</v>
      </c>
    </row>
    <row r="21" spans="1:16" ht="12" customHeight="1">
      <c r="A21" s="4190"/>
      <c r="B21" s="1195" t="s">
        <v>9</v>
      </c>
      <c r="C21" s="1523"/>
      <c r="D21" s="1524">
        <f>+D22+D26</f>
        <v>38726099</v>
      </c>
      <c r="E21" s="340">
        <f>+E22+E26</f>
        <v>1919810</v>
      </c>
      <c r="F21" s="340">
        <f>+F22+F26</f>
        <v>20183195</v>
      </c>
      <c r="G21" s="340">
        <f>+G22+G26</f>
        <v>14429396</v>
      </c>
      <c r="H21" s="340">
        <f>+H22+H26</f>
        <v>2193698</v>
      </c>
      <c r="I21" s="1525">
        <v>0</v>
      </c>
      <c r="J21" s="1525">
        <v>0</v>
      </c>
      <c r="K21" s="340">
        <f>+K22+K26</f>
        <v>0</v>
      </c>
      <c r="L21" s="1525">
        <v>0</v>
      </c>
      <c r="M21" s="1550">
        <f>+M22+M26</f>
        <v>35903228</v>
      </c>
      <c r="N21" s="4060"/>
      <c r="O21" s="1295"/>
    </row>
    <row r="22" spans="1:16" ht="12" customHeight="1">
      <c r="A22" s="4190"/>
      <c r="B22" s="2189" t="s">
        <v>22</v>
      </c>
      <c r="C22" s="4192" t="s">
        <v>412</v>
      </c>
      <c r="D22" s="2190">
        <f>+D23+D24+D25</f>
        <v>5808915</v>
      </c>
      <c r="E22" s="2191">
        <f>+E23+E24+E25</f>
        <v>288482</v>
      </c>
      <c r="F22" s="2191">
        <f>+F23+F24+F25</f>
        <v>3020709</v>
      </c>
      <c r="G22" s="2191">
        <f>+G23+G24+G25</f>
        <v>2170669</v>
      </c>
      <c r="H22" s="2191">
        <f>+H23+H24+H25</f>
        <v>329055</v>
      </c>
      <c r="I22" s="1526">
        <v>0</v>
      </c>
      <c r="J22" s="1526">
        <v>0</v>
      </c>
      <c r="K22" s="2191">
        <f>+K23+K24+K25</f>
        <v>0</v>
      </c>
      <c r="L22" s="1526">
        <v>0</v>
      </c>
      <c r="M22" s="2192">
        <f>+M23+M25</f>
        <v>4617372</v>
      </c>
      <c r="N22" s="4060"/>
    </row>
    <row r="23" spans="1:16" ht="12" customHeight="1">
      <c r="A23" s="4190"/>
      <c r="B23" s="2193" t="s">
        <v>114</v>
      </c>
      <c r="C23" s="4193"/>
      <c r="D23" s="789">
        <f>+K23+F23+G23+H23+E23</f>
        <v>936682</v>
      </c>
      <c r="E23" s="1016">
        <v>0</v>
      </c>
      <c r="F23" s="853">
        <f>76399+22132</f>
        <v>98531</v>
      </c>
      <c r="G23" s="853">
        <f>750598-22132</f>
        <v>728466</v>
      </c>
      <c r="H23" s="853">
        <v>109685</v>
      </c>
      <c r="I23" s="1526">
        <v>0</v>
      </c>
      <c r="J23" s="1526">
        <v>0</v>
      </c>
      <c r="K23" s="853">
        <v>0</v>
      </c>
      <c r="L23" s="1526">
        <v>0</v>
      </c>
      <c r="M23" s="2194">
        <f>SUM(F23:J23)</f>
        <v>936682</v>
      </c>
      <c r="N23" s="4060"/>
    </row>
    <row r="24" spans="1:16" ht="12" customHeight="1">
      <c r="A24" s="4190"/>
      <c r="B24" s="2195" t="s">
        <v>29</v>
      </c>
      <c r="C24" s="4193"/>
      <c r="D24" s="789">
        <f>+K24+F24+G24+H24+E24</f>
        <v>999622</v>
      </c>
      <c r="E24" s="853">
        <f>289899-193338</f>
        <v>96561</v>
      </c>
      <c r="F24" s="853">
        <f>709723+193338</f>
        <v>903061</v>
      </c>
      <c r="G24" s="1016">
        <v>0</v>
      </c>
      <c r="H24" s="1016">
        <v>0</v>
      </c>
      <c r="I24" s="1108">
        <v>0</v>
      </c>
      <c r="J24" s="1108">
        <v>0</v>
      </c>
      <c r="K24" s="853"/>
      <c r="L24" s="1108">
        <v>0</v>
      </c>
      <c r="M24" s="2197" t="s">
        <v>51</v>
      </c>
      <c r="N24" s="4060"/>
      <c r="P24" s="1295"/>
    </row>
    <row r="25" spans="1:16" ht="12" customHeight="1">
      <c r="A25" s="4190"/>
      <c r="B25" s="2198" t="s">
        <v>413</v>
      </c>
      <c r="C25" s="4193"/>
      <c r="D25" s="789">
        <f>+K25+F25+G25+H25+E25</f>
        <v>3872611</v>
      </c>
      <c r="E25" s="853">
        <f>579799-387878</f>
        <v>191921</v>
      </c>
      <c r="F25" s="853">
        <f>1572244+446873</f>
        <v>2019117</v>
      </c>
      <c r="G25" s="853">
        <f>1501198-58995</f>
        <v>1442203</v>
      </c>
      <c r="H25" s="853">
        <v>219370</v>
      </c>
      <c r="I25" s="1108">
        <v>0</v>
      </c>
      <c r="J25" s="1108">
        <v>0</v>
      </c>
      <c r="K25" s="853"/>
      <c r="L25" s="1108">
        <v>0</v>
      </c>
      <c r="M25" s="2194">
        <f>SUM(F25:J25)</f>
        <v>3680690</v>
      </c>
      <c r="N25" s="4060"/>
      <c r="O25" s="1295">
        <f>D25-D30</f>
        <v>0</v>
      </c>
    </row>
    <row r="26" spans="1:16" ht="12" customHeight="1">
      <c r="A26" s="4190"/>
      <c r="B26" s="2189" t="s">
        <v>17</v>
      </c>
      <c r="C26" s="4193"/>
      <c r="D26" s="2191">
        <f>+D27</f>
        <v>32917184</v>
      </c>
      <c r="E26" s="2191">
        <f>+E27</f>
        <v>1631328</v>
      </c>
      <c r="F26" s="2191">
        <f t="shared" ref="F26:H26" si="22">+F27</f>
        <v>17162486</v>
      </c>
      <c r="G26" s="2191">
        <f t="shared" si="22"/>
        <v>12258727</v>
      </c>
      <c r="H26" s="2191">
        <f t="shared" si="22"/>
        <v>1864643</v>
      </c>
      <c r="I26" s="1527">
        <v>0</v>
      </c>
      <c r="J26" s="1527">
        <v>0</v>
      </c>
      <c r="K26" s="2191">
        <f>+K27</f>
        <v>0</v>
      </c>
      <c r="L26" s="1108">
        <v>0</v>
      </c>
      <c r="M26" s="1552">
        <f>+M27</f>
        <v>31285856</v>
      </c>
      <c r="N26" s="4060"/>
    </row>
    <row r="27" spans="1:16" ht="12" customHeight="1">
      <c r="A27" s="4190"/>
      <c r="B27" s="2198" t="s">
        <v>415</v>
      </c>
      <c r="C27" s="4194"/>
      <c r="D27" s="789">
        <f>+K27+F27+G27+H27+E27</f>
        <v>32917184</v>
      </c>
      <c r="E27" s="853">
        <f>4928287-3296959</f>
        <v>1631328</v>
      </c>
      <c r="F27" s="853">
        <f>13364073+3798413</f>
        <v>17162486</v>
      </c>
      <c r="G27" s="853">
        <f>12760181-501454</f>
        <v>12258727</v>
      </c>
      <c r="H27" s="853">
        <v>1864643</v>
      </c>
      <c r="I27" s="1527">
        <v>0</v>
      </c>
      <c r="J27" s="1527">
        <v>0</v>
      </c>
      <c r="K27" s="853"/>
      <c r="L27" s="1108">
        <v>0</v>
      </c>
      <c r="M27" s="2194">
        <f>SUM(F27:J27)</f>
        <v>31285856</v>
      </c>
      <c r="N27" s="4182"/>
      <c r="O27" s="1295">
        <f>D27-D32</f>
        <v>0</v>
      </c>
    </row>
    <row r="28" spans="1:16" ht="12" customHeight="1">
      <c r="A28" s="4190"/>
      <c r="B28" s="1195" t="s">
        <v>20</v>
      </c>
      <c r="C28" s="1523"/>
      <c r="D28" s="340">
        <f>+D29+D31</f>
        <v>36789795</v>
      </c>
      <c r="E28" s="728">
        <f>+E29+E31</f>
        <v>1823249</v>
      </c>
      <c r="F28" s="728">
        <f t="shared" ref="F28:H28" si="23">+F29+F31</f>
        <v>19181603</v>
      </c>
      <c r="G28" s="728">
        <f t="shared" si="23"/>
        <v>13700930</v>
      </c>
      <c r="H28" s="728">
        <f t="shared" si="23"/>
        <v>2084013</v>
      </c>
      <c r="I28" s="1525">
        <v>0</v>
      </c>
      <c r="J28" s="1525">
        <v>0</v>
      </c>
      <c r="K28" s="728">
        <f>+K29+K31</f>
        <v>0</v>
      </c>
      <c r="L28" s="1525">
        <f>+L29+L31</f>
        <v>0</v>
      </c>
      <c r="M28" s="4232" t="s">
        <v>51</v>
      </c>
      <c r="N28" s="4060" t="s">
        <v>417</v>
      </c>
    </row>
    <row r="29" spans="1:16" ht="12" customHeight="1">
      <c r="A29" s="4190"/>
      <c r="B29" s="1529" t="s">
        <v>22</v>
      </c>
      <c r="C29" s="4195" t="s">
        <v>174</v>
      </c>
      <c r="D29" s="845">
        <f>+D30</f>
        <v>3872611</v>
      </c>
      <c r="E29" s="2191">
        <f>+E30</f>
        <v>191921</v>
      </c>
      <c r="F29" s="2191">
        <f t="shared" ref="F29:H29" si="24">+F30</f>
        <v>2019117</v>
      </c>
      <c r="G29" s="2191">
        <f t="shared" si="24"/>
        <v>1442203</v>
      </c>
      <c r="H29" s="2191">
        <f t="shared" si="24"/>
        <v>219370</v>
      </c>
      <c r="I29" s="1157">
        <v>0</v>
      </c>
      <c r="J29" s="1157">
        <v>0</v>
      </c>
      <c r="K29" s="2191">
        <f>+K30</f>
        <v>0</v>
      </c>
      <c r="L29" s="1157">
        <f>+L30</f>
        <v>0</v>
      </c>
      <c r="M29" s="4233"/>
      <c r="N29" s="4060"/>
    </row>
    <row r="30" spans="1:16" ht="12" customHeight="1">
      <c r="A30" s="4190"/>
      <c r="B30" s="2198" t="s">
        <v>413</v>
      </c>
      <c r="C30" s="4196"/>
      <c r="D30" s="789">
        <f>+K30+F30+G30+H30+E30</f>
        <v>3872611</v>
      </c>
      <c r="E30" s="853">
        <f>579799-387878</f>
        <v>191921</v>
      </c>
      <c r="F30" s="853">
        <f>1572244+446873</f>
        <v>2019117</v>
      </c>
      <c r="G30" s="853">
        <f>1501198-58995</f>
        <v>1442203</v>
      </c>
      <c r="H30" s="853">
        <v>219370</v>
      </c>
      <c r="I30" s="1108">
        <v>0</v>
      </c>
      <c r="J30" s="1108">
        <v>0</v>
      </c>
      <c r="K30" s="853"/>
      <c r="L30" s="2196">
        <v>0</v>
      </c>
      <c r="M30" s="4233"/>
      <c r="N30" s="4060"/>
      <c r="P30" s="1295">
        <f>+D25+D37</f>
        <v>3999244</v>
      </c>
    </row>
    <row r="31" spans="1:16" ht="12" customHeight="1">
      <c r="A31" s="4190"/>
      <c r="B31" s="1658" t="s">
        <v>17</v>
      </c>
      <c r="C31" s="4196"/>
      <c r="D31" s="2191">
        <f t="shared" ref="D31:H31" si="25">+D32</f>
        <v>32917184</v>
      </c>
      <c r="E31" s="2191">
        <f t="shared" si="25"/>
        <v>1631328</v>
      </c>
      <c r="F31" s="2191">
        <f t="shared" si="25"/>
        <v>17162486</v>
      </c>
      <c r="G31" s="2191">
        <f t="shared" si="25"/>
        <v>12258727</v>
      </c>
      <c r="H31" s="2191">
        <f t="shared" si="25"/>
        <v>1864643</v>
      </c>
      <c r="I31" s="747">
        <v>0</v>
      </c>
      <c r="J31" s="747">
        <v>0</v>
      </c>
      <c r="K31" s="2191">
        <f>+K32</f>
        <v>0</v>
      </c>
      <c r="L31" s="1016">
        <f>+L32</f>
        <v>0</v>
      </c>
      <c r="M31" s="4233"/>
      <c r="N31" s="4060"/>
      <c r="P31" s="1295">
        <f>+D32+D44</f>
        <v>33993576</v>
      </c>
    </row>
    <row r="32" spans="1:16" ht="12" customHeight="1" thickBot="1">
      <c r="A32" s="4191"/>
      <c r="B32" s="33" t="s">
        <v>19</v>
      </c>
      <c r="C32" s="4197"/>
      <c r="D32" s="789">
        <f>+K32+F32+G32+H32+E32</f>
        <v>32917184</v>
      </c>
      <c r="E32" s="857">
        <f>4928287-3296959</f>
        <v>1631328</v>
      </c>
      <c r="F32" s="857">
        <f>13364073+3798413</f>
        <v>17162486</v>
      </c>
      <c r="G32" s="857">
        <f>12760181-501454</f>
        <v>12258727</v>
      </c>
      <c r="H32" s="857">
        <v>1864643</v>
      </c>
      <c r="I32" s="1017">
        <v>0</v>
      </c>
      <c r="J32" s="1017">
        <v>0</v>
      </c>
      <c r="K32" s="857"/>
      <c r="L32" s="1017"/>
      <c r="M32" s="4234"/>
      <c r="N32" s="4061"/>
      <c r="P32" s="1295">
        <f>+P30+P31</f>
        <v>37992820</v>
      </c>
    </row>
    <row r="33" spans="1:17" ht="27" customHeight="1">
      <c r="A33" s="4189" t="s">
        <v>54</v>
      </c>
      <c r="B33" s="86" t="s">
        <v>485</v>
      </c>
      <c r="C33" s="338" t="s">
        <v>97</v>
      </c>
      <c r="D33" s="1520"/>
      <c r="E33" s="1481"/>
      <c r="F33" s="1481"/>
      <c r="G33" s="1481"/>
      <c r="H33" s="1481"/>
      <c r="I33" s="1481"/>
      <c r="J33" s="1522"/>
      <c r="K33" s="1481"/>
      <c r="L33" s="1481"/>
      <c r="M33" s="1602"/>
      <c r="N33" s="4059" t="s">
        <v>418</v>
      </c>
    </row>
    <row r="34" spans="1:17" ht="12" customHeight="1">
      <c r="A34" s="4198"/>
      <c r="B34" s="1195" t="s">
        <v>9</v>
      </c>
      <c r="C34" s="1523"/>
      <c r="D34" s="1524">
        <f>+D35+D38</f>
        <v>1266343</v>
      </c>
      <c r="E34" s="1524">
        <f>+E35+E38</f>
        <v>62758</v>
      </c>
      <c r="F34" s="1524">
        <f>+F35+F38</f>
        <v>660257</v>
      </c>
      <c r="G34" s="1524">
        <f>+G35+G38</f>
        <v>471595</v>
      </c>
      <c r="H34" s="1524">
        <f>+H35+H38</f>
        <v>71733</v>
      </c>
      <c r="I34" s="1525">
        <v>0</v>
      </c>
      <c r="J34" s="1525">
        <v>0</v>
      </c>
      <c r="K34" s="1524">
        <f>+K35+K38</f>
        <v>0</v>
      </c>
      <c r="L34" s="1525">
        <v>0</v>
      </c>
      <c r="M34" s="1550">
        <f>+M35+M38</f>
        <v>1203585</v>
      </c>
      <c r="N34" s="4060"/>
    </row>
    <row r="35" spans="1:17" ht="12" customHeight="1">
      <c r="A35" s="4198"/>
      <c r="B35" s="2189" t="s">
        <v>22</v>
      </c>
      <c r="C35" s="4192" t="s">
        <v>134</v>
      </c>
      <c r="D35" s="2190">
        <f>+D36+D37</f>
        <v>189951</v>
      </c>
      <c r="E35" s="2191">
        <f>+E36+E37</f>
        <v>9414</v>
      </c>
      <c r="F35" s="2191">
        <f t="shared" ref="F35:H35" si="26">+F36+F37</f>
        <v>99038</v>
      </c>
      <c r="G35" s="2191">
        <f t="shared" si="26"/>
        <v>70740</v>
      </c>
      <c r="H35" s="2191">
        <f t="shared" si="26"/>
        <v>10759</v>
      </c>
      <c r="I35" s="1526">
        <v>0</v>
      </c>
      <c r="J35" s="1526">
        <v>0</v>
      </c>
      <c r="K35" s="2191">
        <f>+K36+K37</f>
        <v>0</v>
      </c>
      <c r="L35" s="1526">
        <v>0</v>
      </c>
      <c r="M35" s="2192">
        <f>+M36+M37</f>
        <v>180537</v>
      </c>
      <c r="N35" s="4060"/>
    </row>
    <row r="36" spans="1:17" ht="12" customHeight="1">
      <c r="A36" s="4198"/>
      <c r="B36" s="2193" t="s">
        <v>114</v>
      </c>
      <c r="C36" s="4193"/>
      <c r="D36" s="789">
        <f>+K36+F36+G36+H36+E36</f>
        <v>63318</v>
      </c>
      <c r="E36" s="853">
        <f>9480-6342</f>
        <v>3138</v>
      </c>
      <c r="F36" s="853">
        <f>25707+7307</f>
        <v>33014</v>
      </c>
      <c r="G36" s="853">
        <f>24545-965</f>
        <v>23580</v>
      </c>
      <c r="H36" s="853">
        <v>3586</v>
      </c>
      <c r="I36" s="1526">
        <v>0</v>
      </c>
      <c r="J36" s="1526">
        <v>0</v>
      </c>
      <c r="K36" s="853"/>
      <c r="L36" s="1526">
        <v>0</v>
      </c>
      <c r="M36" s="2194">
        <f>SUM(F36:J36)</f>
        <v>60180</v>
      </c>
      <c r="N36" s="4060"/>
      <c r="P36" s="1295"/>
    </row>
    <row r="37" spans="1:17" ht="12" customHeight="1">
      <c r="A37" s="4198"/>
      <c r="B37" s="2198" t="s">
        <v>413</v>
      </c>
      <c r="C37" s="4193"/>
      <c r="D37" s="789">
        <f>+K37+F37+G37+H37+E37</f>
        <v>126633</v>
      </c>
      <c r="E37" s="853">
        <f>18959-12683</f>
        <v>6276</v>
      </c>
      <c r="F37" s="853">
        <f>51412+14612</f>
        <v>66024</v>
      </c>
      <c r="G37" s="853">
        <f>49089-1929</f>
        <v>47160</v>
      </c>
      <c r="H37" s="853">
        <v>7173</v>
      </c>
      <c r="I37" s="1108">
        <v>0</v>
      </c>
      <c r="J37" s="1108">
        <v>0</v>
      </c>
      <c r="K37" s="853"/>
      <c r="L37" s="1108">
        <v>0</v>
      </c>
      <c r="M37" s="2194">
        <f>SUM(F37:J37)</f>
        <v>120357</v>
      </c>
      <c r="N37" s="4060"/>
      <c r="O37" s="1295">
        <f>D37-D42</f>
        <v>0</v>
      </c>
    </row>
    <row r="38" spans="1:17" ht="12" customHeight="1">
      <c r="A38" s="4198"/>
      <c r="B38" s="2189" t="s">
        <v>17</v>
      </c>
      <c r="C38" s="4193"/>
      <c r="D38" s="2191">
        <f>+D39</f>
        <v>1076392</v>
      </c>
      <c r="E38" s="2191">
        <f>+E39</f>
        <v>53344</v>
      </c>
      <c r="F38" s="2191">
        <f t="shared" ref="F38:H38" si="27">+F39</f>
        <v>561219</v>
      </c>
      <c r="G38" s="2191">
        <f t="shared" si="27"/>
        <v>400855</v>
      </c>
      <c r="H38" s="2191">
        <f t="shared" si="27"/>
        <v>60974</v>
      </c>
      <c r="I38" s="1527">
        <v>0</v>
      </c>
      <c r="J38" s="1527">
        <v>0</v>
      </c>
      <c r="K38" s="2191">
        <f>+K39</f>
        <v>0</v>
      </c>
      <c r="L38" s="1108">
        <v>0</v>
      </c>
      <c r="M38" s="1552">
        <f>+M39</f>
        <v>1023048</v>
      </c>
      <c r="N38" s="4060"/>
    </row>
    <row r="39" spans="1:17" ht="12" customHeight="1">
      <c r="A39" s="4198"/>
      <c r="B39" s="2198" t="s">
        <v>415</v>
      </c>
      <c r="C39" s="4194"/>
      <c r="D39" s="789">
        <f>+K39+F39+G39+H39+E39</f>
        <v>1076392</v>
      </c>
      <c r="E39" s="853">
        <f>161155-107811</f>
        <v>53344</v>
      </c>
      <c r="F39" s="853">
        <f>437005+124214</f>
        <v>561219</v>
      </c>
      <c r="G39" s="853">
        <f>417258-16403</f>
        <v>400855</v>
      </c>
      <c r="H39" s="853">
        <v>60974</v>
      </c>
      <c r="I39" s="1527">
        <v>0</v>
      </c>
      <c r="J39" s="1527">
        <v>0</v>
      </c>
      <c r="K39" s="853"/>
      <c r="L39" s="1108">
        <v>0</v>
      </c>
      <c r="M39" s="2194">
        <f>SUM(F39:J39)</f>
        <v>1023048</v>
      </c>
      <c r="N39" s="4182"/>
      <c r="O39" s="1295">
        <f>D39-D44</f>
        <v>0</v>
      </c>
    </row>
    <row r="40" spans="1:17" ht="12" customHeight="1">
      <c r="A40" s="4198"/>
      <c r="B40" s="1195" t="s">
        <v>20</v>
      </c>
      <c r="C40" s="1523"/>
      <c r="D40" s="1524">
        <f>+D41+D43</f>
        <v>1203025</v>
      </c>
      <c r="E40" s="1524">
        <f>+E41+E43</f>
        <v>59620</v>
      </c>
      <c r="F40" s="1524">
        <f t="shared" ref="F40:H40" si="28">+F41+F43</f>
        <v>627243</v>
      </c>
      <c r="G40" s="1524">
        <f t="shared" si="28"/>
        <v>448015</v>
      </c>
      <c r="H40" s="1524">
        <f t="shared" si="28"/>
        <v>68147</v>
      </c>
      <c r="I40" s="1525">
        <v>0</v>
      </c>
      <c r="J40" s="1525">
        <v>0</v>
      </c>
      <c r="K40" s="1524">
        <f>+K41+K43</f>
        <v>0</v>
      </c>
      <c r="L40" s="1525">
        <f>+L41+L43</f>
        <v>0</v>
      </c>
      <c r="M40" s="4232" t="s">
        <v>51</v>
      </c>
      <c r="N40" s="4060" t="s">
        <v>417</v>
      </c>
    </row>
    <row r="41" spans="1:17" ht="12" customHeight="1">
      <c r="A41" s="4198"/>
      <c r="B41" s="1225" t="s">
        <v>22</v>
      </c>
      <c r="C41" s="4195" t="s">
        <v>174</v>
      </c>
      <c r="D41" s="845">
        <f>+D42</f>
        <v>126633</v>
      </c>
      <c r="E41" s="2191">
        <f>+E42</f>
        <v>6276</v>
      </c>
      <c r="F41" s="2191">
        <f t="shared" ref="F41:H41" si="29">+F42</f>
        <v>66024</v>
      </c>
      <c r="G41" s="2191">
        <f t="shared" si="29"/>
        <v>47160</v>
      </c>
      <c r="H41" s="2191">
        <f t="shared" si="29"/>
        <v>7173</v>
      </c>
      <c r="I41" s="1157">
        <v>0</v>
      </c>
      <c r="J41" s="1157">
        <v>0</v>
      </c>
      <c r="K41" s="2191">
        <f>+K42</f>
        <v>0</v>
      </c>
      <c r="L41" s="1157">
        <f>+L42</f>
        <v>0</v>
      </c>
      <c r="M41" s="4233"/>
      <c r="N41" s="4060"/>
    </row>
    <row r="42" spans="1:17" ht="12" customHeight="1">
      <c r="A42" s="4198"/>
      <c r="B42" s="2198" t="s">
        <v>413</v>
      </c>
      <c r="C42" s="4196"/>
      <c r="D42" s="789">
        <f>+K42+F42+G42+H42+E42</f>
        <v>126633</v>
      </c>
      <c r="E42" s="853">
        <f>18959-12683</f>
        <v>6276</v>
      </c>
      <c r="F42" s="853">
        <f>51412+14612</f>
        <v>66024</v>
      </c>
      <c r="G42" s="853">
        <f>49089-1929</f>
        <v>47160</v>
      </c>
      <c r="H42" s="853">
        <v>7173</v>
      </c>
      <c r="I42" s="1108">
        <v>0</v>
      </c>
      <c r="J42" s="1108">
        <v>0</v>
      </c>
      <c r="K42" s="853"/>
      <c r="L42" s="2196">
        <v>0</v>
      </c>
      <c r="M42" s="4233"/>
      <c r="N42" s="4060"/>
    </row>
    <row r="43" spans="1:17" ht="12" customHeight="1">
      <c r="A43" s="4198"/>
      <c r="B43" s="1226" t="s">
        <v>17</v>
      </c>
      <c r="C43" s="4196"/>
      <c r="D43" s="2191">
        <f t="shared" ref="D43:H43" si="30">+D44</f>
        <v>1076392</v>
      </c>
      <c r="E43" s="2191">
        <f t="shared" si="30"/>
        <v>53344</v>
      </c>
      <c r="F43" s="2191">
        <f t="shared" si="30"/>
        <v>561219</v>
      </c>
      <c r="G43" s="2191">
        <f t="shared" si="30"/>
        <v>400855</v>
      </c>
      <c r="H43" s="2191">
        <f t="shared" si="30"/>
        <v>60974</v>
      </c>
      <c r="I43" s="1157">
        <v>0</v>
      </c>
      <c r="J43" s="1157">
        <v>0</v>
      </c>
      <c r="K43" s="2191">
        <f>+K44</f>
        <v>0</v>
      </c>
      <c r="L43" s="1016">
        <f>+L44</f>
        <v>0</v>
      </c>
      <c r="M43" s="4233"/>
      <c r="N43" s="4060"/>
    </row>
    <row r="44" spans="1:17" ht="12" customHeight="1" thickBot="1">
      <c r="A44" s="4191"/>
      <c r="B44" s="187" t="s">
        <v>19</v>
      </c>
      <c r="C44" s="4197"/>
      <c r="D44" s="1003">
        <f>+K44+F44+G44+H44+E44</f>
        <v>1076392</v>
      </c>
      <c r="E44" s="857">
        <f>161155-107811</f>
        <v>53344</v>
      </c>
      <c r="F44" s="857">
        <f>437005+124214</f>
        <v>561219</v>
      </c>
      <c r="G44" s="857">
        <f>417258-16403</f>
        <v>400855</v>
      </c>
      <c r="H44" s="857">
        <v>60974</v>
      </c>
      <c r="I44" s="1017">
        <v>0</v>
      </c>
      <c r="J44" s="1017">
        <v>0</v>
      </c>
      <c r="K44" s="857"/>
      <c r="L44" s="2567">
        <v>0</v>
      </c>
      <c r="M44" s="4234"/>
      <c r="N44" s="4061"/>
    </row>
    <row r="45" spans="1:17" s="1661" customFormat="1" ht="25.5" customHeight="1" thickBot="1">
      <c r="A45" s="4235" t="s">
        <v>180</v>
      </c>
      <c r="B45" s="4235"/>
      <c r="C45" s="4235"/>
      <c r="D45" s="4235"/>
      <c r="E45" s="4235"/>
      <c r="F45" s="1660"/>
      <c r="G45" s="1660"/>
      <c r="H45" s="1660"/>
      <c r="I45" s="1660"/>
      <c r="J45" s="1660"/>
      <c r="K45" s="1659"/>
      <c r="L45" s="1659"/>
      <c r="M45" s="1660"/>
      <c r="N45" s="1660"/>
    </row>
    <row r="46" spans="1:17" s="820" customFormat="1" ht="15.75" customHeight="1">
      <c r="A46" s="724"/>
      <c r="B46" s="123" t="s">
        <v>65</v>
      </c>
      <c r="C46" s="104"/>
      <c r="D46" s="105">
        <f>+D47+D48</f>
        <v>69731929</v>
      </c>
      <c r="E46" s="2118">
        <f t="shared" ref="E46" si="31">+E47+E48</f>
        <v>0</v>
      </c>
      <c r="F46" s="105">
        <f t="shared" ref="F46:M46" si="32">+F47+F48</f>
        <v>6380754</v>
      </c>
      <c r="G46" s="105">
        <f t="shared" si="32"/>
        <v>11053017</v>
      </c>
      <c r="H46" s="105">
        <f t="shared" si="32"/>
        <v>9647017</v>
      </c>
      <c r="I46" s="105">
        <f t="shared" si="32"/>
        <v>5007017</v>
      </c>
      <c r="J46" s="725">
        <f t="shared" si="32"/>
        <v>4007799</v>
      </c>
      <c r="K46" s="105">
        <f>+K47+K48</f>
        <v>0</v>
      </c>
      <c r="L46" s="105">
        <f t="shared" ref="L46" si="33">+L47+L48</f>
        <v>0</v>
      </c>
      <c r="M46" s="1545">
        <f t="shared" si="32"/>
        <v>69731929</v>
      </c>
      <c r="N46" s="1601"/>
      <c r="P46" s="156"/>
      <c r="Q46" s="156"/>
    </row>
    <row r="47" spans="1:17" s="820" customFormat="1" ht="15.75" customHeight="1">
      <c r="A47" s="91"/>
      <c r="B47" s="117" t="s">
        <v>66</v>
      </c>
      <c r="C47" s="107"/>
      <c r="D47" s="108">
        <f>+D82+D87+D92</f>
        <v>54231929</v>
      </c>
      <c r="E47" s="3615">
        <f t="shared" ref="E47:J47" si="34">+E82+E87+E92</f>
        <v>0</v>
      </c>
      <c r="F47" s="1005">
        <f t="shared" si="34"/>
        <v>1286754</v>
      </c>
      <c r="G47" s="1005">
        <f t="shared" si="34"/>
        <v>5147017</v>
      </c>
      <c r="H47" s="1005">
        <f t="shared" si="34"/>
        <v>5147017</v>
      </c>
      <c r="I47" s="1005">
        <f t="shared" si="34"/>
        <v>5007017</v>
      </c>
      <c r="J47" s="1005">
        <f t="shared" si="34"/>
        <v>4007799</v>
      </c>
      <c r="K47" s="1005">
        <f>+K82+K87+K92</f>
        <v>0</v>
      </c>
      <c r="L47" s="1005">
        <f>+L82+L87+L92</f>
        <v>0</v>
      </c>
      <c r="M47" s="1006">
        <f>+M82+M87+M92</f>
        <v>54231929</v>
      </c>
      <c r="N47" s="13"/>
    </row>
    <row r="48" spans="1:17" s="820" customFormat="1" ht="15.75" customHeight="1" thickBot="1">
      <c r="A48" s="91"/>
      <c r="B48" s="118" t="s">
        <v>8</v>
      </c>
      <c r="C48" s="334"/>
      <c r="D48" s="116">
        <f>+D96+D69</f>
        <v>15500000</v>
      </c>
      <c r="E48" s="3616">
        <f t="shared" ref="E48:M48" si="35">+E96+E69</f>
        <v>0</v>
      </c>
      <c r="F48" s="116">
        <f t="shared" si="35"/>
        <v>5094000</v>
      </c>
      <c r="G48" s="116">
        <f t="shared" si="35"/>
        <v>5906000</v>
      </c>
      <c r="H48" s="116">
        <f t="shared" si="35"/>
        <v>4500000</v>
      </c>
      <c r="I48" s="116">
        <f t="shared" si="35"/>
        <v>0</v>
      </c>
      <c r="J48" s="116">
        <f t="shared" si="35"/>
        <v>0</v>
      </c>
      <c r="K48" s="116">
        <f>+K96+K69</f>
        <v>0</v>
      </c>
      <c r="L48" s="116">
        <f t="shared" si="35"/>
        <v>0</v>
      </c>
      <c r="M48" s="1039">
        <f t="shared" si="35"/>
        <v>15500000</v>
      </c>
      <c r="N48" s="13"/>
    </row>
    <row r="49" spans="1:17" s="154" customFormat="1" ht="15" customHeight="1">
      <c r="A49" s="91"/>
      <c r="B49" s="2199" t="s">
        <v>9</v>
      </c>
      <c r="C49" s="726"/>
      <c r="D49" s="727">
        <f>+D50+D57</f>
        <v>80950004.640000001</v>
      </c>
      <c r="E49" s="728">
        <f t="shared" ref="E49:J49" si="36">+E50+E57</f>
        <v>7337812.6399999997</v>
      </c>
      <c r="F49" s="728">
        <f t="shared" si="36"/>
        <v>10247017</v>
      </c>
      <c r="G49" s="728">
        <f t="shared" si="36"/>
        <v>11067017</v>
      </c>
      <c r="H49" s="728">
        <f t="shared" si="36"/>
        <v>9647017</v>
      </c>
      <c r="I49" s="728">
        <f t="shared" si="36"/>
        <v>5007017</v>
      </c>
      <c r="J49" s="728">
        <f t="shared" si="36"/>
        <v>4007799</v>
      </c>
      <c r="K49" s="728">
        <f>+K50+K57</f>
        <v>0</v>
      </c>
      <c r="L49" s="728">
        <f>+L50+L57</f>
        <v>0</v>
      </c>
      <c r="M49" s="1560">
        <f>SUM(M50,M57)</f>
        <v>34095604</v>
      </c>
      <c r="N49" s="174"/>
      <c r="Q49" s="81"/>
    </row>
    <row r="50" spans="1:17" s="202" customFormat="1" ht="14.25" customHeight="1">
      <c r="A50" s="91"/>
      <c r="B50" s="2200" t="s">
        <v>10</v>
      </c>
      <c r="C50" s="729"/>
      <c r="D50" s="730">
        <f>SUM(D51:D56)</f>
        <v>80950004.640000001</v>
      </c>
      <c r="E50" s="730">
        <f t="shared" ref="E50:J50" si="37">SUM(E51:E56)</f>
        <v>7337812.6399999997</v>
      </c>
      <c r="F50" s="730">
        <f t="shared" si="37"/>
        <v>10247017</v>
      </c>
      <c r="G50" s="730">
        <f t="shared" si="37"/>
        <v>11067017</v>
      </c>
      <c r="H50" s="730">
        <f t="shared" si="37"/>
        <v>9647017</v>
      </c>
      <c r="I50" s="730">
        <f t="shared" si="37"/>
        <v>5007017</v>
      </c>
      <c r="J50" s="730">
        <f t="shared" si="37"/>
        <v>4007799</v>
      </c>
      <c r="K50" s="730">
        <f>SUM(K51:K56)</f>
        <v>0</v>
      </c>
      <c r="L50" s="730">
        <f>SUM(L51:L56)</f>
        <v>0</v>
      </c>
      <c r="M50" s="1600">
        <f>SUM(M51:M56)</f>
        <v>34095604</v>
      </c>
      <c r="N50" s="162"/>
      <c r="P50" s="203"/>
    </row>
    <row r="51" spans="1:17" s="202" customFormat="1" ht="14.25" customHeight="1">
      <c r="A51" s="91"/>
      <c r="B51" s="731" t="s">
        <v>11</v>
      </c>
      <c r="C51" s="729"/>
      <c r="D51" s="732">
        <f>+D82+D87+D92+D96</f>
        <v>67731929</v>
      </c>
      <c r="E51" s="3617">
        <f t="shared" ref="E51:I51" si="38">+E82+E87+E92</f>
        <v>0</v>
      </c>
      <c r="F51" s="732">
        <f>+F82+F87+F92+F96</f>
        <v>5786754</v>
      </c>
      <c r="G51" s="732">
        <f t="shared" ref="G51:H51" si="39">+G82+G87+G92+G96</f>
        <v>9647017</v>
      </c>
      <c r="H51" s="732">
        <f t="shared" si="39"/>
        <v>9647017</v>
      </c>
      <c r="I51" s="732">
        <f t="shared" si="38"/>
        <v>5007017</v>
      </c>
      <c r="J51" s="732">
        <f>+J82+J87+J92</f>
        <v>4007799</v>
      </c>
      <c r="K51" s="732">
        <f>+K82+K87+K92</f>
        <v>0</v>
      </c>
      <c r="L51" s="732">
        <f>+L82+L87+L92</f>
        <v>0</v>
      </c>
      <c r="M51" s="2194">
        <f>SUM(F51:J51)</f>
        <v>34095604</v>
      </c>
      <c r="N51" s="162"/>
      <c r="P51" s="203"/>
      <c r="Q51" s="203"/>
    </row>
    <row r="52" spans="1:17" s="175" customFormat="1" ht="14.25" customHeight="1">
      <c r="A52" s="91"/>
      <c r="B52" s="2201" t="s">
        <v>29</v>
      </c>
      <c r="C52" s="1876"/>
      <c r="D52" s="2202">
        <f t="shared" ref="D52:J52" si="40">+D68+D81+D86+D91</f>
        <v>11218075.640000001</v>
      </c>
      <c r="E52" s="2202">
        <f>+E68+E81+E86+E91</f>
        <v>7337812.6399999997</v>
      </c>
      <c r="F52" s="2202">
        <f t="shared" si="40"/>
        <v>3866263</v>
      </c>
      <c r="G52" s="2202">
        <f t="shared" si="40"/>
        <v>14000</v>
      </c>
      <c r="H52" s="3619">
        <f t="shared" si="40"/>
        <v>0</v>
      </c>
      <c r="I52" s="3619">
        <f t="shared" si="40"/>
        <v>0</v>
      </c>
      <c r="J52" s="3619">
        <f t="shared" si="40"/>
        <v>0</v>
      </c>
      <c r="K52" s="2202">
        <f>+K68+K81+K86+K91</f>
        <v>0</v>
      </c>
      <c r="L52" s="2202">
        <f>+L68+L81+L86+L91</f>
        <v>0</v>
      </c>
      <c r="M52" s="2203" t="s">
        <v>51</v>
      </c>
      <c r="N52" s="174"/>
      <c r="P52" s="180"/>
      <c r="Q52" s="180"/>
    </row>
    <row r="53" spans="1:17" s="154" customFormat="1" ht="14.25" customHeight="1" thickBot="1">
      <c r="A53" s="91"/>
      <c r="B53" s="731" t="s">
        <v>108</v>
      </c>
      <c r="C53" s="735"/>
      <c r="D53" s="734">
        <f>+D69</f>
        <v>2000000</v>
      </c>
      <c r="E53" s="3618">
        <f t="shared" ref="E53:J53" si="41">+E69</f>
        <v>0</v>
      </c>
      <c r="F53" s="734">
        <f t="shared" si="41"/>
        <v>594000</v>
      </c>
      <c r="G53" s="734">
        <f t="shared" si="41"/>
        <v>1406000</v>
      </c>
      <c r="H53" s="3618">
        <f t="shared" si="41"/>
        <v>0</v>
      </c>
      <c r="I53" s="3618">
        <f t="shared" si="41"/>
        <v>0</v>
      </c>
      <c r="J53" s="3618">
        <f t="shared" si="41"/>
        <v>0</v>
      </c>
      <c r="K53" s="734">
        <f>+K69</f>
        <v>0</v>
      </c>
      <c r="L53" s="734">
        <f>+L69</f>
        <v>0</v>
      </c>
      <c r="M53" s="3620"/>
      <c r="N53" s="3624"/>
      <c r="P53" s="81"/>
      <c r="Q53" s="81"/>
    </row>
    <row r="54" spans="1:17" s="202" customFormat="1" ht="14.25" hidden="1" customHeight="1">
      <c r="A54" s="335"/>
      <c r="B54" s="736" t="s">
        <v>12</v>
      </c>
      <c r="C54" s="733"/>
      <c r="D54" s="735">
        <f>D70</f>
        <v>0</v>
      </c>
      <c r="E54" s="735">
        <f t="shared" ref="E54:N54" si="42">E70</f>
        <v>0</v>
      </c>
      <c r="F54" s="735">
        <f t="shared" si="42"/>
        <v>0</v>
      </c>
      <c r="G54" s="735">
        <f t="shared" si="42"/>
        <v>0</v>
      </c>
      <c r="H54" s="735">
        <f t="shared" si="42"/>
        <v>0</v>
      </c>
      <c r="I54" s="735">
        <f t="shared" si="42"/>
        <v>0</v>
      </c>
      <c r="J54" s="735">
        <f t="shared" si="42"/>
        <v>0</v>
      </c>
      <c r="K54" s="735">
        <f>K70</f>
        <v>0</v>
      </c>
      <c r="L54" s="735">
        <f>L70</f>
        <v>0</v>
      </c>
      <c r="M54" s="3620">
        <f t="shared" si="42"/>
        <v>0</v>
      </c>
      <c r="N54" s="735">
        <f t="shared" si="42"/>
        <v>0</v>
      </c>
      <c r="P54" s="203"/>
    </row>
    <row r="55" spans="1:17" s="163" customFormat="1" ht="14.25" hidden="1" customHeight="1">
      <c r="A55" s="335"/>
      <c r="B55" s="736" t="s">
        <v>31</v>
      </c>
      <c r="C55" s="733"/>
      <c r="D55" s="735"/>
      <c r="E55" s="735"/>
      <c r="F55" s="735"/>
      <c r="G55" s="735"/>
      <c r="H55" s="735"/>
      <c r="I55" s="735"/>
      <c r="J55" s="735"/>
      <c r="K55" s="735"/>
      <c r="L55" s="735"/>
      <c r="M55" s="1834"/>
      <c r="N55" s="3625"/>
      <c r="P55" s="737"/>
    </row>
    <row r="56" spans="1:17" s="154" customFormat="1" ht="14.25" hidden="1" customHeight="1">
      <c r="A56" s="91"/>
      <c r="B56" s="736" t="s">
        <v>109</v>
      </c>
      <c r="C56" s="733"/>
      <c r="D56" s="735">
        <f t="shared" ref="D56" si="43">D71</f>
        <v>0</v>
      </c>
      <c r="E56" s="735">
        <f t="shared" ref="E56:J56" si="44">E71</f>
        <v>0</v>
      </c>
      <c r="F56" s="735">
        <f t="shared" si="44"/>
        <v>0</v>
      </c>
      <c r="G56" s="735">
        <f t="shared" si="44"/>
        <v>0</v>
      </c>
      <c r="H56" s="735">
        <f t="shared" si="44"/>
        <v>0</v>
      </c>
      <c r="I56" s="735">
        <f t="shared" si="44"/>
        <v>0</v>
      </c>
      <c r="J56" s="735">
        <f t="shared" si="44"/>
        <v>0</v>
      </c>
      <c r="K56" s="735">
        <f>K71</f>
        <v>0</v>
      </c>
      <c r="L56" s="735">
        <f>L71</f>
        <v>0</v>
      </c>
      <c r="M56" s="3620">
        <f>M71</f>
        <v>0</v>
      </c>
      <c r="N56" s="3624"/>
      <c r="P56" s="81"/>
    </row>
    <row r="57" spans="1:17" s="202" customFormat="1" ht="14.25" hidden="1" customHeight="1">
      <c r="A57" s="51"/>
      <c r="B57" s="85" t="s">
        <v>17</v>
      </c>
      <c r="C57" s="738"/>
      <c r="D57" s="739">
        <f t="shared" ref="D57:J57" si="45">SUM(D58:D58)</f>
        <v>0</v>
      </c>
      <c r="E57" s="739">
        <f t="shared" si="45"/>
        <v>0</v>
      </c>
      <c r="F57" s="739">
        <f t="shared" si="45"/>
        <v>0</v>
      </c>
      <c r="G57" s="739">
        <f t="shared" si="45"/>
        <v>0</v>
      </c>
      <c r="H57" s="739">
        <f t="shared" si="45"/>
        <v>0</v>
      </c>
      <c r="I57" s="739">
        <f t="shared" si="45"/>
        <v>0</v>
      </c>
      <c r="J57" s="739">
        <f t="shared" si="45"/>
        <v>0</v>
      </c>
      <c r="K57" s="739">
        <f>SUM(K58:K58)</f>
        <v>0</v>
      </c>
      <c r="L57" s="739">
        <f>SUM(L58:L58)</f>
        <v>0</v>
      </c>
      <c r="M57" s="2197" t="s">
        <v>51</v>
      </c>
      <c r="N57" s="162"/>
    </row>
    <row r="58" spans="1:17" s="154" customFormat="1" ht="14.25" hidden="1" customHeight="1">
      <c r="A58" s="67"/>
      <c r="B58" s="740" t="s">
        <v>32</v>
      </c>
      <c r="C58" s="741"/>
      <c r="D58" s="742"/>
      <c r="E58" s="742"/>
      <c r="F58" s="742"/>
      <c r="G58" s="742"/>
      <c r="H58" s="742"/>
      <c r="I58" s="742"/>
      <c r="J58" s="742"/>
      <c r="K58" s="742"/>
      <c r="L58" s="742"/>
      <c r="M58" s="2197" t="s">
        <v>51</v>
      </c>
      <c r="N58" s="3626"/>
    </row>
    <row r="59" spans="1:17" s="202" customFormat="1" ht="14.25" hidden="1" customHeight="1">
      <c r="A59" s="51"/>
      <c r="B59" s="336" t="s">
        <v>20</v>
      </c>
      <c r="C59" s="90"/>
      <c r="D59" s="349">
        <f>+D60+D63</f>
        <v>0</v>
      </c>
      <c r="E59" s="349">
        <f t="shared" ref="E59:J59" si="46">+E60+E63</f>
        <v>0</v>
      </c>
      <c r="F59" s="349">
        <f t="shared" si="46"/>
        <v>0</v>
      </c>
      <c r="G59" s="349">
        <f t="shared" si="46"/>
        <v>0</v>
      </c>
      <c r="H59" s="349">
        <f t="shared" si="46"/>
        <v>0</v>
      </c>
      <c r="I59" s="349">
        <f t="shared" si="46"/>
        <v>0</v>
      </c>
      <c r="J59" s="349">
        <f t="shared" si="46"/>
        <v>0</v>
      </c>
      <c r="K59" s="349">
        <f>+K60+K63</f>
        <v>0</v>
      </c>
      <c r="L59" s="349">
        <f>+L60+L63</f>
        <v>0</v>
      </c>
      <c r="M59" s="4220" t="s">
        <v>21</v>
      </c>
      <c r="N59" s="3627"/>
    </row>
    <row r="60" spans="1:17" s="154" customFormat="1" ht="14.25" hidden="1" customHeight="1">
      <c r="A60" s="67"/>
      <c r="B60" s="85" t="s">
        <v>10</v>
      </c>
      <c r="C60" s="738"/>
      <c r="D60" s="739">
        <f>+D61+D62</f>
        <v>0</v>
      </c>
      <c r="E60" s="739">
        <f t="shared" ref="E60:J60" si="47">+E61+E62</f>
        <v>0</v>
      </c>
      <c r="F60" s="739">
        <f t="shared" si="47"/>
        <v>0</v>
      </c>
      <c r="G60" s="739">
        <f t="shared" si="47"/>
        <v>0</v>
      </c>
      <c r="H60" s="739">
        <f t="shared" si="47"/>
        <v>0</v>
      </c>
      <c r="I60" s="739">
        <f t="shared" si="47"/>
        <v>0</v>
      </c>
      <c r="J60" s="739">
        <f t="shared" si="47"/>
        <v>0</v>
      </c>
      <c r="K60" s="739">
        <f>+K61+K62</f>
        <v>0</v>
      </c>
      <c r="L60" s="739">
        <f>+L61+L62</f>
        <v>0</v>
      </c>
      <c r="M60" s="4221"/>
      <c r="N60" s="3626"/>
    </row>
    <row r="61" spans="1:17" s="154" customFormat="1" ht="14.25" hidden="1" customHeight="1">
      <c r="A61" s="67"/>
      <c r="B61" s="736" t="s">
        <v>12</v>
      </c>
      <c r="C61" s="733"/>
      <c r="D61" s="735">
        <f>D76</f>
        <v>0</v>
      </c>
      <c r="E61" s="735">
        <f t="shared" ref="E61:J61" si="48">E76</f>
        <v>0</v>
      </c>
      <c r="F61" s="735">
        <f t="shared" si="48"/>
        <v>0</v>
      </c>
      <c r="G61" s="735">
        <f t="shared" si="48"/>
        <v>0</v>
      </c>
      <c r="H61" s="735">
        <f t="shared" si="48"/>
        <v>0</v>
      </c>
      <c r="I61" s="735">
        <f t="shared" si="48"/>
        <v>0</v>
      </c>
      <c r="J61" s="735">
        <f t="shared" si="48"/>
        <v>0</v>
      </c>
      <c r="K61" s="735">
        <f>K76</f>
        <v>0</v>
      </c>
      <c r="L61" s="735">
        <f>L76</f>
        <v>0</v>
      </c>
      <c r="M61" s="4221"/>
      <c r="N61" s="3626"/>
      <c r="P61" s="81"/>
    </row>
    <row r="62" spans="1:17" s="154" customFormat="1" ht="14.25" hidden="1" customHeight="1">
      <c r="A62" s="67"/>
      <c r="B62" s="736" t="s">
        <v>317</v>
      </c>
      <c r="C62" s="733"/>
      <c r="D62" s="735">
        <f t="shared" ref="D62" si="49">D77</f>
        <v>0</v>
      </c>
      <c r="E62" s="735">
        <f t="shared" ref="E62:J62" si="50">E77</f>
        <v>0</v>
      </c>
      <c r="F62" s="735">
        <f t="shared" si="50"/>
        <v>0</v>
      </c>
      <c r="G62" s="735">
        <f t="shared" si="50"/>
        <v>0</v>
      </c>
      <c r="H62" s="735">
        <f t="shared" si="50"/>
        <v>0</v>
      </c>
      <c r="I62" s="735">
        <f t="shared" si="50"/>
        <v>0</v>
      </c>
      <c r="J62" s="735">
        <f t="shared" si="50"/>
        <v>0</v>
      </c>
      <c r="K62" s="735">
        <f>K77</f>
        <v>0</v>
      </c>
      <c r="L62" s="735">
        <f>L77</f>
        <v>0</v>
      </c>
      <c r="M62" s="4221"/>
      <c r="N62" s="3626"/>
      <c r="P62" s="81"/>
    </row>
    <row r="63" spans="1:17" s="154" customFormat="1" ht="14.25" hidden="1" customHeight="1">
      <c r="A63" s="67"/>
      <c r="B63" s="85" t="s">
        <v>17</v>
      </c>
      <c r="C63" s="738"/>
      <c r="D63" s="739">
        <f t="shared" ref="D63:J63" si="51">SUM(D64:D64)</f>
        <v>0</v>
      </c>
      <c r="E63" s="739">
        <f t="shared" si="51"/>
        <v>0</v>
      </c>
      <c r="F63" s="739">
        <f t="shared" si="51"/>
        <v>0</v>
      </c>
      <c r="G63" s="739">
        <f t="shared" si="51"/>
        <v>0</v>
      </c>
      <c r="H63" s="739">
        <f t="shared" si="51"/>
        <v>0</v>
      </c>
      <c r="I63" s="739">
        <f t="shared" si="51"/>
        <v>0</v>
      </c>
      <c r="J63" s="739">
        <f t="shared" si="51"/>
        <v>0</v>
      </c>
      <c r="K63" s="739">
        <f>SUM(K64:K64)</f>
        <v>0</v>
      </c>
      <c r="L63" s="739">
        <f>SUM(L64:L64)</f>
        <v>0</v>
      </c>
      <c r="M63" s="4221"/>
      <c r="N63" s="3626"/>
      <c r="P63" s="81"/>
    </row>
    <row r="64" spans="1:17" s="154" customFormat="1" ht="14.25" hidden="1" customHeight="1" thickBot="1">
      <c r="A64" s="67"/>
      <c r="B64" s="740" t="s">
        <v>32</v>
      </c>
      <c r="C64" s="743"/>
      <c r="D64" s="719"/>
      <c r="E64" s="719"/>
      <c r="F64" s="719"/>
      <c r="G64" s="719"/>
      <c r="H64" s="719"/>
      <c r="I64" s="719"/>
      <c r="J64" s="719"/>
      <c r="K64" s="719"/>
      <c r="L64" s="719"/>
      <c r="M64" s="4222"/>
      <c r="N64" s="3626"/>
      <c r="P64" s="81"/>
    </row>
    <row r="65" spans="1:18" s="175" customFormat="1" ht="37.5" customHeight="1">
      <c r="A65" s="4236" t="s">
        <v>53</v>
      </c>
      <c r="B65" s="716" t="s">
        <v>464</v>
      </c>
      <c r="C65" s="338" t="s">
        <v>70</v>
      </c>
      <c r="D65" s="2204"/>
      <c r="E65" s="2205"/>
      <c r="F65" s="2205"/>
      <c r="G65" s="2205"/>
      <c r="H65" s="2206"/>
      <c r="I65" s="2205"/>
      <c r="J65" s="2204"/>
      <c r="K65" s="2205"/>
      <c r="L65" s="2205"/>
      <c r="M65" s="1547"/>
      <c r="N65" s="4059"/>
      <c r="P65" s="4223"/>
      <c r="Q65" s="4223"/>
      <c r="R65" s="4223"/>
    </row>
    <row r="66" spans="1:18" s="175" customFormat="1" ht="15" customHeight="1">
      <c r="A66" s="4237"/>
      <c r="B66" s="246" t="s">
        <v>9</v>
      </c>
      <c r="C66" s="2207"/>
      <c r="D66" s="340">
        <f>+D67+D72</f>
        <v>2020000</v>
      </c>
      <c r="E66" s="744">
        <f t="shared" ref="E66" si="52">+E67+E72</f>
        <v>0</v>
      </c>
      <c r="F66" s="340">
        <f t="shared" ref="F66:J66" si="53">+F67</f>
        <v>600000</v>
      </c>
      <c r="G66" s="340">
        <f t="shared" si="53"/>
        <v>1420000</v>
      </c>
      <c r="H66" s="744">
        <f t="shared" si="53"/>
        <v>0</v>
      </c>
      <c r="I66" s="744">
        <f t="shared" si="53"/>
        <v>0</v>
      </c>
      <c r="J66" s="2208">
        <f t="shared" si="53"/>
        <v>0</v>
      </c>
      <c r="K66" s="744">
        <f>+K67</f>
        <v>0</v>
      </c>
      <c r="L66" s="340">
        <f>+L67</f>
        <v>0</v>
      </c>
      <c r="M66" s="1550">
        <f>+M67+M72</f>
        <v>2000000</v>
      </c>
      <c r="N66" s="4060"/>
      <c r="O66" s="180"/>
      <c r="P66" s="4223"/>
      <c r="Q66" s="4223"/>
      <c r="R66" s="4223"/>
    </row>
    <row r="67" spans="1:18" s="175" customFormat="1" ht="15" customHeight="1">
      <c r="A67" s="4237"/>
      <c r="B67" s="2209" t="s">
        <v>22</v>
      </c>
      <c r="C67" s="4224" t="s">
        <v>110</v>
      </c>
      <c r="D67" s="2210">
        <f>SUM(D68:D71)</f>
        <v>2020000</v>
      </c>
      <c r="E67" s="2211">
        <f>+E68+E69+E70+E71</f>
        <v>0</v>
      </c>
      <c r="F67" s="2210">
        <f t="shared" ref="F67:J67" si="54">+F68+F69+F70+F71</f>
        <v>600000</v>
      </c>
      <c r="G67" s="2210">
        <f t="shared" si="54"/>
        <v>1420000</v>
      </c>
      <c r="H67" s="2211">
        <f t="shared" si="54"/>
        <v>0</v>
      </c>
      <c r="I67" s="2211">
        <f t="shared" si="54"/>
        <v>0</v>
      </c>
      <c r="J67" s="2212">
        <f t="shared" si="54"/>
        <v>0</v>
      </c>
      <c r="K67" s="2211">
        <f>+K68+K69+K70+K71</f>
        <v>0</v>
      </c>
      <c r="L67" s="2210">
        <f>+L68+L69+L70+L71</f>
        <v>0</v>
      </c>
      <c r="M67" s="2192">
        <f>+M69+M70+M71</f>
        <v>2000000</v>
      </c>
      <c r="N67" s="4060"/>
      <c r="P67" s="4223"/>
      <c r="Q67" s="4223"/>
      <c r="R67" s="4223"/>
    </row>
    <row r="68" spans="1:18" s="175" customFormat="1" ht="15" customHeight="1">
      <c r="A68" s="4237"/>
      <c r="B68" s="2213" t="s">
        <v>29</v>
      </c>
      <c r="C68" s="4225"/>
      <c r="D68" s="124">
        <f>E68+L68+K68+F68+G68+H68+I68+J68</f>
        <v>20000</v>
      </c>
      <c r="E68" s="1556">
        <v>0</v>
      </c>
      <c r="F68" s="745">
        <v>6000</v>
      </c>
      <c r="G68" s="745">
        <v>14000</v>
      </c>
      <c r="H68" s="1556">
        <v>0</v>
      </c>
      <c r="I68" s="1556">
        <v>0</v>
      </c>
      <c r="J68" s="2214">
        <v>0</v>
      </c>
      <c r="K68" s="1556">
        <v>0</v>
      </c>
      <c r="L68" s="342">
        <v>0</v>
      </c>
      <c r="M68" s="2197" t="s">
        <v>51</v>
      </c>
      <c r="N68" s="4231"/>
      <c r="P68" s="4223"/>
      <c r="Q68" s="4223"/>
      <c r="R68" s="4223"/>
    </row>
    <row r="69" spans="1:18" s="175" customFormat="1" ht="13.5" customHeight="1" thickBot="1">
      <c r="A69" s="4237"/>
      <c r="B69" s="2215" t="s">
        <v>112</v>
      </c>
      <c r="C69" s="4225"/>
      <c r="D69" s="124">
        <f>E69+L69+K69+F69+G69+H69+I69+J69</f>
        <v>2000000</v>
      </c>
      <c r="E69" s="1556">
        <v>0</v>
      </c>
      <c r="F69" s="745">
        <v>594000</v>
      </c>
      <c r="G69" s="745">
        <v>1406000</v>
      </c>
      <c r="H69" s="1556">
        <v>0</v>
      </c>
      <c r="I69" s="1556">
        <v>0</v>
      </c>
      <c r="J69" s="2214">
        <v>0</v>
      </c>
      <c r="K69" s="1556">
        <v>0</v>
      </c>
      <c r="L69" s="2216">
        <v>0</v>
      </c>
      <c r="M69" s="1451">
        <f>SUM(F69:J69)</f>
        <v>2000000</v>
      </c>
      <c r="N69" s="4231"/>
      <c r="P69" s="4223"/>
      <c r="Q69" s="4223"/>
      <c r="R69" s="4223"/>
    </row>
    <row r="70" spans="1:18" s="175" customFormat="1" ht="12" hidden="1" customHeight="1">
      <c r="A70" s="4237"/>
      <c r="B70" s="47" t="s">
        <v>12</v>
      </c>
      <c r="C70" s="4225"/>
      <c r="D70" s="124">
        <f>E70+L70+K70+F70+G70+H70+I70+J70</f>
        <v>0</v>
      </c>
      <c r="E70" s="745">
        <v>0</v>
      </c>
      <c r="F70" s="745">
        <v>0</v>
      </c>
      <c r="G70" s="745">
        <v>0</v>
      </c>
      <c r="H70" s="745">
        <v>0</v>
      </c>
      <c r="I70" s="745">
        <v>0</v>
      </c>
      <c r="J70" s="2217">
        <v>0</v>
      </c>
      <c r="K70" s="745">
        <v>0</v>
      </c>
      <c r="L70" s="342">
        <v>0</v>
      </c>
      <c r="M70" s="1451">
        <f>SUM(F70:J70)</f>
        <v>0</v>
      </c>
      <c r="N70" s="4231"/>
      <c r="P70" s="4223"/>
      <c r="Q70" s="4223"/>
      <c r="R70" s="4223"/>
    </row>
    <row r="71" spans="1:18" s="175" customFormat="1" ht="13.5" hidden="1" customHeight="1">
      <c r="A71" s="4237"/>
      <c r="B71" s="47" t="s">
        <v>109</v>
      </c>
      <c r="C71" s="4225"/>
      <c r="D71" s="124">
        <f>E71+L71+K71+F71+G71+H71+I71+J71</f>
        <v>0</v>
      </c>
      <c r="E71" s="745">
        <v>0</v>
      </c>
      <c r="F71" s="745">
        <v>0</v>
      </c>
      <c r="G71" s="745">
        <v>0</v>
      </c>
      <c r="H71" s="745">
        <v>0</v>
      </c>
      <c r="I71" s="745">
        <v>0</v>
      </c>
      <c r="J71" s="2218">
        <v>0</v>
      </c>
      <c r="K71" s="745">
        <v>0</v>
      </c>
      <c r="L71" s="2216">
        <v>0</v>
      </c>
      <c r="M71" s="1451">
        <f>SUM(F71:J71)</f>
        <v>0</v>
      </c>
      <c r="N71" s="4231"/>
      <c r="P71" s="4223"/>
      <c r="Q71" s="4223"/>
      <c r="R71" s="4223"/>
    </row>
    <row r="72" spans="1:18" s="175" customFormat="1" ht="15" hidden="1" customHeight="1">
      <c r="A72" s="4237"/>
      <c r="B72" s="2219" t="s">
        <v>17</v>
      </c>
      <c r="C72" s="4226"/>
      <c r="D72" s="124">
        <f>+D73</f>
        <v>0</v>
      </c>
      <c r="E72" s="745"/>
      <c r="F72" s="745"/>
      <c r="G72" s="745"/>
      <c r="H72" s="745"/>
      <c r="I72" s="745"/>
      <c r="J72" s="2220"/>
      <c r="K72" s="745"/>
      <c r="L72" s="342"/>
      <c r="M72" s="3621"/>
      <c r="N72" s="4231"/>
      <c r="P72" s="4223"/>
      <c r="Q72" s="4223"/>
      <c r="R72" s="4223"/>
    </row>
    <row r="73" spans="1:18" s="175" customFormat="1" ht="16.5" hidden="1" customHeight="1">
      <c r="A73" s="4237"/>
      <c r="B73" s="47" t="s">
        <v>32</v>
      </c>
      <c r="C73" s="2221"/>
      <c r="D73" s="124">
        <v>0</v>
      </c>
      <c r="E73" s="745"/>
      <c r="F73" s="745"/>
      <c r="G73" s="745"/>
      <c r="H73" s="745"/>
      <c r="I73" s="745"/>
      <c r="J73" s="2222"/>
      <c r="K73" s="745"/>
      <c r="L73" s="2216"/>
      <c r="M73" s="3622"/>
      <c r="N73" s="4231"/>
      <c r="P73" s="4223"/>
      <c r="Q73" s="4223"/>
      <c r="R73" s="4223"/>
    </row>
    <row r="74" spans="1:18" s="175" customFormat="1" ht="13.5" hidden="1" customHeight="1">
      <c r="A74" s="4237"/>
      <c r="B74" s="246" t="s">
        <v>20</v>
      </c>
      <c r="C74" s="2207"/>
      <c r="D74" s="340">
        <f>D76+D77</f>
        <v>0</v>
      </c>
      <c r="E74" s="340">
        <f t="shared" ref="E74" si="55">E76+E77</f>
        <v>0</v>
      </c>
      <c r="F74" s="340">
        <f t="shared" ref="F74:J74" si="56">+F75</f>
        <v>0</v>
      </c>
      <c r="G74" s="340">
        <f t="shared" si="56"/>
        <v>0</v>
      </c>
      <c r="H74" s="340">
        <f t="shared" si="56"/>
        <v>0</v>
      </c>
      <c r="I74" s="340">
        <f t="shared" si="56"/>
        <v>0</v>
      </c>
      <c r="J74" s="2208">
        <f t="shared" si="56"/>
        <v>0</v>
      </c>
      <c r="K74" s="340">
        <f>+K75</f>
        <v>0</v>
      </c>
      <c r="L74" s="340">
        <f>+L75</f>
        <v>0</v>
      </c>
      <c r="M74" s="4228" t="s">
        <v>51</v>
      </c>
      <c r="N74" s="4231"/>
      <c r="P74" s="4223"/>
      <c r="Q74" s="4223"/>
      <c r="R74" s="4223"/>
    </row>
    <row r="75" spans="1:18" s="163" customFormat="1" ht="13.5" hidden="1" customHeight="1">
      <c r="A75" s="4237"/>
      <c r="B75" s="326" t="s">
        <v>22</v>
      </c>
      <c r="C75" s="4227" t="s">
        <v>110</v>
      </c>
      <c r="D75" s="746">
        <f>+D76+D77</f>
        <v>0</v>
      </c>
      <c r="E75" s="746">
        <f t="shared" ref="E75" si="57">+E76+E77</f>
        <v>0</v>
      </c>
      <c r="F75" s="746">
        <f t="shared" ref="F75:J75" si="58">+F76+F77</f>
        <v>0</v>
      </c>
      <c r="G75" s="746">
        <f t="shared" si="58"/>
        <v>0</v>
      </c>
      <c r="H75" s="746">
        <f t="shared" si="58"/>
        <v>0</v>
      </c>
      <c r="I75" s="746">
        <f t="shared" si="58"/>
        <v>0</v>
      </c>
      <c r="J75" s="2223">
        <f t="shared" si="58"/>
        <v>0</v>
      </c>
      <c r="K75" s="746">
        <f>+K76+K77</f>
        <v>0</v>
      </c>
      <c r="L75" s="746">
        <f>+L76+L77</f>
        <v>0</v>
      </c>
      <c r="M75" s="4229"/>
      <c r="N75" s="4231"/>
      <c r="P75" s="4223"/>
      <c r="Q75" s="4223"/>
      <c r="R75" s="4223"/>
    </row>
    <row r="76" spans="1:18" s="175" customFormat="1" ht="13.5" hidden="1" customHeight="1">
      <c r="A76" s="4237"/>
      <c r="B76" s="47" t="s">
        <v>12</v>
      </c>
      <c r="C76" s="4196"/>
      <c r="D76" s="124">
        <v>0</v>
      </c>
      <c r="E76" s="745">
        <v>0</v>
      </c>
      <c r="F76" s="745">
        <v>0</v>
      </c>
      <c r="G76" s="745">
        <v>0</v>
      </c>
      <c r="H76" s="745">
        <v>0</v>
      </c>
      <c r="I76" s="745">
        <v>0</v>
      </c>
      <c r="J76" s="2217">
        <v>0</v>
      </c>
      <c r="K76" s="745">
        <v>0</v>
      </c>
      <c r="L76" s="745">
        <v>0</v>
      </c>
      <c r="M76" s="4229"/>
      <c r="N76" s="4231"/>
    </row>
    <row r="77" spans="1:18" s="175" customFormat="1" ht="15" hidden="1" customHeight="1" thickBot="1">
      <c r="A77" s="4238"/>
      <c r="B77" s="143" t="s">
        <v>109</v>
      </c>
      <c r="C77" s="4197"/>
      <c r="D77" s="1003">
        <v>0</v>
      </c>
      <c r="E77" s="1004">
        <v>0</v>
      </c>
      <c r="F77" s="1004">
        <v>0</v>
      </c>
      <c r="G77" s="1004">
        <v>0</v>
      </c>
      <c r="H77" s="1004">
        <v>0</v>
      </c>
      <c r="I77" s="1004">
        <v>0</v>
      </c>
      <c r="J77" s="2224">
        <v>0</v>
      </c>
      <c r="K77" s="1004">
        <v>0</v>
      </c>
      <c r="L77" s="350">
        <v>0</v>
      </c>
      <c r="M77" s="4230"/>
      <c r="N77" s="4231"/>
    </row>
    <row r="78" spans="1:18" s="175" customFormat="1" ht="28.5" customHeight="1">
      <c r="A78" s="4204" t="s">
        <v>54</v>
      </c>
      <c r="B78" s="716" t="s">
        <v>323</v>
      </c>
      <c r="C78" s="338" t="s">
        <v>97</v>
      </c>
      <c r="D78" s="1520"/>
      <c r="E78" s="1481"/>
      <c r="F78" s="1481"/>
      <c r="G78" s="1481"/>
      <c r="H78" s="1481"/>
      <c r="I78" s="1481"/>
      <c r="J78" s="1522"/>
      <c r="K78" s="1481"/>
      <c r="L78" s="1481"/>
      <c r="M78" s="1547"/>
      <c r="N78" s="4217" t="s">
        <v>328</v>
      </c>
    </row>
    <row r="79" spans="1:18" s="175" customFormat="1" ht="13.5" customHeight="1">
      <c r="A79" s="4205"/>
      <c r="B79" s="246" t="s">
        <v>9</v>
      </c>
      <c r="C79" s="1548"/>
      <c r="D79" s="1524">
        <f>+D80</f>
        <v>8000000</v>
      </c>
      <c r="E79" s="1524">
        <f t="shared" ref="E79:M79" si="59">+E80</f>
        <v>3820000</v>
      </c>
      <c r="F79" s="1524">
        <f t="shared" si="59"/>
        <v>1080000</v>
      </c>
      <c r="G79" s="1524">
        <f t="shared" si="59"/>
        <v>1080000</v>
      </c>
      <c r="H79" s="1524">
        <f t="shared" si="59"/>
        <v>1080000</v>
      </c>
      <c r="I79" s="1524">
        <f t="shared" si="59"/>
        <v>940000</v>
      </c>
      <c r="J79" s="1549">
        <f t="shared" si="59"/>
        <v>0</v>
      </c>
      <c r="K79" s="1524">
        <f>+K80</f>
        <v>0</v>
      </c>
      <c r="L79" s="1524">
        <f>+L80</f>
        <v>0</v>
      </c>
      <c r="M79" s="1550">
        <f t="shared" si="59"/>
        <v>3370000</v>
      </c>
      <c r="N79" s="4218"/>
    </row>
    <row r="80" spans="1:18" s="163" customFormat="1" ht="16.5" customHeight="1">
      <c r="A80" s="4205"/>
      <c r="B80" s="341" t="s">
        <v>22</v>
      </c>
      <c r="C80" s="4087" t="s">
        <v>113</v>
      </c>
      <c r="D80" s="845">
        <f>+D81+D82</f>
        <v>8000000</v>
      </c>
      <c r="E80" s="845">
        <f t="shared" ref="E80" si="60">+E81+E82</f>
        <v>3820000</v>
      </c>
      <c r="F80" s="845">
        <f t="shared" ref="F80:J80" si="61">+F81+F82</f>
        <v>1080000</v>
      </c>
      <c r="G80" s="845">
        <f t="shared" si="61"/>
        <v>1080000</v>
      </c>
      <c r="H80" s="845">
        <f t="shared" si="61"/>
        <v>1080000</v>
      </c>
      <c r="I80" s="845">
        <f t="shared" si="61"/>
        <v>940000</v>
      </c>
      <c r="J80" s="1551">
        <f t="shared" si="61"/>
        <v>0</v>
      </c>
      <c r="K80" s="845">
        <f>+K81+K82</f>
        <v>0</v>
      </c>
      <c r="L80" s="845">
        <f>+L81+L82</f>
        <v>0</v>
      </c>
      <c r="M80" s="1552">
        <f>+M82</f>
        <v>3370000</v>
      </c>
      <c r="N80" s="4218"/>
    </row>
    <row r="81" spans="1:16" s="163" customFormat="1" ht="13.5" customHeight="1">
      <c r="A81" s="4205"/>
      <c r="B81" s="2213" t="s">
        <v>111</v>
      </c>
      <c r="C81" s="4203"/>
      <c r="D81" s="468">
        <f>E81+L81+K81+F81+G81+H81+I81+J81</f>
        <v>4630000</v>
      </c>
      <c r="E81" s="977">
        <f>1660000+1080000+1080000</f>
        <v>3820000</v>
      </c>
      <c r="F81" s="853">
        <f>810000</f>
        <v>810000</v>
      </c>
      <c r="G81" s="1016">
        <v>0</v>
      </c>
      <c r="H81" s="1016">
        <v>0</v>
      </c>
      <c r="I81" s="1016">
        <v>0</v>
      </c>
      <c r="J81" s="3672">
        <v>0</v>
      </c>
      <c r="K81" s="853"/>
      <c r="L81" s="853">
        <v>0</v>
      </c>
      <c r="M81" s="3673">
        <v>0</v>
      </c>
      <c r="N81" s="4218"/>
    </row>
    <row r="82" spans="1:16" s="163" customFormat="1" ht="13.5" customHeight="1" thickBot="1">
      <c r="A82" s="4206"/>
      <c r="B82" s="1553" t="s">
        <v>114</v>
      </c>
      <c r="C82" s="4088"/>
      <c r="D82" s="856">
        <f>E82+L82+K82+F82+G82+H82+I82+J82</f>
        <v>3370000</v>
      </c>
      <c r="E82" s="3674">
        <v>0</v>
      </c>
      <c r="F82" s="857">
        <f>1080000-810000</f>
        <v>270000</v>
      </c>
      <c r="G82" s="857">
        <v>1080000</v>
      </c>
      <c r="H82" s="857">
        <v>1080000</v>
      </c>
      <c r="I82" s="857">
        <v>940000</v>
      </c>
      <c r="J82" s="3675">
        <v>0</v>
      </c>
      <c r="K82" s="857">
        <f>1080000-720000-360000</f>
        <v>0</v>
      </c>
      <c r="L82" s="1554">
        <v>0</v>
      </c>
      <c r="M82" s="1555">
        <f>SUM(F82:J82)</f>
        <v>3370000</v>
      </c>
      <c r="N82" s="4219"/>
    </row>
    <row r="83" spans="1:16" s="163" customFormat="1" ht="48.75" customHeight="1">
      <c r="A83" s="4204" t="s">
        <v>55</v>
      </c>
      <c r="B83" s="3676" t="s">
        <v>318</v>
      </c>
      <c r="C83" s="338" t="s">
        <v>97</v>
      </c>
      <c r="D83" s="1520"/>
      <c r="E83" s="1481"/>
      <c r="F83" s="1481"/>
      <c r="G83" s="1481"/>
      <c r="H83" s="1481"/>
      <c r="I83" s="1481"/>
      <c r="J83" s="1522"/>
      <c r="K83" s="1481"/>
      <c r="L83" s="1481"/>
      <c r="M83" s="3677"/>
      <c r="N83" s="4209" t="s">
        <v>251</v>
      </c>
      <c r="O83" s="737">
        <f>+F92+G92+H92+I92+J92+F92+G92+H92+1916851-59217</f>
        <v>26717362</v>
      </c>
    </row>
    <row r="84" spans="1:16" s="163" customFormat="1" ht="13.5" customHeight="1" thickBot="1">
      <c r="A84" s="4205"/>
      <c r="B84" s="246" t="s">
        <v>9</v>
      </c>
      <c r="C84" s="3678"/>
      <c r="D84" s="3679">
        <f>+D85</f>
        <v>2799999.64</v>
      </c>
      <c r="E84" s="3679">
        <f t="shared" ref="E84" si="62">+E85</f>
        <v>583332.64</v>
      </c>
      <c r="F84" s="3679">
        <f t="shared" ref="F84:J84" si="63">+F85</f>
        <v>233333</v>
      </c>
      <c r="G84" s="3679">
        <f t="shared" si="63"/>
        <v>233333</v>
      </c>
      <c r="H84" s="3679">
        <f t="shared" si="63"/>
        <v>233333</v>
      </c>
      <c r="I84" s="3679">
        <f t="shared" si="63"/>
        <v>233333</v>
      </c>
      <c r="J84" s="3679">
        <f t="shared" si="63"/>
        <v>233333</v>
      </c>
      <c r="K84" s="3679">
        <f>+K85</f>
        <v>0</v>
      </c>
      <c r="L84" s="3679">
        <f>+L85</f>
        <v>0</v>
      </c>
      <c r="M84" s="3680">
        <f>+M85</f>
        <v>2041667</v>
      </c>
      <c r="N84" s="4210"/>
    </row>
    <row r="85" spans="1:16" s="163" customFormat="1" ht="13.5" customHeight="1" thickBot="1">
      <c r="A85" s="4205"/>
      <c r="B85" s="341" t="s">
        <v>22</v>
      </c>
      <c r="C85" s="4202" t="s">
        <v>113</v>
      </c>
      <c r="D85" s="748">
        <f>+D87+D86</f>
        <v>2799999.64</v>
      </c>
      <c r="E85" s="748">
        <f>+E86</f>
        <v>583332.64</v>
      </c>
      <c r="F85" s="748">
        <f t="shared" ref="F85:J85" si="64">+F86+F87</f>
        <v>233333</v>
      </c>
      <c r="G85" s="748">
        <f t="shared" si="64"/>
        <v>233333</v>
      </c>
      <c r="H85" s="748">
        <f t="shared" si="64"/>
        <v>233333</v>
      </c>
      <c r="I85" s="748">
        <f t="shared" si="64"/>
        <v>233333</v>
      </c>
      <c r="J85" s="748">
        <f t="shared" si="64"/>
        <v>233333</v>
      </c>
      <c r="K85" s="748">
        <f>+K86+K87</f>
        <v>0</v>
      </c>
      <c r="L85" s="748">
        <f>+L86+L87</f>
        <v>0</v>
      </c>
      <c r="M85" s="1552">
        <f>+M87</f>
        <v>2041667</v>
      </c>
      <c r="N85" s="4216"/>
    </row>
    <row r="86" spans="1:16" s="163" customFormat="1" ht="12.75" customHeight="1" thickBot="1">
      <c r="A86" s="4205"/>
      <c r="B86" s="2213" t="s">
        <v>111</v>
      </c>
      <c r="C86" s="4203"/>
      <c r="D86" s="124">
        <f>E86+L86+K86+F86+G86+H86+I86+J86</f>
        <v>758332.64</v>
      </c>
      <c r="E86" s="745">
        <f>116666.64+233333+77779+155554</f>
        <v>583332.64</v>
      </c>
      <c r="F86" s="749">
        <f>175000</f>
        <v>175000</v>
      </c>
      <c r="G86" s="3125">
        <v>0</v>
      </c>
      <c r="H86" s="3125">
        <v>0</v>
      </c>
      <c r="I86" s="3125">
        <v>0</v>
      </c>
      <c r="J86" s="3125">
        <v>0</v>
      </c>
      <c r="K86" s="749"/>
      <c r="L86" s="749">
        <v>0</v>
      </c>
      <c r="M86" s="3673">
        <v>0</v>
      </c>
      <c r="N86" s="4216"/>
    </row>
    <row r="87" spans="1:16" s="163" customFormat="1" ht="13.5" customHeight="1" thickBot="1">
      <c r="A87" s="4206"/>
      <c r="B87" s="1553" t="s">
        <v>114</v>
      </c>
      <c r="C87" s="4088"/>
      <c r="D87" s="464">
        <f>E87+L87+K87+F87+G87+H87+I87+J87+O87</f>
        <v>2041667</v>
      </c>
      <c r="E87" s="3681">
        <v>0</v>
      </c>
      <c r="F87" s="283">
        <f>233333-175000</f>
        <v>58333</v>
      </c>
      <c r="G87" s="283">
        <v>233333</v>
      </c>
      <c r="H87" s="283">
        <v>233333</v>
      </c>
      <c r="I87" s="283">
        <v>233333</v>
      </c>
      <c r="J87" s="283">
        <v>233333</v>
      </c>
      <c r="K87" s="283">
        <f>233333-155556-77777</f>
        <v>0</v>
      </c>
      <c r="L87" s="283">
        <v>0</v>
      </c>
      <c r="M87" s="1451">
        <f>SUM(F87:J87)+1050002</f>
        <v>2041667</v>
      </c>
      <c r="N87" s="4211"/>
      <c r="O87" s="3682">
        <v>1050002</v>
      </c>
      <c r="P87" s="737">
        <f>+O87+O92</f>
        <v>33636325</v>
      </c>
    </row>
    <row r="88" spans="1:16" s="175" customFormat="1" ht="27.75" customHeight="1" thickBot="1">
      <c r="A88" s="4207" t="s">
        <v>56</v>
      </c>
      <c r="B88" s="716" t="s">
        <v>320</v>
      </c>
      <c r="C88" s="338" t="s">
        <v>97</v>
      </c>
      <c r="D88" s="1520"/>
      <c r="E88" s="1481"/>
      <c r="F88" s="1481"/>
      <c r="G88" s="1481"/>
      <c r="H88" s="1481"/>
      <c r="I88" s="1481"/>
      <c r="J88" s="1522"/>
      <c r="K88" s="1481"/>
      <c r="L88" s="1481"/>
      <c r="M88" s="1547"/>
      <c r="N88" s="4215" t="s">
        <v>285</v>
      </c>
    </row>
    <row r="89" spans="1:16" s="175" customFormat="1" ht="13.5" customHeight="1" thickBot="1">
      <c r="A89" s="4208"/>
      <c r="B89" s="246" t="s">
        <v>9</v>
      </c>
      <c r="C89" s="3678"/>
      <c r="D89" s="340">
        <f>+D90</f>
        <v>54630005</v>
      </c>
      <c r="E89" s="340">
        <f t="shared" ref="E89:J89" si="65">+E90</f>
        <v>2934480</v>
      </c>
      <c r="F89" s="340">
        <f t="shared" si="65"/>
        <v>3833684</v>
      </c>
      <c r="G89" s="340">
        <f t="shared" si="65"/>
        <v>3833684</v>
      </c>
      <c r="H89" s="340">
        <f t="shared" si="65"/>
        <v>3833684</v>
      </c>
      <c r="I89" s="340">
        <f t="shared" si="65"/>
        <v>3833684</v>
      </c>
      <c r="J89" s="340">
        <f t="shared" si="65"/>
        <v>3774466</v>
      </c>
      <c r="K89" s="340">
        <f>+K90</f>
        <v>0</v>
      </c>
      <c r="L89" s="744">
        <f>+L90</f>
        <v>0</v>
      </c>
      <c r="M89" s="1550">
        <f>+M90</f>
        <v>48820262</v>
      </c>
      <c r="N89" s="4216"/>
      <c r="O89" s="180"/>
    </row>
    <row r="90" spans="1:16" s="163" customFormat="1" ht="13.5" customHeight="1" thickBot="1">
      <c r="A90" s="4208"/>
      <c r="B90" s="341" t="s">
        <v>22</v>
      </c>
      <c r="C90" s="4202" t="s">
        <v>113</v>
      </c>
      <c r="D90" s="746">
        <f>+D91+D92</f>
        <v>54630005</v>
      </c>
      <c r="E90" s="746">
        <f t="shared" ref="E90" si="66">+E91+E92</f>
        <v>2934480</v>
      </c>
      <c r="F90" s="746">
        <f t="shared" ref="F90:J90" si="67">+F91+F92</f>
        <v>3833684</v>
      </c>
      <c r="G90" s="746">
        <f t="shared" si="67"/>
        <v>3833684</v>
      </c>
      <c r="H90" s="746">
        <f t="shared" si="67"/>
        <v>3833684</v>
      </c>
      <c r="I90" s="746">
        <f t="shared" si="67"/>
        <v>3833684</v>
      </c>
      <c r="J90" s="746">
        <f t="shared" si="67"/>
        <v>3774466</v>
      </c>
      <c r="K90" s="746">
        <f>+K91+K92</f>
        <v>0</v>
      </c>
      <c r="L90" s="747">
        <f>+L91+L92</f>
        <v>0</v>
      </c>
      <c r="M90" s="1552">
        <f>+M91+M92</f>
        <v>48820262</v>
      </c>
      <c r="N90" s="4216"/>
      <c r="P90" s="737"/>
    </row>
    <row r="91" spans="1:16" s="163" customFormat="1" ht="13.5" customHeight="1" thickBot="1">
      <c r="A91" s="4208"/>
      <c r="B91" s="2213" t="s">
        <v>111</v>
      </c>
      <c r="C91" s="4203"/>
      <c r="D91" s="124">
        <f>E91+L91+K91+F91+G91+H91+I91+J91</f>
        <v>5809743</v>
      </c>
      <c r="E91" s="853">
        <f>1017638+1916842</f>
        <v>2934480</v>
      </c>
      <c r="F91" s="853">
        <v>2875263</v>
      </c>
      <c r="G91" s="345">
        <v>0</v>
      </c>
      <c r="H91" s="345">
        <v>0</v>
      </c>
      <c r="I91" s="346">
        <v>0</v>
      </c>
      <c r="J91" s="346">
        <v>0</v>
      </c>
      <c r="K91" s="853">
        <v>0</v>
      </c>
      <c r="L91" s="345">
        <v>0</v>
      </c>
      <c r="M91" s="3673">
        <v>0</v>
      </c>
      <c r="N91" s="4211"/>
      <c r="O91" s="737"/>
    </row>
    <row r="92" spans="1:16" s="163" customFormat="1" ht="13.5" customHeight="1" thickBot="1">
      <c r="A92" s="4208"/>
      <c r="B92" s="1553" t="s">
        <v>114</v>
      </c>
      <c r="C92" s="4088"/>
      <c r="D92" s="464">
        <f>+K92+F92+G92+H92+I92+J92+O92</f>
        <v>48820262</v>
      </c>
      <c r="E92" s="3681">
        <v>0</v>
      </c>
      <c r="F92" s="283">
        <f>3912640-78956-2875263</f>
        <v>958421</v>
      </c>
      <c r="G92" s="283">
        <f>3912640-78956</f>
        <v>3833684</v>
      </c>
      <c r="H92" s="283">
        <f>3912640-78956</f>
        <v>3833684</v>
      </c>
      <c r="I92" s="283">
        <f>3912640-78956</f>
        <v>3833684</v>
      </c>
      <c r="J92" s="283">
        <f>3912640-78956-59218</f>
        <v>3774466</v>
      </c>
      <c r="K92" s="857">
        <f>2934480-1017638-1916842</f>
        <v>0</v>
      </c>
      <c r="L92" s="3683">
        <v>0</v>
      </c>
      <c r="M92" s="3684">
        <f>+J92+I92+H92+G92+F92+3833684+3833684+3833684+3833684+3833684+3833684+3833684+3833684+1916851</f>
        <v>48820262</v>
      </c>
      <c r="N92" s="4215"/>
      <c r="O92" s="3685">
        <v>32586323</v>
      </c>
    </row>
    <row r="93" spans="1:16" s="163" customFormat="1" ht="27.75" customHeight="1">
      <c r="A93" s="4204" t="s">
        <v>57</v>
      </c>
      <c r="B93" s="716" t="s">
        <v>411</v>
      </c>
      <c r="C93" s="338" t="s">
        <v>70</v>
      </c>
      <c r="D93" s="1520"/>
      <c r="E93" s="1481"/>
      <c r="F93" s="1481"/>
      <c r="G93" s="1481"/>
      <c r="H93" s="1481"/>
      <c r="I93" s="1481"/>
      <c r="J93" s="1522"/>
      <c r="K93" s="1481"/>
      <c r="L93" s="1481"/>
      <c r="M93" s="3623"/>
      <c r="N93" s="4209" t="s">
        <v>410</v>
      </c>
      <c r="O93" s="1288"/>
    </row>
    <row r="94" spans="1:16" s="163" customFormat="1" ht="13.5" customHeight="1" thickBot="1">
      <c r="A94" s="4206"/>
      <c r="B94" s="1195" t="s">
        <v>9</v>
      </c>
      <c r="C94" s="1557"/>
      <c r="D94" s="1558">
        <f>+D95</f>
        <v>13500000</v>
      </c>
      <c r="E94" s="1559">
        <v>0</v>
      </c>
      <c r="F94" s="1558">
        <f>+F95</f>
        <v>4500000</v>
      </c>
      <c r="G94" s="1558">
        <f t="shared" ref="G94:H94" si="68">+G95</f>
        <v>4500000</v>
      </c>
      <c r="H94" s="1558">
        <f t="shared" si="68"/>
        <v>4500000</v>
      </c>
      <c r="I94" s="1559">
        <v>0</v>
      </c>
      <c r="J94" s="1559">
        <v>0</v>
      </c>
      <c r="K94" s="1559">
        <v>0</v>
      </c>
      <c r="L94" s="1559">
        <v>0</v>
      </c>
      <c r="M94" s="1560">
        <f>+M95</f>
        <v>13500000</v>
      </c>
      <c r="N94" s="4210"/>
      <c r="O94" s="1288"/>
    </row>
    <row r="95" spans="1:16" s="163" customFormat="1" ht="13.5" customHeight="1" thickBot="1">
      <c r="A95" s="4208"/>
      <c r="B95" s="1529" t="s">
        <v>22</v>
      </c>
      <c r="C95" s="4213" t="s">
        <v>409</v>
      </c>
      <c r="D95" s="1561">
        <f>+D96</f>
        <v>13500000</v>
      </c>
      <c r="E95" s="1562">
        <v>0</v>
      </c>
      <c r="F95" s="1561">
        <f>+F96</f>
        <v>4500000</v>
      </c>
      <c r="G95" s="1561">
        <f t="shared" ref="G95:H95" si="69">+G96</f>
        <v>4500000</v>
      </c>
      <c r="H95" s="1561">
        <f t="shared" si="69"/>
        <v>4500000</v>
      </c>
      <c r="I95" s="1562">
        <v>0</v>
      </c>
      <c r="J95" s="1562">
        <v>0</v>
      </c>
      <c r="K95" s="1562">
        <v>0</v>
      </c>
      <c r="L95" s="1562">
        <v>0</v>
      </c>
      <c r="M95" s="1563">
        <f>+M96</f>
        <v>13500000</v>
      </c>
      <c r="N95" s="4211"/>
      <c r="O95" s="1288"/>
    </row>
    <row r="96" spans="1:16" s="163" customFormat="1" ht="13.5" customHeight="1" thickBot="1">
      <c r="A96" s="4208"/>
      <c r="B96" s="1553" t="s">
        <v>114</v>
      </c>
      <c r="C96" s="4214"/>
      <c r="D96" s="1297">
        <f>+E96+L96+K96+F96+G96+H96</f>
        <v>13500000</v>
      </c>
      <c r="E96" s="1564">
        <v>0</v>
      </c>
      <c r="F96" s="1554">
        <v>4500000</v>
      </c>
      <c r="G96" s="1554">
        <v>4500000</v>
      </c>
      <c r="H96" s="1554">
        <v>4500000</v>
      </c>
      <c r="I96" s="1565">
        <v>0</v>
      </c>
      <c r="J96" s="1565">
        <v>0</v>
      </c>
      <c r="K96" s="2117">
        <v>0</v>
      </c>
      <c r="L96" s="2117">
        <v>0</v>
      </c>
      <c r="M96" s="1566">
        <f>+H96+G96+F96+I96+J96</f>
        <v>13500000</v>
      </c>
      <c r="N96" s="4212"/>
      <c r="O96" s="1288"/>
    </row>
    <row r="97" spans="1:22" s="750" customFormat="1" ht="13.5" customHeight="1">
      <c r="A97" s="4199"/>
      <c r="B97" s="4199"/>
      <c r="C97" s="4199"/>
      <c r="D97" s="4199"/>
      <c r="E97" s="4199"/>
      <c r="F97" s="4199"/>
      <c r="G97" s="4199"/>
      <c r="H97" s="4199"/>
      <c r="I97" s="4199"/>
      <c r="J97" s="4199"/>
      <c r="K97" s="4199"/>
      <c r="L97" s="4199"/>
      <c r="M97" s="4199"/>
      <c r="N97" s="4200"/>
    </row>
    <row r="98" spans="1:22" s="154" customFormat="1" ht="12.75" customHeight="1">
      <c r="A98" s="4201" t="s">
        <v>319</v>
      </c>
      <c r="B98" s="4201"/>
      <c r="C98" s="4201"/>
      <c r="D98" s="4201"/>
      <c r="E98" s="4201"/>
      <c r="F98" s="4201"/>
      <c r="G98" s="4201"/>
      <c r="H98" s="4201"/>
      <c r="I98" s="4201"/>
      <c r="J98" s="4201"/>
      <c r="K98" s="3599"/>
      <c r="L98" s="3599"/>
      <c r="N98" s="81"/>
    </row>
    <row r="99" spans="1:22" s="154" customFormat="1" ht="12.75" customHeight="1">
      <c r="A99" s="4201" t="s">
        <v>419</v>
      </c>
      <c r="B99" s="4201"/>
      <c r="C99" s="4201"/>
      <c r="D99" s="4201"/>
      <c r="E99" s="4201"/>
      <c r="F99" s="4201"/>
      <c r="G99" s="4201"/>
      <c r="H99" s="3599"/>
      <c r="I99" s="3599"/>
      <c r="J99" s="3599"/>
      <c r="K99" s="3599"/>
      <c r="L99" s="3599"/>
    </row>
    <row r="100" spans="1:22" s="750" customFormat="1" ht="13.5" customHeight="1">
      <c r="A100" s="4199"/>
      <c r="B100" s="4199"/>
      <c r="C100" s="4199"/>
      <c r="D100" s="4199"/>
      <c r="E100" s="4199"/>
      <c r="F100" s="4199"/>
      <c r="G100" s="4199"/>
      <c r="H100" s="4199"/>
      <c r="I100" s="4199"/>
      <c r="J100" s="4199"/>
      <c r="K100" s="4199"/>
      <c r="L100" s="4199"/>
      <c r="M100" s="4199"/>
      <c r="N100" s="4199"/>
    </row>
    <row r="101" spans="1:22" s="751" customFormat="1" ht="12.75" hidden="1" customHeight="1" thickBot="1">
      <c r="A101" s="1430"/>
      <c r="E101" s="752"/>
      <c r="F101" s="146"/>
      <c r="G101" s="146"/>
      <c r="H101" s="146"/>
      <c r="I101" s="146"/>
      <c r="J101" s="146"/>
      <c r="K101" s="146"/>
      <c r="L101" s="146"/>
      <c r="M101" s="146"/>
      <c r="N101" s="3686"/>
    </row>
    <row r="102" spans="1:22" s="175" customFormat="1" ht="10.5" hidden="1" customHeight="1" thickBot="1">
      <c r="A102" s="1353"/>
      <c r="B102" s="146"/>
      <c r="C102" s="149"/>
      <c r="D102" s="149"/>
      <c r="E102" s="146"/>
      <c r="F102" s="146"/>
      <c r="G102" s="146"/>
      <c r="H102" s="146"/>
      <c r="I102" s="146"/>
      <c r="J102" s="146"/>
      <c r="K102" s="146"/>
      <c r="L102" s="146"/>
      <c r="M102" s="146"/>
      <c r="N102" s="3687"/>
    </row>
    <row r="103" spans="1:22" s="750" customFormat="1" ht="15.75" hidden="1" customHeight="1" thickBot="1">
      <c r="A103" s="1365"/>
      <c r="B103" s="146"/>
      <c r="C103" s="146"/>
      <c r="D103" s="146"/>
      <c r="E103" s="146"/>
      <c r="F103" s="753">
        <v>2019</v>
      </c>
      <c r="G103" s="753">
        <v>2020</v>
      </c>
      <c r="H103" s="753">
        <v>2021</v>
      </c>
      <c r="I103" s="753">
        <v>2022</v>
      </c>
      <c r="J103" s="753">
        <v>2023</v>
      </c>
      <c r="K103" s="3688"/>
      <c r="L103" s="753"/>
      <c r="M103" s="3689">
        <v>2024</v>
      </c>
      <c r="N103" s="3690">
        <v>2025</v>
      </c>
      <c r="O103" s="753">
        <v>2026</v>
      </c>
      <c r="P103" s="753">
        <v>2027</v>
      </c>
      <c r="Q103" s="753">
        <v>2028</v>
      </c>
      <c r="R103" s="753">
        <v>2029</v>
      </c>
      <c r="S103" s="753">
        <v>2030</v>
      </c>
      <c r="T103" s="753">
        <v>2031</v>
      </c>
      <c r="U103" s="753">
        <v>2032</v>
      </c>
    </row>
    <row r="104" spans="1:22" s="750" customFormat="1" ht="15.75" hidden="1" customHeight="1" thickBot="1">
      <c r="A104" s="1353"/>
      <c r="B104" s="754" t="s">
        <v>190</v>
      </c>
      <c r="C104" s="754"/>
      <c r="D104" s="755"/>
      <c r="E104" s="754"/>
      <c r="F104" s="756">
        <f>+F82+F87+F92</f>
        <v>1286754</v>
      </c>
      <c r="G104" s="756">
        <f>+G82+G87+G92</f>
        <v>5147017</v>
      </c>
      <c r="H104" s="756">
        <f>+H82+H87+H92</f>
        <v>5147017</v>
      </c>
      <c r="I104" s="756">
        <f t="shared" ref="I104" si="70">+I82+I87+I92</f>
        <v>5007017</v>
      </c>
      <c r="J104" s="756">
        <f>+J82+J87+J92</f>
        <v>4007799</v>
      </c>
      <c r="K104" s="2558"/>
      <c r="L104" s="756">
        <f>+L82+L87+L92</f>
        <v>0</v>
      </c>
      <c r="M104" s="1376">
        <f>4145973-78956</f>
        <v>4067017</v>
      </c>
      <c r="N104" s="1382">
        <f>4145973-78956</f>
        <v>4067017</v>
      </c>
      <c r="O104" s="756">
        <f>4145973-78956</f>
        <v>4067017</v>
      </c>
      <c r="P104" s="756">
        <f>4145973-78956</f>
        <v>4067017</v>
      </c>
      <c r="Q104" s="756">
        <f>4029310-78956</f>
        <v>3950354</v>
      </c>
      <c r="R104" s="756">
        <f>3912640-78956</f>
        <v>3833684</v>
      </c>
      <c r="S104" s="756">
        <f>3912640-78956</f>
        <v>3833684</v>
      </c>
      <c r="T104" s="756">
        <f>3912640-78956</f>
        <v>3833684</v>
      </c>
      <c r="U104" s="756">
        <v>1916851</v>
      </c>
      <c r="V104" s="756">
        <f>+M82+M87+M92</f>
        <v>54231929</v>
      </c>
    </row>
    <row r="105" spans="1:22" s="750" customFormat="1" ht="15.75" hidden="1" customHeight="1" thickBot="1">
      <c r="A105" s="1353"/>
      <c r="B105" s="146"/>
      <c r="C105" s="146"/>
      <c r="D105" s="149"/>
      <c r="E105" s="146"/>
      <c r="F105" s="146"/>
      <c r="G105" s="146"/>
      <c r="H105" s="146"/>
      <c r="I105" s="146"/>
      <c r="J105" s="146"/>
      <c r="K105" s="146"/>
      <c r="L105" s="146"/>
      <c r="M105" s="146"/>
      <c r="N105" s="3687"/>
      <c r="U105" s="757">
        <f>SUM(F104:U104)</f>
        <v>54231929</v>
      </c>
    </row>
    <row r="106" spans="1:22" s="750" customFormat="1" ht="12" hidden="1" customHeight="1" thickBot="1">
      <c r="A106" s="1353"/>
      <c r="B106" s="146"/>
      <c r="C106" s="146"/>
      <c r="D106" s="149"/>
      <c r="E106" s="146"/>
      <c r="F106" s="146"/>
      <c r="G106" s="146"/>
      <c r="H106" s="146"/>
      <c r="I106" s="146"/>
      <c r="J106" s="146"/>
      <c r="K106" s="146"/>
      <c r="L106" s="146"/>
      <c r="M106" s="146"/>
      <c r="N106" s="3687"/>
      <c r="Q106" s="757"/>
      <c r="U106" s="757"/>
    </row>
    <row r="107" spans="1:22" s="758" customFormat="1" ht="22.5" hidden="1" customHeight="1" thickBot="1">
      <c r="A107" s="1353"/>
      <c r="B107" s="1766" t="s">
        <v>301</v>
      </c>
      <c r="C107" s="1765"/>
      <c r="D107" s="1765"/>
      <c r="E107" s="1765"/>
      <c r="F107" s="1765"/>
      <c r="G107" s="1765"/>
      <c r="H107" s="1765"/>
      <c r="I107" s="1765"/>
      <c r="J107" s="1765"/>
      <c r="K107" s="1765"/>
      <c r="L107" s="1765"/>
      <c r="M107" s="146"/>
      <c r="N107" s="3687"/>
      <c r="U107" s="759">
        <f>+U105-V104</f>
        <v>0</v>
      </c>
    </row>
    <row r="108" spans="1:22" s="175" customFormat="1" ht="12.75" hidden="1" customHeight="1" thickBot="1">
      <c r="A108" s="1353"/>
      <c r="B108" s="1766" t="s">
        <v>302</v>
      </c>
      <c r="C108" s="1765"/>
      <c r="D108" s="1745">
        <f>D40</f>
        <v>1203025</v>
      </c>
      <c r="E108" s="1745">
        <f t="shared" ref="E108:J108" si="71">E40</f>
        <v>59620</v>
      </c>
      <c r="F108" s="1745">
        <f t="shared" si="71"/>
        <v>627243</v>
      </c>
      <c r="G108" s="1745">
        <f t="shared" si="71"/>
        <v>448015</v>
      </c>
      <c r="H108" s="1745">
        <f t="shared" si="71"/>
        <v>68147</v>
      </c>
      <c r="I108" s="1745">
        <f t="shared" si="71"/>
        <v>0</v>
      </c>
      <c r="J108" s="1745">
        <f t="shared" si="71"/>
        <v>0</v>
      </c>
      <c r="K108" s="1745"/>
      <c r="L108" s="1745">
        <f>L40</f>
        <v>0</v>
      </c>
      <c r="M108" s="146"/>
      <c r="N108" s="3687"/>
    </row>
    <row r="109" spans="1:22" s="175" customFormat="1" ht="12.75" hidden="1" customHeight="1">
      <c r="A109" s="1366"/>
      <c r="B109" s="1766" t="s">
        <v>303</v>
      </c>
      <c r="C109" s="1765"/>
      <c r="D109" s="1745">
        <f>D28</f>
        <v>36789795</v>
      </c>
      <c r="E109" s="1745">
        <f t="shared" ref="E109:J109" si="72">E28</f>
        <v>1823249</v>
      </c>
      <c r="F109" s="1745">
        <f>F28</f>
        <v>19181603</v>
      </c>
      <c r="G109" s="1745">
        <f t="shared" si="72"/>
        <v>13700930</v>
      </c>
      <c r="H109" s="1745">
        <f t="shared" si="72"/>
        <v>2084013</v>
      </c>
      <c r="I109" s="1745">
        <f t="shared" si="72"/>
        <v>0</v>
      </c>
      <c r="J109" s="1745">
        <f t="shared" si="72"/>
        <v>0</v>
      </c>
      <c r="K109" s="1745"/>
      <c r="L109" s="1745">
        <f>L28</f>
        <v>0</v>
      </c>
      <c r="M109" s="146"/>
      <c r="N109" s="3691"/>
    </row>
    <row r="110" spans="1:22" s="175" customFormat="1" hidden="1">
      <c r="A110" s="145"/>
      <c r="B110" s="1766" t="s">
        <v>304</v>
      </c>
      <c r="C110" s="1765"/>
      <c r="D110" s="1085">
        <f>D108+D109</f>
        <v>37992820</v>
      </c>
      <c r="E110" s="1085">
        <f t="shared" ref="E110:J110" si="73">E108+E109</f>
        <v>1882869</v>
      </c>
      <c r="F110" s="1085">
        <f t="shared" si="73"/>
        <v>19808846</v>
      </c>
      <c r="G110" s="1085">
        <f t="shared" si="73"/>
        <v>14148945</v>
      </c>
      <c r="H110" s="1085">
        <f t="shared" si="73"/>
        <v>2152160</v>
      </c>
      <c r="I110" s="1085">
        <f t="shared" si="73"/>
        <v>0</v>
      </c>
      <c r="J110" s="1085">
        <f t="shared" si="73"/>
        <v>0</v>
      </c>
      <c r="K110" s="1085"/>
      <c r="L110" s="1085">
        <f>L108+L109</f>
        <v>0</v>
      </c>
      <c r="M110" s="146"/>
      <c r="N110" s="209"/>
    </row>
    <row r="111" spans="1:22" s="758" customFormat="1" ht="14.25" hidden="1" customHeight="1">
      <c r="A111" s="145"/>
      <c r="B111" s="964" t="s">
        <v>39</v>
      </c>
      <c r="C111" s="965"/>
      <c r="D111" s="1086">
        <f t="shared" ref="D111:L111" si="74">D110-D15</f>
        <v>0</v>
      </c>
      <c r="E111" s="1086">
        <f t="shared" si="74"/>
        <v>0</v>
      </c>
      <c r="F111" s="1086">
        <f t="shared" si="74"/>
        <v>0</v>
      </c>
      <c r="G111" s="1086">
        <f t="shared" si="74"/>
        <v>0</v>
      </c>
      <c r="H111" s="1086">
        <f t="shared" si="74"/>
        <v>0</v>
      </c>
      <c r="I111" s="1086">
        <f t="shared" si="74"/>
        <v>0</v>
      </c>
      <c r="J111" s="1086">
        <f t="shared" si="74"/>
        <v>0</v>
      </c>
      <c r="K111" s="1086"/>
      <c r="L111" s="1086">
        <f t="shared" si="74"/>
        <v>0</v>
      </c>
      <c r="M111" s="146"/>
      <c r="N111" s="209"/>
    </row>
    <row r="112" spans="1:22" s="175" customFormat="1" ht="12.75" hidden="1" customHeight="1">
      <c r="A112" s="145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209"/>
    </row>
    <row r="113" spans="1:14" s="175" customFormat="1" ht="12.75" hidden="1" customHeight="1">
      <c r="A113" s="145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209"/>
    </row>
    <row r="114" spans="1:14" s="175" customFormat="1" hidden="1">
      <c r="A114" s="145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209"/>
    </row>
    <row r="115" spans="1:14" s="175" customFormat="1">
      <c r="A115" s="145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209"/>
    </row>
    <row r="116" spans="1:14" s="758" customFormat="1" ht="33.75" customHeight="1">
      <c r="A116" s="145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209"/>
    </row>
    <row r="117" spans="1:14" s="175" customFormat="1" ht="12.75" customHeight="1">
      <c r="A117" s="145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209"/>
    </row>
    <row r="118" spans="1:14" s="175" customFormat="1" ht="12.75" customHeight="1">
      <c r="A118" s="145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209"/>
    </row>
    <row r="119" spans="1:14" s="175" customFormat="1" ht="12.75" customHeight="1">
      <c r="A119" s="145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209"/>
    </row>
    <row r="120" spans="1:14" s="175" customFormat="1" ht="12.75" customHeight="1">
      <c r="A120" s="145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209"/>
    </row>
    <row r="121" spans="1:14" s="175" customFormat="1">
      <c r="A121" s="145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209"/>
    </row>
    <row r="122" spans="1:14" s="758" customFormat="1" ht="12" customHeight="1">
      <c r="A122" s="145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209"/>
    </row>
    <row r="123" spans="1:14" s="175" customFormat="1" ht="12.75" customHeight="1">
      <c r="A123" s="145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209"/>
    </row>
    <row r="124" spans="1:14" s="175" customFormat="1" ht="12.75" customHeight="1">
      <c r="A124" s="145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209"/>
    </row>
    <row r="125" spans="1:14" s="175" customFormat="1">
      <c r="A125" s="145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209"/>
    </row>
    <row r="126" spans="1:14" s="175" customFormat="1">
      <c r="A126" s="145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209"/>
    </row>
    <row r="127" spans="1:14" s="758" customFormat="1" ht="22.5" customHeight="1">
      <c r="A127" s="145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209"/>
    </row>
    <row r="128" spans="1:14" s="175" customFormat="1" ht="12.75" customHeight="1">
      <c r="A128" s="145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209"/>
    </row>
    <row r="129" spans="1:14" s="175" customFormat="1" ht="12.75" customHeight="1">
      <c r="A129" s="145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209"/>
    </row>
    <row r="130" spans="1:14" s="175" customFormat="1">
      <c r="A130" s="145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209"/>
    </row>
    <row r="131" spans="1:14" s="175" customFormat="1">
      <c r="A131" s="145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209"/>
    </row>
    <row r="132" spans="1:14" s="758" customFormat="1" ht="15" customHeight="1">
      <c r="A132" s="145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209"/>
    </row>
    <row r="133" spans="1:14" s="175" customFormat="1" ht="12.75" customHeight="1">
      <c r="A133" s="145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209"/>
    </row>
    <row r="134" spans="1:14" s="175" customFormat="1" ht="12.75" customHeight="1">
      <c r="A134" s="145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209"/>
    </row>
    <row r="135" spans="1:14" s="175" customFormat="1">
      <c r="A135" s="145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209"/>
    </row>
    <row r="136" spans="1:14" s="175" customFormat="1">
      <c r="A136" s="145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209"/>
    </row>
    <row r="137" spans="1:14" s="758" customFormat="1" ht="13.5" customHeight="1">
      <c r="A137" s="145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209"/>
    </row>
    <row r="138" spans="1:14" s="175" customFormat="1" ht="12.75" customHeight="1">
      <c r="A138" s="145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209"/>
    </row>
    <row r="139" spans="1:14" s="175" customFormat="1" ht="12.75" customHeight="1">
      <c r="A139" s="145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209"/>
    </row>
    <row r="140" spans="1:14" s="175" customFormat="1">
      <c r="A140" s="145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209"/>
    </row>
    <row r="141" spans="1:14" s="175" customFormat="1">
      <c r="A141" s="145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209"/>
    </row>
    <row r="142" spans="1:14" s="175" customFormat="1">
      <c r="A142" s="145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209"/>
    </row>
    <row r="143" spans="1:14" s="758" customFormat="1" ht="22.5" customHeight="1">
      <c r="A143" s="145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209"/>
    </row>
    <row r="144" spans="1:14" s="175" customFormat="1" ht="12.75" customHeight="1">
      <c r="A144" s="145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209"/>
    </row>
    <row r="145" spans="1:14" s="175" customFormat="1" ht="12.75" customHeight="1">
      <c r="A145" s="145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209"/>
    </row>
    <row r="146" spans="1:14" s="175" customFormat="1">
      <c r="A146" s="145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209"/>
    </row>
    <row r="147" spans="1:14" s="175" customFormat="1">
      <c r="A147" s="145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209"/>
    </row>
    <row r="148" spans="1:14" s="758" customFormat="1" ht="12.75" customHeight="1">
      <c r="A148" s="145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209"/>
    </row>
    <row r="149" spans="1:14" s="175" customFormat="1" ht="9.75" customHeight="1">
      <c r="A149" s="145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209"/>
    </row>
    <row r="150" spans="1:14" s="175" customFormat="1" ht="12.75" customHeight="1">
      <c r="A150" s="145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209"/>
    </row>
    <row r="151" spans="1:14" s="175" customFormat="1">
      <c r="A151" s="145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209"/>
    </row>
    <row r="152" spans="1:14" s="175" customFormat="1">
      <c r="A152" s="145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209"/>
    </row>
    <row r="153" spans="1:14" s="758" customFormat="1" ht="13.5" customHeight="1">
      <c r="A153" s="145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209"/>
    </row>
    <row r="154" spans="1:14" s="175" customFormat="1" ht="9.75" customHeight="1">
      <c r="A154" s="145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209"/>
    </row>
    <row r="155" spans="1:14" s="175" customFormat="1" ht="12.75" customHeight="1">
      <c r="A155" s="145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209"/>
    </row>
    <row r="156" spans="1:14" s="175" customFormat="1">
      <c r="A156" s="145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209"/>
    </row>
    <row r="157" spans="1:14" s="175" customFormat="1">
      <c r="A157" s="145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209"/>
    </row>
    <row r="158" spans="1:14" s="175" customFormat="1">
      <c r="A158" s="145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209"/>
    </row>
    <row r="159" spans="1:14" s="175" customFormat="1">
      <c r="A159" s="145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209"/>
    </row>
    <row r="160" spans="1:14" s="175" customFormat="1">
      <c r="A160" s="145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209"/>
    </row>
    <row r="161" spans="1:14" s="758" customFormat="1" ht="22.5" customHeight="1">
      <c r="A161" s="145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209"/>
    </row>
    <row r="162" spans="1:14" s="175" customFormat="1" ht="12.75" customHeight="1">
      <c r="A162" s="145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209"/>
    </row>
    <row r="163" spans="1:14" s="175" customFormat="1" ht="12.75" customHeight="1">
      <c r="A163" s="145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209"/>
    </row>
    <row r="164" spans="1:14" s="175" customFormat="1" ht="13.5" thickBot="1">
      <c r="A164" s="1174"/>
      <c r="B164" s="1755"/>
      <c r="C164" s="1755"/>
      <c r="D164" s="1755"/>
      <c r="E164" s="1755"/>
      <c r="F164" s="1755"/>
      <c r="G164" s="1755"/>
      <c r="H164" s="1755"/>
      <c r="I164" s="1755"/>
      <c r="J164" s="1755"/>
      <c r="K164" s="1755"/>
      <c r="L164" s="1755"/>
      <c r="M164" s="1755"/>
      <c r="N164" s="1756"/>
    </row>
    <row r="165" spans="1:14" s="175" customFormat="1">
      <c r="A165" s="145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209"/>
    </row>
    <row r="166" spans="1:14" s="758" customFormat="1" ht="34.5" customHeight="1">
      <c r="A166" s="145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209"/>
    </row>
    <row r="167" spans="1:14" s="175" customFormat="1" ht="14.25" customHeight="1">
      <c r="A167" s="145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209"/>
    </row>
    <row r="168" spans="1:14" s="175" customFormat="1" ht="12.75" customHeight="1">
      <c r="A168" s="145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209"/>
    </row>
    <row r="169" spans="1:14" s="175" customFormat="1">
      <c r="A169" s="145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209"/>
    </row>
    <row r="170" spans="1:14" s="175" customFormat="1" ht="13.5" thickBot="1">
      <c r="A170" s="1174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209"/>
    </row>
    <row r="171" spans="1:14" s="175" customFormat="1" ht="13.5" thickBot="1">
      <c r="A171" s="1353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209"/>
    </row>
    <row r="172" spans="1:14" s="758" customFormat="1" ht="36.75" customHeight="1" thickBot="1">
      <c r="A172" s="1353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209"/>
    </row>
    <row r="173" spans="1:14" s="175" customFormat="1" ht="9.75" customHeight="1" thickBot="1">
      <c r="A173" s="1353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209"/>
    </row>
    <row r="174" spans="1:14" s="175" customFormat="1" ht="12.75" customHeight="1" thickBot="1">
      <c r="A174" s="1353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209"/>
    </row>
    <row r="175" spans="1:14" s="175" customFormat="1" ht="13.5" thickBot="1">
      <c r="A175" s="1353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209"/>
    </row>
    <row r="176" spans="1:14" s="175" customFormat="1" ht="13.5" thickBot="1">
      <c r="A176" s="1353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209"/>
    </row>
    <row r="177" spans="1:14" s="175" customFormat="1" ht="13.5" thickBot="1">
      <c r="A177" s="1353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209"/>
    </row>
    <row r="178" spans="1:14" s="758" customFormat="1" ht="33.75" customHeight="1" thickBot="1">
      <c r="A178" s="1353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209"/>
    </row>
    <row r="179" spans="1:14" s="175" customFormat="1" ht="9.75" customHeight="1" thickBot="1">
      <c r="A179" s="1353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209"/>
    </row>
    <row r="180" spans="1:14" s="175" customFormat="1" ht="12.75" customHeight="1" thickBot="1">
      <c r="A180" s="1353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209"/>
    </row>
    <row r="181" spans="1:14" s="175" customFormat="1" ht="13.5" thickBot="1">
      <c r="A181" s="1353"/>
      <c r="B181" s="1755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209"/>
    </row>
    <row r="182" spans="1:14" s="175" customFormat="1" ht="13.5" thickBot="1">
      <c r="A182" s="1353"/>
      <c r="B182" s="1759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209"/>
    </row>
    <row r="183" spans="1:14" s="175" customFormat="1" ht="13.5" thickBot="1">
      <c r="A183" s="1353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209"/>
    </row>
    <row r="184" spans="1:14" s="175" customFormat="1" ht="13.5" thickBot="1">
      <c r="A184" s="1353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209"/>
    </row>
    <row r="185" spans="1:14" s="760" customFormat="1" ht="14.25" customHeight="1" thickBot="1">
      <c r="A185" s="1353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209"/>
    </row>
    <row r="186" spans="1:14" s="175" customFormat="1" ht="13.5" thickBot="1">
      <c r="A186" s="1353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209"/>
    </row>
    <row r="187" spans="1:14" s="751" customFormat="1" ht="23.25" customHeight="1" thickBot="1">
      <c r="A187" s="1353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209"/>
    </row>
    <row r="188" spans="1:14" s="175" customFormat="1" ht="13.5" thickBot="1">
      <c r="A188" s="1353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209"/>
    </row>
    <row r="189" spans="1:14" s="750" customFormat="1" ht="15.75" customHeight="1" thickBot="1">
      <c r="A189" s="1353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209"/>
    </row>
    <row r="190" spans="1:14" s="750" customFormat="1" ht="12.75" customHeight="1" thickBot="1">
      <c r="A190" s="1353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209"/>
    </row>
    <row r="191" spans="1:14" s="750" customFormat="1" ht="12.75" customHeight="1" thickBot="1">
      <c r="A191" s="1353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209"/>
    </row>
    <row r="192" spans="1:14" s="750" customFormat="1" ht="12" customHeight="1" thickBot="1">
      <c r="A192" s="1353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209"/>
    </row>
    <row r="193" spans="1:14" s="760" customFormat="1" ht="24" customHeight="1" thickBot="1">
      <c r="A193" s="1353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209"/>
    </row>
    <row r="194" spans="1:14" s="175" customFormat="1" ht="11.25" customHeight="1" thickBot="1">
      <c r="A194" s="1353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209"/>
    </row>
    <row r="195" spans="1:14" s="175" customFormat="1" ht="12.75" customHeight="1" thickBot="1">
      <c r="A195" s="1353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755"/>
      <c r="N195" s="1756"/>
    </row>
    <row r="196" spans="1:14" s="175" customFormat="1" ht="13.5" thickBot="1">
      <c r="A196" s="1353"/>
      <c r="B196" s="146"/>
      <c r="C196" s="1755"/>
      <c r="D196" s="146"/>
      <c r="E196" s="146"/>
      <c r="F196" s="146"/>
      <c r="G196" s="146"/>
      <c r="H196" s="146"/>
      <c r="I196" s="146"/>
      <c r="J196" s="146"/>
      <c r="K196" s="146"/>
      <c r="L196" s="146"/>
      <c r="M196" s="1757"/>
      <c r="N196" s="1758"/>
    </row>
    <row r="197" spans="1:14" s="175" customFormat="1" ht="13.5" thickBot="1">
      <c r="A197" s="1353"/>
      <c r="B197" s="146"/>
      <c r="C197" s="1757"/>
      <c r="D197" s="146"/>
      <c r="E197" s="146"/>
      <c r="F197" s="146"/>
      <c r="G197" s="146"/>
      <c r="H197" s="146"/>
      <c r="I197" s="146"/>
      <c r="J197" s="146"/>
      <c r="K197" s="146"/>
      <c r="L197" s="146"/>
      <c r="M197" s="1757"/>
      <c r="N197" s="1758"/>
    </row>
    <row r="198" spans="1:14" s="175" customFormat="1" ht="13.5" thickBot="1">
      <c r="A198" s="1353"/>
      <c r="B198" s="146"/>
      <c r="C198" s="1757"/>
      <c r="D198" s="146"/>
      <c r="E198" s="146"/>
      <c r="F198" s="146"/>
      <c r="G198" s="146"/>
      <c r="H198" s="146"/>
      <c r="I198" s="146"/>
      <c r="J198" s="146"/>
      <c r="K198" s="146"/>
      <c r="L198" s="146"/>
      <c r="M198" s="1757"/>
      <c r="N198" s="1758"/>
    </row>
    <row r="199" spans="1:14" s="175" customFormat="1" ht="13.5" thickBot="1">
      <c r="A199" s="1354"/>
      <c r="B199" s="146"/>
      <c r="C199" s="1757"/>
      <c r="D199" s="1755"/>
      <c r="E199" s="1755"/>
      <c r="F199" s="1755"/>
      <c r="G199" s="1755"/>
      <c r="H199" s="1755"/>
      <c r="I199" s="1755"/>
      <c r="J199" s="1755"/>
      <c r="K199" s="1755"/>
      <c r="L199" s="1755"/>
      <c r="M199" s="1757"/>
      <c r="N199" s="1758"/>
    </row>
    <row r="200" spans="1:14" s="175" customFormat="1" ht="21.75" customHeight="1" thickBot="1">
      <c r="A200" s="145"/>
      <c r="B200" s="146"/>
      <c r="C200" s="1759"/>
      <c r="D200" s="1759"/>
      <c r="E200" s="1759"/>
      <c r="F200" s="1759"/>
      <c r="G200" s="1759"/>
      <c r="H200" s="1759"/>
      <c r="I200" s="1759"/>
      <c r="J200" s="1759"/>
      <c r="K200" s="1759"/>
      <c r="L200" s="1759"/>
      <c r="M200" s="1759"/>
      <c r="N200" s="1758"/>
    </row>
    <row r="201" spans="1:14" s="175" customFormat="1" ht="12.75" customHeight="1" thickBot="1">
      <c r="A201" s="145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758"/>
    </row>
    <row r="202" spans="1:14" s="175" customFormat="1" ht="13.5" thickBot="1">
      <c r="A202" s="145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758"/>
    </row>
    <row r="203" spans="1:14" s="175" customFormat="1" ht="13.5" thickBot="1">
      <c r="A203" s="145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758"/>
    </row>
    <row r="204" spans="1:14" s="175" customFormat="1" ht="13.5" thickBot="1">
      <c r="A204" s="145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758"/>
    </row>
    <row r="205" spans="1:14" s="175" customFormat="1" ht="13.5" thickBot="1">
      <c r="A205" s="145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758"/>
    </row>
    <row r="206" spans="1:14" s="175" customFormat="1" ht="13.5" thickBot="1">
      <c r="A206" s="145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758"/>
    </row>
    <row r="207" spans="1:14" s="175" customFormat="1" ht="32.25" customHeight="1" thickBot="1">
      <c r="A207" s="145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758"/>
    </row>
    <row r="208" spans="1:14" s="175" customFormat="1" ht="15" customHeight="1" thickBot="1">
      <c r="A208" s="145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758"/>
    </row>
    <row r="209" spans="1:14" s="175" customFormat="1" ht="12.75" customHeight="1">
      <c r="A209" s="145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760"/>
    </row>
    <row r="210" spans="1:14" s="175" customFormat="1">
      <c r="A210" s="145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209"/>
    </row>
    <row r="211" spans="1:14" s="175" customFormat="1">
      <c r="A211" s="145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209"/>
    </row>
    <row r="212" spans="1:14" s="175" customFormat="1">
      <c r="A212" s="145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209"/>
    </row>
    <row r="213" spans="1:14" s="175" customFormat="1" ht="11.25" customHeight="1">
      <c r="A213" s="145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209"/>
    </row>
    <row r="214" spans="1:14" s="175" customFormat="1" ht="12.75" customHeight="1">
      <c r="A214" s="145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209"/>
    </row>
    <row r="215" spans="1:14" s="175" customFormat="1" ht="12.75" customHeight="1">
      <c r="A215" s="145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209"/>
    </row>
    <row r="216" spans="1:14" s="175" customFormat="1">
      <c r="A216" s="145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209"/>
    </row>
    <row r="217" spans="1:14" s="175" customFormat="1">
      <c r="A217" s="145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209"/>
    </row>
    <row r="218" spans="1:14" s="175" customFormat="1">
      <c r="A218" s="145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209"/>
    </row>
    <row r="219" spans="1:14" s="175" customFormat="1">
      <c r="A219" s="145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209"/>
    </row>
    <row r="220" spans="1:14" s="758" customFormat="1" ht="24.75" customHeight="1">
      <c r="A220" s="145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209"/>
    </row>
    <row r="221" spans="1:14" s="175" customFormat="1" ht="12.75" customHeight="1">
      <c r="A221" s="145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209"/>
    </row>
    <row r="222" spans="1:14" s="175" customFormat="1" ht="12.75" customHeight="1">
      <c r="A222" s="145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209"/>
    </row>
    <row r="223" spans="1:14" s="175" customFormat="1">
      <c r="A223" s="145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209"/>
    </row>
    <row r="224" spans="1:14" s="175" customFormat="1">
      <c r="A224" s="145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209"/>
    </row>
    <row r="225" spans="1:14" s="175" customFormat="1">
      <c r="A225" s="145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209"/>
    </row>
    <row r="226" spans="1:14" s="758" customFormat="1" ht="23.25" customHeight="1">
      <c r="A226" s="145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209"/>
    </row>
    <row r="227" spans="1:14" s="175" customFormat="1" ht="15" customHeight="1">
      <c r="A227" s="145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209"/>
    </row>
    <row r="228" spans="1:14" s="175" customFormat="1" ht="12.75" customHeight="1">
      <c r="A228" s="145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209"/>
    </row>
    <row r="229" spans="1:14" s="175" customFormat="1">
      <c r="A229" s="145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209"/>
    </row>
    <row r="230" spans="1:14" s="175" customFormat="1">
      <c r="A230" s="145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209"/>
    </row>
    <row r="231" spans="1:14" s="758" customFormat="1" ht="12.75" customHeight="1">
      <c r="A231" s="145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209"/>
    </row>
    <row r="232" spans="1:14" s="175" customFormat="1" ht="9.75" customHeight="1">
      <c r="A232" s="145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209"/>
    </row>
    <row r="233" spans="1:14" s="175" customFormat="1" ht="12.75" customHeight="1">
      <c r="A233" s="145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209"/>
    </row>
    <row r="234" spans="1:14" s="175" customFormat="1">
      <c r="A234" s="145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209"/>
    </row>
    <row r="235" spans="1:14" s="175" customFormat="1">
      <c r="A235" s="145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209"/>
    </row>
    <row r="236" spans="1:14" s="760" customFormat="1" ht="24" customHeight="1">
      <c r="A236" s="145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209"/>
    </row>
    <row r="237" spans="1:14" s="175" customFormat="1" ht="11.25" customHeight="1">
      <c r="A237" s="145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209"/>
    </row>
    <row r="238" spans="1:14" s="175" customFormat="1" ht="12.75" customHeight="1">
      <c r="A238" s="145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209"/>
    </row>
    <row r="239" spans="1:14" s="175" customFormat="1">
      <c r="A239" s="145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209"/>
    </row>
    <row r="240" spans="1:14" s="175" customFormat="1">
      <c r="A240" s="145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209"/>
    </row>
    <row r="241" spans="1:14" s="175" customFormat="1">
      <c r="A241" s="145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209"/>
    </row>
    <row r="242" spans="1:14" s="175" customFormat="1">
      <c r="A242" s="145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209"/>
    </row>
    <row r="243" spans="1:14" s="175" customFormat="1" ht="12" customHeight="1" thickBot="1">
      <c r="A243" s="145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756"/>
    </row>
    <row r="244" spans="1:14" s="175" customFormat="1" ht="10.5" customHeight="1" thickBot="1">
      <c r="A244" s="145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758"/>
    </row>
    <row r="245" spans="1:14" s="175" customFormat="1" ht="13.5" thickBot="1">
      <c r="A245" s="145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758"/>
    </row>
    <row r="246" spans="1:14" s="175" customFormat="1" ht="13.5" thickBot="1">
      <c r="A246" s="145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758"/>
    </row>
    <row r="247" spans="1:14" s="175" customFormat="1" ht="13.5" thickBot="1">
      <c r="A247" s="145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758"/>
    </row>
    <row r="248" spans="1:14" s="175" customFormat="1" ht="13.5" thickBot="1">
      <c r="A248" s="145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758"/>
    </row>
    <row r="249" spans="1:14" s="175" customFormat="1" ht="13.5" thickBot="1">
      <c r="A249" s="145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758"/>
    </row>
    <row r="250" spans="1:14" s="175" customFormat="1" ht="32.25" customHeight="1" thickBot="1">
      <c r="A250" s="145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758"/>
    </row>
    <row r="251" spans="1:14" s="175" customFormat="1" ht="15" customHeight="1" thickBot="1">
      <c r="A251" s="145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758"/>
    </row>
    <row r="252" spans="1:14" s="175" customFormat="1" ht="12.75" customHeight="1" thickBot="1">
      <c r="A252" s="145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758"/>
    </row>
    <row r="253" spans="1:14" s="175" customFormat="1" ht="13.5" thickBot="1">
      <c r="A253" s="145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758"/>
    </row>
    <row r="254" spans="1:14" s="175" customFormat="1" ht="13.5" thickBot="1">
      <c r="A254" s="145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3692"/>
    </row>
    <row r="255" spans="1:14" s="175" customFormat="1" ht="13.5" thickBot="1">
      <c r="A255" s="145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3692"/>
    </row>
    <row r="256" spans="1:14" s="175" customFormat="1" ht="21.75" customHeight="1" thickBot="1">
      <c r="A256" s="145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3692"/>
    </row>
    <row r="257" spans="1:14" s="175" customFormat="1" ht="12.75" customHeight="1">
      <c r="A257" s="145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3693"/>
    </row>
    <row r="258" spans="1:14" s="175" customFormat="1" ht="12.75" customHeight="1">
      <c r="A258" s="145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3694"/>
    </row>
    <row r="259" spans="1:14" s="175" customFormat="1">
      <c r="A259" s="145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3694"/>
    </row>
    <row r="260" spans="1:14" s="175" customFormat="1">
      <c r="A260" s="145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3694"/>
    </row>
    <row r="261" spans="1:14" s="175" customFormat="1">
      <c r="A261" s="145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3694"/>
    </row>
    <row r="262" spans="1:14" s="175" customFormat="1">
      <c r="A262" s="145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3694"/>
    </row>
    <row r="263" spans="1:14" s="760" customFormat="1" ht="35.25" customHeight="1">
      <c r="A263" s="145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3694"/>
    </row>
    <row r="264" spans="1:14" s="175" customFormat="1" ht="11.25" customHeight="1">
      <c r="A264" s="145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3694"/>
    </row>
    <row r="265" spans="1:14" s="175" customFormat="1" ht="12.75" customHeight="1">
      <c r="A265" s="145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3694"/>
    </row>
    <row r="266" spans="1:14" s="760" customFormat="1" ht="14.25" customHeight="1">
      <c r="A266" s="145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3694"/>
    </row>
    <row r="267" spans="1:14" s="175" customFormat="1" ht="11.25" customHeight="1">
      <c r="A267" s="145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3694"/>
    </row>
    <row r="268" spans="1:14" s="175" customFormat="1" ht="12.75" customHeight="1">
      <c r="A268" s="145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3694"/>
    </row>
    <row r="269" spans="1:14" s="760" customFormat="1" ht="23.25" customHeight="1">
      <c r="A269" s="145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3694"/>
    </row>
    <row r="270" spans="1:14" s="175" customFormat="1" ht="11.25" customHeight="1">
      <c r="A270" s="145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3694"/>
    </row>
    <row r="271" spans="1:14" s="175" customFormat="1">
      <c r="A271" s="145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3694"/>
    </row>
    <row r="272" spans="1:14" s="175" customFormat="1">
      <c r="A272" s="145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3694"/>
    </row>
    <row r="273" spans="1:14" s="760" customFormat="1" ht="23.25" customHeight="1">
      <c r="A273" s="145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3694"/>
    </row>
    <row r="274" spans="1:14" s="175" customFormat="1" ht="11.25" customHeight="1">
      <c r="A274" s="145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3694"/>
    </row>
    <row r="275" spans="1:14" s="175" customFormat="1">
      <c r="A275" s="145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3694"/>
    </row>
    <row r="276" spans="1:14">
      <c r="N276" s="3694"/>
    </row>
    <row r="277" spans="1:14">
      <c r="N277" s="3694"/>
    </row>
    <row r="278" spans="1:14">
      <c r="N278" s="3694"/>
    </row>
    <row r="279" spans="1:14">
      <c r="N279" s="3694"/>
    </row>
    <row r="280" spans="1:14">
      <c r="N280" s="3694"/>
    </row>
    <row r="281" spans="1:14">
      <c r="N281" s="3694"/>
    </row>
    <row r="282" spans="1:14">
      <c r="N282" s="3694"/>
    </row>
    <row r="396" spans="1:1" ht="13.5" thickBot="1">
      <c r="A396" s="1174"/>
    </row>
    <row r="397" spans="1:1" ht="13.5" thickBot="1">
      <c r="A397" s="1353"/>
    </row>
    <row r="398" spans="1:1" ht="13.5" thickBot="1">
      <c r="A398" s="1353"/>
    </row>
    <row r="399" spans="1:1" ht="13.5" thickBot="1">
      <c r="A399" s="1353"/>
    </row>
    <row r="400" spans="1:1" ht="13.5" thickBot="1">
      <c r="A400" s="1353"/>
    </row>
    <row r="401" spans="1:14" ht="13.5" thickBot="1">
      <c r="A401" s="1353"/>
    </row>
    <row r="402" spans="1:14" ht="13.5" thickBot="1">
      <c r="A402" s="1353"/>
      <c r="M402" s="1755"/>
      <c r="N402" s="1756"/>
    </row>
    <row r="403" spans="1:14" ht="13.5" thickBot="1">
      <c r="A403" s="1353"/>
      <c r="C403" s="1755"/>
      <c r="M403" s="1757"/>
      <c r="N403" s="1758"/>
    </row>
    <row r="404" spans="1:14" ht="13.5" thickBot="1">
      <c r="A404" s="1353"/>
      <c r="C404" s="1757"/>
      <c r="D404" s="1755"/>
      <c r="E404" s="1755"/>
      <c r="F404" s="1755"/>
      <c r="G404" s="1755"/>
      <c r="H404" s="1755"/>
      <c r="I404" s="1755"/>
      <c r="J404" s="1755"/>
      <c r="K404" s="1755"/>
      <c r="L404" s="1755"/>
      <c r="M404" s="1757"/>
      <c r="N404" s="1758"/>
    </row>
    <row r="405" spans="1:14" ht="13.5" thickBot="1">
      <c r="A405" s="1353"/>
      <c r="C405" s="1759"/>
      <c r="D405" s="1759"/>
      <c r="E405" s="1759"/>
      <c r="F405" s="1759"/>
      <c r="G405" s="1759"/>
      <c r="H405" s="1759"/>
      <c r="I405" s="1759"/>
      <c r="J405" s="1759"/>
      <c r="K405" s="1759"/>
      <c r="L405" s="1759"/>
      <c r="M405" s="1759"/>
      <c r="N405" s="1758"/>
    </row>
    <row r="406" spans="1:14" ht="13.5" thickBot="1">
      <c r="A406" s="1353"/>
      <c r="N406" s="1758"/>
    </row>
    <row r="407" spans="1:14" ht="13.5" thickBot="1">
      <c r="A407" s="1353"/>
      <c r="N407" s="1758"/>
    </row>
    <row r="408" spans="1:14" ht="13.5" thickBot="1">
      <c r="A408" s="1353"/>
      <c r="N408" s="1758"/>
    </row>
    <row r="409" spans="1:14" ht="13.5" thickBot="1">
      <c r="A409" s="1353"/>
      <c r="N409" s="1758"/>
    </row>
    <row r="410" spans="1:14" ht="13.5" thickBot="1">
      <c r="A410" s="1353"/>
      <c r="N410" s="1760"/>
    </row>
    <row r="411" spans="1:14" ht="13.5" thickBot="1">
      <c r="A411" s="1353"/>
    </row>
    <row r="412" spans="1:14" ht="13.5" thickBot="1">
      <c r="A412" s="1353"/>
    </row>
    <row r="413" spans="1:14">
      <c r="A413" s="1354"/>
    </row>
    <row r="497" spans="1:14" ht="13.5" thickBot="1"/>
    <row r="498" spans="1:14" ht="33.75">
      <c r="A498" s="211"/>
      <c r="B498" s="212" t="s">
        <v>59</v>
      </c>
      <c r="C498" s="212"/>
      <c r="D498" s="1759"/>
      <c r="E498" s="1759"/>
      <c r="F498" s="1759"/>
      <c r="G498" s="1759"/>
      <c r="H498" s="1759"/>
      <c r="I498" s="1759"/>
      <c r="J498" s="1759"/>
      <c r="K498" s="1759"/>
      <c r="L498" s="1759"/>
      <c r="M498" s="1759"/>
      <c r="N498" s="1761"/>
    </row>
    <row r="499" spans="1:14">
      <c r="A499" s="213"/>
      <c r="N499" s="1762"/>
    </row>
    <row r="500" spans="1:14">
      <c r="A500" s="213"/>
      <c r="N500" s="1762"/>
    </row>
    <row r="501" spans="1:14">
      <c r="A501" s="213"/>
      <c r="N501" s="1762"/>
    </row>
    <row r="502" spans="1:14">
      <c r="A502" s="213"/>
      <c r="N502" s="1762"/>
    </row>
    <row r="503" spans="1:14">
      <c r="A503" s="213"/>
      <c r="N503" s="1762"/>
    </row>
    <row r="504" spans="1:14">
      <c r="A504" s="213"/>
      <c r="N504" s="1762"/>
    </row>
    <row r="505" spans="1:14">
      <c r="A505" s="213"/>
      <c r="N505" s="1762"/>
    </row>
    <row r="506" spans="1:14">
      <c r="A506" s="213"/>
      <c r="N506" s="1762"/>
    </row>
    <row r="507" spans="1:14">
      <c r="A507" s="213"/>
      <c r="N507" s="1762"/>
    </row>
    <row r="508" spans="1:14">
      <c r="A508" s="213"/>
      <c r="N508" s="1762"/>
    </row>
    <row r="509" spans="1:14" ht="13.5" thickBot="1">
      <c r="A509" s="214"/>
      <c r="B509" s="1755"/>
      <c r="C509" s="1755"/>
      <c r="D509" s="1755"/>
      <c r="E509" s="1755"/>
      <c r="F509" s="1755"/>
      <c r="G509" s="1755"/>
      <c r="H509" s="1755"/>
      <c r="I509" s="1755"/>
      <c r="J509" s="1755"/>
      <c r="K509" s="1755"/>
      <c r="L509" s="1755"/>
      <c r="M509" s="1755"/>
      <c r="N509" s="1763"/>
    </row>
    <row r="511" spans="1:14" ht="13.5" thickBot="1">
      <c r="N511" s="1756"/>
    </row>
    <row r="512" spans="1:14" ht="13.5" thickBot="1">
      <c r="N512" s="1758"/>
    </row>
    <row r="513" spans="1:14" ht="13.5" thickBot="1">
      <c r="N513" s="1758"/>
    </row>
    <row r="514" spans="1:14" ht="13.5" thickBot="1">
      <c r="N514" s="1758"/>
    </row>
    <row r="515" spans="1:14" ht="13.5" thickBot="1">
      <c r="M515" s="1755"/>
      <c r="N515" s="1758"/>
    </row>
    <row r="516" spans="1:14" ht="13.5" thickBot="1">
      <c r="M516" s="1757"/>
      <c r="N516" s="1758"/>
    </row>
    <row r="517" spans="1:14" ht="13.5" thickBot="1">
      <c r="M517" s="1757"/>
      <c r="N517" s="1758"/>
    </row>
    <row r="518" spans="1:14" ht="13.5" thickBot="1">
      <c r="M518" s="1757"/>
      <c r="N518" s="1758"/>
    </row>
    <row r="519" spans="1:14" ht="13.5" thickBot="1">
      <c r="M519" s="1757"/>
      <c r="N519" s="1758"/>
    </row>
    <row r="520" spans="1:14" ht="13.5" thickBot="1">
      <c r="A520" s="1174"/>
      <c r="B520" s="1755"/>
      <c r="C520" s="1755"/>
      <c r="D520" s="1755"/>
      <c r="E520" s="1755"/>
      <c r="F520" s="1755"/>
      <c r="G520" s="1755"/>
      <c r="H520" s="1755"/>
      <c r="I520" s="1755"/>
      <c r="J520" s="1755"/>
      <c r="K520" s="1755"/>
      <c r="L520" s="1755"/>
      <c r="M520" s="1757"/>
      <c r="N520" s="1758"/>
    </row>
    <row r="521" spans="1:14" ht="13.5" thickBot="1">
      <c r="A521" s="1353"/>
      <c r="B521" s="1759"/>
      <c r="C521" s="1759"/>
      <c r="D521" s="1759"/>
      <c r="E521" s="1759"/>
      <c r="F521" s="1759"/>
      <c r="G521" s="1759"/>
      <c r="H521" s="1759"/>
      <c r="I521" s="1759"/>
      <c r="J521" s="1759"/>
      <c r="K521" s="1759"/>
      <c r="L521" s="1759"/>
      <c r="M521" s="1759"/>
      <c r="N521" s="1758"/>
    </row>
    <row r="522" spans="1:14" ht="13.5" thickBot="1">
      <c r="A522" s="1353"/>
      <c r="N522" s="1758"/>
    </row>
    <row r="523" spans="1:14" ht="13.5" thickBot="1">
      <c r="A523" s="1353"/>
      <c r="N523" s="1758"/>
    </row>
    <row r="524" spans="1:14" ht="13.5" thickBot="1">
      <c r="A524" s="1353"/>
      <c r="N524" s="1758"/>
    </row>
    <row r="525" spans="1:14" ht="13.5" thickBot="1">
      <c r="A525" s="1353"/>
      <c r="N525" s="1758"/>
    </row>
    <row r="526" spans="1:14" ht="13.5" thickBot="1">
      <c r="A526" s="1353"/>
      <c r="N526" s="1758"/>
    </row>
    <row r="527" spans="1:14" ht="13.5" thickBot="1">
      <c r="A527" s="1353"/>
      <c r="N527" s="1758"/>
    </row>
    <row r="528" spans="1:14">
      <c r="A528" s="1354"/>
      <c r="N528" s="1760"/>
    </row>
  </sheetData>
  <mergeCells count="38">
    <mergeCell ref="A78:A82"/>
    <mergeCell ref="A45:E45"/>
    <mergeCell ref="C41:C44"/>
    <mergeCell ref="A65:A77"/>
    <mergeCell ref="N78:N82"/>
    <mergeCell ref="C80:C82"/>
    <mergeCell ref="M59:M64"/>
    <mergeCell ref="P65:R75"/>
    <mergeCell ref="C67:C72"/>
    <mergeCell ref="C75:C77"/>
    <mergeCell ref="M74:M77"/>
    <mergeCell ref="N65:N77"/>
    <mergeCell ref="A100:N100"/>
    <mergeCell ref="A97:N97"/>
    <mergeCell ref="A99:G99"/>
    <mergeCell ref="A98:J98"/>
    <mergeCell ref="C85:C87"/>
    <mergeCell ref="A83:A87"/>
    <mergeCell ref="A88:A92"/>
    <mergeCell ref="A93:A96"/>
    <mergeCell ref="N93:N96"/>
    <mergeCell ref="C95:C96"/>
    <mergeCell ref="N88:N92"/>
    <mergeCell ref="C90:C92"/>
    <mergeCell ref="N83:N87"/>
    <mergeCell ref="N33:N39"/>
    <mergeCell ref="N40:N44"/>
    <mergeCell ref="A2:N2"/>
    <mergeCell ref="M15:M19"/>
    <mergeCell ref="A20:A32"/>
    <mergeCell ref="C22:C27"/>
    <mergeCell ref="C29:C32"/>
    <mergeCell ref="N20:N27"/>
    <mergeCell ref="N28:N32"/>
    <mergeCell ref="A33:A44"/>
    <mergeCell ref="C35:C39"/>
    <mergeCell ref="M28:M32"/>
    <mergeCell ref="M40:M4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6" firstPageNumber="33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4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D535"/>
  <sheetViews>
    <sheetView showGridLines="0" view="pageBreakPreview" zoomScale="110" zoomScaleSheetLayoutView="110" workbookViewId="0">
      <pane ySplit="6" topLeftCell="A97" activePane="bottomLeft" state="frozen"/>
      <selection activeCell="F19" sqref="F19"/>
      <selection pane="bottomLeft" activeCell="J143" sqref="J143:J149"/>
    </sheetView>
  </sheetViews>
  <sheetFormatPr defaultColWidth="9.140625" defaultRowHeight="11.25"/>
  <cols>
    <col min="1" max="1" width="2.85546875" style="858" customWidth="1"/>
    <col min="2" max="2" width="59.85546875" style="859" customWidth="1"/>
    <col min="3" max="3" width="10" style="859" customWidth="1"/>
    <col min="4" max="4" width="14.28515625" style="859" customWidth="1"/>
    <col min="5" max="5" width="13.42578125" style="859" customWidth="1"/>
    <col min="6" max="9" width="11" style="859" customWidth="1"/>
    <col min="10" max="10" width="9.5703125" style="859" customWidth="1"/>
    <col min="11" max="11" width="9.5703125" style="859" hidden="1" customWidth="1"/>
    <col min="12" max="12" width="7.5703125" style="859" hidden="1" customWidth="1"/>
    <col min="13" max="13" width="12" style="859" customWidth="1"/>
    <col min="14" max="14" width="15.7109375" style="963" customWidth="1"/>
    <col min="15" max="17" width="0" style="859" hidden="1" customWidth="1"/>
    <col min="18" max="16384" width="9.140625" style="859"/>
  </cols>
  <sheetData>
    <row r="1" spans="1:15" ht="18" customHeight="1">
      <c r="G1" s="860"/>
      <c r="H1" s="860"/>
      <c r="I1" s="860"/>
      <c r="J1" s="860" t="s">
        <v>115</v>
      </c>
      <c r="K1" s="860"/>
      <c r="M1" s="861"/>
      <c r="N1" s="862"/>
    </row>
    <row r="2" spans="1:15" ht="7.5" customHeight="1">
      <c r="G2" s="861"/>
      <c r="H2" s="861"/>
      <c r="I2" s="861"/>
      <c r="J2" s="861"/>
      <c r="K2" s="861"/>
      <c r="L2" s="861"/>
      <c r="M2" s="861"/>
      <c r="N2" s="862"/>
    </row>
    <row r="3" spans="1:15" ht="15.75" customHeight="1">
      <c r="F3" s="863"/>
      <c r="G3" s="861"/>
      <c r="H3" s="861"/>
      <c r="I3" s="861"/>
      <c r="J3" s="861"/>
      <c r="K3" s="861"/>
      <c r="L3" s="861"/>
      <c r="M3" s="861"/>
      <c r="N3" s="862"/>
    </row>
    <row r="4" spans="1:15" ht="54" customHeight="1" thickBot="1">
      <c r="A4" s="4258" t="s">
        <v>116</v>
      </c>
      <c r="B4" s="4258"/>
      <c r="C4" s="4258"/>
      <c r="D4" s="4258"/>
      <c r="E4" s="4258"/>
      <c r="F4" s="4258"/>
      <c r="G4" s="4258"/>
      <c r="H4" s="4258"/>
      <c r="I4" s="4258"/>
      <c r="J4" s="4258"/>
      <c r="K4" s="4258"/>
      <c r="L4" s="4258"/>
      <c r="M4" s="4258"/>
      <c r="N4" s="4258"/>
    </row>
    <row r="5" spans="1:15" s="1840" customFormat="1" ht="60" customHeight="1">
      <c r="A5" s="4269" t="s">
        <v>234</v>
      </c>
      <c r="B5" s="4259" t="s">
        <v>64</v>
      </c>
      <c r="C5" s="4261" t="s">
        <v>60</v>
      </c>
      <c r="D5" s="4263" t="s">
        <v>117</v>
      </c>
      <c r="E5" s="1684" t="s">
        <v>208</v>
      </c>
      <c r="F5" s="3985" t="s">
        <v>447</v>
      </c>
      <c r="G5" s="3986"/>
      <c r="H5" s="3986"/>
      <c r="I5" s="3986"/>
      <c r="J5" s="3987"/>
      <c r="K5" s="4271">
        <v>2024</v>
      </c>
      <c r="L5" s="4135">
        <v>2025</v>
      </c>
      <c r="M5" s="4267" t="s">
        <v>456</v>
      </c>
      <c r="N5" s="4265" t="s">
        <v>62</v>
      </c>
      <c r="O5" s="2136"/>
    </row>
    <row r="6" spans="1:15" s="1840" customFormat="1" ht="18.75" customHeight="1" thickBot="1">
      <c r="A6" s="4270"/>
      <c r="B6" s="4260"/>
      <c r="C6" s="4262"/>
      <c r="D6" s="4264"/>
      <c r="E6" s="761" t="s">
        <v>517</v>
      </c>
      <c r="F6" s="1678" t="s">
        <v>163</v>
      </c>
      <c r="G6" s="1678" t="s">
        <v>164</v>
      </c>
      <c r="H6" s="1678" t="s">
        <v>202</v>
      </c>
      <c r="I6" s="1678" t="s">
        <v>203</v>
      </c>
      <c r="J6" s="1678" t="s">
        <v>201</v>
      </c>
      <c r="K6" s="4272"/>
      <c r="L6" s="4136"/>
      <c r="M6" s="4268"/>
      <c r="N6" s="4266"/>
      <c r="O6" s="2136"/>
    </row>
    <row r="7" spans="1:15" s="1840" customFormat="1" ht="12.75" customHeight="1">
      <c r="A7" s="1897">
        <v>1</v>
      </c>
      <c r="B7" s="1741">
        <v>2</v>
      </c>
      <c r="C7" s="1679" t="s">
        <v>105</v>
      </c>
      <c r="D7" s="1679" t="s">
        <v>106</v>
      </c>
      <c r="E7" s="1679">
        <v>5</v>
      </c>
      <c r="F7" s="1679">
        <v>6</v>
      </c>
      <c r="G7" s="1679">
        <v>7</v>
      </c>
      <c r="H7" s="1679">
        <v>8</v>
      </c>
      <c r="I7" s="1679">
        <v>9</v>
      </c>
      <c r="J7" s="1679">
        <v>10</v>
      </c>
      <c r="K7" s="2540"/>
      <c r="L7" s="1679"/>
      <c r="M7" s="980">
        <v>11</v>
      </c>
      <c r="N7" s="979">
        <v>12</v>
      </c>
      <c r="O7" s="2136"/>
    </row>
    <row r="8" spans="1:15" s="1840" customFormat="1" ht="17.25" customHeight="1">
      <c r="A8" s="864"/>
      <c r="B8" s="865" t="s">
        <v>65</v>
      </c>
      <c r="C8" s="866"/>
      <c r="D8" s="114">
        <f>+D9+D10</f>
        <v>1389786</v>
      </c>
      <c r="E8" s="114">
        <f t="shared" ref="E8" si="0">+E9+E10</f>
        <v>965519</v>
      </c>
      <c r="F8" s="114">
        <f t="shared" ref="F8:J8" si="1">+F9+F10</f>
        <v>225187</v>
      </c>
      <c r="G8" s="114">
        <f t="shared" si="1"/>
        <v>199080</v>
      </c>
      <c r="H8" s="114">
        <f t="shared" si="1"/>
        <v>0</v>
      </c>
      <c r="I8" s="114">
        <f t="shared" si="1"/>
        <v>0</v>
      </c>
      <c r="J8" s="114">
        <f t="shared" si="1"/>
        <v>0</v>
      </c>
      <c r="K8" s="2539">
        <f t="shared" ref="K8" si="2">+K9+K10</f>
        <v>0</v>
      </c>
      <c r="L8" s="114">
        <f>+L9+L10</f>
        <v>0</v>
      </c>
      <c r="M8" s="52">
        <f>+M9+M10</f>
        <v>424267</v>
      </c>
      <c r="N8" s="867"/>
      <c r="O8" s="2136"/>
    </row>
    <row r="9" spans="1:15" s="1840" customFormat="1" ht="13.5" customHeight="1" thickBot="1">
      <c r="A9" s="864"/>
      <c r="B9" s="868" t="s">
        <v>66</v>
      </c>
      <c r="C9" s="869"/>
      <c r="D9" s="108">
        <f t="shared" ref="D9:J9" si="3">+D25+D36+D47+D54+D61+D68+D75</f>
        <v>1389786</v>
      </c>
      <c r="E9" s="108">
        <f>+E25+E36+E47+E54+E61+E68+E75</f>
        <v>965519</v>
      </c>
      <c r="F9" s="108">
        <f t="shared" si="3"/>
        <v>225187</v>
      </c>
      <c r="G9" s="108">
        <f t="shared" si="3"/>
        <v>199080</v>
      </c>
      <c r="H9" s="108">
        <f t="shared" si="3"/>
        <v>0</v>
      </c>
      <c r="I9" s="108">
        <f t="shared" si="3"/>
        <v>0</v>
      </c>
      <c r="J9" s="108">
        <f t="shared" si="3"/>
        <v>0</v>
      </c>
      <c r="K9" s="2515">
        <f>+K25+K36+K47+K54+K61+K68+K75</f>
        <v>0</v>
      </c>
      <c r="L9" s="108">
        <f>+L25+L36+L47+L54+L61+L68+L75</f>
        <v>0</v>
      </c>
      <c r="M9" s="14">
        <f>SUM(F9:J9)</f>
        <v>424267</v>
      </c>
      <c r="N9" s="867"/>
      <c r="O9" s="2136"/>
    </row>
    <row r="10" spans="1:15" s="1840" customFormat="1" ht="13.5" hidden="1" customHeight="1" thickBot="1">
      <c r="A10" s="864"/>
      <c r="B10" s="870" t="s">
        <v>8</v>
      </c>
      <c r="C10" s="869"/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2515">
        <v>0</v>
      </c>
      <c r="L10" s="108">
        <v>0</v>
      </c>
      <c r="M10" s="14">
        <f>SUM(F10:J10)</f>
        <v>0</v>
      </c>
      <c r="N10" s="867"/>
      <c r="O10" s="2136"/>
    </row>
    <row r="11" spans="1:15" ht="12">
      <c r="A11" s="871"/>
      <c r="B11" s="872" t="s">
        <v>9</v>
      </c>
      <c r="C11" s="873"/>
      <c r="D11" s="58">
        <f>+D12+D15</f>
        <v>1389786</v>
      </c>
      <c r="E11" s="58">
        <f t="shared" ref="E11" si="4">+E12+E15</f>
        <v>965519</v>
      </c>
      <c r="F11" s="58">
        <f t="shared" ref="F11:M11" si="5">+F12+F15</f>
        <v>225187</v>
      </c>
      <c r="G11" s="58">
        <f t="shared" si="5"/>
        <v>199080</v>
      </c>
      <c r="H11" s="58">
        <f t="shared" si="5"/>
        <v>0</v>
      </c>
      <c r="I11" s="58">
        <f t="shared" si="5"/>
        <v>0</v>
      </c>
      <c r="J11" s="58">
        <f t="shared" si="5"/>
        <v>0</v>
      </c>
      <c r="K11" s="2520">
        <f>+K12+K15</f>
        <v>0</v>
      </c>
      <c r="L11" s="58">
        <f t="shared" ref="L11" si="6">+L12+L15</f>
        <v>0</v>
      </c>
      <c r="M11" s="92">
        <f t="shared" si="5"/>
        <v>424267</v>
      </c>
      <c r="N11" s="867"/>
    </row>
    <row r="12" spans="1:15" ht="14.25" customHeight="1">
      <c r="A12" s="864"/>
      <c r="B12" s="874" t="s">
        <v>10</v>
      </c>
      <c r="C12" s="1898"/>
      <c r="D12" s="966">
        <f>SUM(D13:D14)</f>
        <v>634710</v>
      </c>
      <c r="E12" s="966">
        <f>SUM(E13:E14)</f>
        <v>435630</v>
      </c>
      <c r="F12" s="966">
        <f t="shared" ref="F12:J12" si="7">SUM(F13:F14)</f>
        <v>99540</v>
      </c>
      <c r="G12" s="966">
        <f t="shared" si="7"/>
        <v>99540</v>
      </c>
      <c r="H12" s="966">
        <f t="shared" si="7"/>
        <v>0</v>
      </c>
      <c r="I12" s="966">
        <f t="shared" si="7"/>
        <v>0</v>
      </c>
      <c r="J12" s="966">
        <f t="shared" si="7"/>
        <v>0</v>
      </c>
      <c r="K12" s="2541">
        <f>SUM(K13:K14)</f>
        <v>0</v>
      </c>
      <c r="L12" s="966">
        <f>SUM(L13:L14)</f>
        <v>0</v>
      </c>
      <c r="M12" s="785">
        <f>SUM(M13:M14)</f>
        <v>199080</v>
      </c>
      <c r="N12" s="875"/>
    </row>
    <row r="13" spans="1:15" ht="12">
      <c r="A13" s="876"/>
      <c r="B13" s="877" t="s">
        <v>11</v>
      </c>
      <c r="C13" s="878"/>
      <c r="D13" s="967">
        <f>+D27+D38</f>
        <v>634710</v>
      </c>
      <c r="E13" s="967">
        <f t="shared" ref="E13" si="8">+E27+E38</f>
        <v>435630</v>
      </c>
      <c r="F13" s="967">
        <f t="shared" ref="F13:J13" si="9">+F27+F38</f>
        <v>99540</v>
      </c>
      <c r="G13" s="967">
        <f t="shared" si="9"/>
        <v>99540</v>
      </c>
      <c r="H13" s="967">
        <f t="shared" si="9"/>
        <v>0</v>
      </c>
      <c r="I13" s="967">
        <f t="shared" si="9"/>
        <v>0</v>
      </c>
      <c r="J13" s="967">
        <f t="shared" si="9"/>
        <v>0</v>
      </c>
      <c r="K13" s="2542">
        <f>+K27+K38</f>
        <v>0</v>
      </c>
      <c r="L13" s="967">
        <f t="shared" ref="L13" si="10">+L27+L38</f>
        <v>0</v>
      </c>
      <c r="M13" s="843">
        <f>+G13+F13+H13+I13+J13</f>
        <v>199080</v>
      </c>
      <c r="N13" s="867"/>
    </row>
    <row r="14" spans="1:15" ht="12" hidden="1">
      <c r="A14" s="876"/>
      <c r="B14" s="168" t="s">
        <v>12</v>
      </c>
      <c r="C14" s="1899"/>
      <c r="D14" s="170">
        <f>+D77</f>
        <v>0</v>
      </c>
      <c r="E14" s="170">
        <f t="shared" ref="E14:J14" si="11">+E77</f>
        <v>0</v>
      </c>
      <c r="F14" s="170">
        <f t="shared" si="11"/>
        <v>0</v>
      </c>
      <c r="G14" s="170">
        <f t="shared" si="11"/>
        <v>0</v>
      </c>
      <c r="H14" s="170">
        <f t="shared" si="11"/>
        <v>0</v>
      </c>
      <c r="I14" s="170">
        <f t="shared" si="11"/>
        <v>0</v>
      </c>
      <c r="J14" s="170">
        <f t="shared" si="11"/>
        <v>0</v>
      </c>
      <c r="K14" s="2521">
        <f>+K77</f>
        <v>0</v>
      </c>
      <c r="L14" s="170">
        <f>+L77</f>
        <v>0</v>
      </c>
      <c r="M14" s="843">
        <f>+G14+F14+H14+I14+J14</f>
        <v>0</v>
      </c>
      <c r="N14" s="867"/>
    </row>
    <row r="15" spans="1:15" ht="14.25" customHeight="1">
      <c r="A15" s="864"/>
      <c r="B15" s="1900" t="s">
        <v>17</v>
      </c>
      <c r="C15" s="1901"/>
      <c r="D15" s="66">
        <f t="shared" ref="D15:J15" si="12">SUM(D16:D17)</f>
        <v>755076</v>
      </c>
      <c r="E15" s="66">
        <f t="shared" si="12"/>
        <v>529889</v>
      </c>
      <c r="F15" s="66">
        <f t="shared" si="12"/>
        <v>125647</v>
      </c>
      <c r="G15" s="66">
        <f t="shared" si="12"/>
        <v>99540</v>
      </c>
      <c r="H15" s="66">
        <f t="shared" si="12"/>
        <v>0</v>
      </c>
      <c r="I15" s="66">
        <f t="shared" si="12"/>
        <v>0</v>
      </c>
      <c r="J15" s="66">
        <f t="shared" si="12"/>
        <v>0</v>
      </c>
      <c r="K15" s="2522">
        <f>SUM(K16:K17)</f>
        <v>0</v>
      </c>
      <c r="L15" s="66">
        <f>SUM(L16:L17)</f>
        <v>0</v>
      </c>
      <c r="M15" s="785">
        <f>SUM(M16:M17)</f>
        <v>225187</v>
      </c>
      <c r="N15" s="875"/>
    </row>
    <row r="16" spans="1:15" ht="12" hidden="1">
      <c r="A16" s="864"/>
      <c r="B16" s="1902" t="s">
        <v>19</v>
      </c>
      <c r="C16" s="1903"/>
      <c r="D16" s="1219">
        <f t="shared" ref="D16:J16" si="13">+D79</f>
        <v>0</v>
      </c>
      <c r="E16" s="1219">
        <f t="shared" si="13"/>
        <v>0</v>
      </c>
      <c r="F16" s="1219">
        <f t="shared" si="13"/>
        <v>0</v>
      </c>
      <c r="G16" s="1219">
        <f t="shared" si="13"/>
        <v>0</v>
      </c>
      <c r="H16" s="1219">
        <f t="shared" si="13"/>
        <v>0</v>
      </c>
      <c r="I16" s="1219">
        <f t="shared" si="13"/>
        <v>0</v>
      </c>
      <c r="J16" s="1219">
        <f t="shared" si="13"/>
        <v>0</v>
      </c>
      <c r="K16" s="2543">
        <f>+K79</f>
        <v>0</v>
      </c>
      <c r="L16" s="1219">
        <f>+L79</f>
        <v>0</v>
      </c>
      <c r="M16" s="843">
        <f>+G16+F16+H16+I16+J16</f>
        <v>0</v>
      </c>
      <c r="N16" s="875"/>
    </row>
    <row r="17" spans="1:15" ht="12" customHeight="1">
      <c r="A17" s="879"/>
      <c r="B17" s="880" t="s">
        <v>18</v>
      </c>
      <c r="C17" s="881"/>
      <c r="D17" s="967">
        <f>+D29+D40+D49+D56+D63+D70</f>
        <v>755076</v>
      </c>
      <c r="E17" s="967">
        <f t="shared" ref="E17" si="14">+E29+E40+E49+E56+E63+E70</f>
        <v>529889</v>
      </c>
      <c r="F17" s="967">
        <f t="shared" ref="F17:J17" si="15">+F29+F40+F49+F56+F63+F70</f>
        <v>125647</v>
      </c>
      <c r="G17" s="967">
        <f t="shared" si="15"/>
        <v>99540</v>
      </c>
      <c r="H17" s="967">
        <f t="shared" si="15"/>
        <v>0</v>
      </c>
      <c r="I17" s="967">
        <f t="shared" si="15"/>
        <v>0</v>
      </c>
      <c r="J17" s="967">
        <f t="shared" si="15"/>
        <v>0</v>
      </c>
      <c r="K17" s="2542">
        <f>+K29+K40+K49+K56+K63+K70</f>
        <v>0</v>
      </c>
      <c r="L17" s="967">
        <f>+L29+L40+L49+L56+L63+L70</f>
        <v>0</v>
      </c>
      <c r="M17" s="843">
        <f>+G17+F17+H17+I17+J17</f>
        <v>225187</v>
      </c>
      <c r="N17" s="882"/>
    </row>
    <row r="18" spans="1:15" s="884" customFormat="1" ht="12">
      <c r="A18" s="864"/>
      <c r="B18" s="1904" t="s">
        <v>20</v>
      </c>
      <c r="C18" s="1905"/>
      <c r="D18" s="223">
        <f>+D19+D21</f>
        <v>755076</v>
      </c>
      <c r="E18" s="223">
        <f t="shared" ref="E18:J18" si="16">+E19+E21</f>
        <v>498994</v>
      </c>
      <c r="F18" s="223">
        <f t="shared" si="16"/>
        <v>121422</v>
      </c>
      <c r="G18" s="223">
        <f t="shared" si="16"/>
        <v>99540</v>
      </c>
      <c r="H18" s="223">
        <f t="shared" si="16"/>
        <v>35120</v>
      </c>
      <c r="I18" s="223">
        <f t="shared" si="16"/>
        <v>0</v>
      </c>
      <c r="J18" s="223">
        <f t="shared" si="16"/>
        <v>0</v>
      </c>
      <c r="K18" s="2523">
        <f>+K19+K21</f>
        <v>0</v>
      </c>
      <c r="L18" s="223">
        <f>+L19+L21</f>
        <v>0</v>
      </c>
      <c r="M18" s="4248" t="s">
        <v>51</v>
      </c>
      <c r="N18" s="883"/>
    </row>
    <row r="19" spans="1:15" s="884" customFormat="1" ht="14.25" hidden="1" customHeight="1">
      <c r="A19" s="864"/>
      <c r="B19" s="59" t="s">
        <v>10</v>
      </c>
      <c r="C19" s="1901"/>
      <c r="D19" s="966">
        <f>+D20</f>
        <v>0</v>
      </c>
      <c r="E19" s="1906">
        <f t="shared" ref="E19:J19" si="17">+E20</f>
        <v>0</v>
      </c>
      <c r="F19" s="1906">
        <f t="shared" si="17"/>
        <v>0</v>
      </c>
      <c r="G19" s="1906">
        <f t="shared" si="17"/>
        <v>0</v>
      </c>
      <c r="H19" s="1906">
        <f t="shared" si="17"/>
        <v>0</v>
      </c>
      <c r="I19" s="1906">
        <f t="shared" si="17"/>
        <v>0</v>
      </c>
      <c r="J19" s="1906">
        <f t="shared" si="17"/>
        <v>0</v>
      </c>
      <c r="K19" s="2544">
        <f>+K20</f>
        <v>0</v>
      </c>
      <c r="L19" s="1906">
        <f>+L20</f>
        <v>0</v>
      </c>
      <c r="M19" s="4249"/>
      <c r="N19" s="883"/>
    </row>
    <row r="20" spans="1:15" s="884" customFormat="1" ht="12" hidden="1">
      <c r="A20" s="864"/>
      <c r="B20" s="168" t="s">
        <v>12</v>
      </c>
      <c r="C20" s="1903"/>
      <c r="D20" s="1907">
        <f>+D82</f>
        <v>0</v>
      </c>
      <c r="E20" s="1908">
        <f t="shared" ref="E20:J20" si="18">+E82</f>
        <v>0</v>
      </c>
      <c r="F20" s="1908">
        <f t="shared" si="18"/>
        <v>0</v>
      </c>
      <c r="G20" s="1908">
        <f t="shared" si="18"/>
        <v>0</v>
      </c>
      <c r="H20" s="1908">
        <f t="shared" si="18"/>
        <v>0</v>
      </c>
      <c r="I20" s="1908">
        <f t="shared" si="18"/>
        <v>0</v>
      </c>
      <c r="J20" s="1908">
        <f t="shared" si="18"/>
        <v>0</v>
      </c>
      <c r="K20" s="2545">
        <f>+K82</f>
        <v>0</v>
      </c>
      <c r="L20" s="1908">
        <f>+L82</f>
        <v>0</v>
      </c>
      <c r="M20" s="4249"/>
      <c r="N20" s="883"/>
    </row>
    <row r="21" spans="1:15" s="884" customFormat="1" ht="14.25" customHeight="1">
      <c r="A21" s="864"/>
      <c r="B21" s="1900" t="s">
        <v>17</v>
      </c>
      <c r="C21" s="1901"/>
      <c r="D21" s="966">
        <f t="shared" ref="D21:H21" si="19">SUM(D22:D23)</f>
        <v>755076</v>
      </c>
      <c r="E21" s="1906">
        <f t="shared" si="19"/>
        <v>498994</v>
      </c>
      <c r="F21" s="1906">
        <f t="shared" si="19"/>
        <v>121422</v>
      </c>
      <c r="G21" s="1906">
        <f t="shared" si="19"/>
        <v>99540</v>
      </c>
      <c r="H21" s="1906">
        <f t="shared" si="19"/>
        <v>35120</v>
      </c>
      <c r="I21" s="966">
        <f t="shared" ref="I21:J21" si="20">+I23</f>
        <v>0</v>
      </c>
      <c r="J21" s="966">
        <f t="shared" si="20"/>
        <v>0</v>
      </c>
      <c r="K21" s="2544">
        <f>SUM(K22:K23)</f>
        <v>0</v>
      </c>
      <c r="L21" s="1906">
        <f>SUM(L22:L23)</f>
        <v>0</v>
      </c>
      <c r="M21" s="4249"/>
      <c r="N21" s="875"/>
    </row>
    <row r="22" spans="1:15" s="884" customFormat="1" ht="12" hidden="1">
      <c r="A22" s="864"/>
      <c r="B22" s="1902" t="s">
        <v>19</v>
      </c>
      <c r="C22" s="1903"/>
      <c r="D22" s="1907">
        <f t="shared" ref="D22:J22" si="21">+D83</f>
        <v>0</v>
      </c>
      <c r="E22" s="1908">
        <f t="shared" si="21"/>
        <v>0</v>
      </c>
      <c r="F22" s="1908">
        <f t="shared" si="21"/>
        <v>0</v>
      </c>
      <c r="G22" s="1908">
        <f t="shared" si="21"/>
        <v>0</v>
      </c>
      <c r="H22" s="1908">
        <f t="shared" si="21"/>
        <v>0</v>
      </c>
      <c r="I22" s="1908">
        <f t="shared" si="21"/>
        <v>0</v>
      </c>
      <c r="J22" s="1908">
        <f t="shared" si="21"/>
        <v>0</v>
      </c>
      <c r="K22" s="2545">
        <f>+K83</f>
        <v>0</v>
      </c>
      <c r="L22" s="1908">
        <f>+L83</f>
        <v>0</v>
      </c>
      <c r="M22" s="4249"/>
      <c r="N22" s="875"/>
    </row>
    <row r="23" spans="1:15" s="1222" customFormat="1" ht="12.75" customHeight="1" thickBot="1">
      <c r="A23" s="1220"/>
      <c r="B23" s="1902" t="s">
        <v>18</v>
      </c>
      <c r="C23" s="1903"/>
      <c r="D23" s="1223">
        <f>+D34+D45+D52+D59+D66+D73</f>
        <v>755076</v>
      </c>
      <c r="E23" s="1224">
        <f t="shared" ref="E23" si="22">+E34+E45+E52+E59+E66+E73</f>
        <v>498994</v>
      </c>
      <c r="F23" s="1223">
        <f t="shared" ref="F23:J23" si="23">+F34+F45+F52+F59+F66+F73</f>
        <v>121422</v>
      </c>
      <c r="G23" s="1223">
        <f t="shared" si="23"/>
        <v>99540</v>
      </c>
      <c r="H23" s="1223">
        <f t="shared" si="23"/>
        <v>35120</v>
      </c>
      <c r="I23" s="1223">
        <f t="shared" si="23"/>
        <v>0</v>
      </c>
      <c r="J23" s="1223">
        <f t="shared" si="23"/>
        <v>0</v>
      </c>
      <c r="K23" s="2546">
        <f>+K34+K45+K52+K59+K66+K73</f>
        <v>0</v>
      </c>
      <c r="L23" s="1224">
        <f>+L34+L45+L52+L59+L66+L73</f>
        <v>0</v>
      </c>
      <c r="M23" s="4250"/>
      <c r="N23" s="1221"/>
      <c r="O23" s="1222">
        <f>D23-D17</f>
        <v>0</v>
      </c>
    </row>
    <row r="24" spans="1:15" ht="12" hidden="1">
      <c r="A24" s="4273" t="s">
        <v>53</v>
      </c>
      <c r="B24" s="885"/>
      <c r="C24" s="886" t="s">
        <v>97</v>
      </c>
      <c r="D24" s="968"/>
      <c r="E24" s="969"/>
      <c r="F24" s="969"/>
      <c r="G24" s="969"/>
      <c r="H24" s="969"/>
      <c r="I24" s="969"/>
      <c r="J24" s="969"/>
      <c r="K24" s="2547"/>
      <c r="L24" s="969"/>
      <c r="M24" s="970"/>
      <c r="N24" s="4253"/>
    </row>
    <row r="25" spans="1:15" ht="15" hidden="1" customHeight="1">
      <c r="A25" s="4274"/>
      <c r="B25" s="1909" t="s">
        <v>9</v>
      </c>
      <c r="C25" s="1910"/>
      <c r="D25" s="778"/>
      <c r="E25" s="778">
        <f t="shared" ref="E25" si="24">+E26+E28</f>
        <v>0</v>
      </c>
      <c r="F25" s="778">
        <f>+F26+F28</f>
        <v>0</v>
      </c>
      <c r="G25" s="778">
        <f>+G26+G28</f>
        <v>0</v>
      </c>
      <c r="H25" s="778"/>
      <c r="I25" s="778"/>
      <c r="J25" s="778"/>
      <c r="K25" s="2528">
        <f>+K26+K28</f>
        <v>0</v>
      </c>
      <c r="L25" s="778">
        <f>+L26+L28</f>
        <v>0</v>
      </c>
      <c r="M25" s="851">
        <f>M26+M28</f>
        <v>0</v>
      </c>
      <c r="N25" s="4254"/>
    </row>
    <row r="26" spans="1:15" ht="12.75" hidden="1" customHeight="1">
      <c r="A26" s="4274"/>
      <c r="B26" s="1911" t="s">
        <v>22</v>
      </c>
      <c r="C26" s="4277" t="s">
        <v>118</v>
      </c>
      <c r="D26" s="768"/>
      <c r="E26" s="768">
        <f t="shared" ref="E26:G26" si="25">+E27</f>
        <v>0</v>
      </c>
      <c r="F26" s="768">
        <f t="shared" si="25"/>
        <v>0</v>
      </c>
      <c r="G26" s="768">
        <f t="shared" si="25"/>
        <v>0</v>
      </c>
      <c r="H26" s="768"/>
      <c r="I26" s="768"/>
      <c r="J26" s="768"/>
      <c r="K26" s="2525">
        <f>+K27</f>
        <v>0</v>
      </c>
      <c r="L26" s="768">
        <f>+L27</f>
        <v>0</v>
      </c>
      <c r="M26" s="769">
        <f>+M27</f>
        <v>0</v>
      </c>
      <c r="N26" s="4254"/>
    </row>
    <row r="27" spans="1:15" ht="12.75" hidden="1" customHeight="1">
      <c r="A27" s="4274"/>
      <c r="B27" s="888" t="s">
        <v>11</v>
      </c>
      <c r="C27" s="4278"/>
      <c r="D27" s="771"/>
      <c r="E27" s="771">
        <v>0</v>
      </c>
      <c r="F27" s="75">
        <v>0</v>
      </c>
      <c r="G27" s="75">
        <v>0</v>
      </c>
      <c r="H27" s="75"/>
      <c r="I27" s="75"/>
      <c r="J27" s="75"/>
      <c r="K27" s="2526">
        <v>0</v>
      </c>
      <c r="L27" s="75">
        <v>0</v>
      </c>
      <c r="M27" s="971">
        <f>SUM(F27:J27)</f>
        <v>0</v>
      </c>
      <c r="N27" s="4254"/>
    </row>
    <row r="28" spans="1:15" ht="12.75" hidden="1" customHeight="1">
      <c r="A28" s="4274"/>
      <c r="B28" s="1912" t="s">
        <v>17</v>
      </c>
      <c r="C28" s="4278"/>
      <c r="D28" s="773"/>
      <c r="E28" s="773">
        <f t="shared" ref="E28:G28" si="26">E29</f>
        <v>0</v>
      </c>
      <c r="F28" s="773">
        <f t="shared" si="26"/>
        <v>0</v>
      </c>
      <c r="G28" s="773">
        <f t="shared" si="26"/>
        <v>0</v>
      </c>
      <c r="H28" s="773"/>
      <c r="I28" s="773"/>
      <c r="J28" s="773"/>
      <c r="K28" s="2527">
        <f>K29</f>
        <v>0</v>
      </c>
      <c r="L28" s="773">
        <f>L29</f>
        <v>0</v>
      </c>
      <c r="M28" s="769">
        <f>+M29</f>
        <v>0</v>
      </c>
      <c r="N28" s="4254"/>
    </row>
    <row r="29" spans="1:15" ht="12" hidden="1">
      <c r="A29" s="4274"/>
      <c r="B29" s="890" t="s">
        <v>18</v>
      </c>
      <c r="C29" s="4257"/>
      <c r="D29" s="1913"/>
      <c r="E29" s="972">
        <v>0</v>
      </c>
      <c r="F29" s="48">
        <v>0</v>
      </c>
      <c r="G29" s="48">
        <v>0</v>
      </c>
      <c r="H29" s="48"/>
      <c r="I29" s="48"/>
      <c r="J29" s="48"/>
      <c r="K29" s="2516">
        <v>0</v>
      </c>
      <c r="L29" s="48">
        <v>0</v>
      </c>
      <c r="M29" s="971">
        <f>SUM(F29:J29)</f>
        <v>0</v>
      </c>
      <c r="N29" s="4254"/>
    </row>
    <row r="30" spans="1:15" ht="12.75" hidden="1" customHeight="1">
      <c r="A30" s="4276"/>
      <c r="B30" s="1909" t="s">
        <v>20</v>
      </c>
      <c r="C30" s="1914"/>
      <c r="D30" s="778"/>
      <c r="E30" s="778">
        <f t="shared" ref="E30" si="27">E31+E33</f>
        <v>0</v>
      </c>
      <c r="F30" s="794">
        <f>F31+F33</f>
        <v>0</v>
      </c>
      <c r="G30" s="794">
        <f>G31+G33</f>
        <v>0</v>
      </c>
      <c r="H30" s="973"/>
      <c r="I30" s="973"/>
      <c r="J30" s="973"/>
      <c r="K30" s="2538">
        <f>K31+K33</f>
        <v>0</v>
      </c>
      <c r="L30" s="778">
        <f>L31+L33</f>
        <v>0</v>
      </c>
      <c r="M30" s="4243" t="s">
        <v>51</v>
      </c>
      <c r="N30" s="4254"/>
    </row>
    <row r="31" spans="1:15" ht="12" hidden="1" customHeight="1">
      <c r="A31" s="4276"/>
      <c r="B31" s="891" t="s">
        <v>22</v>
      </c>
      <c r="C31" s="4277" t="s">
        <v>118</v>
      </c>
      <c r="D31" s="768"/>
      <c r="E31" s="768"/>
      <c r="F31" s="795">
        <f t="shared" ref="F31:G31" si="28">F32</f>
        <v>0</v>
      </c>
      <c r="G31" s="795">
        <f t="shared" si="28"/>
        <v>0</v>
      </c>
      <c r="H31" s="974"/>
      <c r="I31" s="974"/>
      <c r="J31" s="974"/>
      <c r="K31" s="2548">
        <f>K32</f>
        <v>0</v>
      </c>
      <c r="L31" s="768">
        <f>L32</f>
        <v>0</v>
      </c>
      <c r="M31" s="4251"/>
      <c r="N31" s="4254"/>
    </row>
    <row r="32" spans="1:15" ht="12" hidden="1" customHeight="1">
      <c r="A32" s="4276"/>
      <c r="B32" s="892" t="s">
        <v>12</v>
      </c>
      <c r="C32" s="4278"/>
      <c r="D32" s="771"/>
      <c r="E32" s="780"/>
      <c r="F32" s="780">
        <v>0</v>
      </c>
      <c r="G32" s="780">
        <v>0</v>
      </c>
      <c r="H32" s="120"/>
      <c r="I32" s="120"/>
      <c r="J32" s="120"/>
      <c r="K32" s="2517">
        <v>0</v>
      </c>
      <c r="L32" s="780">
        <v>0</v>
      </c>
      <c r="M32" s="4251"/>
      <c r="N32" s="4254"/>
    </row>
    <row r="33" spans="1:14" ht="13.5" hidden="1" customHeight="1">
      <c r="A33" s="4276"/>
      <c r="B33" s="894" t="s">
        <v>17</v>
      </c>
      <c r="C33" s="4278"/>
      <c r="D33" s="773"/>
      <c r="E33" s="773">
        <f t="shared" ref="E33:G33" si="29">E34</f>
        <v>0</v>
      </c>
      <c r="F33" s="788">
        <f t="shared" si="29"/>
        <v>0</v>
      </c>
      <c r="G33" s="788">
        <f t="shared" si="29"/>
        <v>0</v>
      </c>
      <c r="H33" s="344"/>
      <c r="I33" s="344"/>
      <c r="J33" s="344"/>
      <c r="K33" s="2532">
        <f>K34</f>
        <v>0</v>
      </c>
      <c r="L33" s="773">
        <f>L34</f>
        <v>0</v>
      </c>
      <c r="M33" s="4251"/>
      <c r="N33" s="4254"/>
    </row>
    <row r="34" spans="1:14" ht="13.5" hidden="1" customHeight="1" thickBot="1">
      <c r="A34" s="4275"/>
      <c r="B34" s="895" t="s">
        <v>18</v>
      </c>
      <c r="C34" s="4279"/>
      <c r="D34" s="975"/>
      <c r="E34" s="976">
        <v>0</v>
      </c>
      <c r="F34" s="976">
        <v>0</v>
      </c>
      <c r="G34" s="976">
        <v>0</v>
      </c>
      <c r="H34" s="44"/>
      <c r="I34" s="44"/>
      <c r="J34" s="44"/>
      <c r="K34" s="2518">
        <v>0</v>
      </c>
      <c r="L34" s="976">
        <v>0</v>
      </c>
      <c r="M34" s="4252"/>
      <c r="N34" s="4255"/>
    </row>
    <row r="35" spans="1:14" ht="24.75" customHeight="1">
      <c r="A35" s="4273" t="s">
        <v>53</v>
      </c>
      <c r="B35" s="885" t="s">
        <v>486</v>
      </c>
      <c r="C35" s="886" t="s">
        <v>97</v>
      </c>
      <c r="D35" s="88"/>
      <c r="E35" s="217"/>
      <c r="F35" s="217"/>
      <c r="G35" s="217"/>
      <c r="H35" s="217"/>
      <c r="I35" s="217"/>
      <c r="J35" s="1286"/>
      <c r="K35" s="2524"/>
      <c r="L35" s="217"/>
      <c r="M35" s="970"/>
      <c r="N35" s="4253" t="s">
        <v>521</v>
      </c>
    </row>
    <row r="36" spans="1:14" ht="13.5" customHeight="1">
      <c r="A36" s="4274"/>
      <c r="B36" s="1909" t="s">
        <v>9</v>
      </c>
      <c r="C36" s="1910"/>
      <c r="D36" s="778">
        <f>+D37+D39</f>
        <v>1330015</v>
      </c>
      <c r="E36" s="778">
        <f t="shared" ref="E36" si="30">+E37+E39</f>
        <v>931851</v>
      </c>
      <c r="F36" s="2225">
        <f t="shared" ref="F36:H36" si="31">+F37+F39</f>
        <v>199084</v>
      </c>
      <c r="G36" s="2225">
        <f t="shared" si="31"/>
        <v>199080</v>
      </c>
      <c r="H36" s="2225">
        <f t="shared" si="31"/>
        <v>0</v>
      </c>
      <c r="I36" s="2225"/>
      <c r="J36" s="2225"/>
      <c r="K36" s="2528">
        <f>+K37+K39</f>
        <v>0</v>
      </c>
      <c r="L36" s="778"/>
      <c r="M36" s="851">
        <f>M37+M39</f>
        <v>398164</v>
      </c>
      <c r="N36" s="4254"/>
    </row>
    <row r="37" spans="1:14" ht="11.25" customHeight="1">
      <c r="A37" s="4274"/>
      <c r="B37" s="1911" t="s">
        <v>22</v>
      </c>
      <c r="C37" s="4277" t="s">
        <v>118</v>
      </c>
      <c r="D37" s="768">
        <f>+D38</f>
        <v>634710</v>
      </c>
      <c r="E37" s="768">
        <f t="shared" ref="E37:H37" si="32">+E38</f>
        <v>435630</v>
      </c>
      <c r="F37" s="2226">
        <f t="shared" si="32"/>
        <v>99540</v>
      </c>
      <c r="G37" s="2226">
        <f t="shared" si="32"/>
        <v>99540</v>
      </c>
      <c r="H37" s="2226">
        <f t="shared" si="32"/>
        <v>0</v>
      </c>
      <c r="I37" s="2226"/>
      <c r="J37" s="2226"/>
      <c r="K37" s="2525">
        <f>+K38</f>
        <v>0</v>
      </c>
      <c r="L37" s="768"/>
      <c r="M37" s="769">
        <f>+M38</f>
        <v>199080</v>
      </c>
      <c r="N37" s="4254"/>
    </row>
    <row r="38" spans="1:14" ht="13.5" customHeight="1">
      <c r="A38" s="4274"/>
      <c r="B38" s="888" t="s">
        <v>11</v>
      </c>
      <c r="C38" s="4278"/>
      <c r="D38" s="766">
        <f>E38+L38+K38+F38+G38+H38+I38+J38</f>
        <v>634710</v>
      </c>
      <c r="E38" s="977">
        <f>274500+67232+93898</f>
        <v>435630</v>
      </c>
      <c r="F38" s="2227">
        <v>99540</v>
      </c>
      <c r="G38" s="2227">
        <v>99540</v>
      </c>
      <c r="H38" s="2227">
        <v>0</v>
      </c>
      <c r="I38" s="2227"/>
      <c r="J38" s="2227"/>
      <c r="K38" s="2526"/>
      <c r="L38" s="75"/>
      <c r="M38" s="971">
        <f>SUM(F38:J38)</f>
        <v>199080</v>
      </c>
      <c r="N38" s="4254"/>
    </row>
    <row r="39" spans="1:14" ht="13.5" customHeight="1">
      <c r="A39" s="4274"/>
      <c r="B39" s="1912" t="s">
        <v>17</v>
      </c>
      <c r="C39" s="4278"/>
      <c r="D39" s="773">
        <f>+D40</f>
        <v>695305</v>
      </c>
      <c r="E39" s="773">
        <f t="shared" ref="E39:H39" si="33">E40</f>
        <v>496221</v>
      </c>
      <c r="F39" s="2228">
        <f t="shared" si="33"/>
        <v>99544</v>
      </c>
      <c r="G39" s="2228">
        <f t="shared" si="33"/>
        <v>99540</v>
      </c>
      <c r="H39" s="2228">
        <f t="shared" si="33"/>
        <v>0</v>
      </c>
      <c r="I39" s="2228"/>
      <c r="J39" s="2228"/>
      <c r="K39" s="2527">
        <f>K40</f>
        <v>0</v>
      </c>
      <c r="L39" s="773"/>
      <c r="M39" s="769">
        <f>+M40</f>
        <v>199084</v>
      </c>
      <c r="N39" s="4254"/>
    </row>
    <row r="40" spans="1:14" ht="12">
      <c r="A40" s="4274"/>
      <c r="B40" s="890" t="s">
        <v>18</v>
      </c>
      <c r="C40" s="4257"/>
      <c r="D40" s="766">
        <f>E40+L40+K40+F40+G40+H40+I40+J40</f>
        <v>695305</v>
      </c>
      <c r="E40" s="977">
        <f>319387+77294+99540</f>
        <v>496221</v>
      </c>
      <c r="F40" s="2229">
        <f>99540+4</f>
        <v>99544</v>
      </c>
      <c r="G40" s="2229">
        <v>99540</v>
      </c>
      <c r="H40" s="2229">
        <v>0</v>
      </c>
      <c r="I40" s="2229"/>
      <c r="J40" s="2229"/>
      <c r="K40" s="2516"/>
      <c r="L40" s="48"/>
      <c r="M40" s="971">
        <f>SUM(F40:J40)</f>
        <v>199084</v>
      </c>
      <c r="N40" s="4254"/>
    </row>
    <row r="41" spans="1:14" ht="13.5" customHeight="1">
      <c r="A41" s="4276"/>
      <c r="B41" s="1909" t="s">
        <v>20</v>
      </c>
      <c r="C41" s="1914"/>
      <c r="D41" s="778">
        <f>+D44</f>
        <v>695305</v>
      </c>
      <c r="E41" s="778">
        <f t="shared" ref="E41" si="34">E42+E44</f>
        <v>461105</v>
      </c>
      <c r="F41" s="2225">
        <f t="shared" ref="F41:H41" si="35">F42+F44</f>
        <v>99540</v>
      </c>
      <c r="G41" s="2225">
        <f t="shared" si="35"/>
        <v>99540</v>
      </c>
      <c r="H41" s="2225">
        <f t="shared" si="35"/>
        <v>35120</v>
      </c>
      <c r="I41" s="2225"/>
      <c r="J41" s="2225"/>
      <c r="K41" s="2528">
        <f>K42+K44</f>
        <v>0</v>
      </c>
      <c r="L41" s="778"/>
      <c r="M41" s="4243" t="s">
        <v>51</v>
      </c>
      <c r="N41" s="4254"/>
    </row>
    <row r="42" spans="1:14" ht="12" hidden="1" customHeight="1">
      <c r="A42" s="4276"/>
      <c r="B42" s="891" t="s">
        <v>22</v>
      </c>
      <c r="C42" s="4277" t="s">
        <v>118</v>
      </c>
      <c r="D42" s="768">
        <f t="shared" ref="D42:E42" si="36">D43</f>
        <v>0</v>
      </c>
      <c r="E42" s="768">
        <f t="shared" si="36"/>
        <v>0</v>
      </c>
      <c r="F42" s="2226"/>
      <c r="G42" s="2226"/>
      <c r="H42" s="2226"/>
      <c r="I42" s="2226"/>
      <c r="J42" s="2226"/>
      <c r="K42" s="2525">
        <f>K43</f>
        <v>0</v>
      </c>
      <c r="L42" s="768"/>
      <c r="M42" s="4251"/>
      <c r="N42" s="4254"/>
    </row>
    <row r="43" spans="1:14" ht="12" hidden="1" customHeight="1">
      <c r="A43" s="4276"/>
      <c r="B43" s="892" t="s">
        <v>12</v>
      </c>
      <c r="C43" s="4278"/>
      <c r="D43" s="766">
        <f>E43+L43+K43+F43+G43+H43+I43+J43</f>
        <v>0</v>
      </c>
      <c r="E43" s="780"/>
      <c r="F43" s="2227"/>
      <c r="G43" s="2227"/>
      <c r="H43" s="2227"/>
      <c r="I43" s="2227"/>
      <c r="J43" s="2227"/>
      <c r="K43" s="2526">
        <v>0</v>
      </c>
      <c r="L43" s="780"/>
      <c r="M43" s="4251"/>
      <c r="N43" s="4254"/>
    </row>
    <row r="44" spans="1:14" ht="13.5" customHeight="1">
      <c r="A44" s="4276"/>
      <c r="B44" s="894" t="s">
        <v>17</v>
      </c>
      <c r="C44" s="4278"/>
      <c r="D44" s="773">
        <f>+D45</f>
        <v>695305</v>
      </c>
      <c r="E44" s="773">
        <f t="shared" ref="E44:H44" si="37">E45</f>
        <v>461105</v>
      </c>
      <c r="F44" s="2228">
        <f t="shared" si="37"/>
        <v>99540</v>
      </c>
      <c r="G44" s="2228">
        <f t="shared" si="37"/>
        <v>99540</v>
      </c>
      <c r="H44" s="2228">
        <f t="shared" si="37"/>
        <v>35120</v>
      </c>
      <c r="I44" s="2228"/>
      <c r="J44" s="2228"/>
      <c r="K44" s="2527">
        <f>K45</f>
        <v>0</v>
      </c>
      <c r="L44" s="773"/>
      <c r="M44" s="4251"/>
      <c r="N44" s="4254"/>
    </row>
    <row r="45" spans="1:14" ht="12.75" customHeight="1" thickBot="1">
      <c r="A45" s="4275"/>
      <c r="B45" s="895" t="s">
        <v>18</v>
      </c>
      <c r="C45" s="4279"/>
      <c r="D45" s="766">
        <f>E45+L45+K45+F45+G45+H45+I45+J45</f>
        <v>695305</v>
      </c>
      <c r="E45" s="977">
        <f>291312+79154+90639</f>
        <v>461105</v>
      </c>
      <c r="F45" s="2230">
        <v>99540</v>
      </c>
      <c r="G45" s="2230">
        <v>99540</v>
      </c>
      <c r="H45" s="2230">
        <f>29862+5258</f>
        <v>35120</v>
      </c>
      <c r="I45" s="2230"/>
      <c r="J45" s="2230"/>
      <c r="K45" s="2518"/>
      <c r="L45" s="976"/>
      <c r="M45" s="4252"/>
      <c r="N45" s="4255"/>
    </row>
    <row r="46" spans="1:14" ht="12" hidden="1">
      <c r="A46" s="4273" t="s">
        <v>54</v>
      </c>
      <c r="B46" s="885"/>
      <c r="C46" s="886" t="s">
        <v>97</v>
      </c>
      <c r="D46" s="968"/>
      <c r="E46" s="969"/>
      <c r="F46" s="969"/>
      <c r="G46" s="969"/>
      <c r="H46" s="969"/>
      <c r="I46" s="969"/>
      <c r="J46" s="969"/>
      <c r="K46" s="2547"/>
      <c r="L46" s="969"/>
      <c r="M46" s="970"/>
      <c r="N46" s="4239" t="s">
        <v>119</v>
      </c>
    </row>
    <row r="47" spans="1:14" ht="15" hidden="1" customHeight="1">
      <c r="A47" s="4274"/>
      <c r="B47" s="1909" t="s">
        <v>9</v>
      </c>
      <c r="C47" s="1910"/>
      <c r="D47" s="778"/>
      <c r="E47" s="778">
        <v>0</v>
      </c>
      <c r="F47" s="778">
        <f t="shared" ref="F47:J47" si="38">+F48+F50</f>
        <v>0</v>
      </c>
      <c r="G47" s="778">
        <f t="shared" si="38"/>
        <v>0</v>
      </c>
      <c r="H47" s="778">
        <f t="shared" si="38"/>
        <v>0</v>
      </c>
      <c r="I47" s="778">
        <f t="shared" si="38"/>
        <v>0</v>
      </c>
      <c r="J47" s="778">
        <f t="shared" si="38"/>
        <v>0</v>
      </c>
      <c r="K47" s="2528">
        <f>+K48+K50</f>
        <v>0</v>
      </c>
      <c r="L47" s="778">
        <f>L48</f>
        <v>0</v>
      </c>
      <c r="M47" s="851">
        <f>M48</f>
        <v>0</v>
      </c>
      <c r="N47" s="4240"/>
    </row>
    <row r="48" spans="1:14" ht="12" hidden="1">
      <c r="A48" s="4274"/>
      <c r="B48" s="896" t="s">
        <v>17</v>
      </c>
      <c r="C48" s="4256" t="s">
        <v>120</v>
      </c>
      <c r="D48" s="773"/>
      <c r="E48" s="773">
        <v>0</v>
      </c>
      <c r="F48" s="773">
        <f t="shared" ref="F48:H48" si="39">F49</f>
        <v>0</v>
      </c>
      <c r="G48" s="773">
        <f t="shared" si="39"/>
        <v>0</v>
      </c>
      <c r="H48" s="773">
        <f t="shared" si="39"/>
        <v>0</v>
      </c>
      <c r="I48" s="773">
        <f>I49</f>
        <v>0</v>
      </c>
      <c r="J48" s="773">
        <f>J49</f>
        <v>0</v>
      </c>
      <c r="K48" s="2527">
        <f>K49</f>
        <v>0</v>
      </c>
      <c r="L48" s="773">
        <f>L49</f>
        <v>0</v>
      </c>
      <c r="M48" s="769">
        <f>+M49</f>
        <v>0</v>
      </c>
      <c r="N48" s="4240"/>
    </row>
    <row r="49" spans="1:14" ht="12" hidden="1">
      <c r="A49" s="4274"/>
      <c r="B49" s="897" t="s">
        <v>18</v>
      </c>
      <c r="C49" s="4257"/>
      <c r="D49" s="771"/>
      <c r="E49" s="771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2516">
        <v>0</v>
      </c>
      <c r="L49" s="48">
        <v>0</v>
      </c>
      <c r="M49" s="971">
        <f>SUM(F49:J49)</f>
        <v>0</v>
      </c>
      <c r="N49" s="4240"/>
    </row>
    <row r="50" spans="1:14" ht="15" hidden="1" customHeight="1">
      <c r="A50" s="4274"/>
      <c r="B50" s="898" t="s">
        <v>20</v>
      </c>
      <c r="C50" s="899"/>
      <c r="D50" s="778"/>
      <c r="E50" s="778">
        <v>0</v>
      </c>
      <c r="F50" s="778">
        <f t="shared" ref="F50:K50" si="40">F51+F101</f>
        <v>0</v>
      </c>
      <c r="G50" s="778">
        <f t="shared" si="40"/>
        <v>0</v>
      </c>
      <c r="H50" s="778">
        <f t="shared" si="40"/>
        <v>0</v>
      </c>
      <c r="I50" s="778">
        <f t="shared" si="40"/>
        <v>0</v>
      </c>
      <c r="J50" s="778">
        <f t="shared" si="40"/>
        <v>0</v>
      </c>
      <c r="K50" s="778">
        <f t="shared" si="40"/>
        <v>0</v>
      </c>
      <c r="L50" s="778">
        <f>L51</f>
        <v>0</v>
      </c>
      <c r="M50" s="4243" t="s">
        <v>51</v>
      </c>
      <c r="N50" s="4240"/>
    </row>
    <row r="51" spans="1:14" ht="12" hidden="1" customHeight="1">
      <c r="A51" s="4274"/>
      <c r="B51" s="896" t="s">
        <v>17</v>
      </c>
      <c r="C51" s="4256" t="s">
        <v>120</v>
      </c>
      <c r="D51" s="773"/>
      <c r="E51" s="773">
        <v>0</v>
      </c>
      <c r="F51" s="773">
        <f t="shared" ref="F51:J51" si="41">F52</f>
        <v>0</v>
      </c>
      <c r="G51" s="773">
        <f t="shared" si="41"/>
        <v>0</v>
      </c>
      <c r="H51" s="773">
        <f t="shared" si="41"/>
        <v>0</v>
      </c>
      <c r="I51" s="773">
        <f t="shared" si="41"/>
        <v>0</v>
      </c>
      <c r="J51" s="773">
        <f t="shared" si="41"/>
        <v>0</v>
      </c>
      <c r="K51" s="2527">
        <f>K52</f>
        <v>0</v>
      </c>
      <c r="L51" s="773">
        <f>L52</f>
        <v>0</v>
      </c>
      <c r="M51" s="4251"/>
      <c r="N51" s="4240"/>
    </row>
    <row r="52" spans="1:14" ht="12.75" hidden="1" customHeight="1" thickBot="1">
      <c r="A52" s="4275"/>
      <c r="B52" s="900" t="s">
        <v>18</v>
      </c>
      <c r="C52" s="4279"/>
      <c r="D52" s="771"/>
      <c r="E52" s="771">
        <v>0</v>
      </c>
      <c r="F52" s="976">
        <v>0</v>
      </c>
      <c r="G52" s="976">
        <v>0</v>
      </c>
      <c r="H52" s="976">
        <v>0</v>
      </c>
      <c r="I52" s="976">
        <v>0</v>
      </c>
      <c r="J52" s="976">
        <v>0</v>
      </c>
      <c r="K52" s="2518">
        <v>0</v>
      </c>
      <c r="L52" s="976">
        <v>0</v>
      </c>
      <c r="M52" s="4252"/>
      <c r="N52" s="4242"/>
    </row>
    <row r="53" spans="1:14" ht="12" hidden="1">
      <c r="A53" s="4273" t="s">
        <v>54</v>
      </c>
      <c r="B53" s="885"/>
      <c r="C53" s="886" t="s">
        <v>97</v>
      </c>
      <c r="D53" s="968"/>
      <c r="E53" s="969"/>
      <c r="F53" s="969"/>
      <c r="G53" s="969"/>
      <c r="H53" s="969"/>
      <c r="I53" s="969"/>
      <c r="J53" s="969"/>
      <c r="K53" s="2547"/>
      <c r="L53" s="969"/>
      <c r="M53" s="970"/>
      <c r="N53" s="4239" t="s">
        <v>119</v>
      </c>
    </row>
    <row r="54" spans="1:14" ht="15" hidden="1" customHeight="1">
      <c r="A54" s="4274"/>
      <c r="B54" s="1909" t="s">
        <v>9</v>
      </c>
      <c r="C54" s="1910"/>
      <c r="D54" s="778">
        <f>D55</f>
        <v>0</v>
      </c>
      <c r="E54" s="778">
        <f t="shared" ref="E54:H55" si="42">E55</f>
        <v>0</v>
      </c>
      <c r="F54" s="778">
        <f t="shared" ref="F54:J54" si="43">+F55+F57</f>
        <v>0</v>
      </c>
      <c r="G54" s="778">
        <f t="shared" si="43"/>
        <v>0</v>
      </c>
      <c r="H54" s="778">
        <f t="shared" si="43"/>
        <v>0</v>
      </c>
      <c r="I54" s="778">
        <f t="shared" si="43"/>
        <v>0</v>
      </c>
      <c r="J54" s="778">
        <f t="shared" si="43"/>
        <v>0</v>
      </c>
      <c r="K54" s="2528">
        <f>+K55+K57</f>
        <v>0</v>
      </c>
      <c r="L54" s="778">
        <f>L55</f>
        <v>0</v>
      </c>
      <c r="M54" s="851">
        <f>M55</f>
        <v>0</v>
      </c>
      <c r="N54" s="4240"/>
    </row>
    <row r="55" spans="1:14" ht="12" hidden="1">
      <c r="A55" s="4274"/>
      <c r="B55" s="896" t="s">
        <v>17</v>
      </c>
      <c r="C55" s="4256" t="s">
        <v>120</v>
      </c>
      <c r="D55" s="773">
        <f>+D56</f>
        <v>0</v>
      </c>
      <c r="E55" s="773">
        <f t="shared" si="42"/>
        <v>0</v>
      </c>
      <c r="F55" s="773">
        <f t="shared" si="42"/>
        <v>0</v>
      </c>
      <c r="G55" s="773">
        <f t="shared" si="42"/>
        <v>0</v>
      </c>
      <c r="H55" s="773">
        <f t="shared" si="42"/>
        <v>0</v>
      </c>
      <c r="I55" s="773">
        <f>I56</f>
        <v>0</v>
      </c>
      <c r="J55" s="773">
        <f>J56</f>
        <v>0</v>
      </c>
      <c r="K55" s="2527">
        <f>K56</f>
        <v>0</v>
      </c>
      <c r="L55" s="773">
        <f>L56</f>
        <v>0</v>
      </c>
      <c r="M55" s="769">
        <f>+M56</f>
        <v>0</v>
      </c>
      <c r="N55" s="4240"/>
    </row>
    <row r="56" spans="1:14" ht="12" hidden="1">
      <c r="A56" s="4274"/>
      <c r="B56" s="897" t="s">
        <v>18</v>
      </c>
      <c r="C56" s="4257"/>
      <c r="D56" s="766">
        <v>0</v>
      </c>
      <c r="E56" s="977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2516">
        <v>0</v>
      </c>
      <c r="L56" s="48">
        <v>0</v>
      </c>
      <c r="M56" s="971">
        <f>SUM(F56:J56)</f>
        <v>0</v>
      </c>
      <c r="N56" s="4240"/>
    </row>
    <row r="57" spans="1:14" ht="15" hidden="1" customHeight="1">
      <c r="A57" s="4274"/>
      <c r="B57" s="898" t="s">
        <v>20</v>
      </c>
      <c r="C57" s="899"/>
      <c r="D57" s="778">
        <f>+D58</f>
        <v>0</v>
      </c>
      <c r="E57" s="778">
        <f t="shared" ref="E57" si="44">+E58</f>
        <v>0</v>
      </c>
      <c r="F57" s="778">
        <f t="shared" ref="F57:G57" si="45">F58</f>
        <v>0</v>
      </c>
      <c r="G57" s="778">
        <f t="shared" si="45"/>
        <v>0</v>
      </c>
      <c r="H57" s="778"/>
      <c r="I57" s="778"/>
      <c r="J57" s="778"/>
      <c r="K57" s="2528">
        <f>K58</f>
        <v>0</v>
      </c>
      <c r="L57" s="778">
        <f>L58</f>
        <v>0</v>
      </c>
      <c r="M57" s="4243" t="s">
        <v>51</v>
      </c>
      <c r="N57" s="4240"/>
    </row>
    <row r="58" spans="1:14" ht="12" hidden="1" customHeight="1">
      <c r="A58" s="4274"/>
      <c r="B58" s="896" t="s">
        <v>17</v>
      </c>
      <c r="C58" s="4256" t="s">
        <v>120</v>
      </c>
      <c r="D58" s="773">
        <f>+D59</f>
        <v>0</v>
      </c>
      <c r="E58" s="773">
        <f t="shared" ref="E58:J58" si="46">E59</f>
        <v>0</v>
      </c>
      <c r="F58" s="773">
        <f t="shared" si="46"/>
        <v>0</v>
      </c>
      <c r="G58" s="773">
        <f t="shared" si="46"/>
        <v>0</v>
      </c>
      <c r="H58" s="773">
        <f t="shared" si="46"/>
        <v>0</v>
      </c>
      <c r="I58" s="773">
        <f t="shared" si="46"/>
        <v>0</v>
      </c>
      <c r="J58" s="773">
        <f t="shared" si="46"/>
        <v>0</v>
      </c>
      <c r="K58" s="2527">
        <f>K59</f>
        <v>0</v>
      </c>
      <c r="L58" s="773">
        <f>L59</f>
        <v>0</v>
      </c>
      <c r="M58" s="4251"/>
      <c r="N58" s="4240"/>
    </row>
    <row r="59" spans="1:14" ht="12.75" hidden="1" customHeight="1" thickBot="1">
      <c r="A59" s="4275"/>
      <c r="B59" s="900" t="s">
        <v>18</v>
      </c>
      <c r="C59" s="4279"/>
      <c r="D59" s="766">
        <f>E59+L59+K59+F59+G59+H59+I59+J59</f>
        <v>0</v>
      </c>
      <c r="E59" s="977">
        <v>0</v>
      </c>
      <c r="F59" s="976">
        <v>0</v>
      </c>
      <c r="G59" s="976">
        <v>0</v>
      </c>
      <c r="H59" s="976">
        <v>0</v>
      </c>
      <c r="I59" s="976">
        <v>0</v>
      </c>
      <c r="J59" s="976">
        <v>0</v>
      </c>
      <c r="K59" s="2518">
        <v>0</v>
      </c>
      <c r="L59" s="976">
        <v>0</v>
      </c>
      <c r="M59" s="4252"/>
      <c r="N59" s="4242"/>
    </row>
    <row r="60" spans="1:14" ht="12" hidden="1">
      <c r="A60" s="4273" t="s">
        <v>55</v>
      </c>
      <c r="B60" s="885"/>
      <c r="C60" s="886" t="s">
        <v>97</v>
      </c>
      <c r="D60" s="968"/>
      <c r="E60" s="969"/>
      <c r="F60" s="969"/>
      <c r="G60" s="969"/>
      <c r="H60" s="969"/>
      <c r="I60" s="969"/>
      <c r="J60" s="969"/>
      <c r="K60" s="2547"/>
      <c r="L60" s="969"/>
      <c r="M60" s="970"/>
      <c r="N60" s="4239" t="s">
        <v>206</v>
      </c>
    </row>
    <row r="61" spans="1:14" ht="15" hidden="1" customHeight="1">
      <c r="A61" s="4274"/>
      <c r="B61" s="1909" t="s">
        <v>9</v>
      </c>
      <c r="C61" s="1910"/>
      <c r="D61" s="778"/>
      <c r="E61" s="778">
        <v>0</v>
      </c>
      <c r="F61" s="778">
        <f t="shared" ref="F61:J61" si="47">+F62+F64</f>
        <v>0</v>
      </c>
      <c r="G61" s="778">
        <f t="shared" si="47"/>
        <v>0</v>
      </c>
      <c r="H61" s="778">
        <f t="shared" si="47"/>
        <v>0</v>
      </c>
      <c r="I61" s="778">
        <f t="shared" si="47"/>
        <v>0</v>
      </c>
      <c r="J61" s="778">
        <f t="shared" si="47"/>
        <v>0</v>
      </c>
      <c r="K61" s="778">
        <f t="shared" ref="K61" si="48">+K62+K64</f>
        <v>0</v>
      </c>
      <c r="L61" s="778">
        <f>L62</f>
        <v>0</v>
      </c>
      <c r="M61" s="851">
        <f>M62</f>
        <v>0</v>
      </c>
      <c r="N61" s="4240"/>
    </row>
    <row r="62" spans="1:14" ht="12" hidden="1">
      <c r="A62" s="4274"/>
      <c r="B62" s="896" t="s">
        <v>17</v>
      </c>
      <c r="C62" s="4256" t="s">
        <v>207</v>
      </c>
      <c r="D62" s="773"/>
      <c r="E62" s="773">
        <v>0</v>
      </c>
      <c r="F62" s="773">
        <f t="shared" ref="F62:H62" si="49">F63</f>
        <v>0</v>
      </c>
      <c r="G62" s="773">
        <f t="shared" si="49"/>
        <v>0</v>
      </c>
      <c r="H62" s="773">
        <f t="shared" si="49"/>
        <v>0</v>
      </c>
      <c r="I62" s="773">
        <f>I63</f>
        <v>0</v>
      </c>
      <c r="J62" s="773">
        <f>J63</f>
        <v>0</v>
      </c>
      <c r="K62" s="773">
        <f>K63</f>
        <v>0</v>
      </c>
      <c r="L62" s="773">
        <f>L63</f>
        <v>0</v>
      </c>
      <c r="M62" s="769">
        <f>+M63</f>
        <v>0</v>
      </c>
      <c r="N62" s="4240"/>
    </row>
    <row r="63" spans="1:14" ht="12" hidden="1">
      <c r="A63" s="4274"/>
      <c r="B63" s="897" t="s">
        <v>18</v>
      </c>
      <c r="C63" s="4257"/>
      <c r="D63" s="1915"/>
      <c r="E63" s="977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971">
        <f>SUM(F63:J63)</f>
        <v>0</v>
      </c>
      <c r="N63" s="4240"/>
    </row>
    <row r="64" spans="1:14" ht="15" hidden="1" customHeight="1">
      <c r="A64" s="4274"/>
      <c r="B64" s="898" t="s">
        <v>20</v>
      </c>
      <c r="C64" s="899"/>
      <c r="D64" s="978"/>
      <c r="E64" s="778">
        <v>0</v>
      </c>
      <c r="F64" s="778">
        <f t="shared" ref="F64:J64" si="50">F65+F115</f>
        <v>0</v>
      </c>
      <c r="G64" s="778">
        <f t="shared" si="50"/>
        <v>0</v>
      </c>
      <c r="H64" s="778">
        <f t="shared" si="50"/>
        <v>0</v>
      </c>
      <c r="I64" s="778">
        <f t="shared" si="50"/>
        <v>0</v>
      </c>
      <c r="J64" s="778">
        <f t="shared" si="50"/>
        <v>0</v>
      </c>
      <c r="K64" s="778">
        <f t="shared" ref="K64" si="51">K65+K115</f>
        <v>0</v>
      </c>
      <c r="L64" s="778">
        <f>L65</f>
        <v>0</v>
      </c>
      <c r="M64" s="4243" t="s">
        <v>51</v>
      </c>
      <c r="N64" s="4240"/>
    </row>
    <row r="65" spans="1:15" ht="12.75" hidden="1" customHeight="1">
      <c r="A65" s="4274"/>
      <c r="B65" s="896" t="s">
        <v>17</v>
      </c>
      <c r="C65" s="4256" t="s">
        <v>207</v>
      </c>
      <c r="D65" s="773"/>
      <c r="E65" s="773">
        <v>0</v>
      </c>
      <c r="F65" s="773">
        <f t="shared" ref="F65:K65" si="52">F66</f>
        <v>0</v>
      </c>
      <c r="G65" s="773">
        <f t="shared" si="52"/>
        <v>0</v>
      </c>
      <c r="H65" s="773">
        <f t="shared" si="52"/>
        <v>0</v>
      </c>
      <c r="I65" s="773">
        <f t="shared" si="52"/>
        <v>0</v>
      </c>
      <c r="J65" s="773">
        <f t="shared" si="52"/>
        <v>0</v>
      </c>
      <c r="K65" s="773">
        <f t="shared" si="52"/>
        <v>0</v>
      </c>
      <c r="L65" s="773">
        <f>L66</f>
        <v>0</v>
      </c>
      <c r="M65" s="4251"/>
      <c r="N65" s="4240"/>
    </row>
    <row r="66" spans="1:15" ht="12.75" hidden="1" customHeight="1" thickBot="1">
      <c r="A66" s="4275"/>
      <c r="B66" s="900" t="s">
        <v>18</v>
      </c>
      <c r="C66" s="4279"/>
      <c r="D66" s="1915"/>
      <c r="E66" s="977">
        <v>0</v>
      </c>
      <c r="F66" s="976">
        <v>0</v>
      </c>
      <c r="G66" s="976">
        <v>0</v>
      </c>
      <c r="H66" s="976">
        <v>0</v>
      </c>
      <c r="I66" s="976">
        <v>0</v>
      </c>
      <c r="J66" s="976">
        <v>0</v>
      </c>
      <c r="K66" s="976">
        <v>0</v>
      </c>
      <c r="L66" s="976">
        <v>0</v>
      </c>
      <c r="M66" s="4252"/>
      <c r="N66" s="4242"/>
    </row>
    <row r="67" spans="1:15" ht="26.25" customHeight="1">
      <c r="A67" s="4273" t="s">
        <v>54</v>
      </c>
      <c r="B67" s="885" t="s">
        <v>487</v>
      </c>
      <c r="C67" s="886" t="s">
        <v>97</v>
      </c>
      <c r="D67" s="88"/>
      <c r="E67" s="217"/>
      <c r="F67" s="217"/>
      <c r="G67" s="217"/>
      <c r="H67" s="217"/>
      <c r="I67" s="217"/>
      <c r="J67" s="1286"/>
      <c r="K67" s="2524"/>
      <c r="L67" s="217"/>
      <c r="M67" s="970"/>
      <c r="N67" s="4239" t="s">
        <v>521</v>
      </c>
    </row>
    <row r="68" spans="1:15" ht="12">
      <c r="A68" s="4274"/>
      <c r="B68" s="1909" t="s">
        <v>9</v>
      </c>
      <c r="C68" s="1910"/>
      <c r="D68" s="778">
        <f>+D69</f>
        <v>59771</v>
      </c>
      <c r="E68" s="778">
        <f t="shared" ref="E68:E69" si="53">+E69</f>
        <v>33668</v>
      </c>
      <c r="F68" s="778">
        <f t="shared" ref="F68:F69" si="54">+F69</f>
        <v>26103</v>
      </c>
      <c r="G68" s="778"/>
      <c r="H68" s="778"/>
      <c r="I68" s="778"/>
      <c r="J68" s="778"/>
      <c r="K68" s="2528">
        <f>+K69</f>
        <v>0</v>
      </c>
      <c r="L68" s="778"/>
      <c r="M68" s="851">
        <f>+M69</f>
        <v>26103</v>
      </c>
      <c r="N68" s="4240"/>
    </row>
    <row r="69" spans="1:15" ht="12">
      <c r="A69" s="4274"/>
      <c r="B69" s="896" t="s">
        <v>17</v>
      </c>
      <c r="C69" s="4256" t="s">
        <v>118</v>
      </c>
      <c r="D69" s="773">
        <f>+D70</f>
        <v>59771</v>
      </c>
      <c r="E69" s="773">
        <f t="shared" si="53"/>
        <v>33668</v>
      </c>
      <c r="F69" s="773">
        <f t="shared" si="54"/>
        <v>26103</v>
      </c>
      <c r="G69" s="773"/>
      <c r="H69" s="773"/>
      <c r="I69" s="773"/>
      <c r="J69" s="773"/>
      <c r="K69" s="2527">
        <f>+K70</f>
        <v>0</v>
      </c>
      <c r="L69" s="773"/>
      <c r="M69" s="769">
        <f>+M70</f>
        <v>26103</v>
      </c>
      <c r="N69" s="4240"/>
    </row>
    <row r="70" spans="1:15" ht="12">
      <c r="A70" s="4274"/>
      <c r="B70" s="897" t="s">
        <v>18</v>
      </c>
      <c r="C70" s="4257"/>
      <c r="D70" s="789">
        <f>E70+L70+K70+F70+G70+H70+I70+J70</f>
        <v>59771</v>
      </c>
      <c r="E70" s="977">
        <f>803+20291+12574</f>
        <v>33668</v>
      </c>
      <c r="F70" s="48">
        <f>21882+4221</f>
        <v>26103</v>
      </c>
      <c r="G70" s="48"/>
      <c r="H70" s="48"/>
      <c r="I70" s="48"/>
      <c r="J70" s="48"/>
      <c r="K70" s="2516"/>
      <c r="L70" s="48"/>
      <c r="M70" s="971">
        <f>SUM(F70:J70)</f>
        <v>26103</v>
      </c>
      <c r="N70" s="4240"/>
    </row>
    <row r="71" spans="1:15" ht="12">
      <c r="A71" s="4274"/>
      <c r="B71" s="898" t="s">
        <v>20</v>
      </c>
      <c r="C71" s="899"/>
      <c r="D71" s="978">
        <f>+D72</f>
        <v>59771</v>
      </c>
      <c r="E71" s="978">
        <f t="shared" ref="E71:E72" si="55">+E72</f>
        <v>37889</v>
      </c>
      <c r="F71" s="778">
        <f t="shared" ref="F71:F72" si="56">+F72</f>
        <v>21882</v>
      </c>
      <c r="G71" s="778"/>
      <c r="H71" s="778"/>
      <c r="I71" s="778"/>
      <c r="J71" s="778"/>
      <c r="K71" s="2528">
        <f>+K72</f>
        <v>0</v>
      </c>
      <c r="L71" s="778"/>
      <c r="M71" s="4243" t="s">
        <v>51</v>
      </c>
      <c r="N71" s="4240"/>
    </row>
    <row r="72" spans="1:15" ht="12">
      <c r="A72" s="4274"/>
      <c r="B72" s="896" t="s">
        <v>17</v>
      </c>
      <c r="C72" s="4256" t="s">
        <v>118</v>
      </c>
      <c r="D72" s="773">
        <f>+D73</f>
        <v>59771</v>
      </c>
      <c r="E72" s="773">
        <f t="shared" si="55"/>
        <v>37889</v>
      </c>
      <c r="F72" s="773">
        <f t="shared" si="56"/>
        <v>21882</v>
      </c>
      <c r="G72" s="773"/>
      <c r="H72" s="773"/>
      <c r="I72" s="773"/>
      <c r="J72" s="773"/>
      <c r="K72" s="2527">
        <f>+K73</f>
        <v>0</v>
      </c>
      <c r="L72" s="773"/>
      <c r="M72" s="4251"/>
      <c r="N72" s="4240"/>
    </row>
    <row r="73" spans="1:15" ht="12.75" thickBot="1">
      <c r="A73" s="4275"/>
      <c r="B73" s="900" t="s">
        <v>18</v>
      </c>
      <c r="C73" s="4279"/>
      <c r="D73" s="1142">
        <f>E73+L73+K73+F73+G73+H73+I73+J73</f>
        <v>59771</v>
      </c>
      <c r="E73" s="2231">
        <f>803+28048+9038</f>
        <v>37889</v>
      </c>
      <c r="F73" s="976">
        <v>21882</v>
      </c>
      <c r="G73" s="976"/>
      <c r="H73" s="976"/>
      <c r="I73" s="976"/>
      <c r="J73" s="976"/>
      <c r="K73" s="2518"/>
      <c r="L73" s="976"/>
      <c r="M73" s="4252"/>
      <c r="N73" s="4242"/>
    </row>
    <row r="74" spans="1:15" ht="12" hidden="1">
      <c r="A74" s="4273" t="s">
        <v>55</v>
      </c>
      <c r="B74" s="885"/>
      <c r="C74" s="886" t="s">
        <v>97</v>
      </c>
      <c r="D74" s="88"/>
      <c r="E74" s="217"/>
      <c r="F74" s="217"/>
      <c r="G74" s="217"/>
      <c r="H74" s="217"/>
      <c r="I74" s="217"/>
      <c r="J74" s="1286"/>
      <c r="K74" s="2524"/>
      <c r="L74" s="217"/>
      <c r="M74" s="970"/>
      <c r="N74" s="4239" t="s">
        <v>252</v>
      </c>
    </row>
    <row r="75" spans="1:15" ht="12" hidden="1">
      <c r="A75" s="4274"/>
      <c r="B75" s="1212" t="s">
        <v>9</v>
      </c>
      <c r="C75" s="1910"/>
      <c r="D75" s="778">
        <f t="shared" ref="D75:J75" si="57">+D76+D78</f>
        <v>0</v>
      </c>
      <c r="E75" s="778">
        <f t="shared" si="57"/>
        <v>0</v>
      </c>
      <c r="F75" s="778">
        <f t="shared" si="57"/>
        <v>0</v>
      </c>
      <c r="G75" s="778">
        <f t="shared" si="57"/>
        <v>0</v>
      </c>
      <c r="H75" s="778">
        <f t="shared" si="57"/>
        <v>0</v>
      </c>
      <c r="I75" s="778">
        <f t="shared" si="57"/>
        <v>0</v>
      </c>
      <c r="J75" s="778">
        <f t="shared" si="57"/>
        <v>0</v>
      </c>
      <c r="K75" s="2528">
        <f>+K76+K78</f>
        <v>0</v>
      </c>
      <c r="L75" s="778">
        <f>+L76+L78</f>
        <v>0</v>
      </c>
      <c r="M75" s="851">
        <f>+M76+M78</f>
        <v>0</v>
      </c>
      <c r="N75" s="4240"/>
      <c r="O75" s="859" t="s">
        <v>403</v>
      </c>
    </row>
    <row r="76" spans="1:15" ht="12" hidden="1">
      <c r="A76" s="4274"/>
      <c r="B76" s="1225" t="s">
        <v>22</v>
      </c>
      <c r="C76" s="4244" t="s">
        <v>134</v>
      </c>
      <c r="D76" s="786">
        <f>+D77</f>
        <v>0</v>
      </c>
      <c r="E76" s="786">
        <f>+E77</f>
        <v>0</v>
      </c>
      <c r="F76" s="786">
        <f t="shared" ref="F76:J76" si="58">+F77</f>
        <v>0</v>
      </c>
      <c r="G76" s="786">
        <f t="shared" si="58"/>
        <v>0</v>
      </c>
      <c r="H76" s="786">
        <f t="shared" si="58"/>
        <v>0</v>
      </c>
      <c r="I76" s="786">
        <f t="shared" si="58"/>
        <v>0</v>
      </c>
      <c r="J76" s="786">
        <f t="shared" si="58"/>
        <v>0</v>
      </c>
      <c r="K76" s="2531">
        <f>+K77</f>
        <v>0</v>
      </c>
      <c r="L76" s="786">
        <f>+L77</f>
        <v>0</v>
      </c>
      <c r="M76" s="769">
        <f>+M77</f>
        <v>0</v>
      </c>
      <c r="N76" s="4240"/>
    </row>
    <row r="77" spans="1:15" ht="12" hidden="1">
      <c r="A77" s="4274"/>
      <c r="B77" s="74" t="s">
        <v>12</v>
      </c>
      <c r="C77" s="4245"/>
      <c r="D77" s="789">
        <f>E77+L77+K77+F77+G77+H77+I77+J77</f>
        <v>0</v>
      </c>
      <c r="E77" s="789">
        <v>0</v>
      </c>
      <c r="F77" s="789"/>
      <c r="G77" s="789"/>
      <c r="H77" s="789"/>
      <c r="I77" s="789"/>
      <c r="J77" s="789"/>
      <c r="K77" s="2549"/>
      <c r="L77" s="789">
        <v>0</v>
      </c>
      <c r="M77" s="971">
        <f>SUM(F77:J77)</f>
        <v>0</v>
      </c>
      <c r="N77" s="4240"/>
    </row>
    <row r="78" spans="1:15" ht="12" hidden="1">
      <c r="A78" s="4274"/>
      <c r="B78" s="1184" t="s">
        <v>17</v>
      </c>
      <c r="C78" s="4245"/>
      <c r="D78" s="786">
        <f>+D79</f>
        <v>0</v>
      </c>
      <c r="E78" s="786">
        <f t="shared" ref="E78:J78" si="59">+E79</f>
        <v>0</v>
      </c>
      <c r="F78" s="786">
        <f t="shared" si="59"/>
        <v>0</v>
      </c>
      <c r="G78" s="786">
        <f t="shared" si="59"/>
        <v>0</v>
      </c>
      <c r="H78" s="786">
        <f t="shared" si="59"/>
        <v>0</v>
      </c>
      <c r="I78" s="786">
        <f t="shared" si="59"/>
        <v>0</v>
      </c>
      <c r="J78" s="786">
        <f t="shared" si="59"/>
        <v>0</v>
      </c>
      <c r="K78" s="2531">
        <f>+K79</f>
        <v>0</v>
      </c>
      <c r="L78" s="786">
        <f>+L79</f>
        <v>0</v>
      </c>
      <c r="M78" s="769">
        <f>+M79</f>
        <v>0</v>
      </c>
      <c r="N78" s="4240"/>
    </row>
    <row r="79" spans="1:15" ht="12" hidden="1">
      <c r="A79" s="4274"/>
      <c r="B79" s="793" t="s">
        <v>19</v>
      </c>
      <c r="C79" s="4246"/>
      <c r="D79" s="789">
        <f>E79+L79+K79+F79+G79+H79+I79+J79</f>
        <v>0</v>
      </c>
      <c r="E79" s="789">
        <v>0</v>
      </c>
      <c r="F79" s="789"/>
      <c r="G79" s="789"/>
      <c r="H79" s="789"/>
      <c r="I79" s="789"/>
      <c r="J79" s="789"/>
      <c r="K79" s="2549"/>
      <c r="L79" s="789">
        <v>0</v>
      </c>
      <c r="M79" s="971">
        <f>SUM(F79:J79)</f>
        <v>0</v>
      </c>
      <c r="N79" s="4240"/>
    </row>
    <row r="80" spans="1:15" ht="12.75" hidden="1" customHeight="1">
      <c r="A80" s="4274"/>
      <c r="B80" s="898" t="s">
        <v>20</v>
      </c>
      <c r="C80" s="899"/>
      <c r="D80" s="978">
        <f>+D81+D83</f>
        <v>0</v>
      </c>
      <c r="E80" s="978">
        <f t="shared" ref="E80:J80" si="60">+E81+E83</f>
        <v>0</v>
      </c>
      <c r="F80" s="978">
        <f t="shared" si="60"/>
        <v>0</v>
      </c>
      <c r="G80" s="978">
        <f t="shared" si="60"/>
        <v>0</v>
      </c>
      <c r="H80" s="978">
        <f t="shared" si="60"/>
        <v>0</v>
      </c>
      <c r="I80" s="978">
        <f t="shared" si="60"/>
        <v>0</v>
      </c>
      <c r="J80" s="978">
        <f t="shared" si="60"/>
        <v>0</v>
      </c>
      <c r="K80" s="2550">
        <f>+K81+K83</f>
        <v>0</v>
      </c>
      <c r="L80" s="978">
        <f>+L81+L83</f>
        <v>0</v>
      </c>
      <c r="M80" s="4243" t="s">
        <v>51</v>
      </c>
      <c r="N80" s="4240"/>
    </row>
    <row r="81" spans="1:26" ht="12" hidden="1">
      <c r="A81" s="4274"/>
      <c r="B81" s="838" t="s">
        <v>22</v>
      </c>
      <c r="C81" s="4244" t="s">
        <v>134</v>
      </c>
      <c r="D81" s="1254">
        <f>+D82</f>
        <v>0</v>
      </c>
      <c r="E81" s="1254">
        <f t="shared" ref="E81:J81" si="61">+E82</f>
        <v>0</v>
      </c>
      <c r="F81" s="1254">
        <f t="shared" si="61"/>
        <v>0</v>
      </c>
      <c r="G81" s="1254">
        <f t="shared" si="61"/>
        <v>0</v>
      </c>
      <c r="H81" s="1254">
        <f t="shared" si="61"/>
        <v>0</v>
      </c>
      <c r="I81" s="1254">
        <f t="shared" si="61"/>
        <v>0</v>
      </c>
      <c r="J81" s="1254">
        <f t="shared" si="61"/>
        <v>0</v>
      </c>
      <c r="K81" s="2551">
        <f>+K82</f>
        <v>0</v>
      </c>
      <c r="L81" s="1254">
        <f>+L82</f>
        <v>0</v>
      </c>
      <c r="M81" s="4221"/>
      <c r="N81" s="4241"/>
    </row>
    <row r="82" spans="1:26" ht="12" hidden="1">
      <c r="A82" s="4274"/>
      <c r="B82" s="78" t="s">
        <v>12</v>
      </c>
      <c r="C82" s="4245"/>
      <c r="D82" s="789">
        <f>E82+L82+K82+F82+G82+H82+I82+J82</f>
        <v>0</v>
      </c>
      <c r="E82" s="1120">
        <v>0</v>
      </c>
      <c r="F82" s="1916"/>
      <c r="G82" s="1916"/>
      <c r="H82" s="1916"/>
      <c r="I82" s="1916"/>
      <c r="J82" s="1916"/>
      <c r="K82" s="2552"/>
      <c r="L82" s="1916">
        <v>0</v>
      </c>
      <c r="M82" s="4221"/>
      <c r="N82" s="4240"/>
    </row>
    <row r="83" spans="1:26" ht="12" hidden="1" customHeight="1">
      <c r="A83" s="4274"/>
      <c r="B83" s="781" t="s">
        <v>17</v>
      </c>
      <c r="C83" s="4245"/>
      <c r="D83" s="1917">
        <f>+D84</f>
        <v>0</v>
      </c>
      <c r="E83" s="1917">
        <f t="shared" ref="E83:J83" si="62">+E84</f>
        <v>0</v>
      </c>
      <c r="F83" s="1917">
        <f t="shared" si="62"/>
        <v>0</v>
      </c>
      <c r="G83" s="1917">
        <f t="shared" si="62"/>
        <v>0</v>
      </c>
      <c r="H83" s="1917">
        <f t="shared" si="62"/>
        <v>0</v>
      </c>
      <c r="I83" s="1917">
        <f t="shared" si="62"/>
        <v>0</v>
      </c>
      <c r="J83" s="1917">
        <f t="shared" si="62"/>
        <v>0</v>
      </c>
      <c r="K83" s="2553">
        <f>+K84</f>
        <v>0</v>
      </c>
      <c r="L83" s="1917">
        <f>+L84</f>
        <v>0</v>
      </c>
      <c r="M83" s="4221"/>
      <c r="N83" s="4240"/>
    </row>
    <row r="84" spans="1:26" ht="12.75" hidden="1" thickBot="1">
      <c r="A84" s="4275"/>
      <c r="B84" s="187" t="s">
        <v>19</v>
      </c>
      <c r="C84" s="4247"/>
      <c r="D84" s="1003">
        <f>E84+L84+K84+F84+G84+H84+I84+J84</f>
        <v>0</v>
      </c>
      <c r="E84" s="1255">
        <v>0</v>
      </c>
      <c r="F84" s="1256"/>
      <c r="G84" s="1256"/>
      <c r="H84" s="1256"/>
      <c r="I84" s="1256"/>
      <c r="J84" s="1256"/>
      <c r="K84" s="2554"/>
      <c r="L84" s="1256">
        <v>0</v>
      </c>
      <c r="M84" s="4222"/>
      <c r="N84" s="4242"/>
    </row>
    <row r="85" spans="1:26" s="153" customFormat="1" ht="30" customHeight="1" thickBot="1">
      <c r="A85" s="93" t="s">
        <v>404</v>
      </c>
      <c r="B85" s="94"/>
      <c r="C85" s="94"/>
      <c r="D85" s="94"/>
      <c r="E85" s="763"/>
      <c r="F85" s="94"/>
      <c r="G85" s="94"/>
      <c r="H85" s="94"/>
      <c r="I85" s="94"/>
      <c r="J85" s="94"/>
      <c r="K85" s="2519"/>
      <c r="L85" s="94"/>
      <c r="M85" s="495"/>
      <c r="N85" s="1918"/>
    </row>
    <row r="86" spans="1:26" s="820" customFormat="1" ht="12.75">
      <c r="A86" s="724"/>
      <c r="B86" s="103" t="s">
        <v>65</v>
      </c>
      <c r="C86" s="104"/>
      <c r="D86" s="1544">
        <f>D87+D88</f>
        <v>1140000</v>
      </c>
      <c r="E86" s="105">
        <f t="shared" ref="E86:J86" si="63">E87+E88</f>
        <v>22500</v>
      </c>
      <c r="F86" s="105">
        <f t="shared" si="63"/>
        <v>290000</v>
      </c>
      <c r="G86" s="105">
        <f t="shared" si="63"/>
        <v>535000</v>
      </c>
      <c r="H86" s="105">
        <f t="shared" si="63"/>
        <v>135000</v>
      </c>
      <c r="I86" s="105">
        <f t="shared" si="63"/>
        <v>112500</v>
      </c>
      <c r="J86" s="105">
        <f t="shared" si="63"/>
        <v>45000</v>
      </c>
      <c r="K86" s="2514">
        <f>K87+K88</f>
        <v>0</v>
      </c>
      <c r="L86" s="105">
        <f>L87+L88</f>
        <v>0</v>
      </c>
      <c r="M86" s="1545">
        <f>M87+M88</f>
        <v>1117500</v>
      </c>
      <c r="N86" s="4098"/>
      <c r="O86" s="156"/>
    </row>
    <row r="87" spans="1:26" s="820" customFormat="1" ht="13.5" customHeight="1">
      <c r="A87" s="91"/>
      <c r="B87" s="106" t="s">
        <v>66</v>
      </c>
      <c r="C87" s="107"/>
      <c r="D87" s="1546">
        <f>D94</f>
        <v>540000</v>
      </c>
      <c r="E87" s="114">
        <f t="shared" ref="E87:J87" si="64">E94</f>
        <v>22500</v>
      </c>
      <c r="F87" s="114">
        <f t="shared" si="64"/>
        <v>90000</v>
      </c>
      <c r="G87" s="114">
        <f t="shared" si="64"/>
        <v>135000</v>
      </c>
      <c r="H87" s="114">
        <f t="shared" si="64"/>
        <v>135000</v>
      </c>
      <c r="I87" s="114">
        <f t="shared" si="64"/>
        <v>112500</v>
      </c>
      <c r="J87" s="114">
        <f t="shared" si="64"/>
        <v>45000</v>
      </c>
      <c r="K87" s="2539">
        <f>K94</f>
        <v>0</v>
      </c>
      <c r="L87" s="114">
        <f>L94</f>
        <v>0</v>
      </c>
      <c r="M87" s="1374">
        <f>SUM(F87:J87)</f>
        <v>517500</v>
      </c>
      <c r="N87" s="4324"/>
    </row>
    <row r="88" spans="1:26" s="820" customFormat="1" ht="13.5" customHeight="1" thickBot="1">
      <c r="A88" s="91"/>
      <c r="B88" s="115" t="s">
        <v>8</v>
      </c>
      <c r="C88" s="107"/>
      <c r="D88" s="114">
        <f t="shared" ref="D88:J88" si="65">D98</f>
        <v>600000</v>
      </c>
      <c r="E88" s="2120">
        <f t="shared" si="65"/>
        <v>0</v>
      </c>
      <c r="F88" s="197">
        <f t="shared" si="65"/>
        <v>200000</v>
      </c>
      <c r="G88" s="197">
        <f t="shared" si="65"/>
        <v>400000</v>
      </c>
      <c r="H88" s="197">
        <f t="shared" si="65"/>
        <v>0</v>
      </c>
      <c r="I88" s="197">
        <f t="shared" si="65"/>
        <v>0</v>
      </c>
      <c r="J88" s="197">
        <f t="shared" si="65"/>
        <v>0</v>
      </c>
      <c r="K88" s="2534">
        <f>K98</f>
        <v>0</v>
      </c>
      <c r="L88" s="108">
        <v>0</v>
      </c>
      <c r="M88" s="1039">
        <f>SUM(F88:J88)</f>
        <v>600000</v>
      </c>
      <c r="N88" s="4324"/>
    </row>
    <row r="89" spans="1:26" s="201" customFormat="1" ht="13.5" customHeight="1">
      <c r="A89" s="198"/>
      <c r="B89" s="83" t="s">
        <v>9</v>
      </c>
      <c r="C89" s="84"/>
      <c r="D89" s="58">
        <f>D90</f>
        <v>540000</v>
      </c>
      <c r="E89" s="58">
        <f t="shared" ref="E89:J90" si="66">E90</f>
        <v>22500</v>
      </c>
      <c r="F89" s="58">
        <f t="shared" si="66"/>
        <v>90000</v>
      </c>
      <c r="G89" s="58">
        <f t="shared" si="66"/>
        <v>135000</v>
      </c>
      <c r="H89" s="58">
        <f t="shared" si="66"/>
        <v>135000</v>
      </c>
      <c r="I89" s="58">
        <f t="shared" si="66"/>
        <v>112500</v>
      </c>
      <c r="J89" s="58">
        <f t="shared" si="66"/>
        <v>45000</v>
      </c>
      <c r="K89" s="2520">
        <f>K90</f>
        <v>0</v>
      </c>
      <c r="L89" s="58">
        <f>L90</f>
        <v>0</v>
      </c>
      <c r="M89" s="1390">
        <f>M90</f>
        <v>517500</v>
      </c>
      <c r="N89" s="4324"/>
      <c r="O89" s="200"/>
      <c r="P89" s="200"/>
    </row>
    <row r="90" spans="1:26" s="204" customFormat="1" ht="13.5" customHeight="1">
      <c r="A90" s="97"/>
      <c r="B90" s="59" t="s">
        <v>10</v>
      </c>
      <c r="C90" s="4306" t="s">
        <v>51</v>
      </c>
      <c r="D90" s="840">
        <f>D91</f>
        <v>540000</v>
      </c>
      <c r="E90" s="840">
        <f t="shared" si="66"/>
        <v>22500</v>
      </c>
      <c r="F90" s="840">
        <f t="shared" si="66"/>
        <v>90000</v>
      </c>
      <c r="G90" s="840">
        <f t="shared" si="66"/>
        <v>135000</v>
      </c>
      <c r="H90" s="840">
        <f t="shared" si="66"/>
        <v>135000</v>
      </c>
      <c r="I90" s="840">
        <f t="shared" si="66"/>
        <v>112500</v>
      </c>
      <c r="J90" s="840">
        <f t="shared" si="66"/>
        <v>45000</v>
      </c>
      <c r="K90" s="2535">
        <f>K91</f>
        <v>0</v>
      </c>
      <c r="L90" s="840">
        <f>L91</f>
        <v>0</v>
      </c>
      <c r="M90" s="1446">
        <f>+M91</f>
        <v>517500</v>
      </c>
      <c r="N90" s="4324"/>
      <c r="O90" s="202"/>
      <c r="P90" s="203"/>
      <c r="Q90" s="202"/>
      <c r="R90" s="202"/>
      <c r="S90" s="202"/>
      <c r="T90" s="202"/>
      <c r="U90" s="202"/>
      <c r="V90" s="202"/>
      <c r="W90" s="202"/>
      <c r="X90" s="202"/>
      <c r="Y90" s="202"/>
      <c r="Z90" s="202"/>
    </row>
    <row r="91" spans="1:26" s="167" customFormat="1" ht="12.75">
      <c r="A91" s="97"/>
      <c r="B91" s="62" t="s">
        <v>11</v>
      </c>
      <c r="C91" s="4103"/>
      <c r="D91" s="842">
        <f>D96</f>
        <v>540000</v>
      </c>
      <c r="E91" s="842">
        <f t="shared" ref="E91:J92" si="67">E96</f>
        <v>22500</v>
      </c>
      <c r="F91" s="842">
        <f t="shared" si="67"/>
        <v>90000</v>
      </c>
      <c r="G91" s="842">
        <f t="shared" si="67"/>
        <v>135000</v>
      </c>
      <c r="H91" s="842">
        <f t="shared" si="67"/>
        <v>135000</v>
      </c>
      <c r="I91" s="842">
        <f t="shared" si="67"/>
        <v>112500</v>
      </c>
      <c r="J91" s="842">
        <f t="shared" si="67"/>
        <v>45000</v>
      </c>
      <c r="K91" s="2536">
        <f>K96</f>
        <v>0</v>
      </c>
      <c r="L91" s="842">
        <f>L96</f>
        <v>0</v>
      </c>
      <c r="M91" s="1834">
        <f>SUM(F91:J91)</f>
        <v>517500</v>
      </c>
      <c r="N91" s="4324"/>
      <c r="O91" s="156"/>
    </row>
    <row r="92" spans="1:26" s="167" customFormat="1" ht="13.5" thickBot="1">
      <c r="A92" s="1890"/>
      <c r="B92" s="1891" t="s">
        <v>123</v>
      </c>
      <c r="C92" s="2138"/>
      <c r="D92" s="1311">
        <f>D100</f>
        <v>600000</v>
      </c>
      <c r="E92" s="2124">
        <f t="shared" si="67"/>
        <v>0</v>
      </c>
      <c r="F92" s="1311">
        <f>F100</f>
        <v>200000</v>
      </c>
      <c r="G92" s="1311">
        <f>G100</f>
        <v>400000</v>
      </c>
      <c r="H92" s="1311">
        <f t="shared" si="67"/>
        <v>0</v>
      </c>
      <c r="I92" s="1311">
        <f t="shared" si="67"/>
        <v>0</v>
      </c>
      <c r="J92" s="1311">
        <f t="shared" si="67"/>
        <v>0</v>
      </c>
      <c r="K92" s="2555">
        <f>K97</f>
        <v>0</v>
      </c>
      <c r="L92" s="1311">
        <f>L97</f>
        <v>0</v>
      </c>
      <c r="M92" s="1892">
        <f>SUM(F92:J92)</f>
        <v>600000</v>
      </c>
      <c r="N92" s="4099"/>
      <c r="O92" s="156"/>
    </row>
    <row r="93" spans="1:26" ht="36.75" thickBot="1">
      <c r="A93" s="4280" t="s">
        <v>53</v>
      </c>
      <c r="B93" s="206" t="s">
        <v>405</v>
      </c>
      <c r="C93" s="207" t="s">
        <v>97</v>
      </c>
      <c r="D93" s="216"/>
      <c r="E93" s="215"/>
      <c r="F93" s="215"/>
      <c r="G93" s="215"/>
      <c r="H93" s="215"/>
      <c r="I93" s="215"/>
      <c r="J93" s="762"/>
      <c r="K93" s="2533"/>
      <c r="L93" s="215"/>
      <c r="M93" s="191"/>
      <c r="N93" s="4303" t="s">
        <v>156</v>
      </c>
      <c r="O93" s="4297" t="s">
        <v>360</v>
      </c>
    </row>
    <row r="94" spans="1:26" ht="12.75" thickBot="1">
      <c r="A94" s="4280"/>
      <c r="B94" s="37" t="s">
        <v>9</v>
      </c>
      <c r="C94" s="4300" t="s">
        <v>488</v>
      </c>
      <c r="D94" s="778">
        <f>+D95</f>
        <v>540000</v>
      </c>
      <c r="E94" s="783">
        <f t="shared" ref="E94:M95" si="68">+E95</f>
        <v>22500</v>
      </c>
      <c r="F94" s="778">
        <f t="shared" si="68"/>
        <v>90000</v>
      </c>
      <c r="G94" s="778">
        <f t="shared" si="68"/>
        <v>135000</v>
      </c>
      <c r="H94" s="778">
        <f t="shared" si="68"/>
        <v>135000</v>
      </c>
      <c r="I94" s="778">
        <f t="shared" si="68"/>
        <v>112500</v>
      </c>
      <c r="J94" s="778">
        <f t="shared" si="68"/>
        <v>45000</v>
      </c>
      <c r="K94" s="2528">
        <f>+K95</f>
        <v>0</v>
      </c>
      <c r="L94" s="836">
        <f t="shared" si="68"/>
        <v>0</v>
      </c>
      <c r="M94" s="1894">
        <f t="shared" si="68"/>
        <v>517500</v>
      </c>
      <c r="N94" s="4303"/>
      <c r="O94" s="4298"/>
    </row>
    <row r="95" spans="1:26" ht="16.5" customHeight="1" thickBot="1">
      <c r="A95" s="4280"/>
      <c r="B95" s="1225" t="s">
        <v>22</v>
      </c>
      <c r="C95" s="4301"/>
      <c r="D95" s="845">
        <f>+D96</f>
        <v>540000</v>
      </c>
      <c r="E95" s="784">
        <f t="shared" si="68"/>
        <v>22500</v>
      </c>
      <c r="F95" s="784">
        <f t="shared" si="68"/>
        <v>90000</v>
      </c>
      <c r="G95" s="784">
        <f t="shared" si="68"/>
        <v>135000</v>
      </c>
      <c r="H95" s="784">
        <f t="shared" si="68"/>
        <v>135000</v>
      </c>
      <c r="I95" s="784">
        <f t="shared" si="68"/>
        <v>112500</v>
      </c>
      <c r="J95" s="784">
        <f t="shared" si="68"/>
        <v>45000</v>
      </c>
      <c r="K95" s="2530">
        <f>+K96</f>
        <v>0</v>
      </c>
      <c r="L95" s="2128">
        <v>0</v>
      </c>
      <c r="M95" s="1895">
        <f t="shared" si="68"/>
        <v>517500</v>
      </c>
      <c r="N95" s="4304"/>
      <c r="O95" s="4298"/>
    </row>
    <row r="96" spans="1:26" ht="17.25" customHeight="1" thickBot="1">
      <c r="A96" s="4280"/>
      <c r="B96" s="695" t="s">
        <v>11</v>
      </c>
      <c r="C96" s="4302"/>
      <c r="D96" s="1003">
        <f>E96+L96+K96+F96+G96+H96+I96+J96</f>
        <v>540000</v>
      </c>
      <c r="E96" s="2860">
        <v>22500</v>
      </c>
      <c r="F96" s="1594">
        <v>90000</v>
      </c>
      <c r="G96" s="1594">
        <v>135000</v>
      </c>
      <c r="H96" s="1594">
        <v>135000</v>
      </c>
      <c r="I96" s="1594">
        <v>112500</v>
      </c>
      <c r="J96" s="1594">
        <v>45000</v>
      </c>
      <c r="K96" s="2537"/>
      <c r="L96" s="2129">
        <v>0</v>
      </c>
      <c r="M96" s="1451">
        <f>SUM(F96:J96)</f>
        <v>517500</v>
      </c>
      <c r="N96" s="4305"/>
      <c r="O96" s="4299"/>
    </row>
    <row r="97" spans="1:108" ht="39" customHeight="1" thickBot="1">
      <c r="A97" s="4280" t="s">
        <v>54</v>
      </c>
      <c r="B97" s="206" t="s">
        <v>453</v>
      </c>
      <c r="C97" s="207" t="s">
        <v>70</v>
      </c>
      <c r="D97" s="216"/>
      <c r="E97" s="2127"/>
      <c r="F97" s="215"/>
      <c r="G97" s="215"/>
      <c r="H97" s="215"/>
      <c r="I97" s="215"/>
      <c r="J97" s="762"/>
      <c r="K97" s="2533"/>
      <c r="L97" s="215"/>
      <c r="M97" s="191"/>
      <c r="N97" s="4303" t="s">
        <v>156</v>
      </c>
      <c r="O97" s="1218"/>
    </row>
    <row r="98" spans="1:108" ht="12.75" thickBot="1">
      <c r="A98" s="4280"/>
      <c r="B98" s="37" t="s">
        <v>9</v>
      </c>
      <c r="C98" s="1893"/>
      <c r="D98" s="778">
        <f>+D99</f>
        <v>600000</v>
      </c>
      <c r="E98" s="836">
        <f t="shared" ref="E98:M99" si="69">+E99</f>
        <v>0</v>
      </c>
      <c r="F98" s="778">
        <f t="shared" si="69"/>
        <v>200000</v>
      </c>
      <c r="G98" s="778">
        <f t="shared" si="69"/>
        <v>400000</v>
      </c>
      <c r="H98" s="836">
        <f t="shared" si="69"/>
        <v>0</v>
      </c>
      <c r="I98" s="836">
        <f t="shared" si="69"/>
        <v>0</v>
      </c>
      <c r="J98" s="836">
        <f t="shared" si="69"/>
        <v>0</v>
      </c>
      <c r="K98" s="2529">
        <f>+K99</f>
        <v>0</v>
      </c>
      <c r="L98" s="836">
        <f t="shared" si="69"/>
        <v>0</v>
      </c>
      <c r="M98" s="1894">
        <f t="shared" si="69"/>
        <v>600000</v>
      </c>
      <c r="N98" s="4303"/>
      <c r="O98" s="1218"/>
    </row>
    <row r="99" spans="1:108" ht="12.75" thickBot="1">
      <c r="A99" s="4280"/>
      <c r="B99" s="1225" t="s">
        <v>22</v>
      </c>
      <c r="C99" s="4281" t="s">
        <v>466</v>
      </c>
      <c r="D99" s="845">
        <f>+D100</f>
        <v>600000</v>
      </c>
      <c r="E99" s="2125">
        <f t="shared" si="69"/>
        <v>0</v>
      </c>
      <c r="F99" s="784">
        <f t="shared" si="69"/>
        <v>200000</v>
      </c>
      <c r="G99" s="784">
        <f t="shared" si="69"/>
        <v>400000</v>
      </c>
      <c r="H99" s="2128">
        <v>0</v>
      </c>
      <c r="I99" s="2128">
        <v>0</v>
      </c>
      <c r="J99" s="2128">
        <v>0</v>
      </c>
      <c r="K99" s="2556">
        <v>0</v>
      </c>
      <c r="L99" s="2128">
        <v>0</v>
      </c>
      <c r="M99" s="1895">
        <f t="shared" si="69"/>
        <v>600000</v>
      </c>
      <c r="N99" s="4304"/>
      <c r="O99" s="1218"/>
    </row>
    <row r="100" spans="1:108" ht="12.75" thickBot="1">
      <c r="A100" s="4280"/>
      <c r="B100" s="695" t="s">
        <v>123</v>
      </c>
      <c r="C100" s="4282"/>
      <c r="D100" s="1003">
        <f>E100+L100+K100+F100+G100+H100+I100+J100</f>
        <v>600000</v>
      </c>
      <c r="E100" s="2126">
        <v>0</v>
      </c>
      <c r="F100" s="1594">
        <v>200000</v>
      </c>
      <c r="G100" s="1594">
        <v>400000</v>
      </c>
      <c r="H100" s="2129">
        <v>0</v>
      </c>
      <c r="I100" s="2129">
        <v>0</v>
      </c>
      <c r="J100" s="2129">
        <v>0</v>
      </c>
      <c r="K100" s="2557">
        <v>0</v>
      </c>
      <c r="L100" s="2129">
        <v>0</v>
      </c>
      <c r="M100" s="1555">
        <f>SUM(F100:J100)</f>
        <v>600000</v>
      </c>
      <c r="N100" s="4305"/>
      <c r="O100" s="1218"/>
    </row>
    <row r="101" spans="1:108" s="903" customFormat="1" ht="26.25" hidden="1" customHeight="1" thickBot="1">
      <c r="A101" s="4296" t="s">
        <v>121</v>
      </c>
      <c r="B101" s="4258"/>
      <c r="C101" s="4258"/>
      <c r="D101" s="4258"/>
      <c r="E101" s="4258"/>
      <c r="F101" s="4258"/>
      <c r="G101" s="4258"/>
      <c r="H101" s="4258"/>
      <c r="I101" s="4258"/>
      <c r="J101" s="4258"/>
      <c r="K101" s="1690"/>
      <c r="L101" s="1690"/>
      <c r="M101" s="1443"/>
      <c r="N101" s="1919"/>
      <c r="O101" s="902"/>
      <c r="P101" s="902"/>
      <c r="Q101" s="902"/>
      <c r="R101" s="902"/>
      <c r="S101" s="902"/>
      <c r="T101" s="902"/>
      <c r="U101" s="902"/>
      <c r="V101" s="902"/>
      <c r="W101" s="902"/>
      <c r="X101" s="902"/>
      <c r="Y101" s="902"/>
      <c r="Z101" s="902"/>
      <c r="AA101" s="902"/>
      <c r="AB101" s="902"/>
      <c r="AC101" s="902"/>
      <c r="AD101" s="902"/>
      <c r="AE101" s="902"/>
      <c r="AF101" s="902"/>
      <c r="AG101" s="902"/>
      <c r="AH101" s="902"/>
      <c r="AI101" s="902"/>
      <c r="AJ101" s="902"/>
      <c r="AK101" s="902"/>
      <c r="AL101" s="902"/>
      <c r="AM101" s="902"/>
      <c r="AN101" s="902"/>
      <c r="AO101" s="902"/>
      <c r="AP101" s="902"/>
      <c r="AQ101" s="902"/>
      <c r="AR101" s="902"/>
      <c r="AS101" s="902"/>
      <c r="AT101" s="902"/>
      <c r="AU101" s="902"/>
      <c r="AV101" s="902"/>
      <c r="AW101" s="902"/>
      <c r="AX101" s="902"/>
      <c r="AY101" s="902"/>
      <c r="AZ101" s="902"/>
      <c r="BA101" s="902"/>
      <c r="BB101" s="902"/>
      <c r="BC101" s="902"/>
      <c r="BD101" s="902"/>
      <c r="BE101" s="902"/>
      <c r="BF101" s="902"/>
      <c r="BG101" s="902"/>
      <c r="BH101" s="902"/>
      <c r="BI101" s="902"/>
      <c r="BJ101" s="902"/>
      <c r="BK101" s="902"/>
      <c r="BL101" s="902"/>
      <c r="BM101" s="902"/>
      <c r="BN101" s="902"/>
      <c r="BO101" s="902"/>
      <c r="BP101" s="902"/>
      <c r="BQ101" s="902"/>
      <c r="BR101" s="902"/>
      <c r="BS101" s="902"/>
      <c r="BT101" s="902"/>
      <c r="BU101" s="902"/>
      <c r="BV101" s="902"/>
      <c r="BW101" s="902"/>
      <c r="BX101" s="902"/>
      <c r="BY101" s="902"/>
      <c r="BZ101" s="902"/>
      <c r="CA101" s="902"/>
      <c r="CB101" s="902"/>
      <c r="CC101" s="902"/>
      <c r="CD101" s="902"/>
      <c r="CE101" s="902"/>
      <c r="CF101" s="902"/>
      <c r="CG101" s="902"/>
      <c r="CH101" s="902"/>
      <c r="CI101" s="902"/>
      <c r="CJ101" s="902"/>
      <c r="CK101" s="902"/>
      <c r="CL101" s="902"/>
      <c r="CM101" s="902"/>
      <c r="CN101" s="902"/>
      <c r="CO101" s="902"/>
      <c r="CP101" s="902"/>
      <c r="CQ101" s="902"/>
      <c r="CR101" s="902"/>
      <c r="CS101" s="902"/>
      <c r="CT101" s="902"/>
      <c r="CU101" s="902"/>
      <c r="CV101" s="902"/>
      <c r="CW101" s="902"/>
      <c r="CX101" s="902"/>
      <c r="CY101" s="902"/>
      <c r="CZ101" s="902"/>
      <c r="DA101" s="902"/>
      <c r="DB101" s="902"/>
      <c r="DC101" s="902"/>
      <c r="DD101" s="902"/>
    </row>
    <row r="102" spans="1:108" s="1840" customFormat="1" ht="14.25" hidden="1" customHeight="1" thickBot="1">
      <c r="A102" s="1362"/>
      <c r="B102" s="1422" t="s">
        <v>65</v>
      </c>
      <c r="C102" s="1369"/>
      <c r="D102" s="1427">
        <f>+D103+D104</f>
        <v>0</v>
      </c>
      <c r="E102" s="1427">
        <f t="shared" ref="E102:J102" si="70">+E103+E104</f>
        <v>0</v>
      </c>
      <c r="F102" s="1427">
        <f t="shared" si="70"/>
        <v>0</v>
      </c>
      <c r="G102" s="1427">
        <f t="shared" si="70"/>
        <v>0</v>
      </c>
      <c r="H102" s="1427">
        <f t="shared" si="70"/>
        <v>0</v>
      </c>
      <c r="I102" s="1427">
        <f t="shared" si="70"/>
        <v>0</v>
      </c>
      <c r="J102" s="1427">
        <f t="shared" si="70"/>
        <v>0</v>
      </c>
      <c r="K102" s="1691"/>
      <c r="L102" s="1691"/>
      <c r="M102" s="1444">
        <f>+M103+M104</f>
        <v>0</v>
      </c>
      <c r="N102" s="4291"/>
      <c r="O102" s="2136"/>
    </row>
    <row r="103" spans="1:108" s="1840" customFormat="1" ht="13.5" hidden="1" customHeight="1" thickBot="1">
      <c r="A103" s="1362"/>
      <c r="B103" s="1420" t="s">
        <v>66</v>
      </c>
      <c r="C103" s="1369"/>
      <c r="D103" s="1425">
        <v>0</v>
      </c>
      <c r="E103" s="1425">
        <v>0</v>
      </c>
      <c r="F103" s="1425">
        <v>0</v>
      </c>
      <c r="G103" s="1425">
        <v>0</v>
      </c>
      <c r="H103" s="1425">
        <v>0</v>
      </c>
      <c r="I103" s="1425">
        <v>0</v>
      </c>
      <c r="J103" s="1425">
        <v>0</v>
      </c>
      <c r="K103" s="1692"/>
      <c r="L103" s="1692"/>
      <c r="M103" s="1386">
        <f>SUM(F103:F103)</f>
        <v>0</v>
      </c>
      <c r="N103" s="4292"/>
      <c r="O103" s="2136"/>
    </row>
    <row r="104" spans="1:108" s="1840" customFormat="1" ht="13.5" hidden="1" customHeight="1">
      <c r="A104" s="879"/>
      <c r="B104" s="1393" t="s">
        <v>8</v>
      </c>
      <c r="C104" s="1394"/>
      <c r="D104" s="1395">
        <f>+D121+D125+D130+D142</f>
        <v>0</v>
      </c>
      <c r="E104" s="1395">
        <f t="shared" ref="E104" si="71">+E121+E125+E130+E142</f>
        <v>0</v>
      </c>
      <c r="F104" s="1395">
        <f t="shared" ref="F104:J104" si="72">+F121+F125+F130+F142</f>
        <v>0</v>
      </c>
      <c r="G104" s="1395">
        <f t="shared" si="72"/>
        <v>0</v>
      </c>
      <c r="H104" s="1395">
        <f t="shared" si="72"/>
        <v>0</v>
      </c>
      <c r="I104" s="1395">
        <f t="shared" si="72"/>
        <v>0</v>
      </c>
      <c r="J104" s="1395">
        <f t="shared" si="72"/>
        <v>0</v>
      </c>
      <c r="K104" s="1693"/>
      <c r="L104" s="1693"/>
      <c r="M104" s="1396">
        <f>SUM(F104:F104)</f>
        <v>0</v>
      </c>
      <c r="N104" s="4293"/>
      <c r="O104" s="2136"/>
    </row>
    <row r="105" spans="1:108" s="903" customFormat="1" ht="13.5" hidden="1" customHeight="1">
      <c r="A105" s="1920"/>
      <c r="B105" s="1406" t="s">
        <v>9</v>
      </c>
      <c r="C105" s="1406"/>
      <c r="D105" s="1407">
        <f>D106+D110</f>
        <v>0</v>
      </c>
      <c r="E105" s="1407">
        <f>+E106+E110</f>
        <v>0</v>
      </c>
      <c r="F105" s="1407">
        <f t="shared" ref="F105:J105" si="73">+F106+F110</f>
        <v>0</v>
      </c>
      <c r="G105" s="1407">
        <f t="shared" si="73"/>
        <v>0</v>
      </c>
      <c r="H105" s="1407">
        <f t="shared" si="73"/>
        <v>0</v>
      </c>
      <c r="I105" s="1407">
        <f t="shared" si="73"/>
        <v>0</v>
      </c>
      <c r="J105" s="1407">
        <f t="shared" si="73"/>
        <v>0</v>
      </c>
      <c r="K105" s="1407"/>
      <c r="L105" s="1407"/>
      <c r="M105" s="1408" t="e">
        <f>+M106</f>
        <v>#REF!</v>
      </c>
      <c r="N105" s="4294"/>
      <c r="O105" s="902"/>
      <c r="P105" s="902"/>
      <c r="Q105" s="902"/>
      <c r="R105" s="902"/>
      <c r="S105" s="902"/>
      <c r="T105" s="902"/>
      <c r="U105" s="902"/>
      <c r="V105" s="902"/>
      <c r="W105" s="902"/>
      <c r="X105" s="902"/>
      <c r="Y105" s="902"/>
      <c r="Z105" s="902"/>
      <c r="AA105" s="902"/>
      <c r="AB105" s="902"/>
      <c r="AC105" s="902"/>
      <c r="AD105" s="902"/>
      <c r="AE105" s="902"/>
      <c r="AF105" s="902"/>
      <c r="AG105" s="902"/>
      <c r="AH105" s="902"/>
      <c r="AI105" s="902"/>
      <c r="AJ105" s="902"/>
      <c r="AK105" s="902"/>
      <c r="AL105" s="902"/>
      <c r="AM105" s="902"/>
      <c r="AN105" s="902"/>
      <c r="AO105" s="902"/>
      <c r="AP105" s="902"/>
      <c r="AQ105" s="902"/>
      <c r="AR105" s="902"/>
      <c r="AS105" s="902"/>
      <c r="AT105" s="902"/>
      <c r="AU105" s="902"/>
      <c r="AV105" s="902"/>
      <c r="AW105" s="902"/>
      <c r="AX105" s="902"/>
      <c r="AY105" s="902"/>
      <c r="AZ105" s="902"/>
      <c r="BA105" s="902"/>
      <c r="BB105" s="902"/>
      <c r="BC105" s="902"/>
      <c r="BD105" s="902"/>
      <c r="BE105" s="902"/>
      <c r="BF105" s="902"/>
      <c r="BG105" s="902"/>
      <c r="BH105" s="902"/>
      <c r="BI105" s="902"/>
      <c r="BJ105" s="902"/>
      <c r="BK105" s="902"/>
      <c r="BL105" s="902"/>
      <c r="BM105" s="902"/>
      <c r="BN105" s="902"/>
      <c r="BO105" s="902"/>
      <c r="BP105" s="902"/>
      <c r="BQ105" s="902"/>
      <c r="BR105" s="902"/>
      <c r="BS105" s="902"/>
      <c r="BT105" s="902"/>
      <c r="BU105" s="902"/>
      <c r="BV105" s="902"/>
      <c r="BW105" s="902"/>
      <c r="BX105" s="902"/>
      <c r="BY105" s="902"/>
      <c r="BZ105" s="902"/>
      <c r="CA105" s="902"/>
      <c r="CB105" s="902"/>
      <c r="CC105" s="902"/>
      <c r="CD105" s="902"/>
      <c r="CE105" s="902"/>
      <c r="CF105" s="902"/>
      <c r="CG105" s="902"/>
      <c r="CH105" s="902"/>
      <c r="CI105" s="902"/>
      <c r="CJ105" s="902"/>
      <c r="CK105" s="902"/>
      <c r="CL105" s="902"/>
      <c r="CM105" s="902"/>
      <c r="CN105" s="902"/>
      <c r="CO105" s="902"/>
      <c r="CP105" s="902"/>
      <c r="CQ105" s="902"/>
      <c r="CR105" s="902"/>
      <c r="CS105" s="902"/>
      <c r="CT105" s="902"/>
      <c r="CU105" s="902"/>
      <c r="CV105" s="902"/>
      <c r="CW105" s="902"/>
      <c r="CX105" s="902"/>
      <c r="CY105" s="902"/>
      <c r="CZ105" s="902"/>
      <c r="DA105" s="902"/>
      <c r="DB105" s="902"/>
      <c r="DC105" s="902"/>
      <c r="DD105" s="902"/>
    </row>
    <row r="106" spans="1:108" s="903" customFormat="1" ht="13.5" hidden="1" customHeight="1">
      <c r="A106" s="1920"/>
      <c r="B106" s="1409" t="s">
        <v>10</v>
      </c>
      <c r="C106" s="1410"/>
      <c r="D106" s="1410">
        <f>+D107+D108+D109</f>
        <v>0</v>
      </c>
      <c r="E106" s="1410">
        <f t="shared" ref="E106:J106" si="74">+E107+E108+E109</f>
        <v>0</v>
      </c>
      <c r="F106" s="1410">
        <f t="shared" si="74"/>
        <v>0</v>
      </c>
      <c r="G106" s="1410">
        <f t="shared" si="74"/>
        <v>0</v>
      </c>
      <c r="H106" s="1410">
        <f t="shared" si="74"/>
        <v>0</v>
      </c>
      <c r="I106" s="1410">
        <f t="shared" si="74"/>
        <v>0</v>
      </c>
      <c r="J106" s="1410">
        <f t="shared" si="74"/>
        <v>0</v>
      </c>
      <c r="K106" s="1410"/>
      <c r="L106" s="1410"/>
      <c r="M106" s="1411" t="e">
        <f>+M109+M108</f>
        <v>#REF!</v>
      </c>
      <c r="N106" s="4294"/>
      <c r="O106" s="902"/>
      <c r="P106" s="902"/>
      <c r="Q106" s="902"/>
      <c r="R106" s="902"/>
      <c r="S106" s="902"/>
      <c r="T106" s="902"/>
      <c r="U106" s="902"/>
      <c r="V106" s="902"/>
      <c r="W106" s="902"/>
      <c r="X106" s="902"/>
      <c r="Y106" s="902"/>
      <c r="Z106" s="902"/>
      <c r="AA106" s="902"/>
      <c r="AB106" s="902"/>
      <c r="AC106" s="902"/>
      <c r="AD106" s="902"/>
      <c r="AE106" s="902"/>
      <c r="AF106" s="902"/>
      <c r="AG106" s="902"/>
      <c r="AH106" s="902"/>
      <c r="AI106" s="902"/>
      <c r="AJ106" s="902"/>
      <c r="AK106" s="902"/>
      <c r="AL106" s="902"/>
      <c r="AM106" s="902"/>
      <c r="AN106" s="902"/>
      <c r="AO106" s="902"/>
      <c r="AP106" s="902"/>
      <c r="AQ106" s="902"/>
      <c r="AR106" s="902"/>
      <c r="AS106" s="902"/>
      <c r="AT106" s="902"/>
      <c r="AU106" s="902"/>
      <c r="AV106" s="902"/>
      <c r="AW106" s="902"/>
      <c r="AX106" s="902"/>
      <c r="AY106" s="902"/>
      <c r="AZ106" s="902"/>
      <c r="BA106" s="902"/>
      <c r="BB106" s="902"/>
      <c r="BC106" s="902"/>
      <c r="BD106" s="902"/>
      <c r="BE106" s="902"/>
      <c r="BF106" s="902"/>
      <c r="BG106" s="902"/>
      <c r="BH106" s="902"/>
      <c r="BI106" s="902"/>
      <c r="BJ106" s="902"/>
      <c r="BK106" s="902"/>
      <c r="BL106" s="902"/>
      <c r="BM106" s="902"/>
      <c r="BN106" s="902"/>
      <c r="BO106" s="902"/>
      <c r="BP106" s="902"/>
      <c r="BQ106" s="902"/>
      <c r="BR106" s="902"/>
      <c r="BS106" s="902"/>
      <c r="BT106" s="902"/>
      <c r="BU106" s="902"/>
      <c r="BV106" s="902"/>
      <c r="BW106" s="902"/>
      <c r="BX106" s="902"/>
      <c r="BY106" s="902"/>
      <c r="BZ106" s="902"/>
      <c r="CA106" s="902"/>
      <c r="CB106" s="902"/>
      <c r="CC106" s="902"/>
      <c r="CD106" s="902"/>
      <c r="CE106" s="902"/>
      <c r="CF106" s="902"/>
      <c r="CG106" s="902"/>
      <c r="CH106" s="902"/>
      <c r="CI106" s="902"/>
      <c r="CJ106" s="902"/>
      <c r="CK106" s="902"/>
      <c r="CL106" s="902"/>
      <c r="CM106" s="902"/>
      <c r="CN106" s="902"/>
      <c r="CO106" s="902"/>
      <c r="CP106" s="902"/>
      <c r="CQ106" s="902"/>
      <c r="CR106" s="902"/>
      <c r="CS106" s="902"/>
      <c r="CT106" s="902"/>
      <c r="CU106" s="902"/>
      <c r="CV106" s="902"/>
      <c r="CW106" s="902"/>
      <c r="CX106" s="902"/>
      <c r="CY106" s="902"/>
      <c r="CZ106" s="902"/>
      <c r="DA106" s="902"/>
      <c r="DB106" s="902"/>
      <c r="DC106" s="902"/>
      <c r="DD106" s="902"/>
    </row>
    <row r="107" spans="1:108" s="903" customFormat="1" ht="13.5" hidden="1" customHeight="1">
      <c r="A107" s="1920"/>
      <c r="B107" s="1436" t="s">
        <v>122</v>
      </c>
      <c r="C107" s="1436"/>
      <c r="D107" s="1436">
        <f>+D129</f>
        <v>0</v>
      </c>
      <c r="E107" s="1436">
        <f t="shared" ref="E107" si="75">+E129</f>
        <v>0</v>
      </c>
      <c r="F107" s="1436">
        <v>0</v>
      </c>
      <c r="G107" s="1436">
        <v>0</v>
      </c>
      <c r="H107" s="1436">
        <v>0</v>
      </c>
      <c r="I107" s="1436">
        <v>0</v>
      </c>
      <c r="J107" s="1436">
        <v>0</v>
      </c>
      <c r="K107" s="1436"/>
      <c r="L107" s="1436"/>
      <c r="M107" s="1437" t="s">
        <v>51</v>
      </c>
      <c r="N107" s="4294"/>
      <c r="O107" s="902"/>
      <c r="P107" s="902"/>
      <c r="Q107" s="902"/>
      <c r="R107" s="902"/>
      <c r="S107" s="902"/>
      <c r="T107" s="902"/>
      <c r="U107" s="902"/>
      <c r="V107" s="902"/>
      <c r="W107" s="902"/>
      <c r="X107" s="902"/>
      <c r="Y107" s="902"/>
      <c r="Z107" s="902"/>
      <c r="AA107" s="902"/>
      <c r="AB107" s="902"/>
      <c r="AC107" s="902"/>
      <c r="AD107" s="902"/>
      <c r="AE107" s="902"/>
      <c r="AF107" s="902"/>
      <c r="AG107" s="902"/>
      <c r="AH107" s="902"/>
      <c r="AI107" s="902"/>
      <c r="AJ107" s="902"/>
      <c r="AK107" s="902"/>
      <c r="AL107" s="902"/>
      <c r="AM107" s="902"/>
      <c r="AN107" s="902"/>
      <c r="AO107" s="902"/>
      <c r="AP107" s="902"/>
      <c r="AQ107" s="902"/>
      <c r="AR107" s="902"/>
      <c r="AS107" s="902"/>
      <c r="AT107" s="902"/>
      <c r="AU107" s="902"/>
      <c r="AV107" s="902"/>
      <c r="AW107" s="902"/>
      <c r="AX107" s="902"/>
      <c r="AY107" s="902"/>
      <c r="AZ107" s="902"/>
      <c r="BA107" s="902"/>
      <c r="BB107" s="902"/>
      <c r="BC107" s="902"/>
      <c r="BD107" s="902"/>
      <c r="BE107" s="902"/>
      <c r="BF107" s="902"/>
      <c r="BG107" s="902"/>
      <c r="BH107" s="902"/>
      <c r="BI107" s="902"/>
      <c r="BJ107" s="902"/>
      <c r="BK107" s="902"/>
      <c r="BL107" s="902"/>
      <c r="BM107" s="902"/>
      <c r="BN107" s="902"/>
      <c r="BO107" s="902"/>
      <c r="BP107" s="902"/>
      <c r="BQ107" s="902"/>
      <c r="BR107" s="902"/>
      <c r="BS107" s="902"/>
      <c r="BT107" s="902"/>
      <c r="BU107" s="902"/>
      <c r="BV107" s="902"/>
      <c r="BW107" s="902"/>
      <c r="BX107" s="902"/>
      <c r="BY107" s="902"/>
      <c r="BZ107" s="902"/>
      <c r="CA107" s="902"/>
      <c r="CB107" s="902"/>
      <c r="CC107" s="902"/>
      <c r="CD107" s="902"/>
      <c r="CE107" s="902"/>
      <c r="CF107" s="902"/>
      <c r="CG107" s="902"/>
      <c r="CH107" s="902"/>
      <c r="CI107" s="902"/>
      <c r="CJ107" s="902"/>
      <c r="CK107" s="902"/>
      <c r="CL107" s="902"/>
      <c r="CM107" s="902"/>
      <c r="CN107" s="902"/>
      <c r="CO107" s="902"/>
      <c r="CP107" s="902"/>
      <c r="CQ107" s="902"/>
      <c r="CR107" s="902"/>
      <c r="CS107" s="902"/>
      <c r="CT107" s="902"/>
      <c r="CU107" s="902"/>
      <c r="CV107" s="902"/>
      <c r="CW107" s="902"/>
      <c r="CX107" s="902"/>
      <c r="CY107" s="902"/>
      <c r="CZ107" s="902"/>
      <c r="DA107" s="902"/>
      <c r="DB107" s="902"/>
      <c r="DC107" s="902"/>
      <c r="DD107" s="902"/>
    </row>
    <row r="108" spans="1:108" s="903" customFormat="1" ht="13.5" hidden="1" customHeight="1" thickBot="1">
      <c r="A108" s="1385"/>
      <c r="B108" s="1400" t="s">
        <v>123</v>
      </c>
      <c r="C108" s="1401"/>
      <c r="D108" s="1401">
        <f>+D130+D142</f>
        <v>0</v>
      </c>
      <c r="E108" s="1401">
        <f t="shared" ref="E108:G108" si="76">+E130+E142</f>
        <v>0</v>
      </c>
      <c r="F108" s="1401">
        <f t="shared" si="76"/>
        <v>0</v>
      </c>
      <c r="G108" s="1401">
        <f t="shared" si="76"/>
        <v>0</v>
      </c>
      <c r="H108" s="1401">
        <v>0</v>
      </c>
      <c r="I108" s="1401">
        <v>0</v>
      </c>
      <c r="J108" s="1401">
        <v>0</v>
      </c>
      <c r="K108" s="1436"/>
      <c r="L108" s="1436"/>
      <c r="M108" s="1433" t="e">
        <f>+G108+F108+#REF!</f>
        <v>#REF!</v>
      </c>
      <c r="N108" s="4292"/>
      <c r="O108" s="902"/>
      <c r="P108" s="902"/>
      <c r="Q108" s="902"/>
      <c r="R108" s="902"/>
      <c r="S108" s="902"/>
      <c r="T108" s="902"/>
      <c r="U108" s="902"/>
      <c r="V108" s="902"/>
      <c r="W108" s="902"/>
      <c r="X108" s="902"/>
      <c r="Y108" s="902"/>
      <c r="Z108" s="902"/>
      <c r="AA108" s="902"/>
      <c r="AB108" s="902"/>
      <c r="AC108" s="902"/>
      <c r="AD108" s="902"/>
      <c r="AE108" s="902"/>
      <c r="AF108" s="902"/>
      <c r="AG108" s="902"/>
      <c r="AH108" s="902"/>
      <c r="AI108" s="902"/>
      <c r="AJ108" s="902"/>
      <c r="AK108" s="902"/>
      <c r="AL108" s="902"/>
      <c r="AM108" s="902"/>
      <c r="AN108" s="902"/>
      <c r="AO108" s="902"/>
      <c r="AP108" s="902"/>
      <c r="AQ108" s="902"/>
      <c r="AR108" s="902"/>
      <c r="AS108" s="902"/>
      <c r="AT108" s="902"/>
      <c r="AU108" s="902"/>
      <c r="AV108" s="902"/>
      <c r="AW108" s="902"/>
      <c r="AX108" s="902"/>
      <c r="AY108" s="902"/>
      <c r="AZ108" s="902"/>
      <c r="BA108" s="902"/>
      <c r="BB108" s="902"/>
      <c r="BC108" s="902"/>
      <c r="BD108" s="902"/>
      <c r="BE108" s="902"/>
      <c r="BF108" s="902"/>
      <c r="BG108" s="902"/>
      <c r="BH108" s="902"/>
      <c r="BI108" s="902"/>
      <c r="BJ108" s="902"/>
      <c r="BK108" s="902"/>
      <c r="BL108" s="902"/>
      <c r="BM108" s="902"/>
      <c r="BN108" s="902"/>
      <c r="BO108" s="902"/>
      <c r="BP108" s="902"/>
      <c r="BQ108" s="902"/>
      <c r="BR108" s="902"/>
      <c r="BS108" s="902"/>
      <c r="BT108" s="902"/>
      <c r="BU108" s="902"/>
      <c r="BV108" s="902"/>
      <c r="BW108" s="902"/>
      <c r="BX108" s="902"/>
      <c r="BY108" s="902"/>
      <c r="BZ108" s="902"/>
      <c r="CA108" s="902"/>
      <c r="CB108" s="902"/>
      <c r="CC108" s="902"/>
      <c r="CD108" s="902"/>
      <c r="CE108" s="902"/>
      <c r="CF108" s="902"/>
      <c r="CG108" s="902"/>
      <c r="CH108" s="902"/>
      <c r="CI108" s="902"/>
      <c r="CJ108" s="902"/>
      <c r="CK108" s="902"/>
      <c r="CL108" s="902"/>
      <c r="CM108" s="902"/>
      <c r="CN108" s="902"/>
      <c r="CO108" s="902"/>
      <c r="CP108" s="902"/>
      <c r="CQ108" s="902"/>
      <c r="CR108" s="902"/>
      <c r="CS108" s="902"/>
      <c r="CT108" s="902"/>
      <c r="CU108" s="902"/>
      <c r="CV108" s="902"/>
      <c r="CW108" s="902"/>
      <c r="CX108" s="902"/>
      <c r="CY108" s="902"/>
      <c r="CZ108" s="902"/>
      <c r="DA108" s="902"/>
      <c r="DB108" s="902"/>
      <c r="DC108" s="902"/>
      <c r="DD108" s="902"/>
    </row>
    <row r="109" spans="1:108" s="910" customFormat="1" ht="13.5" hidden="1" customHeight="1" thickBot="1">
      <c r="A109" s="1363"/>
      <c r="B109" s="1921" t="s">
        <v>11</v>
      </c>
      <c r="C109" s="907"/>
      <c r="D109" s="907">
        <f>+D121+D125</f>
        <v>0</v>
      </c>
      <c r="E109" s="907">
        <f t="shared" ref="E109" si="77">+E121+E125</f>
        <v>0</v>
      </c>
      <c r="F109" s="907">
        <v>0</v>
      </c>
      <c r="G109" s="907">
        <v>0</v>
      </c>
      <c r="H109" s="907"/>
      <c r="I109" s="907"/>
      <c r="J109" s="907"/>
      <c r="K109" s="1694"/>
      <c r="L109" s="1694"/>
      <c r="M109" s="1922" t="e">
        <f>SUM(#REF!)</f>
        <v>#REF!</v>
      </c>
      <c r="N109" s="4295"/>
      <c r="O109" s="909"/>
      <c r="P109" s="909"/>
      <c r="Q109" s="909"/>
      <c r="R109" s="909"/>
      <c r="S109" s="909"/>
      <c r="T109" s="909"/>
      <c r="U109" s="909"/>
      <c r="V109" s="909"/>
      <c r="W109" s="909"/>
      <c r="X109" s="909"/>
      <c r="Y109" s="909"/>
      <c r="Z109" s="909"/>
      <c r="AA109" s="909"/>
      <c r="AB109" s="909"/>
      <c r="AC109" s="909"/>
      <c r="AD109" s="909"/>
      <c r="AE109" s="909"/>
      <c r="AF109" s="909"/>
      <c r="AG109" s="909"/>
      <c r="AH109" s="909"/>
      <c r="AI109" s="909"/>
      <c r="AJ109" s="909"/>
      <c r="AK109" s="909"/>
      <c r="AL109" s="909"/>
      <c r="AM109" s="909"/>
      <c r="AN109" s="909"/>
      <c r="AO109" s="909"/>
      <c r="AP109" s="909"/>
      <c r="AQ109" s="909"/>
      <c r="AR109" s="909"/>
      <c r="AS109" s="909"/>
      <c r="AT109" s="909"/>
      <c r="AU109" s="909"/>
      <c r="AV109" s="909"/>
      <c r="AW109" s="909"/>
      <c r="AX109" s="909"/>
      <c r="AY109" s="909"/>
      <c r="AZ109" s="909"/>
      <c r="BA109" s="909"/>
      <c r="BB109" s="909"/>
      <c r="BC109" s="909"/>
      <c r="BD109" s="909"/>
      <c r="BE109" s="909"/>
      <c r="BF109" s="909"/>
      <c r="BG109" s="909"/>
      <c r="BH109" s="909"/>
      <c r="BI109" s="909"/>
      <c r="BJ109" s="909"/>
      <c r="BK109" s="909"/>
      <c r="BL109" s="909"/>
      <c r="BM109" s="909"/>
      <c r="BN109" s="909"/>
      <c r="BO109" s="909"/>
      <c r="BP109" s="909"/>
      <c r="BQ109" s="909"/>
      <c r="BR109" s="909"/>
      <c r="BS109" s="909"/>
      <c r="BT109" s="909"/>
      <c r="BU109" s="909"/>
      <c r="BV109" s="909"/>
      <c r="BW109" s="909"/>
      <c r="BX109" s="909"/>
      <c r="BY109" s="909"/>
      <c r="BZ109" s="909"/>
      <c r="CA109" s="909"/>
      <c r="CB109" s="909"/>
      <c r="CC109" s="909"/>
      <c r="CD109" s="909"/>
      <c r="CE109" s="909"/>
      <c r="CF109" s="909"/>
      <c r="CG109" s="909"/>
      <c r="CH109" s="909"/>
      <c r="CI109" s="909"/>
      <c r="CJ109" s="909"/>
      <c r="CK109" s="909"/>
      <c r="CL109" s="909"/>
      <c r="CM109" s="909"/>
      <c r="CN109" s="909"/>
      <c r="CO109" s="909"/>
      <c r="CP109" s="909"/>
      <c r="CQ109" s="909"/>
      <c r="CR109" s="909"/>
      <c r="CS109" s="909"/>
      <c r="CT109" s="909"/>
      <c r="CU109" s="909"/>
      <c r="CV109" s="909"/>
      <c r="CW109" s="909"/>
      <c r="CX109" s="909"/>
      <c r="CY109" s="909"/>
      <c r="CZ109" s="909"/>
      <c r="DA109" s="909"/>
      <c r="DB109" s="909"/>
      <c r="DC109" s="909"/>
      <c r="DD109" s="909"/>
    </row>
    <row r="110" spans="1:108" s="903" customFormat="1" ht="13.5" hidden="1" customHeight="1" thickBot="1">
      <c r="A110" s="1362"/>
      <c r="B110" s="904" t="s">
        <v>17</v>
      </c>
      <c r="C110" s="911"/>
      <c r="D110" s="912">
        <f>D111</f>
        <v>0</v>
      </c>
      <c r="E110" s="912">
        <f t="shared" ref="E110:J110" si="78">E111</f>
        <v>0</v>
      </c>
      <c r="F110" s="911">
        <f t="shared" si="78"/>
        <v>0</v>
      </c>
      <c r="G110" s="911">
        <f t="shared" si="78"/>
        <v>0</v>
      </c>
      <c r="H110" s="911">
        <f t="shared" si="78"/>
        <v>0</v>
      </c>
      <c r="I110" s="911">
        <f t="shared" si="78"/>
        <v>0</v>
      </c>
      <c r="J110" s="911">
        <f t="shared" si="78"/>
        <v>0</v>
      </c>
      <c r="K110" s="1695"/>
      <c r="L110" s="1695"/>
      <c r="M110" s="1923" t="s">
        <v>51</v>
      </c>
      <c r="N110" s="1380"/>
      <c r="O110" s="902"/>
      <c r="P110" s="902"/>
      <c r="Q110" s="902"/>
      <c r="R110" s="902"/>
      <c r="S110" s="902"/>
      <c r="T110" s="902"/>
      <c r="U110" s="902"/>
      <c r="V110" s="902"/>
      <c r="W110" s="902"/>
      <c r="X110" s="902"/>
      <c r="Y110" s="902"/>
      <c r="Z110" s="902"/>
      <c r="AA110" s="902"/>
      <c r="AB110" s="902"/>
      <c r="AC110" s="902"/>
      <c r="AD110" s="902"/>
      <c r="AE110" s="902"/>
      <c r="AF110" s="902"/>
      <c r="AG110" s="902"/>
      <c r="AH110" s="902"/>
      <c r="AI110" s="902"/>
      <c r="AJ110" s="902"/>
      <c r="AK110" s="902"/>
      <c r="AL110" s="902"/>
      <c r="AM110" s="902"/>
      <c r="AN110" s="902"/>
      <c r="AO110" s="902"/>
      <c r="AP110" s="902"/>
      <c r="AQ110" s="902"/>
      <c r="AR110" s="902"/>
      <c r="AS110" s="902"/>
      <c r="AT110" s="902"/>
      <c r="AU110" s="902"/>
      <c r="AV110" s="902"/>
      <c r="AW110" s="902"/>
      <c r="AX110" s="902"/>
      <c r="AY110" s="902"/>
      <c r="AZ110" s="902"/>
      <c r="BA110" s="902"/>
      <c r="BB110" s="902"/>
      <c r="BC110" s="902"/>
      <c r="BD110" s="902"/>
      <c r="BE110" s="902"/>
      <c r="BF110" s="902"/>
      <c r="BG110" s="902"/>
      <c r="BH110" s="902"/>
      <c r="BI110" s="902"/>
      <c r="BJ110" s="902"/>
      <c r="BK110" s="902"/>
      <c r="BL110" s="902"/>
      <c r="BM110" s="902"/>
      <c r="BN110" s="902"/>
      <c r="BO110" s="902"/>
      <c r="BP110" s="902"/>
      <c r="BQ110" s="902"/>
      <c r="BR110" s="902"/>
      <c r="BS110" s="902"/>
      <c r="BT110" s="902"/>
      <c r="BU110" s="902"/>
      <c r="BV110" s="902"/>
      <c r="BW110" s="902"/>
      <c r="BX110" s="902"/>
      <c r="BY110" s="902"/>
      <c r="BZ110" s="902"/>
      <c r="CA110" s="902"/>
      <c r="CB110" s="902"/>
      <c r="CC110" s="902"/>
      <c r="CD110" s="902"/>
      <c r="CE110" s="902"/>
      <c r="CF110" s="902"/>
      <c r="CG110" s="902"/>
      <c r="CH110" s="902"/>
      <c r="CI110" s="902"/>
      <c r="CJ110" s="902"/>
      <c r="CK110" s="902"/>
      <c r="CL110" s="902"/>
      <c r="CM110" s="902"/>
      <c r="CN110" s="902"/>
      <c r="CO110" s="902"/>
      <c r="CP110" s="902"/>
      <c r="CQ110" s="902"/>
      <c r="CR110" s="902"/>
      <c r="CS110" s="902"/>
      <c r="CT110" s="902"/>
      <c r="CU110" s="902"/>
      <c r="CV110" s="902"/>
      <c r="CW110" s="902"/>
      <c r="CX110" s="902"/>
      <c r="CY110" s="902"/>
      <c r="CZ110" s="902"/>
      <c r="DA110" s="902"/>
      <c r="DB110" s="902"/>
      <c r="DC110" s="902"/>
      <c r="DD110" s="902"/>
    </row>
    <row r="111" spans="1:108" s="903" customFormat="1" ht="13.5" hidden="1" customHeight="1" thickBot="1">
      <c r="A111" s="1362"/>
      <c r="B111" s="1924" t="s">
        <v>32</v>
      </c>
      <c r="C111" s="905"/>
      <c r="D111" s="915">
        <f>D132</f>
        <v>0</v>
      </c>
      <c r="E111" s="915">
        <f>E132</f>
        <v>0</v>
      </c>
      <c r="F111" s="905">
        <v>0</v>
      </c>
      <c r="G111" s="905">
        <v>0</v>
      </c>
      <c r="H111" s="905">
        <v>0</v>
      </c>
      <c r="I111" s="905">
        <v>0</v>
      </c>
      <c r="J111" s="905">
        <v>0</v>
      </c>
      <c r="K111" s="1696"/>
      <c r="L111" s="1696"/>
      <c r="M111" s="1925" t="s">
        <v>51</v>
      </c>
      <c r="N111" s="1380"/>
      <c r="O111" s="902"/>
      <c r="P111" s="902"/>
      <c r="Q111" s="902"/>
      <c r="R111" s="902"/>
      <c r="S111" s="902"/>
      <c r="T111" s="902"/>
      <c r="U111" s="902"/>
      <c r="V111" s="902"/>
      <c r="W111" s="902"/>
      <c r="X111" s="902"/>
      <c r="Y111" s="902"/>
      <c r="Z111" s="902"/>
      <c r="AA111" s="902"/>
      <c r="AB111" s="902"/>
      <c r="AC111" s="902"/>
      <c r="AD111" s="902"/>
      <c r="AE111" s="902"/>
      <c r="AF111" s="902"/>
      <c r="AG111" s="902"/>
      <c r="AH111" s="902"/>
      <c r="AI111" s="902"/>
      <c r="AJ111" s="902"/>
      <c r="AK111" s="902"/>
      <c r="AL111" s="902"/>
      <c r="AM111" s="902"/>
      <c r="AN111" s="902"/>
      <c r="AO111" s="902"/>
      <c r="AP111" s="902"/>
      <c r="AQ111" s="902"/>
      <c r="AR111" s="902"/>
      <c r="AS111" s="902"/>
      <c r="AT111" s="902"/>
      <c r="AU111" s="902"/>
      <c r="AV111" s="902"/>
      <c r="AW111" s="902"/>
      <c r="AX111" s="902"/>
      <c r="AY111" s="902"/>
      <c r="AZ111" s="902"/>
      <c r="BA111" s="902"/>
      <c r="BB111" s="902"/>
      <c r="BC111" s="902"/>
      <c r="BD111" s="902"/>
      <c r="BE111" s="902"/>
      <c r="BF111" s="902"/>
      <c r="BG111" s="902"/>
      <c r="BH111" s="902"/>
      <c r="BI111" s="902"/>
      <c r="BJ111" s="902"/>
      <c r="BK111" s="902"/>
      <c r="BL111" s="902"/>
      <c r="BM111" s="902"/>
      <c r="BN111" s="902"/>
      <c r="BO111" s="902"/>
      <c r="BP111" s="902"/>
      <c r="BQ111" s="902"/>
      <c r="BR111" s="902"/>
      <c r="BS111" s="902"/>
      <c r="BT111" s="902"/>
      <c r="BU111" s="902"/>
      <c r="BV111" s="902"/>
      <c r="BW111" s="902"/>
      <c r="BX111" s="902"/>
      <c r="BY111" s="902"/>
      <c r="BZ111" s="902"/>
      <c r="CA111" s="902"/>
      <c r="CB111" s="902"/>
      <c r="CC111" s="902"/>
      <c r="CD111" s="902"/>
      <c r="CE111" s="902"/>
      <c r="CF111" s="902"/>
      <c r="CG111" s="902"/>
      <c r="CH111" s="902"/>
      <c r="CI111" s="902"/>
      <c r="CJ111" s="902"/>
      <c r="CK111" s="902"/>
      <c r="CL111" s="902"/>
      <c r="CM111" s="902"/>
      <c r="CN111" s="902"/>
      <c r="CO111" s="902"/>
      <c r="CP111" s="902"/>
      <c r="CQ111" s="902"/>
      <c r="CR111" s="902"/>
      <c r="CS111" s="902"/>
      <c r="CT111" s="902"/>
      <c r="CU111" s="902"/>
      <c r="CV111" s="902"/>
      <c r="CW111" s="902"/>
      <c r="CX111" s="902"/>
      <c r="CY111" s="902"/>
      <c r="CZ111" s="902"/>
      <c r="DA111" s="902"/>
      <c r="DB111" s="902"/>
      <c r="DC111" s="902"/>
      <c r="DD111" s="902"/>
    </row>
    <row r="112" spans="1:108" s="903" customFormat="1" ht="13.5" hidden="1" customHeight="1" thickBot="1">
      <c r="A112" s="1362"/>
      <c r="B112" s="916" t="s">
        <v>20</v>
      </c>
      <c r="C112" s="917"/>
      <c r="D112" s="918">
        <f>D113+D116</f>
        <v>0</v>
      </c>
      <c r="E112" s="918">
        <f t="shared" ref="E112:J112" si="79">E113+E116</f>
        <v>0</v>
      </c>
      <c r="F112" s="918">
        <f t="shared" si="79"/>
        <v>0</v>
      </c>
      <c r="G112" s="918">
        <f t="shared" si="79"/>
        <v>0</v>
      </c>
      <c r="H112" s="918">
        <f t="shared" si="79"/>
        <v>0</v>
      </c>
      <c r="I112" s="918">
        <f t="shared" si="79"/>
        <v>0</v>
      </c>
      <c r="J112" s="918">
        <f t="shared" si="79"/>
        <v>0</v>
      </c>
      <c r="K112" s="1697"/>
      <c r="L112" s="1697"/>
      <c r="M112" s="1375"/>
      <c r="N112" s="1380"/>
      <c r="O112" s="902"/>
      <c r="P112" s="902"/>
      <c r="Q112" s="902"/>
      <c r="R112" s="902"/>
      <c r="S112" s="902"/>
      <c r="T112" s="902"/>
      <c r="U112" s="902"/>
      <c r="V112" s="902"/>
      <c r="W112" s="902"/>
      <c r="X112" s="902"/>
      <c r="Y112" s="902"/>
      <c r="Z112" s="902"/>
      <c r="AA112" s="902"/>
      <c r="AB112" s="902"/>
      <c r="AC112" s="902"/>
      <c r="AD112" s="902"/>
      <c r="AE112" s="902"/>
      <c r="AF112" s="902"/>
      <c r="AG112" s="902"/>
      <c r="AH112" s="902"/>
      <c r="AI112" s="902"/>
      <c r="AJ112" s="902"/>
      <c r="AK112" s="902"/>
      <c r="AL112" s="902"/>
      <c r="AM112" s="902"/>
      <c r="AN112" s="902"/>
      <c r="AO112" s="902"/>
      <c r="AP112" s="902"/>
      <c r="AQ112" s="902"/>
      <c r="AR112" s="902"/>
      <c r="AS112" s="902"/>
      <c r="AT112" s="902"/>
      <c r="AU112" s="902"/>
      <c r="AV112" s="902"/>
      <c r="AW112" s="902"/>
      <c r="AX112" s="902"/>
      <c r="AY112" s="902"/>
      <c r="AZ112" s="902"/>
      <c r="BA112" s="902"/>
      <c r="BB112" s="902"/>
      <c r="BC112" s="902"/>
      <c r="BD112" s="902"/>
      <c r="BE112" s="902"/>
      <c r="BF112" s="902"/>
      <c r="BG112" s="902"/>
      <c r="BH112" s="902"/>
      <c r="BI112" s="902"/>
      <c r="BJ112" s="902"/>
      <c r="BK112" s="902"/>
      <c r="BL112" s="902"/>
      <c r="BM112" s="902"/>
      <c r="BN112" s="902"/>
      <c r="BO112" s="902"/>
      <c r="BP112" s="902"/>
      <c r="BQ112" s="902"/>
      <c r="BR112" s="902"/>
      <c r="BS112" s="902"/>
      <c r="BT112" s="902"/>
      <c r="BU112" s="902"/>
      <c r="BV112" s="902"/>
      <c r="BW112" s="902"/>
      <c r="BX112" s="902"/>
      <c r="BY112" s="902"/>
      <c r="BZ112" s="902"/>
      <c r="CA112" s="902"/>
      <c r="CB112" s="902"/>
      <c r="CC112" s="902"/>
      <c r="CD112" s="902"/>
      <c r="CE112" s="902"/>
      <c r="CF112" s="902"/>
      <c r="CG112" s="902"/>
      <c r="CH112" s="902"/>
      <c r="CI112" s="902"/>
      <c r="CJ112" s="902"/>
      <c r="CK112" s="902"/>
      <c r="CL112" s="902"/>
      <c r="CM112" s="902"/>
      <c r="CN112" s="902"/>
      <c r="CO112" s="902"/>
      <c r="CP112" s="902"/>
      <c r="CQ112" s="902"/>
      <c r="CR112" s="902"/>
      <c r="CS112" s="902"/>
      <c r="CT112" s="902"/>
      <c r="CU112" s="902"/>
      <c r="CV112" s="902"/>
      <c r="CW112" s="902"/>
      <c r="CX112" s="902"/>
      <c r="CY112" s="902"/>
      <c r="CZ112" s="902"/>
      <c r="DA112" s="902"/>
      <c r="DB112" s="902"/>
      <c r="DC112" s="902"/>
      <c r="DD112" s="902"/>
    </row>
    <row r="113" spans="1:108" s="903" customFormat="1" ht="13.5" hidden="1" customHeight="1" thickBot="1">
      <c r="A113" s="1362"/>
      <c r="B113" s="920" t="s">
        <v>22</v>
      </c>
      <c r="C113" s="921"/>
      <c r="D113" s="922">
        <f>+D114+D115</f>
        <v>0</v>
      </c>
      <c r="E113" s="922">
        <f t="shared" ref="E113:G113" si="80">+E114+E115</f>
        <v>0</v>
      </c>
      <c r="F113" s="907">
        <f t="shared" si="80"/>
        <v>0</v>
      </c>
      <c r="G113" s="907">
        <f t="shared" si="80"/>
        <v>0</v>
      </c>
      <c r="H113" s="907">
        <v>0</v>
      </c>
      <c r="I113" s="907">
        <v>0</v>
      </c>
      <c r="J113" s="907">
        <v>0</v>
      </c>
      <c r="K113" s="1698"/>
      <c r="L113" s="1698"/>
      <c r="M113" s="4322" t="s">
        <v>51</v>
      </c>
      <c r="N113" s="1380"/>
      <c r="O113" s="902"/>
      <c r="P113" s="902"/>
      <c r="Q113" s="902"/>
      <c r="R113" s="902"/>
      <c r="S113" s="902"/>
      <c r="T113" s="902"/>
      <c r="U113" s="902"/>
      <c r="V113" s="902"/>
      <c r="W113" s="902"/>
      <c r="X113" s="902"/>
      <c r="Y113" s="902"/>
      <c r="Z113" s="902"/>
      <c r="AA113" s="902"/>
      <c r="AB113" s="902"/>
      <c r="AC113" s="902"/>
      <c r="AD113" s="902"/>
      <c r="AE113" s="902"/>
      <c r="AF113" s="902"/>
      <c r="AG113" s="902"/>
      <c r="AH113" s="902"/>
      <c r="AI113" s="902"/>
      <c r="AJ113" s="902"/>
      <c r="AK113" s="902"/>
      <c r="AL113" s="902"/>
      <c r="AM113" s="902"/>
      <c r="AN113" s="902"/>
      <c r="AO113" s="902"/>
      <c r="AP113" s="902"/>
      <c r="AQ113" s="902"/>
      <c r="AR113" s="902"/>
      <c r="AS113" s="902"/>
      <c r="AT113" s="902"/>
      <c r="AU113" s="902"/>
      <c r="AV113" s="902"/>
      <c r="AW113" s="902"/>
      <c r="AX113" s="902"/>
      <c r="AY113" s="902"/>
      <c r="AZ113" s="902"/>
      <c r="BA113" s="902"/>
      <c r="BB113" s="902"/>
      <c r="BC113" s="902"/>
      <c r="BD113" s="902"/>
      <c r="BE113" s="902"/>
      <c r="BF113" s="902"/>
      <c r="BG113" s="902"/>
      <c r="BH113" s="902"/>
      <c r="BI113" s="902"/>
      <c r="BJ113" s="902"/>
      <c r="BK113" s="902"/>
      <c r="BL113" s="902"/>
      <c r="BM113" s="902"/>
      <c r="BN113" s="902"/>
      <c r="BO113" s="902"/>
      <c r="BP113" s="902"/>
      <c r="BQ113" s="902"/>
      <c r="BR113" s="902"/>
      <c r="BS113" s="902"/>
      <c r="BT113" s="902"/>
      <c r="BU113" s="902"/>
      <c r="BV113" s="902"/>
      <c r="BW113" s="902"/>
      <c r="BX113" s="902"/>
      <c r="BY113" s="902"/>
      <c r="BZ113" s="902"/>
      <c r="CA113" s="902"/>
      <c r="CB113" s="902"/>
      <c r="CC113" s="902"/>
      <c r="CD113" s="902"/>
      <c r="CE113" s="902"/>
      <c r="CF113" s="902"/>
      <c r="CG113" s="902"/>
      <c r="CH113" s="902"/>
      <c r="CI113" s="902"/>
      <c r="CJ113" s="902"/>
      <c r="CK113" s="902"/>
      <c r="CL113" s="902"/>
      <c r="CM113" s="902"/>
      <c r="CN113" s="902"/>
      <c r="CO113" s="902"/>
      <c r="CP113" s="902"/>
      <c r="CQ113" s="902"/>
      <c r="CR113" s="902"/>
      <c r="CS113" s="902"/>
      <c r="CT113" s="902"/>
      <c r="CU113" s="902"/>
      <c r="CV113" s="902"/>
      <c r="CW113" s="902"/>
      <c r="CX113" s="902"/>
      <c r="CY113" s="902"/>
      <c r="CZ113" s="902"/>
      <c r="DA113" s="902"/>
      <c r="DB113" s="902"/>
      <c r="DC113" s="902"/>
      <c r="DD113" s="902"/>
    </row>
    <row r="114" spans="1:108" s="903" customFormat="1" ht="13.5" hidden="1" customHeight="1" thickBot="1">
      <c r="A114" s="1362"/>
      <c r="B114" s="1921" t="s">
        <v>122</v>
      </c>
      <c r="C114" s="907"/>
      <c r="D114" s="907">
        <f>+D135</f>
        <v>0</v>
      </c>
      <c r="E114" s="907">
        <f t="shared" ref="E114:E115" si="81">+E135</f>
        <v>0</v>
      </c>
      <c r="F114" s="907">
        <v>0</v>
      </c>
      <c r="G114" s="907">
        <v>0</v>
      </c>
      <c r="H114" s="907">
        <v>0</v>
      </c>
      <c r="I114" s="907">
        <v>0</v>
      </c>
      <c r="J114" s="907">
        <v>0</v>
      </c>
      <c r="K114" s="1699"/>
      <c r="L114" s="1699"/>
      <c r="M114" s="4323"/>
      <c r="N114" s="1380"/>
      <c r="O114" s="902"/>
      <c r="P114" s="902"/>
      <c r="Q114" s="902"/>
      <c r="R114" s="902"/>
      <c r="S114" s="902"/>
      <c r="T114" s="902"/>
      <c r="U114" s="902"/>
      <c r="V114" s="902"/>
      <c r="W114" s="902"/>
      <c r="X114" s="902"/>
      <c r="Y114" s="902"/>
      <c r="Z114" s="902"/>
      <c r="AA114" s="902"/>
      <c r="AB114" s="902"/>
      <c r="AC114" s="902"/>
      <c r="AD114" s="902"/>
      <c r="AE114" s="902"/>
      <c r="AF114" s="902"/>
      <c r="AG114" s="902"/>
      <c r="AH114" s="902"/>
      <c r="AI114" s="902"/>
      <c r="AJ114" s="902"/>
      <c r="AK114" s="902"/>
      <c r="AL114" s="902"/>
      <c r="AM114" s="902"/>
      <c r="AN114" s="902"/>
      <c r="AO114" s="902"/>
      <c r="AP114" s="902"/>
      <c r="AQ114" s="902"/>
      <c r="AR114" s="902"/>
      <c r="AS114" s="902"/>
      <c r="AT114" s="902"/>
      <c r="AU114" s="902"/>
      <c r="AV114" s="902"/>
      <c r="AW114" s="902"/>
      <c r="AX114" s="902"/>
      <c r="AY114" s="902"/>
      <c r="AZ114" s="902"/>
      <c r="BA114" s="902"/>
      <c r="BB114" s="902"/>
      <c r="BC114" s="902"/>
      <c r="BD114" s="902"/>
      <c r="BE114" s="902"/>
      <c r="BF114" s="902"/>
      <c r="BG114" s="902"/>
      <c r="BH114" s="902"/>
      <c r="BI114" s="902"/>
      <c r="BJ114" s="902"/>
      <c r="BK114" s="902"/>
      <c r="BL114" s="902"/>
      <c r="BM114" s="902"/>
      <c r="BN114" s="902"/>
      <c r="BO114" s="902"/>
      <c r="BP114" s="902"/>
      <c r="BQ114" s="902"/>
      <c r="BR114" s="902"/>
      <c r="BS114" s="902"/>
      <c r="BT114" s="902"/>
      <c r="BU114" s="902"/>
      <c r="BV114" s="902"/>
      <c r="BW114" s="902"/>
      <c r="BX114" s="902"/>
      <c r="BY114" s="902"/>
      <c r="BZ114" s="902"/>
      <c r="CA114" s="902"/>
      <c r="CB114" s="902"/>
      <c r="CC114" s="902"/>
      <c r="CD114" s="902"/>
      <c r="CE114" s="902"/>
      <c r="CF114" s="902"/>
      <c r="CG114" s="902"/>
      <c r="CH114" s="902"/>
      <c r="CI114" s="902"/>
      <c r="CJ114" s="902"/>
      <c r="CK114" s="902"/>
      <c r="CL114" s="902"/>
      <c r="CM114" s="902"/>
      <c r="CN114" s="902"/>
      <c r="CO114" s="902"/>
      <c r="CP114" s="902"/>
      <c r="CQ114" s="902"/>
      <c r="CR114" s="902"/>
      <c r="CS114" s="902"/>
      <c r="CT114" s="902"/>
      <c r="CU114" s="902"/>
      <c r="CV114" s="902"/>
      <c r="CW114" s="902"/>
      <c r="CX114" s="902"/>
      <c r="CY114" s="902"/>
      <c r="CZ114" s="902"/>
      <c r="DA114" s="902"/>
      <c r="DB114" s="902"/>
      <c r="DC114" s="902"/>
      <c r="DD114" s="902"/>
    </row>
    <row r="115" spans="1:108" s="903" customFormat="1" ht="13.5" hidden="1" customHeight="1" thickBot="1">
      <c r="A115" s="1362"/>
      <c r="B115" s="1921" t="s">
        <v>124</v>
      </c>
      <c r="C115" s="907"/>
      <c r="D115" s="907">
        <f>+D136</f>
        <v>0</v>
      </c>
      <c r="E115" s="907">
        <f t="shared" si="81"/>
        <v>0</v>
      </c>
      <c r="F115" s="907">
        <v>0</v>
      </c>
      <c r="G115" s="907">
        <v>0</v>
      </c>
      <c r="H115" s="907"/>
      <c r="I115" s="907"/>
      <c r="J115" s="907"/>
      <c r="K115" s="1699"/>
      <c r="L115" s="1699"/>
      <c r="M115" s="4323"/>
      <c r="N115" s="1380"/>
      <c r="O115" s="902"/>
      <c r="P115" s="902"/>
      <c r="Q115" s="902"/>
      <c r="R115" s="902"/>
      <c r="S115" s="902"/>
      <c r="T115" s="902"/>
      <c r="U115" s="902"/>
      <c r="V115" s="902"/>
      <c r="W115" s="902"/>
      <c r="X115" s="902"/>
      <c r="Y115" s="902"/>
      <c r="Z115" s="902"/>
      <c r="AA115" s="902"/>
      <c r="AB115" s="902"/>
      <c r="AC115" s="902"/>
      <c r="AD115" s="902"/>
      <c r="AE115" s="902"/>
      <c r="AF115" s="902"/>
      <c r="AG115" s="902"/>
      <c r="AH115" s="902"/>
      <c r="AI115" s="902"/>
      <c r="AJ115" s="902"/>
      <c r="AK115" s="902"/>
      <c r="AL115" s="902"/>
      <c r="AM115" s="902"/>
      <c r="AN115" s="902"/>
      <c r="AO115" s="902"/>
      <c r="AP115" s="902"/>
      <c r="AQ115" s="902"/>
      <c r="AR115" s="902"/>
      <c r="AS115" s="902"/>
      <c r="AT115" s="902"/>
      <c r="AU115" s="902"/>
      <c r="AV115" s="902"/>
      <c r="AW115" s="902"/>
      <c r="AX115" s="902"/>
      <c r="AY115" s="902"/>
      <c r="AZ115" s="902"/>
      <c r="BA115" s="902"/>
      <c r="BB115" s="902"/>
      <c r="BC115" s="902"/>
      <c r="BD115" s="902"/>
      <c r="BE115" s="902"/>
      <c r="BF115" s="902"/>
      <c r="BG115" s="902"/>
      <c r="BH115" s="902"/>
      <c r="BI115" s="902"/>
      <c r="BJ115" s="902"/>
      <c r="BK115" s="902"/>
      <c r="BL115" s="902"/>
      <c r="BM115" s="902"/>
      <c r="BN115" s="902"/>
      <c r="BO115" s="902"/>
      <c r="BP115" s="902"/>
      <c r="BQ115" s="902"/>
      <c r="BR115" s="902"/>
      <c r="BS115" s="902"/>
      <c r="BT115" s="902"/>
      <c r="BU115" s="902"/>
      <c r="BV115" s="902"/>
      <c r="BW115" s="902"/>
      <c r="BX115" s="902"/>
      <c r="BY115" s="902"/>
      <c r="BZ115" s="902"/>
      <c r="CA115" s="902"/>
      <c r="CB115" s="902"/>
      <c r="CC115" s="902"/>
      <c r="CD115" s="902"/>
      <c r="CE115" s="902"/>
      <c r="CF115" s="902"/>
      <c r="CG115" s="902"/>
      <c r="CH115" s="902"/>
      <c r="CI115" s="902"/>
      <c r="CJ115" s="902"/>
      <c r="CK115" s="902"/>
      <c r="CL115" s="902"/>
      <c r="CM115" s="902"/>
      <c r="CN115" s="902"/>
      <c r="CO115" s="902"/>
      <c r="CP115" s="902"/>
      <c r="CQ115" s="902"/>
      <c r="CR115" s="902"/>
      <c r="CS115" s="902"/>
      <c r="CT115" s="902"/>
      <c r="CU115" s="902"/>
      <c r="CV115" s="902"/>
      <c r="CW115" s="902"/>
      <c r="CX115" s="902"/>
      <c r="CY115" s="902"/>
      <c r="CZ115" s="902"/>
      <c r="DA115" s="902"/>
      <c r="DB115" s="902"/>
      <c r="DC115" s="902"/>
      <c r="DD115" s="902"/>
    </row>
    <row r="116" spans="1:108" s="925" customFormat="1" ht="13.5" hidden="1" customHeight="1">
      <c r="A116" s="1364"/>
      <c r="B116" s="920" t="s">
        <v>17</v>
      </c>
      <c r="C116" s="923"/>
      <c r="D116" s="923">
        <f>+D117</f>
        <v>0</v>
      </c>
      <c r="E116" s="923">
        <f t="shared" ref="E116:J116" si="82">+E117</f>
        <v>0</v>
      </c>
      <c r="F116" s="923">
        <f t="shared" si="82"/>
        <v>0</v>
      </c>
      <c r="G116" s="923">
        <f t="shared" si="82"/>
        <v>0</v>
      </c>
      <c r="H116" s="923">
        <f t="shared" si="82"/>
        <v>0</v>
      </c>
      <c r="I116" s="923">
        <f t="shared" si="82"/>
        <v>0</v>
      </c>
      <c r="J116" s="923">
        <f t="shared" si="82"/>
        <v>0</v>
      </c>
      <c r="K116" s="1700"/>
      <c r="L116" s="1700"/>
      <c r="M116" s="4323"/>
      <c r="N116" s="1381"/>
      <c r="O116" s="924"/>
      <c r="P116" s="924"/>
      <c r="Q116" s="924"/>
      <c r="R116" s="924"/>
      <c r="S116" s="924"/>
      <c r="T116" s="924"/>
      <c r="U116" s="924"/>
      <c r="V116" s="924"/>
      <c r="W116" s="924"/>
      <c r="X116" s="924"/>
      <c r="Y116" s="924"/>
      <c r="Z116" s="924"/>
      <c r="AA116" s="924"/>
      <c r="AB116" s="924"/>
      <c r="AC116" s="924"/>
      <c r="AD116" s="924"/>
      <c r="AE116" s="924"/>
      <c r="AF116" s="924"/>
      <c r="AG116" s="924"/>
      <c r="AH116" s="924"/>
      <c r="AI116" s="924"/>
      <c r="AJ116" s="924"/>
      <c r="AK116" s="924"/>
      <c r="AL116" s="924"/>
      <c r="AM116" s="924"/>
      <c r="AN116" s="924"/>
      <c r="AO116" s="924"/>
      <c r="AP116" s="924"/>
      <c r="AQ116" s="924"/>
      <c r="AR116" s="924"/>
      <c r="AS116" s="924"/>
      <c r="AT116" s="924"/>
      <c r="AU116" s="924"/>
      <c r="AV116" s="924"/>
      <c r="AW116" s="924"/>
      <c r="AX116" s="924"/>
      <c r="AY116" s="924"/>
      <c r="AZ116" s="924"/>
      <c r="BA116" s="924"/>
      <c r="BB116" s="924"/>
      <c r="BC116" s="924"/>
      <c r="BD116" s="924"/>
      <c r="BE116" s="924"/>
      <c r="BF116" s="924"/>
      <c r="BG116" s="924"/>
      <c r="BH116" s="924"/>
      <c r="BI116" s="924"/>
      <c r="BJ116" s="924"/>
      <c r="BK116" s="924"/>
      <c r="BL116" s="924"/>
      <c r="BM116" s="924"/>
      <c r="BN116" s="924"/>
      <c r="BO116" s="924"/>
      <c r="BP116" s="924"/>
      <c r="BQ116" s="924"/>
      <c r="BR116" s="924"/>
      <c r="BS116" s="924"/>
      <c r="BT116" s="924"/>
      <c r="BU116" s="924"/>
      <c r="BV116" s="924"/>
      <c r="BW116" s="924"/>
      <c r="BX116" s="924"/>
      <c r="BY116" s="924"/>
      <c r="BZ116" s="924"/>
      <c r="CA116" s="924"/>
      <c r="CB116" s="924"/>
      <c r="CC116" s="924"/>
      <c r="CD116" s="924"/>
      <c r="CE116" s="924"/>
      <c r="CF116" s="924"/>
      <c r="CG116" s="924"/>
      <c r="CH116" s="924"/>
      <c r="CI116" s="924"/>
      <c r="CJ116" s="924"/>
      <c r="CK116" s="924"/>
      <c r="CL116" s="924"/>
      <c r="CM116" s="924"/>
      <c r="CN116" s="924"/>
      <c r="CO116" s="924"/>
      <c r="CP116" s="924"/>
      <c r="CQ116" s="924"/>
      <c r="CR116" s="924"/>
      <c r="CS116" s="924"/>
      <c r="CT116" s="924"/>
      <c r="CU116" s="924"/>
      <c r="CV116" s="924"/>
      <c r="CW116" s="924"/>
      <c r="CX116" s="924"/>
      <c r="CY116" s="924"/>
      <c r="CZ116" s="924"/>
      <c r="DA116" s="924"/>
      <c r="DB116" s="924"/>
      <c r="DC116" s="924"/>
      <c r="DD116" s="924"/>
    </row>
    <row r="117" spans="1:108" s="903" customFormat="1" ht="13.5" hidden="1" customHeight="1" thickBot="1">
      <c r="A117" s="879"/>
      <c r="B117" s="1921" t="s">
        <v>32</v>
      </c>
      <c r="C117" s="907"/>
      <c r="D117" s="907">
        <f>+D138</f>
        <v>0</v>
      </c>
      <c r="E117" s="907">
        <f t="shared" ref="E117" si="83">+E138</f>
        <v>0</v>
      </c>
      <c r="F117" s="907">
        <v>0</v>
      </c>
      <c r="G117" s="907">
        <v>0</v>
      </c>
      <c r="H117" s="907">
        <v>0</v>
      </c>
      <c r="I117" s="907">
        <v>0</v>
      </c>
      <c r="J117" s="907">
        <v>0</v>
      </c>
      <c r="K117" s="1701"/>
      <c r="L117" s="1701"/>
      <c r="M117" s="4318"/>
      <c r="N117" s="914"/>
      <c r="O117" s="902"/>
      <c r="P117" s="902"/>
      <c r="Q117" s="902"/>
      <c r="R117" s="902"/>
      <c r="S117" s="902"/>
      <c r="T117" s="902"/>
      <c r="U117" s="902"/>
      <c r="V117" s="902"/>
      <c r="W117" s="902"/>
      <c r="X117" s="902"/>
      <c r="Y117" s="902"/>
      <c r="Z117" s="902"/>
      <c r="AA117" s="902"/>
      <c r="AB117" s="902"/>
      <c r="AC117" s="902"/>
      <c r="AD117" s="902"/>
      <c r="AE117" s="902"/>
      <c r="AF117" s="902"/>
      <c r="AG117" s="902"/>
      <c r="AH117" s="902"/>
      <c r="AI117" s="902"/>
      <c r="AJ117" s="902"/>
      <c r="AK117" s="902"/>
      <c r="AL117" s="902"/>
      <c r="AM117" s="902"/>
      <c r="AN117" s="902"/>
      <c r="AO117" s="902"/>
      <c r="AP117" s="902"/>
      <c r="AQ117" s="902"/>
      <c r="AR117" s="902"/>
      <c r="AS117" s="902"/>
      <c r="AT117" s="902"/>
      <c r="AU117" s="902"/>
      <c r="AV117" s="902"/>
      <c r="AW117" s="902"/>
      <c r="AX117" s="902"/>
      <c r="AY117" s="902"/>
      <c r="AZ117" s="902"/>
      <c r="BA117" s="902"/>
      <c r="BB117" s="902"/>
      <c r="BC117" s="902"/>
      <c r="BD117" s="902"/>
      <c r="BE117" s="902"/>
      <c r="BF117" s="902"/>
      <c r="BG117" s="902"/>
      <c r="BH117" s="902"/>
      <c r="BI117" s="902"/>
      <c r="BJ117" s="902"/>
      <c r="BK117" s="902"/>
      <c r="BL117" s="902"/>
      <c r="BM117" s="902"/>
      <c r="BN117" s="902"/>
      <c r="BO117" s="902"/>
      <c r="BP117" s="902"/>
      <c r="BQ117" s="902"/>
      <c r="BR117" s="902"/>
      <c r="BS117" s="902"/>
      <c r="BT117" s="902"/>
      <c r="BU117" s="902"/>
      <c r="BV117" s="902"/>
      <c r="BW117" s="902"/>
      <c r="BX117" s="902"/>
      <c r="BY117" s="902"/>
      <c r="BZ117" s="902"/>
      <c r="CA117" s="902"/>
      <c r="CB117" s="902"/>
      <c r="CC117" s="902"/>
      <c r="CD117" s="902"/>
      <c r="CE117" s="902"/>
      <c r="CF117" s="902"/>
      <c r="CG117" s="902"/>
      <c r="CH117" s="902"/>
      <c r="CI117" s="902"/>
      <c r="CJ117" s="902"/>
      <c r="CK117" s="902"/>
      <c r="CL117" s="902"/>
      <c r="CM117" s="902"/>
      <c r="CN117" s="902"/>
      <c r="CO117" s="902"/>
      <c r="CP117" s="902"/>
      <c r="CQ117" s="902"/>
      <c r="CR117" s="902"/>
      <c r="CS117" s="902"/>
      <c r="CT117" s="902"/>
      <c r="CU117" s="902"/>
      <c r="CV117" s="902"/>
      <c r="CW117" s="902"/>
      <c r="CX117" s="902"/>
      <c r="CY117" s="902"/>
      <c r="CZ117" s="902"/>
      <c r="DA117" s="902"/>
      <c r="DB117" s="902"/>
      <c r="DC117" s="902"/>
      <c r="DD117" s="902"/>
    </row>
    <row r="118" spans="1:108" s="903" customFormat="1" ht="39.75" hidden="1" customHeight="1">
      <c r="A118" s="4319" t="s">
        <v>53</v>
      </c>
      <c r="B118" s="926" t="s">
        <v>125</v>
      </c>
      <c r="C118" s="927" t="s">
        <v>70</v>
      </c>
      <c r="D118" s="928"/>
      <c r="E118" s="929"/>
      <c r="F118" s="929"/>
      <c r="G118" s="929"/>
      <c r="H118" s="929"/>
      <c r="I118" s="929"/>
      <c r="J118" s="929"/>
      <c r="K118" s="929"/>
      <c r="L118" s="929"/>
      <c r="M118" s="930"/>
      <c r="N118" s="4288" t="s">
        <v>126</v>
      </c>
      <c r="O118" s="902"/>
      <c r="P118" s="902"/>
      <c r="Q118" s="902"/>
      <c r="R118" s="902"/>
      <c r="S118" s="902"/>
      <c r="T118" s="902"/>
      <c r="U118" s="902"/>
      <c r="V118" s="902"/>
      <c r="W118" s="902"/>
      <c r="X118" s="902"/>
      <c r="Y118" s="902"/>
      <c r="Z118" s="902"/>
      <c r="AA118" s="902"/>
      <c r="AB118" s="902"/>
      <c r="AC118" s="902"/>
      <c r="AD118" s="902"/>
      <c r="AE118" s="902"/>
      <c r="AF118" s="902"/>
      <c r="AG118" s="902"/>
      <c r="AH118" s="902"/>
      <c r="AI118" s="902"/>
      <c r="AJ118" s="902"/>
      <c r="AK118" s="902"/>
      <c r="AL118" s="902"/>
      <c r="AM118" s="902"/>
      <c r="AN118" s="902"/>
      <c r="AO118" s="902"/>
      <c r="AP118" s="902"/>
      <c r="AQ118" s="902"/>
      <c r="AR118" s="902"/>
      <c r="AS118" s="902"/>
      <c r="AT118" s="902"/>
      <c r="AU118" s="902"/>
      <c r="AV118" s="902"/>
      <c r="AW118" s="902"/>
      <c r="AX118" s="902"/>
      <c r="AY118" s="902"/>
      <c r="AZ118" s="902"/>
      <c r="BA118" s="902"/>
      <c r="BB118" s="902"/>
      <c r="BC118" s="902"/>
      <c r="BD118" s="902"/>
      <c r="BE118" s="902"/>
      <c r="BF118" s="902"/>
      <c r="BG118" s="902"/>
      <c r="BH118" s="902"/>
      <c r="BI118" s="902"/>
      <c r="BJ118" s="902"/>
      <c r="BK118" s="902"/>
      <c r="BL118" s="902"/>
      <c r="BM118" s="902"/>
      <c r="BN118" s="902"/>
      <c r="BO118" s="902"/>
      <c r="BP118" s="902"/>
      <c r="BQ118" s="902"/>
      <c r="BR118" s="902"/>
      <c r="BS118" s="902"/>
      <c r="BT118" s="902"/>
      <c r="BU118" s="902"/>
      <c r="BV118" s="902"/>
      <c r="BW118" s="902"/>
      <c r="BX118" s="902"/>
      <c r="BY118" s="902"/>
      <c r="BZ118" s="902"/>
      <c r="CA118" s="902"/>
      <c r="CB118" s="902"/>
      <c r="CC118" s="902"/>
      <c r="CD118" s="902"/>
      <c r="CE118" s="902"/>
      <c r="CF118" s="902"/>
      <c r="CG118" s="902"/>
      <c r="CH118" s="902"/>
      <c r="CI118" s="902"/>
      <c r="CJ118" s="902"/>
      <c r="CK118" s="902"/>
      <c r="CL118" s="902"/>
      <c r="CM118" s="902"/>
      <c r="CN118" s="902"/>
      <c r="CO118" s="902"/>
      <c r="CP118" s="902"/>
      <c r="CQ118" s="902"/>
      <c r="CR118" s="902"/>
      <c r="CS118" s="902"/>
      <c r="CT118" s="902"/>
      <c r="CU118" s="902"/>
      <c r="CV118" s="902"/>
      <c r="CW118" s="902"/>
      <c r="CX118" s="902"/>
      <c r="CY118" s="902"/>
      <c r="CZ118" s="902"/>
      <c r="DA118" s="902"/>
      <c r="DB118" s="902"/>
      <c r="DC118" s="902"/>
      <c r="DD118" s="902"/>
    </row>
    <row r="119" spans="1:108" s="903" customFormat="1" ht="18.75" hidden="1" customHeight="1">
      <c r="A119" s="4320"/>
      <c r="B119" s="931" t="s">
        <v>9</v>
      </c>
      <c r="C119" s="932"/>
      <c r="D119" s="901"/>
      <c r="E119" s="901"/>
      <c r="F119" s="901"/>
      <c r="G119" s="901"/>
      <c r="H119" s="901"/>
      <c r="I119" s="901"/>
      <c r="J119" s="901"/>
      <c r="K119" s="901"/>
      <c r="L119" s="901"/>
      <c r="M119" s="919">
        <f>+M120</f>
        <v>0</v>
      </c>
      <c r="N119" s="4289"/>
      <c r="O119" s="902"/>
      <c r="P119" s="902"/>
      <c r="Q119" s="902"/>
      <c r="R119" s="902"/>
      <c r="S119" s="902"/>
      <c r="T119" s="902"/>
      <c r="U119" s="902"/>
      <c r="V119" s="902"/>
      <c r="W119" s="902"/>
      <c r="X119" s="902"/>
      <c r="Y119" s="902"/>
      <c r="Z119" s="902"/>
      <c r="AA119" s="902"/>
      <c r="AB119" s="902"/>
      <c r="AC119" s="902"/>
      <c r="AD119" s="902"/>
      <c r="AE119" s="902"/>
      <c r="AF119" s="902"/>
      <c r="AG119" s="902"/>
      <c r="AH119" s="902"/>
      <c r="AI119" s="902"/>
      <c r="AJ119" s="902"/>
      <c r="AK119" s="902"/>
      <c r="AL119" s="902"/>
      <c r="AM119" s="902"/>
      <c r="AN119" s="902"/>
      <c r="AO119" s="902"/>
      <c r="AP119" s="902"/>
      <c r="AQ119" s="902"/>
      <c r="AR119" s="902"/>
      <c r="AS119" s="902"/>
      <c r="AT119" s="902"/>
      <c r="AU119" s="902"/>
      <c r="AV119" s="902"/>
      <c r="AW119" s="902"/>
      <c r="AX119" s="902"/>
      <c r="AY119" s="902"/>
      <c r="AZ119" s="902"/>
      <c r="BA119" s="902"/>
      <c r="BB119" s="902"/>
      <c r="BC119" s="902"/>
      <c r="BD119" s="902"/>
      <c r="BE119" s="902"/>
      <c r="BF119" s="902"/>
      <c r="BG119" s="902"/>
      <c r="BH119" s="902"/>
      <c r="BI119" s="902"/>
      <c r="BJ119" s="902"/>
      <c r="BK119" s="902"/>
      <c r="BL119" s="902"/>
      <c r="BM119" s="902"/>
      <c r="BN119" s="902"/>
      <c r="BO119" s="902"/>
      <c r="BP119" s="902"/>
      <c r="BQ119" s="902"/>
      <c r="BR119" s="902"/>
      <c r="BS119" s="902"/>
      <c r="BT119" s="902"/>
      <c r="BU119" s="902"/>
      <c r="BV119" s="902"/>
      <c r="BW119" s="902"/>
      <c r="BX119" s="902"/>
      <c r="BY119" s="902"/>
      <c r="BZ119" s="902"/>
      <c r="CA119" s="902"/>
      <c r="CB119" s="902"/>
      <c r="CC119" s="902"/>
      <c r="CD119" s="902"/>
      <c r="CE119" s="902"/>
      <c r="CF119" s="902"/>
      <c r="CG119" s="902"/>
      <c r="CH119" s="902"/>
      <c r="CI119" s="902"/>
      <c r="CJ119" s="902"/>
      <c r="CK119" s="902"/>
      <c r="CL119" s="902"/>
      <c r="CM119" s="902"/>
      <c r="CN119" s="902"/>
      <c r="CO119" s="902"/>
      <c r="CP119" s="902"/>
      <c r="CQ119" s="902"/>
      <c r="CR119" s="902"/>
      <c r="CS119" s="902"/>
      <c r="CT119" s="902"/>
      <c r="CU119" s="902"/>
      <c r="CV119" s="902"/>
      <c r="CW119" s="902"/>
      <c r="CX119" s="902"/>
      <c r="CY119" s="902"/>
      <c r="CZ119" s="902"/>
      <c r="DA119" s="902"/>
      <c r="DB119" s="902"/>
      <c r="DC119" s="902"/>
      <c r="DD119" s="902"/>
    </row>
    <row r="120" spans="1:108" s="909" customFormat="1" ht="18.75" hidden="1" customHeight="1">
      <c r="A120" s="4320"/>
      <c r="B120" s="933" t="s">
        <v>22</v>
      </c>
      <c r="C120" s="4256" t="s">
        <v>127</v>
      </c>
      <c r="D120" s="934"/>
      <c r="E120" s="934"/>
      <c r="F120" s="934"/>
      <c r="G120" s="934"/>
      <c r="H120" s="934"/>
      <c r="I120" s="934"/>
      <c r="J120" s="934"/>
      <c r="K120" s="934"/>
      <c r="L120" s="934"/>
      <c r="M120" s="935">
        <f>+M121</f>
        <v>0</v>
      </c>
      <c r="N120" s="4289"/>
    </row>
    <row r="121" spans="1:108" s="903" customFormat="1" ht="18.75" hidden="1" customHeight="1" thickBot="1">
      <c r="A121" s="4321"/>
      <c r="B121" s="1926" t="s">
        <v>11</v>
      </c>
      <c r="C121" s="4279"/>
      <c r="D121" s="936"/>
      <c r="E121" s="936"/>
      <c r="F121" s="936"/>
      <c r="G121" s="936"/>
      <c r="H121" s="936"/>
      <c r="I121" s="936"/>
      <c r="J121" s="936"/>
      <c r="K121" s="936"/>
      <c r="L121" s="936"/>
      <c r="M121" s="908">
        <f>SUM(F121:F121)</f>
        <v>0</v>
      </c>
      <c r="N121" s="4290"/>
      <c r="O121" s="902"/>
      <c r="P121" s="902"/>
      <c r="Q121" s="902"/>
      <c r="R121" s="902"/>
      <c r="S121" s="902"/>
      <c r="T121" s="902"/>
      <c r="U121" s="902"/>
      <c r="V121" s="902"/>
      <c r="W121" s="902"/>
      <c r="X121" s="902"/>
      <c r="Y121" s="902"/>
      <c r="Z121" s="902"/>
      <c r="AA121" s="902"/>
      <c r="AB121" s="902"/>
      <c r="AC121" s="902"/>
      <c r="AD121" s="902"/>
      <c r="AE121" s="902"/>
      <c r="AF121" s="902"/>
      <c r="AG121" s="902"/>
      <c r="AH121" s="902"/>
      <c r="AI121" s="902"/>
      <c r="AJ121" s="902"/>
      <c r="AK121" s="902"/>
      <c r="AL121" s="902"/>
      <c r="AM121" s="902"/>
      <c r="AN121" s="902"/>
      <c r="AO121" s="902"/>
      <c r="AP121" s="902"/>
      <c r="AQ121" s="902"/>
      <c r="AR121" s="902"/>
      <c r="AS121" s="902"/>
      <c r="AT121" s="902"/>
      <c r="AU121" s="902"/>
      <c r="AV121" s="902"/>
      <c r="AW121" s="902"/>
      <c r="AX121" s="902"/>
      <c r="AY121" s="902"/>
      <c r="AZ121" s="902"/>
      <c r="BA121" s="902"/>
      <c r="BB121" s="902"/>
      <c r="BC121" s="902"/>
      <c r="BD121" s="902"/>
      <c r="BE121" s="902"/>
      <c r="BF121" s="902"/>
      <c r="BG121" s="902"/>
      <c r="BH121" s="902"/>
      <c r="BI121" s="902"/>
      <c r="BJ121" s="902"/>
      <c r="BK121" s="902"/>
      <c r="BL121" s="902"/>
      <c r="BM121" s="902"/>
      <c r="BN121" s="902"/>
      <c r="BO121" s="902"/>
      <c r="BP121" s="902"/>
      <c r="BQ121" s="902"/>
      <c r="BR121" s="902"/>
      <c r="BS121" s="902"/>
      <c r="BT121" s="902"/>
      <c r="BU121" s="902"/>
      <c r="BV121" s="902"/>
      <c r="BW121" s="902"/>
      <c r="BX121" s="902"/>
      <c r="BY121" s="902"/>
      <c r="BZ121" s="902"/>
      <c r="CA121" s="902"/>
      <c r="CB121" s="902"/>
      <c r="CC121" s="902"/>
      <c r="CD121" s="902"/>
      <c r="CE121" s="902"/>
      <c r="CF121" s="902"/>
      <c r="CG121" s="902"/>
      <c r="CH121" s="902"/>
      <c r="CI121" s="902"/>
      <c r="CJ121" s="902"/>
      <c r="CK121" s="902"/>
      <c r="CL121" s="902"/>
      <c r="CM121" s="902"/>
      <c r="CN121" s="902"/>
      <c r="CO121" s="902"/>
      <c r="CP121" s="902"/>
      <c r="CQ121" s="902"/>
      <c r="CR121" s="902"/>
      <c r="CS121" s="902"/>
      <c r="CT121" s="902"/>
      <c r="CU121" s="902"/>
      <c r="CV121" s="902"/>
      <c r="CW121" s="902"/>
      <c r="CX121" s="902"/>
      <c r="CY121" s="902"/>
      <c r="CZ121" s="902"/>
      <c r="DA121" s="902"/>
      <c r="DB121" s="902"/>
      <c r="DC121" s="902"/>
      <c r="DD121" s="902"/>
    </row>
    <row r="122" spans="1:108" ht="12.75" hidden="1" customHeight="1">
      <c r="A122" s="4283" t="s">
        <v>54</v>
      </c>
      <c r="B122" s="1764" t="s">
        <v>128</v>
      </c>
      <c r="C122" s="2136" t="s">
        <v>70</v>
      </c>
      <c r="D122" s="2136"/>
      <c r="E122" s="2136"/>
      <c r="F122" s="2136"/>
      <c r="G122" s="2136"/>
      <c r="H122" s="2136"/>
      <c r="I122" s="2136"/>
      <c r="J122" s="2136"/>
      <c r="K122" s="2513"/>
      <c r="L122" s="2136"/>
      <c r="M122" s="937"/>
      <c r="N122" s="4285" t="s">
        <v>129</v>
      </c>
    </row>
    <row r="123" spans="1:108" ht="13.5" hidden="1" customHeight="1">
      <c r="A123" s="4284"/>
      <c r="B123" s="1909" t="s">
        <v>9</v>
      </c>
      <c r="C123" s="938"/>
      <c r="D123" s="2136"/>
      <c r="E123" s="2136"/>
      <c r="F123" s="2136"/>
      <c r="G123" s="2136"/>
      <c r="H123" s="2136"/>
      <c r="I123" s="2136"/>
      <c r="J123" s="2136"/>
      <c r="K123" s="2513"/>
      <c r="L123" s="2136"/>
      <c r="M123" s="937"/>
      <c r="N123" s="4285"/>
    </row>
    <row r="124" spans="1:108" ht="14.25" hidden="1" customHeight="1">
      <c r="A124" s="4284"/>
      <c r="B124" s="1764" t="s">
        <v>22</v>
      </c>
      <c r="C124" s="4287" t="s">
        <v>130</v>
      </c>
      <c r="D124" s="2136"/>
      <c r="E124" s="2136"/>
      <c r="F124" s="2136"/>
      <c r="G124" s="2136"/>
      <c r="H124" s="2136"/>
      <c r="I124" s="2136"/>
      <c r="J124" s="2136"/>
      <c r="K124" s="2513"/>
      <c r="L124" s="2136"/>
      <c r="M124" s="937"/>
      <c r="N124" s="4286"/>
    </row>
    <row r="125" spans="1:108" ht="15" hidden="1" customHeight="1" thickBot="1">
      <c r="A125" s="4284"/>
      <c r="B125" s="1764" t="s">
        <v>11</v>
      </c>
      <c r="C125" s="4287"/>
      <c r="D125" s="2136"/>
      <c r="E125" s="2136"/>
      <c r="F125" s="2136"/>
      <c r="G125" s="2136"/>
      <c r="H125" s="2136"/>
      <c r="I125" s="2136"/>
      <c r="J125" s="2136"/>
      <c r="K125" s="2513"/>
      <c r="L125" s="2136"/>
      <c r="M125" s="937"/>
      <c r="N125" s="4286"/>
    </row>
    <row r="126" spans="1:108" ht="36.75" hidden="1" customHeight="1">
      <c r="A126" s="4307" t="s">
        <v>53</v>
      </c>
      <c r="B126" s="926" t="s">
        <v>185</v>
      </c>
      <c r="C126" s="939" t="s">
        <v>70</v>
      </c>
      <c r="D126" s="940"/>
      <c r="E126" s="929"/>
      <c r="F126" s="929"/>
      <c r="G126" s="929"/>
      <c r="H126" s="929"/>
      <c r="I126" s="929"/>
      <c r="J126" s="929"/>
      <c r="K126" s="929"/>
      <c r="L126" s="929"/>
      <c r="M126" s="941"/>
      <c r="N126" s="4311" t="s">
        <v>159</v>
      </c>
    </row>
    <row r="127" spans="1:108" ht="14.25" hidden="1" customHeight="1">
      <c r="A127" s="4283"/>
      <c r="B127" s="1904" t="s">
        <v>9</v>
      </c>
      <c r="C127" s="938"/>
      <c r="D127" s="942"/>
      <c r="E127" s="942">
        <f>+E128+E131</f>
        <v>0</v>
      </c>
      <c r="F127" s="942">
        <v>0</v>
      </c>
      <c r="G127" s="942">
        <v>0</v>
      </c>
      <c r="H127" s="942">
        <v>0</v>
      </c>
      <c r="I127" s="942">
        <v>0</v>
      </c>
      <c r="J127" s="942">
        <v>0</v>
      </c>
      <c r="K127" s="1702"/>
      <c r="L127" s="1702"/>
      <c r="M127" s="919">
        <f>+M128</f>
        <v>0</v>
      </c>
      <c r="N127" s="4311"/>
    </row>
    <row r="128" spans="1:108" ht="15.75" hidden="1" customHeight="1">
      <c r="A128" s="4283"/>
      <c r="B128" s="1927" t="s">
        <v>22</v>
      </c>
      <c r="C128" s="4256" t="s">
        <v>131</v>
      </c>
      <c r="D128" s="943"/>
      <c r="E128" s="943">
        <f t="shared" ref="E128" si="84">E129+E130</f>
        <v>0</v>
      </c>
      <c r="F128" s="943">
        <f t="shared" ref="F128:J128" si="85">F129+F130</f>
        <v>0</v>
      </c>
      <c r="G128" s="943">
        <f t="shared" si="85"/>
        <v>0</v>
      </c>
      <c r="H128" s="943">
        <f t="shared" si="85"/>
        <v>0</v>
      </c>
      <c r="I128" s="943">
        <f t="shared" si="85"/>
        <v>0</v>
      </c>
      <c r="J128" s="943">
        <f t="shared" si="85"/>
        <v>0</v>
      </c>
      <c r="K128" s="1703"/>
      <c r="L128" s="1703"/>
      <c r="M128" s="906">
        <f>+M130</f>
        <v>0</v>
      </c>
      <c r="N128" s="4311"/>
    </row>
    <row r="129" spans="1:14" ht="13.5" hidden="1" customHeight="1">
      <c r="A129" s="4283"/>
      <c r="B129" s="944" t="s">
        <v>122</v>
      </c>
      <c r="C129" s="4278"/>
      <c r="D129" s="889"/>
      <c r="E129" s="889"/>
      <c r="F129" s="893">
        <v>0</v>
      </c>
      <c r="G129" s="893">
        <v>0</v>
      </c>
      <c r="H129" s="893">
        <v>0</v>
      </c>
      <c r="I129" s="893">
        <v>0</v>
      </c>
      <c r="J129" s="893">
        <v>0</v>
      </c>
      <c r="K129" s="889"/>
      <c r="L129" s="889"/>
      <c r="M129" s="913" t="s">
        <v>51</v>
      </c>
      <c r="N129" s="4311"/>
    </row>
    <row r="130" spans="1:14" ht="13.5" hidden="1" customHeight="1">
      <c r="A130" s="4283"/>
      <c r="B130" s="1928" t="s">
        <v>123</v>
      </c>
      <c r="C130" s="4278"/>
      <c r="D130" s="889"/>
      <c r="E130" s="889"/>
      <c r="F130" s="945">
        <v>0</v>
      </c>
      <c r="G130" s="945">
        <v>0</v>
      </c>
      <c r="H130" s="945">
        <v>0</v>
      </c>
      <c r="I130" s="945">
        <v>0</v>
      </c>
      <c r="J130" s="945">
        <v>0</v>
      </c>
      <c r="K130" s="945"/>
      <c r="L130" s="945"/>
      <c r="M130" s="906"/>
      <c r="N130" s="4311"/>
    </row>
    <row r="131" spans="1:14" ht="12" hidden="1" customHeight="1">
      <c r="A131" s="4283"/>
      <c r="B131" s="1927" t="s">
        <v>17</v>
      </c>
      <c r="C131" s="4278"/>
      <c r="D131" s="943"/>
      <c r="E131" s="943">
        <f t="shared" ref="E131" si="86">+E132</f>
        <v>0</v>
      </c>
      <c r="F131" s="943">
        <v>0</v>
      </c>
      <c r="G131" s="943">
        <v>0</v>
      </c>
      <c r="H131" s="943">
        <v>0</v>
      </c>
      <c r="I131" s="943">
        <v>0</v>
      </c>
      <c r="J131" s="943">
        <v>0</v>
      </c>
      <c r="K131" s="1704"/>
      <c r="L131" s="1704"/>
      <c r="M131" s="913" t="str">
        <f>+M132</f>
        <v>x</v>
      </c>
      <c r="N131" s="4311"/>
    </row>
    <row r="132" spans="1:14" ht="14.25" hidden="1" customHeight="1">
      <c r="A132" s="4283"/>
      <c r="B132" s="1929" t="s">
        <v>32</v>
      </c>
      <c r="C132" s="4257"/>
      <c r="D132" s="889"/>
      <c r="E132" s="889"/>
      <c r="F132" s="1765">
        <v>0</v>
      </c>
      <c r="G132" s="1765">
        <v>0</v>
      </c>
      <c r="H132" s="1765">
        <v>0</v>
      </c>
      <c r="I132" s="1765">
        <v>0</v>
      </c>
      <c r="J132" s="1765">
        <v>0</v>
      </c>
      <c r="K132" s="1765"/>
      <c r="L132" s="1765"/>
      <c r="M132" s="946" t="s">
        <v>51</v>
      </c>
      <c r="N132" s="4311"/>
    </row>
    <row r="133" spans="1:14" ht="13.5" hidden="1" customHeight="1">
      <c r="A133" s="4283"/>
      <c r="B133" s="1909" t="s">
        <v>20</v>
      </c>
      <c r="C133" s="938"/>
      <c r="D133" s="942"/>
      <c r="E133" s="942">
        <f>E137+E134</f>
        <v>0</v>
      </c>
      <c r="F133" s="942">
        <v>0</v>
      </c>
      <c r="G133" s="942">
        <v>0</v>
      </c>
      <c r="H133" s="942">
        <v>0</v>
      </c>
      <c r="I133" s="942">
        <v>0</v>
      </c>
      <c r="J133" s="942">
        <v>0</v>
      </c>
      <c r="K133" s="1702"/>
      <c r="L133" s="1702"/>
      <c r="M133" s="919"/>
      <c r="N133" s="4311"/>
    </row>
    <row r="134" spans="1:14" ht="14.25" hidden="1" customHeight="1">
      <c r="A134" s="4283"/>
      <c r="B134" s="1911" t="s">
        <v>22</v>
      </c>
      <c r="C134" s="4313" t="s">
        <v>21</v>
      </c>
      <c r="D134" s="947"/>
      <c r="E134" s="947">
        <f t="shared" ref="E134" si="87">+E136+E135</f>
        <v>0</v>
      </c>
      <c r="F134" s="943">
        <f t="shared" ref="F134:J134" si="88">+F136+F135</f>
        <v>0</v>
      </c>
      <c r="G134" s="943">
        <f t="shared" si="88"/>
        <v>0</v>
      </c>
      <c r="H134" s="943">
        <f t="shared" si="88"/>
        <v>0</v>
      </c>
      <c r="I134" s="943">
        <f t="shared" si="88"/>
        <v>0</v>
      </c>
      <c r="J134" s="943">
        <f t="shared" si="88"/>
        <v>0</v>
      </c>
      <c r="K134" s="1703"/>
      <c r="L134" s="1703"/>
      <c r="M134" s="4316" t="s">
        <v>51</v>
      </c>
      <c r="N134" s="4311"/>
    </row>
    <row r="135" spans="1:14" ht="13.5" hidden="1" customHeight="1">
      <c r="A135" s="4283"/>
      <c r="B135" s="944" t="s">
        <v>122</v>
      </c>
      <c r="C135" s="4314"/>
      <c r="D135" s="889"/>
      <c r="E135" s="889"/>
      <c r="F135" s="948">
        <v>0</v>
      </c>
      <c r="G135" s="948">
        <v>0</v>
      </c>
      <c r="H135" s="948">
        <v>0</v>
      </c>
      <c r="I135" s="948">
        <v>0</v>
      </c>
      <c r="J135" s="948">
        <v>0</v>
      </c>
      <c r="K135" s="1705"/>
      <c r="L135" s="1705"/>
      <c r="M135" s="4317"/>
      <c r="N135" s="4311"/>
    </row>
    <row r="136" spans="1:14" ht="13.5" hidden="1" customHeight="1">
      <c r="A136" s="4283"/>
      <c r="B136" s="1928" t="s">
        <v>132</v>
      </c>
      <c r="C136" s="4314"/>
      <c r="D136" s="889"/>
      <c r="E136" s="949"/>
      <c r="F136" s="945">
        <v>0</v>
      </c>
      <c r="G136" s="945">
        <v>0</v>
      </c>
      <c r="H136" s="945">
        <v>0</v>
      </c>
      <c r="I136" s="945">
        <v>0</v>
      </c>
      <c r="J136" s="945">
        <v>0</v>
      </c>
      <c r="K136" s="1706"/>
      <c r="L136" s="1706"/>
      <c r="M136" s="4317"/>
      <c r="N136" s="4311"/>
    </row>
    <row r="137" spans="1:14" ht="12.75" hidden="1" customHeight="1">
      <c r="A137" s="4283"/>
      <c r="B137" s="1927" t="s">
        <v>17</v>
      </c>
      <c r="C137" s="4314"/>
      <c r="D137" s="947"/>
      <c r="E137" s="947">
        <f t="shared" ref="E137" si="89">+E138</f>
        <v>0</v>
      </c>
      <c r="F137" s="943">
        <v>0</v>
      </c>
      <c r="G137" s="943">
        <v>0</v>
      </c>
      <c r="H137" s="943"/>
      <c r="I137" s="943"/>
      <c r="J137" s="943"/>
      <c r="K137" s="1707"/>
      <c r="L137" s="1707"/>
      <c r="M137" s="4317"/>
      <c r="N137" s="4311"/>
    </row>
    <row r="138" spans="1:14" ht="15" hidden="1" customHeight="1" thickBot="1">
      <c r="A138" s="4283"/>
      <c r="B138" s="950" t="s">
        <v>32</v>
      </c>
      <c r="C138" s="4315"/>
      <c r="D138" s="889"/>
      <c r="E138" s="889">
        <v>0</v>
      </c>
      <c r="F138" s="948">
        <v>0</v>
      </c>
      <c r="G138" s="948">
        <v>0</v>
      </c>
      <c r="H138" s="948">
        <v>0</v>
      </c>
      <c r="I138" s="948">
        <v>0</v>
      </c>
      <c r="J138" s="948">
        <v>0</v>
      </c>
      <c r="K138" s="1705"/>
      <c r="L138" s="1705"/>
      <c r="M138" s="4318"/>
      <c r="N138" s="4312"/>
    </row>
    <row r="139" spans="1:14" ht="15" hidden="1" customHeight="1">
      <c r="A139" s="4307" t="s">
        <v>53</v>
      </c>
      <c r="B139" s="951" t="s">
        <v>161</v>
      </c>
      <c r="C139" s="952" t="s">
        <v>70</v>
      </c>
      <c r="D139" s="953"/>
      <c r="E139" s="929"/>
      <c r="F139" s="929"/>
      <c r="G139" s="929"/>
      <c r="H139" s="929"/>
      <c r="I139" s="929"/>
      <c r="J139" s="929"/>
      <c r="K139" s="1708"/>
      <c r="L139" s="1708"/>
      <c r="M139" s="887"/>
      <c r="N139" s="4239" t="s">
        <v>165</v>
      </c>
    </row>
    <row r="140" spans="1:14" s="884" customFormat="1" ht="10.5" hidden="1" customHeight="1">
      <c r="A140" s="4284"/>
      <c r="B140" s="954" t="s">
        <v>9</v>
      </c>
      <c r="C140" s="938"/>
      <c r="D140" s="955"/>
      <c r="E140" s="955">
        <f t="shared" ref="E140:H141" si="90">E141</f>
        <v>0</v>
      </c>
      <c r="F140" s="955">
        <f t="shared" si="90"/>
        <v>0</v>
      </c>
      <c r="G140" s="955">
        <f t="shared" si="90"/>
        <v>0</v>
      </c>
      <c r="H140" s="955">
        <f t="shared" si="90"/>
        <v>0</v>
      </c>
      <c r="I140" s="955">
        <f>I141</f>
        <v>0</v>
      </c>
      <c r="J140" s="955">
        <f>J141</f>
        <v>0</v>
      </c>
      <c r="K140" s="955"/>
      <c r="L140" s="955"/>
      <c r="M140" s="956">
        <f>+M141</f>
        <v>0</v>
      </c>
      <c r="N140" s="4240"/>
    </row>
    <row r="141" spans="1:14" s="959" customFormat="1" ht="13.5" hidden="1" customHeight="1">
      <c r="A141" s="4284"/>
      <c r="B141" s="957" t="s">
        <v>22</v>
      </c>
      <c r="C141" s="4309" t="s">
        <v>131</v>
      </c>
      <c r="D141" s="947"/>
      <c r="E141" s="947">
        <f>E142</f>
        <v>0</v>
      </c>
      <c r="F141" s="947">
        <f t="shared" si="90"/>
        <v>0</v>
      </c>
      <c r="G141" s="947">
        <f t="shared" si="90"/>
        <v>0</v>
      </c>
      <c r="H141" s="947">
        <f t="shared" si="90"/>
        <v>0</v>
      </c>
      <c r="I141" s="947">
        <f>I142</f>
        <v>0</v>
      </c>
      <c r="J141" s="947">
        <f>J142</f>
        <v>0</v>
      </c>
      <c r="K141" s="947"/>
      <c r="L141" s="947"/>
      <c r="M141" s="958">
        <f>+M142</f>
        <v>0</v>
      </c>
      <c r="N141" s="4240"/>
    </row>
    <row r="142" spans="1:14" s="884" customFormat="1" ht="22.5" hidden="1" customHeight="1" thickBot="1">
      <c r="A142" s="4308"/>
      <c r="B142" s="960" t="s">
        <v>123</v>
      </c>
      <c r="C142" s="4310"/>
      <c r="D142" s="1170"/>
      <c r="E142" s="1170">
        <v>0</v>
      </c>
      <c r="F142" s="961">
        <v>0</v>
      </c>
      <c r="G142" s="961">
        <v>0</v>
      </c>
      <c r="H142" s="961">
        <v>0</v>
      </c>
      <c r="I142" s="961">
        <v>0</v>
      </c>
      <c r="J142" s="961">
        <v>0</v>
      </c>
      <c r="K142" s="1709"/>
      <c r="L142" s="1709"/>
      <c r="M142" s="962"/>
      <c r="N142" s="4242"/>
    </row>
    <row r="143" spans="1:14" ht="12.75" hidden="1">
      <c r="A143" s="1930"/>
      <c r="B143" s="1843"/>
      <c r="C143" s="1843"/>
      <c r="D143" s="1843"/>
      <c r="E143" s="1843"/>
      <c r="F143" s="1843"/>
      <c r="G143" s="1843"/>
      <c r="H143" s="1843"/>
      <c r="I143" s="1843"/>
      <c r="J143" s="1843"/>
      <c r="K143" s="2513"/>
      <c r="L143" s="1843"/>
      <c r="M143" s="1843"/>
      <c r="N143" s="1931"/>
    </row>
    <row r="144" spans="1:14" ht="12.75" hidden="1">
      <c r="A144" s="1930"/>
      <c r="B144" s="1766" t="s">
        <v>301</v>
      </c>
      <c r="C144" s="1765"/>
      <c r="D144" s="1765"/>
      <c r="E144" s="1765"/>
      <c r="F144" s="1765"/>
      <c r="G144" s="1765"/>
      <c r="H144" s="1765"/>
      <c r="I144" s="1765"/>
      <c r="J144" s="1765"/>
      <c r="K144" s="1765"/>
      <c r="L144" s="1765"/>
      <c r="M144" s="1843"/>
      <c r="N144" s="1931"/>
    </row>
    <row r="145" spans="1:14" ht="12.75" hidden="1">
      <c r="A145" s="1930"/>
      <c r="B145" s="1766" t="s">
        <v>302</v>
      </c>
      <c r="C145" s="1765"/>
      <c r="D145" s="1745">
        <f>D71+D57+D41+D80</f>
        <v>755076</v>
      </c>
      <c r="E145" s="1745">
        <f t="shared" ref="E145:J145" si="91">E71+E57+E41+E80</f>
        <v>498994</v>
      </c>
      <c r="F145" s="1745">
        <f t="shared" si="91"/>
        <v>121422</v>
      </c>
      <c r="G145" s="1745">
        <f t="shared" si="91"/>
        <v>99540</v>
      </c>
      <c r="H145" s="1745">
        <f t="shared" si="91"/>
        <v>35120</v>
      </c>
      <c r="I145" s="1745">
        <f t="shared" si="91"/>
        <v>0</v>
      </c>
      <c r="J145" s="1745">
        <f t="shared" si="91"/>
        <v>0</v>
      </c>
      <c r="K145" s="1745"/>
      <c r="L145" s="1745">
        <f>L71+L57+L41+L80</f>
        <v>0</v>
      </c>
      <c r="M145" s="1843"/>
      <c r="N145" s="1931"/>
    </row>
    <row r="146" spans="1:14" ht="12.75" hidden="1">
      <c r="A146" s="1930"/>
      <c r="B146" s="1766" t="s">
        <v>303</v>
      </c>
      <c r="C146" s="1765"/>
      <c r="D146" s="1745">
        <v>0</v>
      </c>
      <c r="E146" s="1745">
        <v>0</v>
      </c>
      <c r="F146" s="1745">
        <v>0</v>
      </c>
      <c r="G146" s="1745">
        <v>0</v>
      </c>
      <c r="H146" s="1745">
        <v>0</v>
      </c>
      <c r="I146" s="1745">
        <v>0</v>
      </c>
      <c r="J146" s="1745">
        <v>0</v>
      </c>
      <c r="K146" s="1745"/>
      <c r="L146" s="1745">
        <v>0</v>
      </c>
      <c r="M146" s="1843"/>
      <c r="N146" s="1931"/>
    </row>
    <row r="147" spans="1:14" ht="12.75" hidden="1">
      <c r="A147" s="1930"/>
      <c r="B147" s="1766" t="s">
        <v>304</v>
      </c>
      <c r="C147" s="1765"/>
      <c r="D147" s="1085">
        <f>D145+D146</f>
        <v>755076</v>
      </c>
      <c r="E147" s="1085">
        <f t="shared" ref="E147:J147" si="92">E145+E146</f>
        <v>498994</v>
      </c>
      <c r="F147" s="1085">
        <f t="shared" si="92"/>
        <v>121422</v>
      </c>
      <c r="G147" s="1085">
        <f t="shared" si="92"/>
        <v>99540</v>
      </c>
      <c r="H147" s="1085">
        <f t="shared" si="92"/>
        <v>35120</v>
      </c>
      <c r="I147" s="1085">
        <f t="shared" si="92"/>
        <v>0</v>
      </c>
      <c r="J147" s="1085">
        <f t="shared" si="92"/>
        <v>0</v>
      </c>
      <c r="K147" s="1085"/>
      <c r="L147" s="1085">
        <f>L145+L146</f>
        <v>0</v>
      </c>
      <c r="M147" s="1843"/>
      <c r="N147" s="1931"/>
    </row>
    <row r="148" spans="1:14" ht="12.75" hidden="1">
      <c r="A148" s="1932"/>
      <c r="B148" s="964" t="s">
        <v>39</v>
      </c>
      <c r="C148" s="965"/>
      <c r="D148" s="1086">
        <f t="shared" ref="D148:L148" si="93">D18-D147</f>
        <v>0</v>
      </c>
      <c r="E148" s="1086">
        <f t="shared" si="93"/>
        <v>0</v>
      </c>
      <c r="F148" s="1086">
        <f t="shared" si="93"/>
        <v>0</v>
      </c>
      <c r="G148" s="1086">
        <f t="shared" si="93"/>
        <v>0</v>
      </c>
      <c r="H148" s="1086">
        <f t="shared" si="93"/>
        <v>0</v>
      </c>
      <c r="I148" s="1086">
        <f t="shared" si="93"/>
        <v>0</v>
      </c>
      <c r="J148" s="1086">
        <f t="shared" si="93"/>
        <v>0</v>
      </c>
      <c r="K148" s="1086"/>
      <c r="L148" s="1086">
        <f t="shared" si="93"/>
        <v>0</v>
      </c>
      <c r="N148" s="1931"/>
    </row>
    <row r="149" spans="1:14" hidden="1">
      <c r="A149" s="1932"/>
      <c r="N149" s="1931"/>
    </row>
    <row r="150" spans="1:14">
      <c r="A150" s="1932"/>
      <c r="N150" s="1931"/>
    </row>
    <row r="151" spans="1:14">
      <c r="A151" s="1932"/>
      <c r="N151" s="1931"/>
    </row>
    <row r="152" spans="1:14">
      <c r="A152" s="1932"/>
      <c r="N152" s="1931"/>
    </row>
    <row r="153" spans="1:14" ht="12" thickBot="1">
      <c r="A153" s="1933"/>
      <c r="B153" s="1172"/>
      <c r="C153" s="1172"/>
      <c r="D153" s="1172"/>
      <c r="E153" s="1172"/>
      <c r="F153" s="1172"/>
      <c r="G153" s="1172"/>
      <c r="H153" s="1172"/>
      <c r="I153" s="1172"/>
      <c r="J153" s="1172"/>
      <c r="K153" s="1172"/>
      <c r="L153" s="1172"/>
      <c r="M153" s="1172"/>
      <c r="N153" s="1934"/>
    </row>
    <row r="154" spans="1:14">
      <c r="A154" s="1932"/>
      <c r="N154" s="1931"/>
    </row>
    <row r="155" spans="1:14">
      <c r="A155" s="1932"/>
      <c r="N155" s="1931"/>
    </row>
    <row r="156" spans="1:14">
      <c r="A156" s="1932"/>
      <c r="N156" s="1931"/>
    </row>
    <row r="157" spans="1:14">
      <c r="A157" s="1932"/>
      <c r="N157" s="1931"/>
    </row>
    <row r="158" spans="1:14">
      <c r="A158" s="1932"/>
      <c r="N158" s="1931"/>
    </row>
    <row r="159" spans="1:14">
      <c r="A159" s="1932"/>
      <c r="N159" s="1931"/>
    </row>
    <row r="160" spans="1:14">
      <c r="A160" s="1932"/>
      <c r="N160" s="1931"/>
    </row>
    <row r="161" spans="1:14">
      <c r="A161" s="1932"/>
      <c r="N161" s="1931"/>
    </row>
    <row r="162" spans="1:14">
      <c r="A162" s="1932"/>
      <c r="N162" s="1931"/>
    </row>
    <row r="163" spans="1:14">
      <c r="A163" s="1932"/>
      <c r="N163" s="1931"/>
    </row>
    <row r="164" spans="1:14">
      <c r="A164" s="1932"/>
      <c r="N164" s="1931"/>
    </row>
    <row r="165" spans="1:14">
      <c r="A165" s="1932"/>
      <c r="N165" s="1931"/>
    </row>
    <row r="166" spans="1:14">
      <c r="A166" s="1932"/>
      <c r="N166" s="1931"/>
    </row>
    <row r="167" spans="1:14">
      <c r="A167" s="1932"/>
      <c r="N167" s="1931"/>
    </row>
    <row r="168" spans="1:14">
      <c r="A168" s="1932"/>
      <c r="N168" s="1931"/>
    </row>
    <row r="169" spans="1:14">
      <c r="A169" s="1932"/>
      <c r="N169" s="1931"/>
    </row>
    <row r="170" spans="1:14">
      <c r="A170" s="1932"/>
      <c r="N170" s="1931"/>
    </row>
    <row r="171" spans="1:14">
      <c r="A171" s="1932"/>
      <c r="N171" s="1931"/>
    </row>
    <row r="172" spans="1:14">
      <c r="A172" s="1932"/>
      <c r="N172" s="1931"/>
    </row>
    <row r="173" spans="1:14">
      <c r="A173" s="1932"/>
      <c r="N173" s="1931"/>
    </row>
    <row r="174" spans="1:14">
      <c r="A174" s="1932"/>
      <c r="N174" s="1931"/>
    </row>
    <row r="175" spans="1:14">
      <c r="A175" s="1932"/>
      <c r="N175" s="1931"/>
    </row>
    <row r="176" spans="1:14">
      <c r="A176" s="1932"/>
      <c r="N176" s="1931"/>
    </row>
    <row r="177" spans="1:14" ht="12" thickBot="1">
      <c r="A177" s="1933"/>
      <c r="N177" s="1931"/>
    </row>
    <row r="178" spans="1:14" ht="12" thickBot="1">
      <c r="A178" s="1935"/>
      <c r="N178" s="1931"/>
    </row>
    <row r="179" spans="1:14" ht="12" thickBot="1">
      <c r="A179" s="1935"/>
      <c r="N179" s="1931"/>
    </row>
    <row r="180" spans="1:14" ht="12" thickBot="1">
      <c r="A180" s="1935"/>
      <c r="N180" s="1931"/>
    </row>
    <row r="181" spans="1:14" ht="12" thickBot="1">
      <c r="A181" s="1935"/>
      <c r="N181" s="1931"/>
    </row>
    <row r="182" spans="1:14" ht="12" thickBot="1">
      <c r="A182" s="1935"/>
      <c r="N182" s="1931"/>
    </row>
    <row r="183" spans="1:14" ht="12" thickBot="1">
      <c r="A183" s="1935"/>
      <c r="N183" s="1931"/>
    </row>
    <row r="184" spans="1:14" ht="12" thickBot="1">
      <c r="A184" s="1935"/>
      <c r="N184" s="1931"/>
    </row>
    <row r="185" spans="1:14" ht="12" thickBot="1">
      <c r="A185" s="1935"/>
      <c r="N185" s="1931"/>
    </row>
    <row r="186" spans="1:14" ht="12" thickBot="1">
      <c r="A186" s="1935"/>
      <c r="N186" s="1931"/>
    </row>
    <row r="187" spans="1:14" ht="12" thickBot="1">
      <c r="A187" s="1935"/>
      <c r="N187" s="1931"/>
    </row>
    <row r="188" spans="1:14" ht="12" thickBot="1">
      <c r="A188" s="1935"/>
      <c r="B188" s="1172"/>
      <c r="N188" s="1931"/>
    </row>
    <row r="189" spans="1:14" ht="12" thickBot="1">
      <c r="A189" s="1935"/>
      <c r="B189" s="1338"/>
      <c r="N189" s="1931"/>
    </row>
    <row r="190" spans="1:14" ht="12" thickBot="1">
      <c r="A190" s="1935"/>
      <c r="N190" s="1931"/>
    </row>
    <row r="191" spans="1:14" ht="12" thickBot="1">
      <c r="A191" s="1935"/>
      <c r="N191" s="1931"/>
    </row>
    <row r="192" spans="1:14" ht="12" thickBot="1">
      <c r="A192" s="1935"/>
      <c r="N192" s="1931"/>
    </row>
    <row r="193" spans="1:14" ht="12" thickBot="1">
      <c r="A193" s="1935"/>
      <c r="N193" s="1931"/>
    </row>
    <row r="194" spans="1:14" ht="12" thickBot="1">
      <c r="A194" s="1935"/>
      <c r="N194" s="1931"/>
    </row>
    <row r="195" spans="1:14" ht="12" thickBot="1">
      <c r="A195" s="1935"/>
      <c r="N195" s="1931"/>
    </row>
    <row r="196" spans="1:14" ht="12" thickBot="1">
      <c r="A196" s="1935"/>
      <c r="N196" s="1931"/>
    </row>
    <row r="197" spans="1:14" ht="12" thickBot="1">
      <c r="A197" s="1935"/>
      <c r="N197" s="1931"/>
    </row>
    <row r="198" spans="1:14" ht="12" thickBot="1">
      <c r="A198" s="1935"/>
      <c r="N198" s="1931"/>
    </row>
    <row r="199" spans="1:14" ht="12" thickBot="1">
      <c r="A199" s="1935"/>
      <c r="N199" s="1931"/>
    </row>
    <row r="200" spans="1:14" ht="12" thickBot="1">
      <c r="A200" s="1935"/>
      <c r="N200" s="1931"/>
    </row>
    <row r="201" spans="1:14" ht="12" thickBot="1">
      <c r="A201" s="1935"/>
      <c r="N201" s="1931"/>
    </row>
    <row r="202" spans="1:14" ht="12" thickBot="1">
      <c r="A202" s="1935"/>
      <c r="M202" s="1172"/>
      <c r="N202" s="1934"/>
    </row>
    <row r="203" spans="1:14" ht="12" thickBot="1">
      <c r="A203" s="1935"/>
      <c r="C203" s="1172"/>
      <c r="M203" s="1337"/>
      <c r="N203" s="1936"/>
    </row>
    <row r="204" spans="1:14" ht="12" thickBot="1">
      <c r="A204" s="1935"/>
      <c r="C204" s="1337"/>
      <c r="M204" s="1337"/>
      <c r="N204" s="1936"/>
    </row>
    <row r="205" spans="1:14" ht="12" thickBot="1">
      <c r="A205" s="1935"/>
      <c r="C205" s="1337"/>
      <c r="M205" s="1337"/>
      <c r="N205" s="1936"/>
    </row>
    <row r="206" spans="1:14" ht="12" thickBot="1">
      <c r="A206" s="1896"/>
      <c r="C206" s="1337"/>
      <c r="D206" s="1172"/>
      <c r="E206" s="1172"/>
      <c r="F206" s="1172"/>
      <c r="G206" s="1172"/>
      <c r="H206" s="1172"/>
      <c r="I206" s="1172"/>
      <c r="J206" s="1172"/>
      <c r="K206" s="1172"/>
      <c r="L206" s="1172"/>
      <c r="M206" s="1337"/>
      <c r="N206" s="1936"/>
    </row>
    <row r="207" spans="1:14" ht="12" thickBot="1">
      <c r="A207" s="1932"/>
      <c r="C207" s="1338"/>
      <c r="D207" s="1338"/>
      <c r="E207" s="1338"/>
      <c r="F207" s="1338"/>
      <c r="G207" s="1338"/>
      <c r="H207" s="1338"/>
      <c r="I207" s="1338"/>
      <c r="J207" s="1338"/>
      <c r="K207" s="1338"/>
      <c r="L207" s="1338"/>
      <c r="M207" s="1338"/>
      <c r="N207" s="1936"/>
    </row>
    <row r="208" spans="1:14" ht="12" thickBot="1">
      <c r="A208" s="1932"/>
      <c r="N208" s="1936"/>
    </row>
    <row r="209" spans="1:14" ht="12" thickBot="1">
      <c r="A209" s="1932"/>
      <c r="N209" s="1936"/>
    </row>
    <row r="210" spans="1:14" ht="12" thickBot="1">
      <c r="A210" s="1932"/>
      <c r="N210" s="1936"/>
    </row>
    <row r="211" spans="1:14" ht="12" thickBot="1">
      <c r="A211" s="1932"/>
      <c r="N211" s="1936"/>
    </row>
    <row r="212" spans="1:14" ht="13.5" thickBot="1">
      <c r="A212" s="1930"/>
      <c r="B212" s="1843" t="s">
        <v>59</v>
      </c>
      <c r="C212" s="1843"/>
      <c r="D212" s="1843"/>
      <c r="E212" s="1843"/>
      <c r="F212" s="1843"/>
      <c r="G212" s="1843"/>
      <c r="H212" s="1843"/>
      <c r="I212" s="1843"/>
      <c r="J212" s="1843"/>
      <c r="K212" s="2513"/>
      <c r="L212" s="1843"/>
      <c r="M212" s="1843"/>
      <c r="N212" s="1937"/>
    </row>
    <row r="213" spans="1:14" ht="13.5" thickBot="1">
      <c r="A213" s="1930"/>
      <c r="N213" s="1937"/>
    </row>
    <row r="214" spans="1:14" ht="13.5" thickBot="1">
      <c r="A214" s="1930"/>
      <c r="N214" s="1937"/>
    </row>
    <row r="215" spans="1:14" ht="13.5" thickBot="1">
      <c r="A215" s="1930"/>
      <c r="N215" s="1937"/>
    </row>
    <row r="216" spans="1:14" ht="12.75">
      <c r="A216" s="1930"/>
      <c r="N216" s="1938"/>
    </row>
    <row r="217" spans="1:14" ht="12.75">
      <c r="A217" s="1930"/>
      <c r="N217" s="1842"/>
    </row>
    <row r="218" spans="1:14" ht="12.75">
      <c r="A218" s="1930"/>
      <c r="N218" s="1842"/>
    </row>
    <row r="219" spans="1:14" ht="12.75">
      <c r="A219" s="1930"/>
      <c r="N219" s="1842"/>
    </row>
    <row r="220" spans="1:14" ht="12.75">
      <c r="A220" s="1930"/>
      <c r="N220" s="1842"/>
    </row>
    <row r="221" spans="1:14" ht="12.75">
      <c r="A221" s="1930"/>
      <c r="N221" s="1842"/>
    </row>
    <row r="222" spans="1:14" ht="12.75">
      <c r="A222" s="1930"/>
      <c r="N222" s="1842"/>
    </row>
    <row r="223" spans="1:14" ht="12.75">
      <c r="A223" s="1930"/>
      <c r="B223" s="1843"/>
      <c r="C223" s="1843"/>
      <c r="D223" s="1843"/>
      <c r="E223" s="1843"/>
      <c r="F223" s="1843"/>
      <c r="G223" s="1843"/>
      <c r="H223" s="1843"/>
      <c r="I223" s="1843"/>
      <c r="J223" s="1843"/>
      <c r="K223" s="2513"/>
      <c r="L223" s="1843"/>
      <c r="M223" s="1843"/>
      <c r="N223" s="1842"/>
    </row>
    <row r="224" spans="1:14">
      <c r="A224" s="1932"/>
      <c r="N224" s="1931"/>
    </row>
    <row r="225" spans="1:14">
      <c r="A225" s="1932"/>
      <c r="N225" s="1931"/>
    </row>
    <row r="226" spans="1:14">
      <c r="A226" s="1932"/>
      <c r="N226" s="1931"/>
    </row>
    <row r="227" spans="1:14">
      <c r="A227" s="1932"/>
      <c r="N227" s="1931"/>
    </row>
    <row r="228" spans="1:14">
      <c r="A228" s="1932"/>
      <c r="N228" s="1931"/>
    </row>
    <row r="229" spans="1:14">
      <c r="A229" s="1932"/>
      <c r="N229" s="1931"/>
    </row>
    <row r="230" spans="1:14">
      <c r="A230" s="1932"/>
      <c r="N230" s="1931"/>
    </row>
    <row r="231" spans="1:14">
      <c r="A231" s="1932"/>
      <c r="N231" s="1931"/>
    </row>
    <row r="232" spans="1:14">
      <c r="A232" s="1932"/>
      <c r="N232" s="1931"/>
    </row>
    <row r="233" spans="1:14">
      <c r="A233" s="1932"/>
      <c r="N233" s="1931"/>
    </row>
    <row r="234" spans="1:14">
      <c r="A234" s="1932"/>
      <c r="N234" s="1931"/>
    </row>
    <row r="235" spans="1:14">
      <c r="A235" s="1932"/>
      <c r="N235" s="1931"/>
    </row>
    <row r="236" spans="1:14">
      <c r="A236" s="1932"/>
      <c r="N236" s="1931"/>
    </row>
    <row r="237" spans="1:14">
      <c r="A237" s="1932"/>
      <c r="N237" s="1931"/>
    </row>
    <row r="238" spans="1:14">
      <c r="A238" s="1932"/>
      <c r="N238" s="1931"/>
    </row>
    <row r="239" spans="1:14">
      <c r="A239" s="1932"/>
      <c r="N239" s="1931"/>
    </row>
    <row r="240" spans="1:14">
      <c r="A240" s="1932"/>
      <c r="N240" s="1931"/>
    </row>
    <row r="241" spans="1:14">
      <c r="A241" s="1932"/>
      <c r="N241" s="1931"/>
    </row>
    <row r="242" spans="1:14">
      <c r="A242" s="1932"/>
      <c r="N242" s="1931"/>
    </row>
    <row r="243" spans="1:14">
      <c r="A243" s="1932"/>
      <c r="N243" s="1931"/>
    </row>
    <row r="244" spans="1:14">
      <c r="A244" s="1932"/>
      <c r="N244" s="1931"/>
    </row>
    <row r="245" spans="1:14">
      <c r="A245" s="1932"/>
      <c r="N245" s="1931"/>
    </row>
    <row r="246" spans="1:14">
      <c r="A246" s="1932"/>
      <c r="N246" s="1931"/>
    </row>
    <row r="247" spans="1:14">
      <c r="A247" s="1932"/>
      <c r="N247" s="1931"/>
    </row>
    <row r="248" spans="1:14">
      <c r="A248" s="1932"/>
      <c r="N248" s="1931"/>
    </row>
    <row r="249" spans="1:14">
      <c r="A249" s="1932"/>
      <c r="N249" s="1931"/>
    </row>
    <row r="250" spans="1:14" ht="12" thickBot="1">
      <c r="A250" s="1932"/>
      <c r="N250" s="1934"/>
    </row>
    <row r="251" spans="1:14" ht="12" thickBot="1">
      <c r="A251" s="1932"/>
      <c r="N251" s="1936"/>
    </row>
    <row r="252" spans="1:14" ht="12" thickBot="1">
      <c r="A252" s="1932"/>
      <c r="N252" s="1936"/>
    </row>
    <row r="253" spans="1:14" ht="12" thickBot="1">
      <c r="A253" s="1932"/>
      <c r="N253" s="1936"/>
    </row>
    <row r="254" spans="1:14" ht="12" thickBot="1">
      <c r="A254" s="1932"/>
      <c r="N254" s="1936"/>
    </row>
    <row r="255" spans="1:14" ht="12" thickBot="1">
      <c r="A255" s="1932"/>
      <c r="N255" s="1936"/>
    </row>
    <row r="256" spans="1:14" ht="12" thickBot="1">
      <c r="A256" s="1932"/>
      <c r="N256" s="1936"/>
    </row>
    <row r="257" spans="1:14" ht="12" thickBot="1">
      <c r="A257" s="1932"/>
      <c r="N257" s="1936"/>
    </row>
    <row r="258" spans="1:14" ht="12" thickBot="1">
      <c r="A258" s="1932"/>
      <c r="N258" s="1936"/>
    </row>
    <row r="259" spans="1:14" ht="12" thickBot="1">
      <c r="A259" s="1932"/>
      <c r="N259" s="1936"/>
    </row>
    <row r="260" spans="1:14" ht="12" thickBot="1">
      <c r="A260" s="1932"/>
      <c r="N260" s="1936"/>
    </row>
    <row r="261" spans="1:14" ht="12" thickBot="1">
      <c r="A261" s="1932"/>
      <c r="N261" s="1936"/>
    </row>
    <row r="262" spans="1:14" ht="12" thickBot="1">
      <c r="A262" s="1932"/>
      <c r="N262" s="1936"/>
    </row>
    <row r="263" spans="1:14" ht="12" thickBot="1">
      <c r="A263" s="1932"/>
      <c r="N263" s="1936"/>
    </row>
    <row r="264" spans="1:14">
      <c r="A264" s="1932"/>
      <c r="N264" s="1939"/>
    </row>
    <row r="265" spans="1:14">
      <c r="A265" s="1932"/>
      <c r="N265" s="1931"/>
    </row>
    <row r="266" spans="1:14">
      <c r="A266" s="1932"/>
      <c r="N266" s="1931"/>
    </row>
    <row r="267" spans="1:14">
      <c r="A267" s="1932"/>
      <c r="N267" s="1931"/>
    </row>
    <row r="268" spans="1:14">
      <c r="A268" s="1932"/>
      <c r="N268" s="1931"/>
    </row>
    <row r="269" spans="1:14">
      <c r="A269" s="1932"/>
      <c r="N269" s="1931"/>
    </row>
    <row r="270" spans="1:14">
      <c r="A270" s="1932"/>
      <c r="N270" s="1931"/>
    </row>
    <row r="271" spans="1:14">
      <c r="A271" s="1932"/>
      <c r="N271" s="1931"/>
    </row>
    <row r="272" spans="1:14">
      <c r="A272" s="1932"/>
      <c r="N272" s="1931"/>
    </row>
    <row r="273" spans="1:14">
      <c r="A273" s="1932"/>
      <c r="N273" s="1931"/>
    </row>
    <row r="274" spans="1:14">
      <c r="A274" s="1932"/>
      <c r="N274" s="1931"/>
    </row>
    <row r="275" spans="1:14">
      <c r="A275" s="1932"/>
      <c r="N275" s="1931"/>
    </row>
    <row r="276" spans="1:14">
      <c r="A276" s="1932"/>
      <c r="N276" s="1931"/>
    </row>
    <row r="277" spans="1:14">
      <c r="A277" s="1932"/>
      <c r="N277" s="1931"/>
    </row>
    <row r="278" spans="1:14">
      <c r="A278" s="1932"/>
      <c r="N278" s="1931"/>
    </row>
    <row r="279" spans="1:14">
      <c r="A279" s="1932"/>
      <c r="N279" s="1931"/>
    </row>
    <row r="280" spans="1:14">
      <c r="A280" s="1932"/>
      <c r="N280" s="1931"/>
    </row>
    <row r="281" spans="1:14">
      <c r="A281" s="1932"/>
      <c r="N281" s="1931"/>
    </row>
    <row r="282" spans="1:14">
      <c r="A282" s="1932"/>
      <c r="N282" s="1931"/>
    </row>
    <row r="283" spans="1:14">
      <c r="A283" s="1932"/>
      <c r="N283" s="1931"/>
    </row>
    <row r="284" spans="1:14">
      <c r="A284" s="1932"/>
      <c r="N284" s="1931"/>
    </row>
    <row r="285" spans="1:14">
      <c r="A285" s="1932"/>
      <c r="N285" s="1931"/>
    </row>
    <row r="286" spans="1:14" ht="12" thickBot="1">
      <c r="A286" s="1933"/>
      <c r="B286" s="1172"/>
      <c r="C286" s="1172"/>
      <c r="D286" s="1172"/>
      <c r="E286" s="1172"/>
      <c r="F286" s="1172"/>
      <c r="G286" s="1172"/>
      <c r="H286" s="1172"/>
      <c r="I286" s="1172"/>
      <c r="J286" s="1172"/>
      <c r="K286" s="1172"/>
      <c r="L286" s="1172"/>
      <c r="M286" s="1172"/>
      <c r="N286" s="1934"/>
    </row>
    <row r="403" spans="1:14" ht="12" thickBot="1">
      <c r="A403" s="1171"/>
    </row>
    <row r="404" spans="1:14" ht="12" thickBot="1">
      <c r="A404" s="1355"/>
    </row>
    <row r="405" spans="1:14" ht="12" thickBot="1">
      <c r="A405" s="1355"/>
    </row>
    <row r="406" spans="1:14" ht="12" thickBot="1">
      <c r="A406" s="1355"/>
    </row>
    <row r="407" spans="1:14" ht="12" thickBot="1">
      <c r="A407" s="1355"/>
    </row>
    <row r="408" spans="1:14" ht="12" thickBot="1">
      <c r="A408" s="1355"/>
    </row>
    <row r="409" spans="1:14" ht="12" thickBot="1">
      <c r="A409" s="1355"/>
      <c r="M409" s="1172"/>
      <c r="N409" s="1173"/>
    </row>
    <row r="410" spans="1:14" ht="12" thickBot="1">
      <c r="A410" s="1355"/>
      <c r="C410" s="1172"/>
      <c r="M410" s="1337"/>
      <c r="N410" s="1327"/>
    </row>
    <row r="411" spans="1:14" ht="12" thickBot="1">
      <c r="A411" s="1355"/>
      <c r="C411" s="1337"/>
      <c r="D411" s="1172"/>
      <c r="E411" s="1172"/>
      <c r="F411" s="1172"/>
      <c r="G411" s="1172"/>
      <c r="H411" s="1172"/>
      <c r="I411" s="1172"/>
      <c r="J411" s="1172"/>
      <c r="K411" s="1172"/>
      <c r="L411" s="1172"/>
      <c r="M411" s="1337"/>
      <c r="N411" s="1327"/>
    </row>
    <row r="412" spans="1:14" ht="12" thickBot="1">
      <c r="A412" s="1355"/>
      <c r="C412" s="1338"/>
      <c r="D412" s="1338"/>
      <c r="E412" s="1338"/>
      <c r="F412" s="1338"/>
      <c r="G412" s="1338"/>
      <c r="H412" s="1338"/>
      <c r="I412" s="1338"/>
      <c r="J412" s="1338"/>
      <c r="K412" s="1338"/>
      <c r="L412" s="1338"/>
      <c r="M412" s="1338"/>
      <c r="N412" s="1327"/>
    </row>
    <row r="413" spans="1:14" ht="12" thickBot="1">
      <c r="A413" s="1355"/>
      <c r="N413" s="1327"/>
    </row>
    <row r="414" spans="1:14" ht="12" thickBot="1">
      <c r="A414" s="1355"/>
      <c r="N414" s="1327"/>
    </row>
    <row r="415" spans="1:14" ht="12" thickBot="1">
      <c r="A415" s="1355"/>
      <c r="N415" s="1327"/>
    </row>
    <row r="416" spans="1:14" ht="12" thickBot="1">
      <c r="A416" s="1355"/>
      <c r="N416" s="1327"/>
    </row>
    <row r="417" spans="1:14" ht="12" thickBot="1">
      <c r="A417" s="1355"/>
      <c r="N417" s="1328"/>
    </row>
    <row r="418" spans="1:14" ht="12" thickBot="1">
      <c r="A418" s="1355"/>
    </row>
    <row r="419" spans="1:14" ht="12" thickBot="1">
      <c r="A419" s="1355"/>
    </row>
    <row r="420" spans="1:14">
      <c r="A420" s="1356"/>
    </row>
    <row r="518" spans="1:14" ht="12" thickBot="1">
      <c r="N518" s="1173"/>
    </row>
    <row r="519" spans="1:14" ht="12" thickBot="1">
      <c r="N519" s="1327"/>
    </row>
    <row r="520" spans="1:14" ht="12" thickBot="1">
      <c r="N520" s="1327"/>
    </row>
    <row r="521" spans="1:14" ht="12" thickBot="1">
      <c r="N521" s="1327"/>
    </row>
    <row r="522" spans="1:14" ht="12" thickBot="1">
      <c r="M522" s="1172"/>
      <c r="N522" s="1327"/>
    </row>
    <row r="523" spans="1:14" ht="12" thickBot="1">
      <c r="M523" s="1337"/>
      <c r="N523" s="1327"/>
    </row>
    <row r="524" spans="1:14" ht="12" thickBot="1">
      <c r="M524" s="1337"/>
      <c r="N524" s="1327"/>
    </row>
    <row r="525" spans="1:14" ht="12" thickBot="1">
      <c r="M525" s="1337"/>
      <c r="N525" s="1327"/>
    </row>
    <row r="526" spans="1:14" ht="12" thickBot="1">
      <c r="M526" s="1337"/>
      <c r="N526" s="1327"/>
    </row>
    <row r="527" spans="1:14" ht="12" thickBot="1">
      <c r="A527" s="1171"/>
      <c r="B527" s="1172"/>
      <c r="C527" s="1172"/>
      <c r="D527" s="1172"/>
      <c r="E527" s="1172"/>
      <c r="F527" s="1172"/>
      <c r="G527" s="1172"/>
      <c r="H527" s="1172"/>
      <c r="I527" s="1172"/>
      <c r="J527" s="1172"/>
      <c r="K527" s="1172"/>
      <c r="L527" s="1172"/>
      <c r="M527" s="1337"/>
      <c r="N527" s="1327"/>
    </row>
    <row r="528" spans="1:14" ht="12" thickBot="1">
      <c r="A528" s="1355"/>
      <c r="B528" s="1338"/>
      <c r="C528" s="1338"/>
      <c r="D528" s="1338"/>
      <c r="E528" s="1338"/>
      <c r="F528" s="1338"/>
      <c r="G528" s="1338"/>
      <c r="H528" s="1338"/>
      <c r="I528" s="1338"/>
      <c r="J528" s="1338"/>
      <c r="K528" s="1338"/>
      <c r="L528" s="1338"/>
      <c r="M528" s="1338"/>
      <c r="N528" s="1327"/>
    </row>
    <row r="529" spans="1:14" ht="12" thickBot="1">
      <c r="A529" s="1355"/>
      <c r="N529" s="1327"/>
    </row>
    <row r="530" spans="1:14" ht="12" thickBot="1">
      <c r="A530" s="1355"/>
      <c r="N530" s="1327"/>
    </row>
    <row r="531" spans="1:14" ht="12" thickBot="1">
      <c r="A531" s="1355"/>
      <c r="N531" s="1327"/>
    </row>
    <row r="532" spans="1:14" ht="12" thickBot="1">
      <c r="A532" s="1355"/>
      <c r="N532" s="1327"/>
    </row>
    <row r="533" spans="1:14" ht="12" thickBot="1">
      <c r="A533" s="1355"/>
      <c r="N533" s="1327"/>
    </row>
    <row r="534" spans="1:14" ht="12" thickBot="1">
      <c r="A534" s="1355"/>
      <c r="N534" s="1327"/>
    </row>
    <row r="535" spans="1:14">
      <c r="A535" s="1356"/>
      <c r="N535" s="1328"/>
    </row>
  </sheetData>
  <mergeCells count="73">
    <mergeCell ref="O93:O96"/>
    <mergeCell ref="C94:C96"/>
    <mergeCell ref="N93:N96"/>
    <mergeCell ref="C90:C91"/>
    <mergeCell ref="A139:A142"/>
    <mergeCell ref="N139:N142"/>
    <mergeCell ref="C141:C142"/>
    <mergeCell ref="A126:A138"/>
    <mergeCell ref="N126:N138"/>
    <mergeCell ref="C134:C138"/>
    <mergeCell ref="M134:M138"/>
    <mergeCell ref="C128:C132"/>
    <mergeCell ref="A118:A121"/>
    <mergeCell ref="M113:M117"/>
    <mergeCell ref="N97:N100"/>
    <mergeCell ref="N86:N92"/>
    <mergeCell ref="A53:A59"/>
    <mergeCell ref="N53:N59"/>
    <mergeCell ref="C55:C56"/>
    <mergeCell ref="C58:C59"/>
    <mergeCell ref="A122:A125"/>
    <mergeCell ref="N122:N125"/>
    <mergeCell ref="C124:C125"/>
    <mergeCell ref="N118:N121"/>
    <mergeCell ref="N102:N104"/>
    <mergeCell ref="N105:N109"/>
    <mergeCell ref="A93:A96"/>
    <mergeCell ref="A101:J101"/>
    <mergeCell ref="M57:M59"/>
    <mergeCell ref="C65:C66"/>
    <mergeCell ref="M64:M66"/>
    <mergeCell ref="A60:A66"/>
    <mergeCell ref="A67:A73"/>
    <mergeCell ref="C62:C63"/>
    <mergeCell ref="C120:C121"/>
    <mergeCell ref="M71:M73"/>
    <mergeCell ref="C72:C73"/>
    <mergeCell ref="A74:A84"/>
    <mergeCell ref="A97:A100"/>
    <mergeCell ref="C99:C100"/>
    <mergeCell ref="A46:A52"/>
    <mergeCell ref="A35:A45"/>
    <mergeCell ref="C37:C40"/>
    <mergeCell ref="A24:A34"/>
    <mergeCell ref="C31:C34"/>
    <mergeCell ref="C26:C29"/>
    <mergeCell ref="C42:C45"/>
    <mergeCell ref="C48:C49"/>
    <mergeCell ref="C51:C52"/>
    <mergeCell ref="A4:N4"/>
    <mergeCell ref="B5:B6"/>
    <mergeCell ref="C5:C6"/>
    <mergeCell ref="D5:D6"/>
    <mergeCell ref="N5:N6"/>
    <mergeCell ref="M5:M6"/>
    <mergeCell ref="L5:L6"/>
    <mergeCell ref="A5:A6"/>
    <mergeCell ref="F5:J5"/>
    <mergeCell ref="K5:K6"/>
    <mergeCell ref="N74:N84"/>
    <mergeCell ref="M80:M84"/>
    <mergeCell ref="C76:C79"/>
    <mergeCell ref="C81:C84"/>
    <mergeCell ref="M18:M23"/>
    <mergeCell ref="M30:M34"/>
    <mergeCell ref="N24:N34"/>
    <mergeCell ref="M41:M45"/>
    <mergeCell ref="N35:N45"/>
    <mergeCell ref="N46:N52"/>
    <mergeCell ref="M50:M52"/>
    <mergeCell ref="N67:N73"/>
    <mergeCell ref="C69:C70"/>
    <mergeCell ref="N60:N6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80" firstPageNumber="6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84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X555"/>
  <sheetViews>
    <sheetView showGridLines="0" view="pageBreakPreview" zoomScaleSheetLayoutView="100" workbookViewId="0">
      <pane xSplit="3" ySplit="7" topLeftCell="F293" activePane="bottomRight" state="frozen"/>
      <selection activeCell="F19" sqref="F19"/>
      <selection pane="topRight" activeCell="F19" sqref="F19"/>
      <selection pane="bottomLeft" activeCell="F19" sqref="F19"/>
      <selection pane="bottomRight" activeCell="B263" sqref="A263:N325"/>
    </sheetView>
  </sheetViews>
  <sheetFormatPr defaultColWidth="9.140625" defaultRowHeight="12.75"/>
  <cols>
    <col min="1" max="1" width="4.7109375" style="145" customWidth="1"/>
    <col min="2" max="2" width="61.85546875" style="146" customWidth="1"/>
    <col min="3" max="3" width="11.85546875" style="146" customWidth="1"/>
    <col min="4" max="4" width="14.5703125" style="146" customWidth="1"/>
    <col min="5" max="5" width="13.7109375" style="146" customWidth="1"/>
    <col min="6" max="10" width="11.85546875" style="146" customWidth="1"/>
    <col min="11" max="12" width="10.42578125" style="146" hidden="1" customWidth="1"/>
    <col min="13" max="13" width="12.5703125" style="146" customWidth="1"/>
    <col min="14" max="14" width="13.5703125" style="209" customWidth="1"/>
    <col min="15" max="15" width="15.140625" style="146" hidden="1" customWidth="1"/>
    <col min="16" max="16" width="16.42578125" style="146" hidden="1" customWidth="1"/>
    <col min="17" max="17" width="9.5703125" style="146" hidden="1" customWidth="1"/>
    <col min="18" max="18" width="0" style="146" hidden="1" customWidth="1"/>
    <col min="19" max="16384" width="9.140625" style="146"/>
  </cols>
  <sheetData>
    <row r="1" spans="1:76" ht="3.75" customHeight="1">
      <c r="M1" s="3"/>
      <c r="N1" s="4"/>
    </row>
    <row r="2" spans="1:76" ht="15" customHeight="1">
      <c r="B2" s="148"/>
      <c r="E2" s="149"/>
      <c r="H2" s="151"/>
      <c r="I2" s="151" t="s">
        <v>575</v>
      </c>
      <c r="J2" s="151"/>
      <c r="K2" s="151"/>
      <c r="L2" s="151"/>
      <c r="M2" s="3"/>
      <c r="N2" s="4"/>
    </row>
    <row r="3" spans="1:76" ht="3" customHeight="1">
      <c r="D3" s="149"/>
      <c r="E3" s="149"/>
      <c r="F3" s="149"/>
      <c r="G3" s="149"/>
      <c r="H3" s="149"/>
      <c r="I3" s="149"/>
      <c r="J3" s="149"/>
      <c r="K3" s="149"/>
      <c r="L3" s="149"/>
      <c r="M3" s="3"/>
      <c r="N3" s="4"/>
    </row>
    <row r="4" spans="1:76" s="153" customFormat="1" ht="40.5" customHeight="1" thickBot="1">
      <c r="A4" s="4368" t="s">
        <v>133</v>
      </c>
      <c r="B4" s="4368"/>
      <c r="C4" s="4368"/>
      <c r="D4" s="4368"/>
      <c r="E4" s="4368"/>
      <c r="F4" s="4368"/>
      <c r="G4" s="4368"/>
      <c r="H4" s="4368"/>
      <c r="I4" s="4368"/>
      <c r="J4" s="4368"/>
      <c r="K4" s="4368"/>
      <c r="L4" s="4368"/>
      <c r="M4" s="4368"/>
      <c r="N4" s="4368"/>
    </row>
    <row r="5" spans="1:76" s="155" customFormat="1" ht="55.5" customHeight="1" thickBot="1">
      <c r="A5" s="50"/>
      <c r="B5" s="4369" t="s">
        <v>64</v>
      </c>
      <c r="C5" s="3964" t="s">
        <v>60</v>
      </c>
      <c r="D5" s="4372" t="s">
        <v>104</v>
      </c>
      <c r="E5" s="1684" t="s">
        <v>208</v>
      </c>
      <c r="F5" s="3985" t="s">
        <v>447</v>
      </c>
      <c r="G5" s="3986"/>
      <c r="H5" s="3986"/>
      <c r="I5" s="3986"/>
      <c r="J5" s="3987"/>
      <c r="K5" s="4135">
        <v>2024</v>
      </c>
      <c r="L5" s="4135">
        <v>2025</v>
      </c>
      <c r="M5" s="3973" t="s">
        <v>456</v>
      </c>
      <c r="N5" s="4374" t="s">
        <v>62</v>
      </c>
      <c r="O5" s="81" t="e">
        <f>O26+O41+O74+P96+O140-#REF!-#REF!</f>
        <v>#REF!</v>
      </c>
      <c r="P5" s="81" t="e">
        <f>O8-O5</f>
        <v>#REF!</v>
      </c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</row>
    <row r="6" spans="1:76" s="155" customFormat="1" ht="14.25" customHeight="1">
      <c r="A6" s="1743"/>
      <c r="B6" s="4370"/>
      <c r="C6" s="4371"/>
      <c r="D6" s="4373"/>
      <c r="E6" s="2562" t="s">
        <v>517</v>
      </c>
      <c r="F6" s="1678" t="s">
        <v>163</v>
      </c>
      <c r="G6" s="1678" t="s">
        <v>164</v>
      </c>
      <c r="H6" s="1678" t="s">
        <v>202</v>
      </c>
      <c r="I6" s="1678" t="s">
        <v>203</v>
      </c>
      <c r="J6" s="1678" t="s">
        <v>201</v>
      </c>
      <c r="K6" s="4136"/>
      <c r="L6" s="4136"/>
      <c r="M6" s="4376"/>
      <c r="N6" s="4375"/>
      <c r="O6" s="81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</row>
    <row r="7" spans="1:76" s="155" customFormat="1" ht="12.75" customHeight="1">
      <c r="A7" s="1742">
        <v>1</v>
      </c>
      <c r="B7" s="1680">
        <v>2</v>
      </c>
      <c r="C7" s="765">
        <v>3</v>
      </c>
      <c r="D7" s="765">
        <v>4</v>
      </c>
      <c r="E7" s="765">
        <v>5</v>
      </c>
      <c r="F7" s="492">
        <v>6</v>
      </c>
      <c r="G7" s="492">
        <v>7</v>
      </c>
      <c r="H7" s="492">
        <v>8</v>
      </c>
      <c r="I7" s="492">
        <v>9</v>
      </c>
      <c r="J7" s="492">
        <v>10</v>
      </c>
      <c r="K7" s="492"/>
      <c r="L7" s="492"/>
      <c r="M7" s="828">
        <v>11</v>
      </c>
      <c r="N7" s="829">
        <v>12</v>
      </c>
      <c r="O7" s="155" t="s">
        <v>196</v>
      </c>
    </row>
    <row r="8" spans="1:76" s="820" customFormat="1" ht="16.5" customHeight="1">
      <c r="A8" s="91"/>
      <c r="B8" s="229" t="s">
        <v>65</v>
      </c>
      <c r="C8" s="1681"/>
      <c r="D8" s="219">
        <f>+D9+D10</f>
        <v>450253030</v>
      </c>
      <c r="E8" s="219">
        <f t="shared" ref="E8" si="0">+E9+E10</f>
        <v>87312015</v>
      </c>
      <c r="F8" s="114">
        <f t="shared" ref="F8:M8" si="1">+F9+F10</f>
        <v>43907390</v>
      </c>
      <c r="G8" s="114">
        <f t="shared" si="1"/>
        <v>87547803</v>
      </c>
      <c r="H8" s="114">
        <f t="shared" si="1"/>
        <v>131436282</v>
      </c>
      <c r="I8" s="114">
        <f t="shared" si="1"/>
        <v>81350522</v>
      </c>
      <c r="J8" s="114">
        <f t="shared" si="1"/>
        <v>18699018</v>
      </c>
      <c r="K8" s="219">
        <f>+K9+K10</f>
        <v>0</v>
      </c>
      <c r="L8" s="219">
        <f>+L9+L10</f>
        <v>0</v>
      </c>
      <c r="M8" s="52">
        <f t="shared" si="1"/>
        <v>362941015</v>
      </c>
      <c r="N8" s="13"/>
      <c r="O8" s="156"/>
      <c r="P8" s="156"/>
    </row>
    <row r="9" spans="1:76" s="820" customFormat="1">
      <c r="A9" s="91"/>
      <c r="B9" s="106" t="s">
        <v>66</v>
      </c>
      <c r="C9" s="234"/>
      <c r="D9" s="108">
        <f t="shared" ref="D9:J9" si="2">+D26+D74+D96-D104+D158+D188+D215-D219+D41</f>
        <v>237568396</v>
      </c>
      <c r="E9" s="108">
        <f t="shared" si="2"/>
        <v>83580030</v>
      </c>
      <c r="F9" s="108">
        <f t="shared" si="2"/>
        <v>34513103</v>
      </c>
      <c r="G9" s="108">
        <f t="shared" si="2"/>
        <v>38387221</v>
      </c>
      <c r="H9" s="108">
        <f t="shared" si="2"/>
        <v>36620297</v>
      </c>
      <c r="I9" s="108">
        <f t="shared" si="2"/>
        <v>25914768</v>
      </c>
      <c r="J9" s="108">
        <f t="shared" si="2"/>
        <v>18552977</v>
      </c>
      <c r="K9" s="108">
        <f>+K26+K74+K96-K104+K158+K188+K215-K219+K41</f>
        <v>0</v>
      </c>
      <c r="L9" s="108">
        <f>+L26+L74+L96-L104+L158+L188+L215-L219+L41</f>
        <v>0</v>
      </c>
      <c r="M9" s="305">
        <f>+M26+M74+M96+M158+M188+M215+M41</f>
        <v>153988366</v>
      </c>
      <c r="N9" s="13"/>
      <c r="O9" s="156"/>
      <c r="P9" s="156"/>
    </row>
    <row r="10" spans="1:76" s="820" customFormat="1" ht="13.5" thickBot="1">
      <c r="A10" s="91"/>
      <c r="B10" s="109" t="s">
        <v>8</v>
      </c>
      <c r="C10" s="110"/>
      <c r="D10" s="111">
        <f>D62+D85+D121-D123+D172+D199+D228</f>
        <v>212684634</v>
      </c>
      <c r="E10" s="111">
        <f t="shared" ref="E10:J10" si="3">E62+E85+E121-E123+E172+E199+E228</f>
        <v>3731985</v>
      </c>
      <c r="F10" s="111">
        <f t="shared" si="3"/>
        <v>9394287</v>
      </c>
      <c r="G10" s="111">
        <f t="shared" si="3"/>
        <v>49160582</v>
      </c>
      <c r="H10" s="111">
        <f t="shared" si="3"/>
        <v>94815985</v>
      </c>
      <c r="I10" s="111">
        <f t="shared" si="3"/>
        <v>55435754</v>
      </c>
      <c r="J10" s="111">
        <f t="shared" si="3"/>
        <v>146041</v>
      </c>
      <c r="K10" s="111">
        <f>K62+K85+K121-K123+K172+K199+K228</f>
        <v>0</v>
      </c>
      <c r="L10" s="111">
        <f>L62+L85+L121-L123+L172+L199+L228</f>
        <v>0</v>
      </c>
      <c r="M10" s="14">
        <f>+M62+M85+M121+M172+M199+M228</f>
        <v>208952649</v>
      </c>
      <c r="N10" s="13"/>
      <c r="O10" s="156"/>
    </row>
    <row r="11" spans="1:76" s="159" customFormat="1" ht="13.5" customHeight="1">
      <c r="A11" s="55"/>
      <c r="B11" s="56" t="s">
        <v>9</v>
      </c>
      <c r="C11" s="57"/>
      <c r="D11" s="58">
        <f>+D12+D17</f>
        <v>451404254</v>
      </c>
      <c r="E11" s="58">
        <f t="shared" ref="E11" si="4">+E12+E17</f>
        <v>88066959</v>
      </c>
      <c r="F11" s="58">
        <f t="shared" ref="F11:J11" si="5">+F12+F17</f>
        <v>44001658</v>
      </c>
      <c r="G11" s="58">
        <f t="shared" si="5"/>
        <v>87631803</v>
      </c>
      <c r="H11" s="58">
        <f t="shared" si="5"/>
        <v>131513082</v>
      </c>
      <c r="I11" s="58">
        <f t="shared" si="5"/>
        <v>81427322</v>
      </c>
      <c r="J11" s="58">
        <f t="shared" si="5"/>
        <v>18763430</v>
      </c>
      <c r="K11" s="58">
        <f>+K12+K17</f>
        <v>0</v>
      </c>
      <c r="L11" s="58">
        <f>+L12+L17</f>
        <v>0</v>
      </c>
      <c r="M11" s="92">
        <f>+M12+M17</f>
        <v>362941015</v>
      </c>
      <c r="N11" s="53"/>
      <c r="O11" s="156"/>
      <c r="P11" s="158"/>
    </row>
    <row r="12" spans="1:76" s="164" customFormat="1" ht="13.5" customHeight="1">
      <c r="A12" s="51"/>
      <c r="B12" s="59" t="s">
        <v>10</v>
      </c>
      <c r="C12" s="60"/>
      <c r="D12" s="160">
        <f>+D13+D14+D15+D16</f>
        <v>96751735</v>
      </c>
      <c r="E12" s="160">
        <f t="shared" ref="E12" si="6">+E13+E14+E15+E16</f>
        <v>15732779</v>
      </c>
      <c r="F12" s="160">
        <f t="shared" ref="F12:J12" si="7">+F13+F14+F15+F16</f>
        <v>9510638</v>
      </c>
      <c r="G12" s="160">
        <f t="shared" si="7"/>
        <v>26999552</v>
      </c>
      <c r="H12" s="160">
        <f t="shared" si="7"/>
        <v>31100745</v>
      </c>
      <c r="I12" s="160">
        <f t="shared" si="7"/>
        <v>11517871</v>
      </c>
      <c r="J12" s="160">
        <f t="shared" si="7"/>
        <v>1890150</v>
      </c>
      <c r="K12" s="160">
        <f>+K13+K14+K15+K16</f>
        <v>0</v>
      </c>
      <c r="L12" s="160">
        <f>+L13+L14+L15+L16</f>
        <v>0</v>
      </c>
      <c r="M12" s="161">
        <f>+M13+M14+M15+M16</f>
        <v>80622676</v>
      </c>
      <c r="N12" s="162"/>
      <c r="O12" s="156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</row>
    <row r="13" spans="1:76" s="167" customFormat="1">
      <c r="A13" s="61"/>
      <c r="B13" s="62" t="s">
        <v>11</v>
      </c>
      <c r="C13" s="63"/>
      <c r="D13" s="165">
        <f t="shared" ref="D13:J13" si="8">+D98+D142+D217+D28+D43+D64</f>
        <v>94161145</v>
      </c>
      <c r="E13" s="165">
        <f t="shared" si="8"/>
        <v>14062011</v>
      </c>
      <c r="F13" s="165">
        <f t="shared" si="8"/>
        <v>9129303</v>
      </c>
      <c r="G13" s="165">
        <f t="shared" si="8"/>
        <v>26679077</v>
      </c>
      <c r="H13" s="165">
        <f t="shared" si="8"/>
        <v>31023945</v>
      </c>
      <c r="I13" s="165">
        <f t="shared" si="8"/>
        <v>11441071</v>
      </c>
      <c r="J13" s="165">
        <f t="shared" si="8"/>
        <v>1825738</v>
      </c>
      <c r="K13" s="165">
        <f>+K98+K142+K217+K28+K43+K64</f>
        <v>0</v>
      </c>
      <c r="L13" s="165">
        <f>+L98+L142+L217+L28+L43+L64</f>
        <v>0</v>
      </c>
      <c r="M13" s="166">
        <f>SUM(F13:J13)</f>
        <v>80099134</v>
      </c>
      <c r="N13" s="53"/>
      <c r="O13" s="156"/>
      <c r="P13" s="167" t="s">
        <v>228</v>
      </c>
    </row>
    <row r="14" spans="1:76" s="167" customFormat="1">
      <c r="A14" s="61"/>
      <c r="B14" s="168" t="s">
        <v>12</v>
      </c>
      <c r="C14" s="169"/>
      <c r="D14" s="165">
        <f t="shared" ref="D14:J14" si="9">+D65+D76+D87+D218+D230+D47</f>
        <v>1439366</v>
      </c>
      <c r="E14" s="165">
        <f t="shared" si="9"/>
        <v>915824</v>
      </c>
      <c r="F14" s="165">
        <f t="shared" si="9"/>
        <v>287067</v>
      </c>
      <c r="G14" s="165">
        <f t="shared" si="9"/>
        <v>236475</v>
      </c>
      <c r="H14" s="2582">
        <f t="shared" si="9"/>
        <v>0</v>
      </c>
      <c r="I14" s="2582">
        <f t="shared" si="9"/>
        <v>0</v>
      </c>
      <c r="J14" s="2582">
        <f t="shared" si="9"/>
        <v>0</v>
      </c>
      <c r="K14" s="165">
        <f>+K65+K76+K87+K218+K230+K47</f>
        <v>0</v>
      </c>
      <c r="L14" s="165">
        <f>+L65+L76+L87+L218+L230+L47</f>
        <v>0</v>
      </c>
      <c r="M14" s="166">
        <f>SUM(F14:J14)</f>
        <v>523542</v>
      </c>
      <c r="N14" s="53"/>
      <c r="O14" s="156"/>
    </row>
    <row r="15" spans="1:76" s="167" customFormat="1" ht="15" hidden="1" customHeight="1">
      <c r="A15" s="61"/>
      <c r="B15" s="168" t="s">
        <v>15</v>
      </c>
      <c r="C15" s="169"/>
      <c r="D15" s="170">
        <f>+D143</f>
        <v>0</v>
      </c>
      <c r="E15" s="170">
        <f t="shared" ref="E15:J15" si="10">+E143</f>
        <v>0</v>
      </c>
      <c r="F15" s="170">
        <f t="shared" si="10"/>
        <v>0</v>
      </c>
      <c r="G15" s="170">
        <f t="shared" si="10"/>
        <v>0</v>
      </c>
      <c r="H15" s="170">
        <f t="shared" si="10"/>
        <v>0</v>
      </c>
      <c r="I15" s="170">
        <f t="shared" si="10"/>
        <v>0</v>
      </c>
      <c r="J15" s="170">
        <f t="shared" si="10"/>
        <v>0</v>
      </c>
      <c r="K15" s="170">
        <f>+K143</f>
        <v>0</v>
      </c>
      <c r="L15" s="170">
        <f>+L143</f>
        <v>0</v>
      </c>
      <c r="M15" s="166">
        <f>SUM(F15:J15)</f>
        <v>0</v>
      </c>
      <c r="N15" s="53"/>
      <c r="O15" s="156"/>
    </row>
    <row r="16" spans="1:76" s="167" customFormat="1" ht="12" customHeight="1">
      <c r="A16" s="61"/>
      <c r="B16" s="168" t="s">
        <v>29</v>
      </c>
      <c r="C16" s="169"/>
      <c r="D16" s="170">
        <f t="shared" ref="D16:J16" si="11">D104+D123+D219</f>
        <v>1151224</v>
      </c>
      <c r="E16" s="170">
        <f t="shared" si="11"/>
        <v>754944</v>
      </c>
      <c r="F16" s="170">
        <f t="shared" si="11"/>
        <v>94268</v>
      </c>
      <c r="G16" s="170">
        <f t="shared" si="11"/>
        <v>84000</v>
      </c>
      <c r="H16" s="170">
        <f t="shared" si="11"/>
        <v>76800</v>
      </c>
      <c r="I16" s="170">
        <f t="shared" si="11"/>
        <v>76800</v>
      </c>
      <c r="J16" s="170">
        <f t="shared" si="11"/>
        <v>64412</v>
      </c>
      <c r="K16" s="170">
        <f>K104+K123+K219</f>
        <v>0</v>
      </c>
      <c r="L16" s="170">
        <f>L104+L123+L219</f>
        <v>0</v>
      </c>
      <c r="M16" s="171">
        <f>M104+M123</f>
        <v>0</v>
      </c>
      <c r="N16" s="53"/>
      <c r="O16" s="156">
        <f>D11-D8</f>
        <v>1151224</v>
      </c>
    </row>
    <row r="17" spans="1:26" s="164" customFormat="1">
      <c r="A17" s="51"/>
      <c r="B17" s="64" t="s">
        <v>17</v>
      </c>
      <c r="C17" s="65"/>
      <c r="D17" s="66">
        <f>SUM(D18)</f>
        <v>354652519</v>
      </c>
      <c r="E17" s="66">
        <f t="shared" ref="E17" si="12">SUM(E18)</f>
        <v>72334180</v>
      </c>
      <c r="F17" s="66">
        <f t="shared" ref="F17:M17" si="13">SUM(F18)</f>
        <v>34491020</v>
      </c>
      <c r="G17" s="66">
        <f t="shared" si="13"/>
        <v>60632251</v>
      </c>
      <c r="H17" s="66">
        <f t="shared" si="13"/>
        <v>100412337</v>
      </c>
      <c r="I17" s="66">
        <f t="shared" si="13"/>
        <v>69909451</v>
      </c>
      <c r="J17" s="66">
        <f t="shared" si="13"/>
        <v>16873280</v>
      </c>
      <c r="K17" s="66">
        <f>SUM(K18)</f>
        <v>0</v>
      </c>
      <c r="L17" s="66">
        <f>SUM(L18)</f>
        <v>0</v>
      </c>
      <c r="M17" s="161">
        <f t="shared" si="13"/>
        <v>282318339</v>
      </c>
      <c r="N17" s="162"/>
      <c r="O17" s="156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</row>
    <row r="18" spans="1:26" s="176" customFormat="1">
      <c r="A18" s="67"/>
      <c r="B18" s="172" t="s">
        <v>19</v>
      </c>
      <c r="C18" s="173"/>
      <c r="D18" s="165">
        <f t="shared" ref="D18:J18" si="14">+D33+D67+D78+D89+D108+D127+D145+D221+D232+D52</f>
        <v>354652519</v>
      </c>
      <c r="E18" s="165">
        <f t="shared" si="14"/>
        <v>72334180</v>
      </c>
      <c r="F18" s="165">
        <f t="shared" si="14"/>
        <v>34491020</v>
      </c>
      <c r="G18" s="165">
        <f t="shared" si="14"/>
        <v>60632251</v>
      </c>
      <c r="H18" s="165">
        <f t="shared" si="14"/>
        <v>100412337</v>
      </c>
      <c r="I18" s="165">
        <f t="shared" si="14"/>
        <v>69909451</v>
      </c>
      <c r="J18" s="165">
        <f t="shared" si="14"/>
        <v>16873280</v>
      </c>
      <c r="K18" s="165">
        <f>+K33+K67+K78+K89+K108+K127+K145+K221+K232+K52</f>
        <v>0</v>
      </c>
      <c r="L18" s="165">
        <f>+L33+L67+L78+L89+L108+L127+L145+L221+L232+L52</f>
        <v>0</v>
      </c>
      <c r="M18" s="166">
        <f>SUM(F18:J18)</f>
        <v>282318339</v>
      </c>
      <c r="N18" s="174"/>
      <c r="O18" s="156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</row>
    <row r="19" spans="1:26" s="176" customFormat="1" ht="12.75" customHeight="1">
      <c r="A19" s="67"/>
      <c r="B19" s="35" t="s">
        <v>20</v>
      </c>
      <c r="C19" s="222"/>
      <c r="D19" s="223">
        <f>+D20+D23</f>
        <v>356091885</v>
      </c>
      <c r="E19" s="223">
        <f t="shared" ref="E19" si="15">+E20+E23</f>
        <v>68555280</v>
      </c>
      <c r="F19" s="223">
        <f t="shared" ref="F19:J19" si="16">+F20+F23</f>
        <v>32954821</v>
      </c>
      <c r="G19" s="223">
        <f t="shared" si="16"/>
        <v>54639570</v>
      </c>
      <c r="H19" s="223">
        <f t="shared" si="16"/>
        <v>89051767</v>
      </c>
      <c r="I19" s="223">
        <f t="shared" si="16"/>
        <v>70769409</v>
      </c>
      <c r="J19" s="223">
        <f t="shared" si="16"/>
        <v>25726722</v>
      </c>
      <c r="K19" s="223">
        <f>+K20+K23</f>
        <v>0</v>
      </c>
      <c r="L19" s="223">
        <f>+L20+L23</f>
        <v>0</v>
      </c>
      <c r="M19" s="4325" t="s">
        <v>51</v>
      </c>
      <c r="N19" s="53"/>
      <c r="O19" s="180">
        <f>D79+D90+D117+D136+D149+D222+D56+D37+D68+D233</f>
        <v>356091885</v>
      </c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s="164" customFormat="1" ht="12" customHeight="1">
      <c r="A20" s="51"/>
      <c r="B20" s="59" t="s">
        <v>10</v>
      </c>
      <c r="C20" s="60"/>
      <c r="D20" s="160">
        <f>+D21+D22</f>
        <v>1439366</v>
      </c>
      <c r="E20" s="160">
        <f t="shared" ref="E20" si="17">+E21+E22</f>
        <v>856220</v>
      </c>
      <c r="F20" s="160">
        <f t="shared" ref="F20:J20" si="18">+F21+F22</f>
        <v>331410</v>
      </c>
      <c r="G20" s="160">
        <f t="shared" si="18"/>
        <v>236998</v>
      </c>
      <c r="H20" s="160">
        <f t="shared" si="18"/>
        <v>14738</v>
      </c>
      <c r="I20" s="2583">
        <f t="shared" si="18"/>
        <v>0</v>
      </c>
      <c r="J20" s="2583">
        <f t="shared" si="18"/>
        <v>0</v>
      </c>
      <c r="K20" s="160">
        <f>+K21+K22</f>
        <v>0</v>
      </c>
      <c r="L20" s="160">
        <f>+L21+L22</f>
        <v>0</v>
      </c>
      <c r="M20" s="4249"/>
      <c r="N20" s="162"/>
      <c r="O20" s="180">
        <f>D19-'[2]Tab. 6E - Administracja'!$D$20</f>
        <v>84348185</v>
      </c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</row>
    <row r="21" spans="1:26" s="176" customFormat="1" ht="12">
      <c r="A21" s="67"/>
      <c r="B21" s="168" t="s">
        <v>12</v>
      </c>
      <c r="C21" s="177"/>
      <c r="D21" s="165">
        <f t="shared" ref="D21:J21" si="19">+D70+D81+D224+D235+D92+D58</f>
        <v>1439366</v>
      </c>
      <c r="E21" s="165">
        <f t="shared" si="19"/>
        <v>856220</v>
      </c>
      <c r="F21" s="165">
        <f t="shared" si="19"/>
        <v>331410</v>
      </c>
      <c r="G21" s="165">
        <f t="shared" si="19"/>
        <v>236998</v>
      </c>
      <c r="H21" s="165">
        <f t="shared" si="19"/>
        <v>14738</v>
      </c>
      <c r="I21" s="2582">
        <f t="shared" si="19"/>
        <v>0</v>
      </c>
      <c r="J21" s="2582">
        <f t="shared" si="19"/>
        <v>0</v>
      </c>
      <c r="K21" s="165">
        <f>+K70+K81+K224+K235+K92+K58</f>
        <v>0</v>
      </c>
      <c r="L21" s="165">
        <f>+L70+L81+L224+L235+L92+L58</f>
        <v>0</v>
      </c>
      <c r="M21" s="4249"/>
      <c r="N21" s="174"/>
      <c r="O21" s="180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spans="1:26" s="176" customFormat="1" ht="12" hidden="1" customHeight="1">
      <c r="A22" s="67"/>
      <c r="B22" s="168" t="s">
        <v>15</v>
      </c>
      <c r="C22" s="177"/>
      <c r="D22" s="170">
        <f>+D151</f>
        <v>0</v>
      </c>
      <c r="E22" s="170">
        <f>+E151</f>
        <v>0</v>
      </c>
      <c r="F22" s="170">
        <f t="shared" ref="F22:J22" si="20">+F151</f>
        <v>0</v>
      </c>
      <c r="G22" s="170">
        <f t="shared" si="20"/>
        <v>0</v>
      </c>
      <c r="H22" s="170">
        <f t="shared" si="20"/>
        <v>0</v>
      </c>
      <c r="I22" s="170">
        <f t="shared" si="20"/>
        <v>0</v>
      </c>
      <c r="J22" s="170">
        <f t="shared" si="20"/>
        <v>0</v>
      </c>
      <c r="K22" s="170">
        <f>+K151</f>
        <v>0</v>
      </c>
      <c r="L22" s="170">
        <f>+L151</f>
        <v>0</v>
      </c>
      <c r="M22" s="4249"/>
      <c r="N22" s="174"/>
      <c r="O22" s="180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s="164" customFormat="1" ht="12" customHeight="1">
      <c r="A23" s="51"/>
      <c r="B23" s="64" t="s">
        <v>17</v>
      </c>
      <c r="C23" s="65"/>
      <c r="D23" s="66">
        <f>+D24</f>
        <v>354652519</v>
      </c>
      <c r="E23" s="66">
        <f t="shared" ref="E23" si="21">+E24</f>
        <v>67699060</v>
      </c>
      <c r="F23" s="66">
        <f t="shared" ref="F23:J23" si="22">+F24</f>
        <v>32623411</v>
      </c>
      <c r="G23" s="66">
        <f t="shared" si="22"/>
        <v>54402572</v>
      </c>
      <c r="H23" s="66">
        <f t="shared" si="22"/>
        <v>89037029</v>
      </c>
      <c r="I23" s="66">
        <f t="shared" si="22"/>
        <v>70769409</v>
      </c>
      <c r="J23" s="66">
        <f t="shared" si="22"/>
        <v>25726722</v>
      </c>
      <c r="K23" s="66">
        <f>+K24</f>
        <v>0</v>
      </c>
      <c r="L23" s="66">
        <f>+L24</f>
        <v>0</v>
      </c>
      <c r="M23" s="4249"/>
      <c r="N23" s="162"/>
      <c r="O23" s="180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</row>
    <row r="24" spans="1:26" s="176" customFormat="1" ht="12" customHeight="1" thickBot="1">
      <c r="A24" s="68"/>
      <c r="B24" s="178" t="s">
        <v>19</v>
      </c>
      <c r="C24" s="69"/>
      <c r="D24" s="70">
        <f t="shared" ref="D24:J24" si="23">+D39+D72+D83+D94+D119+D138+D153+D226+D237+D60</f>
        <v>354652519</v>
      </c>
      <c r="E24" s="70">
        <f t="shared" si="23"/>
        <v>67699060</v>
      </c>
      <c r="F24" s="70">
        <f t="shared" si="23"/>
        <v>32623411</v>
      </c>
      <c r="G24" s="70">
        <f t="shared" si="23"/>
        <v>54402572</v>
      </c>
      <c r="H24" s="70">
        <f t="shared" si="23"/>
        <v>89037029</v>
      </c>
      <c r="I24" s="70">
        <f t="shared" si="23"/>
        <v>70769409</v>
      </c>
      <c r="J24" s="70">
        <f t="shared" si="23"/>
        <v>25726722</v>
      </c>
      <c r="K24" s="70">
        <f>+K39+K72+K83+K94+K119+K138+K153+K226+K237+K60</f>
        <v>0</v>
      </c>
      <c r="L24" s="70">
        <f>+L39+L72+L83+L94+L119+L138+L153+L226+L237+L60</f>
        <v>0</v>
      </c>
      <c r="M24" s="4250"/>
      <c r="N24" s="179"/>
      <c r="O24" s="180">
        <f>D18-D24</f>
        <v>0</v>
      </c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1:26" s="175" customFormat="1" ht="25.5" customHeight="1">
      <c r="A25" s="4092" t="s">
        <v>53</v>
      </c>
      <c r="B25" s="71" t="s">
        <v>420</v>
      </c>
      <c r="C25" s="72" t="s">
        <v>97</v>
      </c>
      <c r="D25" s="88"/>
      <c r="E25" s="87"/>
      <c r="F25" s="87"/>
      <c r="G25" s="87"/>
      <c r="H25" s="87"/>
      <c r="I25" s="87"/>
      <c r="J25" s="129"/>
      <c r="K25" s="87"/>
      <c r="L25" s="87"/>
      <c r="M25" s="181"/>
      <c r="N25" s="4377" t="s">
        <v>499</v>
      </c>
      <c r="O25" s="180"/>
    </row>
    <row r="26" spans="1:26" s="175" customFormat="1" ht="14.25" customHeight="1">
      <c r="A26" s="4093"/>
      <c r="B26" s="16" t="s">
        <v>9</v>
      </c>
      <c r="C26" s="2232"/>
      <c r="D26" s="182">
        <f>+D27+D32</f>
        <v>1883280</v>
      </c>
      <c r="E26" s="182">
        <f t="shared" ref="E26" si="24">+E27+E32</f>
        <v>582350</v>
      </c>
      <c r="F26" s="182">
        <f t="shared" ref="F26:J26" si="25">+F27+F32</f>
        <v>284122</v>
      </c>
      <c r="G26" s="182">
        <f t="shared" si="25"/>
        <v>285724</v>
      </c>
      <c r="H26" s="182">
        <f t="shared" si="25"/>
        <v>280970</v>
      </c>
      <c r="I26" s="182">
        <f t="shared" si="25"/>
        <v>450114</v>
      </c>
      <c r="J26" s="2584">
        <f t="shared" si="25"/>
        <v>0</v>
      </c>
      <c r="K26" s="182">
        <f>+K27+K32</f>
        <v>0</v>
      </c>
      <c r="L26" s="182">
        <f>+L27+L32</f>
        <v>0</v>
      </c>
      <c r="M26" s="2233">
        <f>M27+M32</f>
        <v>1300930</v>
      </c>
      <c r="N26" s="4378"/>
      <c r="O26" s="156">
        <f>D26-'[2]Tab. 6E - Administracja'!$D$27</f>
        <v>-83480</v>
      </c>
    </row>
    <row r="27" spans="1:26" s="1028" customFormat="1" ht="12">
      <c r="A27" s="4093"/>
      <c r="B27" s="326" t="s">
        <v>22</v>
      </c>
      <c r="C27" s="4339" t="s">
        <v>134</v>
      </c>
      <c r="D27" s="183">
        <f>+D28</f>
        <v>69720</v>
      </c>
      <c r="E27" s="183">
        <f t="shared" ref="E27" si="26">+E28</f>
        <v>67730</v>
      </c>
      <c r="F27" s="183">
        <f t="shared" ref="F27:J27" si="27">+F28</f>
        <v>690</v>
      </c>
      <c r="G27" s="183">
        <f t="shared" si="27"/>
        <v>400</v>
      </c>
      <c r="H27" s="183">
        <f t="shared" si="27"/>
        <v>200</v>
      </c>
      <c r="I27" s="183">
        <f t="shared" si="27"/>
        <v>700</v>
      </c>
      <c r="J27" s="2585">
        <f t="shared" si="27"/>
        <v>0</v>
      </c>
      <c r="K27" s="183">
        <f>+K28</f>
        <v>0</v>
      </c>
      <c r="L27" s="183">
        <f>+L28</f>
        <v>0</v>
      </c>
      <c r="M27" s="184">
        <f>+M28</f>
        <v>1990</v>
      </c>
      <c r="N27" s="4378"/>
      <c r="O27" s="1027"/>
    </row>
    <row r="28" spans="1:26" s="1028" customFormat="1" ht="12">
      <c r="A28" s="4093"/>
      <c r="B28" s="74" t="s">
        <v>11</v>
      </c>
      <c r="C28" s="4380"/>
      <c r="D28" s="124">
        <f>E28+L28+K28+F28+G28+H28+I28+J28</f>
        <v>69720</v>
      </c>
      <c r="E28" s="693">
        <f>+E30+E31</f>
        <v>67730</v>
      </c>
      <c r="F28" s="693">
        <f t="shared" ref="F28:J28" si="28">+F30+F31</f>
        <v>690</v>
      </c>
      <c r="G28" s="693">
        <f t="shared" si="28"/>
        <v>400</v>
      </c>
      <c r="H28" s="693">
        <f t="shared" si="28"/>
        <v>200</v>
      </c>
      <c r="I28" s="693">
        <f t="shared" si="28"/>
        <v>700</v>
      </c>
      <c r="J28" s="2586">
        <f t="shared" si="28"/>
        <v>0</v>
      </c>
      <c r="K28" s="693">
        <f>+K30+K31</f>
        <v>0</v>
      </c>
      <c r="L28" s="693">
        <f>300-300</f>
        <v>0</v>
      </c>
      <c r="M28" s="359">
        <f>SUM(F28:J28)</f>
        <v>1990</v>
      </c>
      <c r="N28" s="4378"/>
      <c r="O28" s="1029"/>
    </row>
    <row r="29" spans="1:26" s="1028" customFormat="1" ht="12" hidden="1">
      <c r="A29" s="4093"/>
      <c r="B29" s="2234" t="s">
        <v>296</v>
      </c>
      <c r="C29" s="4380"/>
      <c r="D29" s="766"/>
      <c r="E29" s="770"/>
      <c r="F29" s="770"/>
      <c r="G29" s="770"/>
      <c r="H29" s="770"/>
      <c r="I29" s="770"/>
      <c r="J29" s="2587"/>
      <c r="K29" s="770"/>
      <c r="L29" s="770"/>
      <c r="M29" s="772"/>
      <c r="N29" s="4378"/>
      <c r="O29" s="1029"/>
    </row>
    <row r="30" spans="1:26" s="1028" customFormat="1" ht="12" hidden="1">
      <c r="A30" s="4093"/>
      <c r="B30" s="2235" t="s">
        <v>237</v>
      </c>
      <c r="C30" s="4380"/>
      <c r="D30" s="766">
        <f>+E30+K30+F30+G30+H30+I30+J30</f>
        <v>67720</v>
      </c>
      <c r="E30" s="770">
        <f>62821+4899</f>
        <v>67720</v>
      </c>
      <c r="F30" s="770"/>
      <c r="G30" s="770"/>
      <c r="H30" s="770"/>
      <c r="I30" s="770"/>
      <c r="J30" s="2587"/>
      <c r="K30" s="770"/>
      <c r="L30" s="770"/>
      <c r="M30" s="772"/>
      <c r="N30" s="4378"/>
      <c r="O30" s="1029"/>
    </row>
    <row r="31" spans="1:26" s="1028" customFormat="1" ht="12" hidden="1">
      <c r="A31" s="4093"/>
      <c r="B31" s="2235" t="s">
        <v>495</v>
      </c>
      <c r="C31" s="4380"/>
      <c r="D31" s="766">
        <f>+E31+K31+F31+G31+H31+I31</f>
        <v>2000</v>
      </c>
      <c r="E31" s="693">
        <v>10</v>
      </c>
      <c r="F31" s="693">
        <f>400+290</f>
        <v>690</v>
      </c>
      <c r="G31" s="693">
        <v>400</v>
      </c>
      <c r="H31" s="693">
        <v>200</v>
      </c>
      <c r="I31" s="693">
        <f>200+500</f>
        <v>700</v>
      </c>
      <c r="J31" s="2587"/>
      <c r="K31" s="693">
        <f>400+90+300-500-290</f>
        <v>0</v>
      </c>
      <c r="L31" s="770"/>
      <c r="M31" s="772"/>
      <c r="N31" s="4378"/>
      <c r="O31" s="1029"/>
    </row>
    <row r="32" spans="1:26" s="175" customFormat="1" ht="12" customHeight="1">
      <c r="A32" s="4093"/>
      <c r="B32" s="355" t="s">
        <v>17</v>
      </c>
      <c r="C32" s="4225"/>
      <c r="D32" s="185">
        <f>+D33</f>
        <v>1813560</v>
      </c>
      <c r="E32" s="185">
        <f t="shared" ref="E32:J32" si="29">E33</f>
        <v>514620</v>
      </c>
      <c r="F32" s="185">
        <f t="shared" si="29"/>
        <v>283432</v>
      </c>
      <c r="G32" s="185">
        <f t="shared" si="29"/>
        <v>285324</v>
      </c>
      <c r="H32" s="185">
        <f t="shared" si="29"/>
        <v>280770</v>
      </c>
      <c r="I32" s="185">
        <f t="shared" si="29"/>
        <v>449414</v>
      </c>
      <c r="J32" s="2588">
        <f t="shared" si="29"/>
        <v>0</v>
      </c>
      <c r="K32" s="185">
        <f>K33</f>
        <v>0</v>
      </c>
      <c r="L32" s="185">
        <f>L33</f>
        <v>0</v>
      </c>
      <c r="M32" s="184">
        <f>+M33</f>
        <v>1298940</v>
      </c>
      <c r="N32" s="4378"/>
      <c r="O32" s="180"/>
      <c r="P32" s="180"/>
    </row>
    <row r="33" spans="1:15" s="820" customFormat="1">
      <c r="A33" s="4093"/>
      <c r="B33" s="694" t="s">
        <v>19</v>
      </c>
      <c r="C33" s="4226"/>
      <c r="D33" s="124">
        <f>E33+L33+K33+F33+G33+H33+I33+J33</f>
        <v>1813560</v>
      </c>
      <c r="E33" s="693">
        <f>+E35+E36</f>
        <v>514620</v>
      </c>
      <c r="F33" s="124">
        <f t="shared" ref="F33:J33" si="30">SUM(F35:F36)</f>
        <v>283432</v>
      </c>
      <c r="G33" s="124">
        <f t="shared" si="30"/>
        <v>285324</v>
      </c>
      <c r="H33" s="124">
        <f t="shared" si="30"/>
        <v>280770</v>
      </c>
      <c r="I33" s="124">
        <f t="shared" si="30"/>
        <v>449414</v>
      </c>
      <c r="J33" s="2589">
        <f t="shared" si="30"/>
        <v>0</v>
      </c>
      <c r="K33" s="124">
        <f>SUM(K35:K36)</f>
        <v>0</v>
      </c>
      <c r="L33" s="124">
        <f>SUM(L35:L36)</f>
        <v>0</v>
      </c>
      <c r="M33" s="359">
        <f>SUM(F33:J33)</f>
        <v>1298940</v>
      </c>
      <c r="N33" s="4378"/>
      <c r="O33" s="156"/>
    </row>
    <row r="34" spans="1:15" s="820" customFormat="1" hidden="1">
      <c r="A34" s="4093"/>
      <c r="B34" s="2234" t="s">
        <v>296</v>
      </c>
      <c r="C34" s="2824"/>
      <c r="D34" s="468"/>
      <c r="E34" s="2237"/>
      <c r="F34" s="2237"/>
      <c r="G34" s="2237"/>
      <c r="H34" s="2237"/>
      <c r="I34" s="2237"/>
      <c r="J34" s="2237"/>
      <c r="K34" s="2237"/>
      <c r="L34" s="2237"/>
      <c r="M34" s="2238"/>
      <c r="N34" s="4378"/>
      <c r="O34" s="156"/>
    </row>
    <row r="35" spans="1:15" s="820" customFormat="1" hidden="1">
      <c r="A35" s="4093"/>
      <c r="B35" s="2235" t="s">
        <v>237</v>
      </c>
      <c r="C35" s="3600"/>
      <c r="D35" s="483">
        <f>SUM(E35:I35)</f>
        <v>1719656</v>
      </c>
      <c r="E35" s="2239">
        <f>187905+180138-62821+180704</f>
        <v>485926</v>
      </c>
      <c r="F35" s="2239">
        <f>268800-10744</f>
        <v>258056</v>
      </c>
      <c r="G35" s="2239">
        <v>268800</v>
      </c>
      <c r="H35" s="2239">
        <v>268800</v>
      </c>
      <c r="I35" s="2239">
        <f>268800+80895+68800+74305-54726</f>
        <v>438074</v>
      </c>
      <c r="J35" s="2239"/>
      <c r="K35" s="2239"/>
      <c r="L35" s="2239"/>
      <c r="M35" s="2240">
        <f>SUM(F35:J35)</f>
        <v>1233730</v>
      </c>
      <c r="N35" s="4378"/>
      <c r="O35" s="156"/>
    </row>
    <row r="36" spans="1:15" s="820" customFormat="1" hidden="1">
      <c r="A36" s="4093"/>
      <c r="B36" s="2235" t="s">
        <v>495</v>
      </c>
      <c r="C36" s="3600"/>
      <c r="D36" s="468">
        <f>+E36+L36+K36+F36+G36+H36+I36</f>
        <v>93904</v>
      </c>
      <c r="E36" s="2241">
        <f>4517+10144+14033</f>
        <v>28694</v>
      </c>
      <c r="F36" s="2241">
        <f>11970+2662+10744</f>
        <v>25376</v>
      </c>
      <c r="G36" s="2241">
        <f>11970+4554</f>
        <v>16524</v>
      </c>
      <c r="H36" s="2241">
        <v>11970</v>
      </c>
      <c r="I36" s="2241">
        <v>11340</v>
      </c>
      <c r="J36" s="2241"/>
      <c r="K36" s="2241"/>
      <c r="L36" s="2241"/>
      <c r="M36" s="2242">
        <f>SUM(F36:J36)</f>
        <v>65210</v>
      </c>
      <c r="N36" s="4378"/>
      <c r="O36" s="156"/>
    </row>
    <row r="37" spans="1:15" s="820" customFormat="1" ht="12.75" customHeight="1">
      <c r="A37" s="4348"/>
      <c r="B37" s="16" t="s">
        <v>20</v>
      </c>
      <c r="C37" s="76"/>
      <c r="D37" s="182">
        <f>+D38</f>
        <v>1813560</v>
      </c>
      <c r="E37" s="182">
        <f t="shared" ref="E37:J37" si="31">+E38</f>
        <v>425054</v>
      </c>
      <c r="F37" s="182">
        <f t="shared" si="31"/>
        <v>228812</v>
      </c>
      <c r="G37" s="182">
        <f t="shared" si="31"/>
        <v>284378</v>
      </c>
      <c r="H37" s="182">
        <f t="shared" si="31"/>
        <v>283047</v>
      </c>
      <c r="I37" s="182">
        <f t="shared" si="31"/>
        <v>365092</v>
      </c>
      <c r="J37" s="182">
        <f t="shared" si="31"/>
        <v>227177</v>
      </c>
      <c r="K37" s="182">
        <f>+K38</f>
        <v>0</v>
      </c>
      <c r="L37" s="182">
        <f>+L38</f>
        <v>0</v>
      </c>
      <c r="M37" s="4326" t="s">
        <v>51</v>
      </c>
      <c r="N37" s="4378"/>
      <c r="O37" s="156">
        <f>D37-'[2]Tab. 6E - Administracja'!$D$35</f>
        <v>-151200</v>
      </c>
    </row>
    <row r="38" spans="1:15" s="820" customFormat="1" ht="12.75" customHeight="1">
      <c r="A38" s="4348"/>
      <c r="B38" s="1104" t="s">
        <v>17</v>
      </c>
      <c r="C38" s="4225" t="s">
        <v>134</v>
      </c>
      <c r="D38" s="185">
        <f>+D39</f>
        <v>1813560</v>
      </c>
      <c r="E38" s="185">
        <f t="shared" ref="E38:J38" si="32">E39</f>
        <v>425054</v>
      </c>
      <c r="F38" s="185">
        <f t="shared" si="32"/>
        <v>228812</v>
      </c>
      <c r="G38" s="185">
        <f t="shared" si="32"/>
        <v>284378</v>
      </c>
      <c r="H38" s="185">
        <f t="shared" si="32"/>
        <v>283047</v>
      </c>
      <c r="I38" s="185">
        <f t="shared" si="32"/>
        <v>365092</v>
      </c>
      <c r="J38" s="185">
        <f t="shared" si="32"/>
        <v>227177</v>
      </c>
      <c r="K38" s="185">
        <f>K39</f>
        <v>0</v>
      </c>
      <c r="L38" s="185">
        <f>L39</f>
        <v>0</v>
      </c>
      <c r="M38" s="4251"/>
      <c r="N38" s="4378"/>
    </row>
    <row r="39" spans="1:15" s="820" customFormat="1" ht="12" customHeight="1" thickBot="1">
      <c r="A39" s="4349"/>
      <c r="B39" s="187" t="s">
        <v>19</v>
      </c>
      <c r="C39" s="4341"/>
      <c r="D39" s="124">
        <f>E39+L39+K39+F39+G39+H39+I39+J39</f>
        <v>1813560</v>
      </c>
      <c r="E39" s="2236">
        <f>280770+192422-48138</f>
        <v>425054</v>
      </c>
      <c r="F39" s="2236">
        <f>288223-74305+14894</f>
        <v>228812</v>
      </c>
      <c r="G39" s="2236">
        <f>280770+3608</f>
        <v>284378</v>
      </c>
      <c r="H39" s="2236">
        <f>280770+2277</f>
        <v>283047</v>
      </c>
      <c r="I39" s="2236">
        <f>280770+37152+47170</f>
        <v>365092</v>
      </c>
      <c r="J39" s="2236">
        <f>361035+37153-171011</f>
        <v>227177</v>
      </c>
      <c r="K39" s="2236"/>
      <c r="L39" s="2236">
        <f>192422-192422</f>
        <v>0</v>
      </c>
      <c r="M39" s="4252"/>
      <c r="N39" s="4379"/>
      <c r="O39" s="156">
        <f>D39-D33</f>
        <v>0</v>
      </c>
    </row>
    <row r="40" spans="1:15" s="820" customFormat="1" ht="30" customHeight="1">
      <c r="A40" s="4092" t="s">
        <v>54</v>
      </c>
      <c r="B40" s="71" t="s">
        <v>553</v>
      </c>
      <c r="C40" s="2243" t="s">
        <v>97</v>
      </c>
      <c r="D40" s="217"/>
      <c r="E40" s="215"/>
      <c r="F40" s="217"/>
      <c r="G40" s="217"/>
      <c r="H40" s="217"/>
      <c r="I40" s="217"/>
      <c r="J40" s="1286"/>
      <c r="K40" s="217">
        <f>+K46+K50+K55</f>
        <v>0</v>
      </c>
      <c r="L40" s="217"/>
      <c r="M40" s="88"/>
      <c r="N40" s="4377" t="s">
        <v>499</v>
      </c>
      <c r="O40" s="820" t="s">
        <v>313</v>
      </c>
    </row>
    <row r="41" spans="1:15" s="820" customFormat="1" ht="12" customHeight="1">
      <c r="A41" s="4093"/>
      <c r="B41" s="336" t="s">
        <v>9</v>
      </c>
      <c r="C41" s="767"/>
      <c r="D41" s="2244">
        <f t="shared" ref="D41:G41" si="33">+D42+D51</f>
        <v>1128092</v>
      </c>
      <c r="E41" s="2244">
        <f t="shared" si="33"/>
        <v>586712</v>
      </c>
      <c r="F41" s="2244">
        <f t="shared" si="33"/>
        <v>275734</v>
      </c>
      <c r="G41" s="2244">
        <f t="shared" si="33"/>
        <v>265646</v>
      </c>
      <c r="H41" s="2245">
        <v>0</v>
      </c>
      <c r="I41" s="2245">
        <v>0</v>
      </c>
      <c r="J41" s="2245">
        <v>0</v>
      </c>
      <c r="K41" s="2244">
        <f>+K42+K51</f>
        <v>0</v>
      </c>
      <c r="L41" s="2244">
        <f>+L42+L51</f>
        <v>0</v>
      </c>
      <c r="M41" s="2246">
        <f>+M42+M51</f>
        <v>541380</v>
      </c>
      <c r="N41" s="4378"/>
      <c r="O41" s="156">
        <f>D41-'[2]Tab. 6E - Administracja'!$D$39</f>
        <v>-176400</v>
      </c>
    </row>
    <row r="42" spans="1:15" s="820" customFormat="1" ht="12" customHeight="1">
      <c r="A42" s="4093"/>
      <c r="B42" s="326" t="s">
        <v>22</v>
      </c>
      <c r="C42" s="4281" t="s">
        <v>134</v>
      </c>
      <c r="D42" s="768">
        <f>+D43+D47</f>
        <v>173083</v>
      </c>
      <c r="E42" s="768">
        <f>+E43+E47</f>
        <v>90687</v>
      </c>
      <c r="F42" s="768">
        <f t="shared" ref="F42:G42" si="34">+F43+F47</f>
        <v>41794</v>
      </c>
      <c r="G42" s="768">
        <f t="shared" si="34"/>
        <v>40602</v>
      </c>
      <c r="H42" s="2247">
        <v>0</v>
      </c>
      <c r="I42" s="2247">
        <v>0</v>
      </c>
      <c r="J42" s="2247">
        <v>0</v>
      </c>
      <c r="K42" s="768">
        <f>+K43+K47</f>
        <v>0</v>
      </c>
      <c r="L42" s="768">
        <f>+L43+L47</f>
        <v>0</v>
      </c>
      <c r="M42" s="769">
        <f>+M43+M47</f>
        <v>82396</v>
      </c>
      <c r="N42" s="4378"/>
    </row>
    <row r="43" spans="1:15" s="820" customFormat="1" ht="12" customHeight="1">
      <c r="A43" s="4093"/>
      <c r="B43" s="74" t="s">
        <v>11</v>
      </c>
      <c r="C43" s="4380"/>
      <c r="D43" s="766">
        <f>E43+L43+K43+F43+G43+H43+I43+J43</f>
        <v>60729</v>
      </c>
      <c r="E43" s="770">
        <f>+E45+E46</f>
        <v>32328</v>
      </c>
      <c r="F43" s="1105">
        <f t="shared" ref="F43:G43" si="35">+F45+F46</f>
        <v>14274</v>
      </c>
      <c r="G43" s="1105">
        <f t="shared" si="35"/>
        <v>14127</v>
      </c>
      <c r="H43" s="2248">
        <v>0</v>
      </c>
      <c r="I43" s="2248">
        <v>0</v>
      </c>
      <c r="J43" s="2248">
        <v>0</v>
      </c>
      <c r="K43" s="1105">
        <f>+K45+K46</f>
        <v>0</v>
      </c>
      <c r="L43" s="1105">
        <f>+L45+L46</f>
        <v>0</v>
      </c>
      <c r="M43" s="359">
        <f>SUM(F43:J43)</f>
        <v>28401</v>
      </c>
      <c r="N43" s="4378"/>
    </row>
    <row r="44" spans="1:15" s="820" customFormat="1" ht="12" hidden="1" customHeight="1">
      <c r="A44" s="4093"/>
      <c r="B44" s="74" t="s">
        <v>135</v>
      </c>
      <c r="C44" s="4380"/>
      <c r="D44" s="766"/>
      <c r="E44" s="770"/>
      <c r="F44" s="1105"/>
      <c r="G44" s="1105"/>
      <c r="H44" s="2248"/>
      <c r="I44" s="2248"/>
      <c r="J44" s="2248"/>
      <c r="K44" s="1105"/>
      <c r="L44" s="1105"/>
      <c r="M44" s="769"/>
      <c r="N44" s="4378"/>
    </row>
    <row r="45" spans="1:15" s="820" customFormat="1" ht="12" hidden="1" customHeight="1">
      <c r="A45" s="4093"/>
      <c r="B45" s="1094" t="s">
        <v>237</v>
      </c>
      <c r="C45" s="4380"/>
      <c r="D45" s="766">
        <f>E45+L45+K45+F45+G45+H45+I45+J45</f>
        <v>43194</v>
      </c>
      <c r="E45" s="770">
        <f>3610+217+9123+10138</f>
        <v>23088</v>
      </c>
      <c r="F45" s="75">
        <f>9240+555+362+154</f>
        <v>10311</v>
      </c>
      <c r="G45" s="75">
        <f>9240+555</f>
        <v>9795</v>
      </c>
      <c r="H45" s="2248">
        <v>0</v>
      </c>
      <c r="I45" s="2248">
        <v>0</v>
      </c>
      <c r="J45" s="2248">
        <v>0</v>
      </c>
      <c r="K45" s="771"/>
      <c r="L45" s="771">
        <v>0</v>
      </c>
      <c r="M45" s="359">
        <f>SUM(F45:J45)</f>
        <v>20106</v>
      </c>
      <c r="N45" s="4378"/>
    </row>
    <row r="46" spans="1:15" s="820" customFormat="1" ht="12" hidden="1" customHeight="1">
      <c r="A46" s="4093"/>
      <c r="B46" s="474" t="s">
        <v>495</v>
      </c>
      <c r="C46" s="4380"/>
      <c r="D46" s="766">
        <f>E46+L46+K46+F46+G46+H46+I46+J46</f>
        <v>17535</v>
      </c>
      <c r="E46" s="770">
        <f>286+90+540+5732+2592</f>
        <v>9240</v>
      </c>
      <c r="F46" s="1105">
        <f>4474-555+738-694</f>
        <v>3963</v>
      </c>
      <c r="G46" s="1105">
        <f>4364-555+7574-7051</f>
        <v>4332</v>
      </c>
      <c r="H46" s="2249">
        <v>0</v>
      </c>
      <c r="I46" s="2249">
        <v>0</v>
      </c>
      <c r="J46" s="2249">
        <v>0</v>
      </c>
      <c r="K46" s="1105"/>
      <c r="L46" s="1105">
        <v>0</v>
      </c>
      <c r="M46" s="359">
        <f>SUM(F46:J46)</f>
        <v>8295</v>
      </c>
      <c r="N46" s="4378"/>
    </row>
    <row r="47" spans="1:15" s="1749" customFormat="1">
      <c r="A47" s="4093"/>
      <c r="B47" s="2250" t="s">
        <v>12</v>
      </c>
      <c r="C47" s="4380"/>
      <c r="D47" s="766">
        <f>+E47+L47+K47+F47+G47</f>
        <v>112354</v>
      </c>
      <c r="E47" s="2251">
        <f>+E49+E50</f>
        <v>58359</v>
      </c>
      <c r="F47" s="2252">
        <f>+F49+F50</f>
        <v>27520</v>
      </c>
      <c r="G47" s="2252">
        <f>+G49+G50</f>
        <v>26475</v>
      </c>
      <c r="H47" s="2131">
        <v>0</v>
      </c>
      <c r="I47" s="2131">
        <v>0</v>
      </c>
      <c r="J47" s="2131">
        <v>0</v>
      </c>
      <c r="K47" s="2252">
        <f>+K49+K50</f>
        <v>0</v>
      </c>
      <c r="L47" s="2252">
        <f>+L49+L50</f>
        <v>0</v>
      </c>
      <c r="M47" s="359">
        <f>SUM(F47:J47)</f>
        <v>53995</v>
      </c>
      <c r="N47" s="4378"/>
    </row>
    <row r="48" spans="1:15" s="820" customFormat="1" ht="11.25" hidden="1" customHeight="1">
      <c r="A48" s="4093"/>
      <c r="B48" s="74" t="s">
        <v>135</v>
      </c>
      <c r="C48" s="4380"/>
      <c r="D48" s="771"/>
      <c r="E48" s="75"/>
      <c r="F48" s="75"/>
      <c r="G48" s="75"/>
      <c r="H48" s="2253"/>
      <c r="I48" s="2253"/>
      <c r="J48" s="2253"/>
      <c r="K48" s="75"/>
      <c r="L48" s="75"/>
      <c r="M48" s="772"/>
      <c r="N48" s="4378"/>
    </row>
    <row r="49" spans="1:15" s="820" customFormat="1" ht="13.5" hidden="1" customHeight="1">
      <c r="A49" s="4093"/>
      <c r="B49" s="1094" t="s">
        <v>237</v>
      </c>
      <c r="C49" s="4380"/>
      <c r="D49" s="771">
        <f>+E49+L49+K49+F49+G49</f>
        <v>86385</v>
      </c>
      <c r="E49" s="75">
        <f>7221+433+18247+20267</f>
        <v>46168</v>
      </c>
      <c r="F49" s="75">
        <f>18480+1108+729+312</f>
        <v>20629</v>
      </c>
      <c r="G49" s="75">
        <f>18480+1108</f>
        <v>19588</v>
      </c>
      <c r="H49" s="2253">
        <v>0</v>
      </c>
      <c r="I49" s="2253">
        <v>0</v>
      </c>
      <c r="J49" s="2253">
        <v>0</v>
      </c>
      <c r="K49" s="75"/>
      <c r="L49" s="75">
        <v>0</v>
      </c>
      <c r="M49" s="359">
        <f>SUM(F49:J49)</f>
        <v>40217</v>
      </c>
      <c r="N49" s="4378"/>
      <c r="O49" s="156"/>
    </row>
    <row r="50" spans="1:15" s="820" customFormat="1" hidden="1">
      <c r="A50" s="4093"/>
      <c r="B50" s="2254" t="s">
        <v>495</v>
      </c>
      <c r="C50" s="4380"/>
      <c r="D50" s="771">
        <f>+E50+L50+K50+F50+G50</f>
        <v>25969</v>
      </c>
      <c r="E50" s="75">
        <f>552+178-57+6334+5184</f>
        <v>12191</v>
      </c>
      <c r="F50" s="75">
        <f>8148-1108+1475-1624</f>
        <v>6891</v>
      </c>
      <c r="G50" s="75">
        <f>8148-1108+13838-13991</f>
        <v>6887</v>
      </c>
      <c r="H50" s="2253">
        <v>0</v>
      </c>
      <c r="I50" s="2253">
        <v>0</v>
      </c>
      <c r="J50" s="2253">
        <v>0</v>
      </c>
      <c r="K50" s="75"/>
      <c r="L50" s="75">
        <v>0</v>
      </c>
      <c r="M50" s="359">
        <f>SUM(F50:J50)</f>
        <v>13778</v>
      </c>
      <c r="N50" s="4378"/>
    </row>
    <row r="51" spans="1:15" s="820" customFormat="1" ht="12.75" customHeight="1">
      <c r="A51" s="4093"/>
      <c r="B51" s="355" t="s">
        <v>17</v>
      </c>
      <c r="C51" s="4225"/>
      <c r="D51" s="773">
        <f>+D52</f>
        <v>955009</v>
      </c>
      <c r="E51" s="773">
        <f>+E52</f>
        <v>496025</v>
      </c>
      <c r="F51" s="773">
        <f t="shared" ref="F51:G51" si="36">+F52</f>
        <v>233940</v>
      </c>
      <c r="G51" s="773">
        <f t="shared" si="36"/>
        <v>225044</v>
      </c>
      <c r="H51" s="774">
        <v>0</v>
      </c>
      <c r="I51" s="774">
        <v>0</v>
      </c>
      <c r="J51" s="774">
        <v>0</v>
      </c>
      <c r="K51" s="773">
        <f>+K52</f>
        <v>0</v>
      </c>
      <c r="L51" s="773">
        <f>+L52</f>
        <v>0</v>
      </c>
      <c r="M51" s="769">
        <f>+M52</f>
        <v>458984</v>
      </c>
      <c r="N51" s="4378"/>
    </row>
    <row r="52" spans="1:15" s="820" customFormat="1" ht="12" customHeight="1">
      <c r="A52" s="4093"/>
      <c r="B52" s="694" t="s">
        <v>19</v>
      </c>
      <c r="C52" s="4226"/>
      <c r="D52" s="1090">
        <f>E52+L52+K52+F52+G52+H52+I52+J52</f>
        <v>955009</v>
      </c>
      <c r="E52" s="770">
        <f>+E54+E55</f>
        <v>496025</v>
      </c>
      <c r="F52" s="2255">
        <f t="shared" ref="F52:G52" si="37">+F54+F55</f>
        <v>233940</v>
      </c>
      <c r="G52" s="2255">
        <f t="shared" si="37"/>
        <v>225044</v>
      </c>
      <c r="H52" s="2256">
        <v>0</v>
      </c>
      <c r="I52" s="2256">
        <v>0</v>
      </c>
      <c r="J52" s="2256">
        <v>0</v>
      </c>
      <c r="K52" s="2255">
        <f>+K54+K55</f>
        <v>0</v>
      </c>
      <c r="L52" s="2255">
        <f>+L54+L55</f>
        <v>0</v>
      </c>
      <c r="M52" s="359">
        <f>SUM(F52:J52)</f>
        <v>458984</v>
      </c>
      <c r="N52" s="4378"/>
    </row>
    <row r="53" spans="1:15" s="820" customFormat="1" ht="12" hidden="1" customHeight="1">
      <c r="A53" s="4093"/>
      <c r="B53" s="1106" t="s">
        <v>135</v>
      </c>
      <c r="C53" s="3600"/>
      <c r="D53" s="75"/>
      <c r="E53" s="2253"/>
      <c r="F53" s="2257"/>
      <c r="G53" s="2257"/>
      <c r="H53" s="675"/>
      <c r="I53" s="2257"/>
      <c r="J53" s="2257"/>
      <c r="K53" s="2257"/>
      <c r="L53" s="2257"/>
      <c r="M53" s="772"/>
      <c r="N53" s="4378"/>
    </row>
    <row r="54" spans="1:15" s="820" customFormat="1" ht="12" hidden="1" customHeight="1">
      <c r="A54" s="4093"/>
      <c r="B54" s="1094" t="s">
        <v>237</v>
      </c>
      <c r="C54" s="3600"/>
      <c r="D54" s="75">
        <f>+L54+K54+F54+G54+E54</f>
        <v>734284</v>
      </c>
      <c r="E54" s="1107">
        <f>61378+3683+155101+172247</f>
        <v>392409</v>
      </c>
      <c r="F54" s="775">
        <f>157080+9425+6222+2643</f>
        <v>175370</v>
      </c>
      <c r="G54" s="775">
        <f>157080+9425</f>
        <v>166505</v>
      </c>
      <c r="H54" s="776">
        <v>0</v>
      </c>
      <c r="I54" s="775"/>
      <c r="J54" s="775"/>
      <c r="K54" s="775"/>
      <c r="L54" s="775">
        <v>0</v>
      </c>
      <c r="M54" s="359">
        <f>SUM(F54:J54)</f>
        <v>341875</v>
      </c>
      <c r="N54" s="4378"/>
    </row>
    <row r="55" spans="1:15" s="820" customFormat="1" ht="12" hidden="1" customHeight="1">
      <c r="A55" s="4093"/>
      <c r="B55" s="2254" t="s">
        <v>495</v>
      </c>
      <c r="C55" s="3600"/>
      <c r="D55" s="771">
        <f>+L55+K55+F55+G55+E55</f>
        <v>220725</v>
      </c>
      <c r="E55" s="43">
        <f>4689+1516-483+53831+44063</f>
        <v>103616</v>
      </c>
      <c r="F55" s="43">
        <f>69258-9425+12537-13800</f>
        <v>58570</v>
      </c>
      <c r="G55" s="43">
        <f>69258-9425+111888-113182</f>
        <v>58539</v>
      </c>
      <c r="H55" s="1616">
        <v>0</v>
      </c>
      <c r="I55" s="43"/>
      <c r="J55" s="43"/>
      <c r="K55" s="43"/>
      <c r="L55" s="43">
        <v>0</v>
      </c>
      <c r="M55" s="359">
        <f>SUM(F55:J55)</f>
        <v>117109</v>
      </c>
      <c r="N55" s="4378"/>
    </row>
    <row r="56" spans="1:15" s="820" customFormat="1" ht="12" customHeight="1">
      <c r="A56" s="4093"/>
      <c r="B56" s="336" t="s">
        <v>20</v>
      </c>
      <c r="C56" s="777"/>
      <c r="D56" s="778">
        <f>+D57+D59</f>
        <v>1067363</v>
      </c>
      <c r="E56" s="778">
        <f>+E57+E59</f>
        <v>372113</v>
      </c>
      <c r="F56" s="778">
        <f t="shared" ref="F56:J56" si="38">+F57+F59</f>
        <v>295746</v>
      </c>
      <c r="G56" s="778">
        <f t="shared" si="38"/>
        <v>256490</v>
      </c>
      <c r="H56" s="778">
        <f t="shared" si="38"/>
        <v>143014</v>
      </c>
      <c r="I56" s="2590">
        <f t="shared" si="38"/>
        <v>0</v>
      </c>
      <c r="J56" s="2590">
        <f t="shared" si="38"/>
        <v>0</v>
      </c>
      <c r="K56" s="778">
        <f>+K57+K59</f>
        <v>0</v>
      </c>
      <c r="L56" s="778">
        <f>+L57+L59</f>
        <v>0</v>
      </c>
      <c r="M56" s="4243" t="s">
        <v>51</v>
      </c>
      <c r="N56" s="4378"/>
      <c r="O56" s="156">
        <f>D56-'[2]Tab. 6E - Administracja'!$D$54</f>
        <v>-167580</v>
      </c>
    </row>
    <row r="57" spans="1:15" s="820" customFormat="1" ht="12" customHeight="1">
      <c r="A57" s="4093"/>
      <c r="B57" s="779" t="s">
        <v>22</v>
      </c>
      <c r="C57" s="4281" t="s">
        <v>134</v>
      </c>
      <c r="D57" s="768">
        <f>+D58</f>
        <v>112354</v>
      </c>
      <c r="E57" s="2247">
        <f>+E58</f>
        <v>0</v>
      </c>
      <c r="F57" s="768">
        <f t="shared" ref="F57:J57" si="39">+F58</f>
        <v>70618</v>
      </c>
      <c r="G57" s="768">
        <f t="shared" si="39"/>
        <v>26998</v>
      </c>
      <c r="H57" s="768">
        <f t="shared" si="39"/>
        <v>14738</v>
      </c>
      <c r="I57" s="2591">
        <f t="shared" si="39"/>
        <v>0</v>
      </c>
      <c r="J57" s="2591">
        <f t="shared" si="39"/>
        <v>0</v>
      </c>
      <c r="K57" s="768">
        <f>+K58</f>
        <v>0</v>
      </c>
      <c r="L57" s="768">
        <f>+L58</f>
        <v>0</v>
      </c>
      <c r="M57" s="4251"/>
      <c r="N57" s="4378"/>
    </row>
    <row r="58" spans="1:15" s="820" customFormat="1" ht="12" customHeight="1">
      <c r="A58" s="4093"/>
      <c r="B58" s="78" t="s">
        <v>12</v>
      </c>
      <c r="C58" s="4380"/>
      <c r="D58" s="766">
        <f>E58+L58+K58+F58+G58+H58+I58+J58</f>
        <v>112354</v>
      </c>
      <c r="E58" s="2258">
        <v>0</v>
      </c>
      <c r="F58" s="780">
        <f>26628+10093+5483+28414</f>
        <v>70618</v>
      </c>
      <c r="G58" s="780">
        <f>26628+8021-7651</f>
        <v>26998</v>
      </c>
      <c r="H58" s="780">
        <f>13314+6919-5495</f>
        <v>14738</v>
      </c>
      <c r="I58" s="2592">
        <v>0</v>
      </c>
      <c r="J58" s="2592">
        <v>0</v>
      </c>
      <c r="K58" s="780">
        <f>58798+7773-10078-23585-32908</f>
        <v>0</v>
      </c>
      <c r="L58" s="780">
        <v>0</v>
      </c>
      <c r="M58" s="4251"/>
      <c r="N58" s="4378"/>
    </row>
    <row r="59" spans="1:15" s="820" customFormat="1" ht="12" customHeight="1">
      <c r="A59" s="4093"/>
      <c r="B59" s="781" t="s">
        <v>17</v>
      </c>
      <c r="C59" s="4225"/>
      <c r="D59" s="773">
        <f>+D60</f>
        <v>955009</v>
      </c>
      <c r="E59" s="773">
        <f t="shared" ref="E59:J59" si="40">+E60</f>
        <v>372113</v>
      </c>
      <c r="F59" s="773">
        <f t="shared" si="40"/>
        <v>225128</v>
      </c>
      <c r="G59" s="773">
        <f t="shared" si="40"/>
        <v>229492</v>
      </c>
      <c r="H59" s="773">
        <f t="shared" si="40"/>
        <v>128276</v>
      </c>
      <c r="I59" s="2593">
        <f t="shared" si="40"/>
        <v>0</v>
      </c>
      <c r="J59" s="2593">
        <f t="shared" si="40"/>
        <v>0</v>
      </c>
      <c r="K59" s="773">
        <f>+K60</f>
        <v>0</v>
      </c>
      <c r="L59" s="773">
        <f>+L60</f>
        <v>0</v>
      </c>
      <c r="M59" s="4251"/>
      <c r="N59" s="4378"/>
    </row>
    <row r="60" spans="1:15" s="820" customFormat="1" ht="12" customHeight="1" thickBot="1">
      <c r="A60" s="4094"/>
      <c r="B60" s="187" t="s">
        <v>19</v>
      </c>
      <c r="C60" s="4341"/>
      <c r="D60" s="465">
        <f>E60+L60+K60+F60+G60+H60+I60+J60</f>
        <v>955009</v>
      </c>
      <c r="E60" s="333">
        <f>499777+66067-85652-200477+92398</f>
        <v>372113</v>
      </c>
      <c r="F60" s="333">
        <f>226338+85781+52341-139332</f>
        <v>225128</v>
      </c>
      <c r="G60" s="333">
        <f>226338+65324-62170</f>
        <v>229492</v>
      </c>
      <c r="H60" s="333">
        <f>113169+55943-40836</f>
        <v>128276</v>
      </c>
      <c r="I60" s="2594">
        <v>0</v>
      </c>
      <c r="J60" s="2594">
        <v>0</v>
      </c>
      <c r="K60" s="333"/>
      <c r="L60" s="333">
        <f>66067-66067</f>
        <v>0</v>
      </c>
      <c r="M60" s="4252"/>
      <c r="N60" s="4379"/>
    </row>
    <row r="61" spans="1:15" s="820" customFormat="1" ht="27" customHeight="1">
      <c r="A61" s="4092" t="s">
        <v>55</v>
      </c>
      <c r="B61" s="71" t="s">
        <v>316</v>
      </c>
      <c r="C61" s="72" t="s">
        <v>70</v>
      </c>
      <c r="D61" s="88"/>
      <c r="E61" s="87"/>
      <c r="F61" s="87"/>
      <c r="G61" s="87"/>
      <c r="H61" s="87"/>
      <c r="I61" s="87"/>
      <c r="J61" s="129"/>
      <c r="K61" s="87"/>
      <c r="L61" s="87"/>
      <c r="M61" s="181"/>
      <c r="N61" s="4377" t="s">
        <v>495</v>
      </c>
      <c r="O61" s="820" t="s">
        <v>313</v>
      </c>
    </row>
    <row r="62" spans="1:15" s="820" customFormat="1" ht="12" customHeight="1">
      <c r="A62" s="4093"/>
      <c r="B62" s="336" t="s">
        <v>9</v>
      </c>
      <c r="C62" s="767"/>
      <c r="D62" s="778">
        <f>+D63+D66</f>
        <v>12448</v>
      </c>
      <c r="E62" s="778">
        <f t="shared" ref="E62" si="41">+E63+E66</f>
        <v>12448</v>
      </c>
      <c r="F62" s="836">
        <f t="shared" ref="F62:G62" si="42">+F63+F66</f>
        <v>0</v>
      </c>
      <c r="G62" s="836">
        <f t="shared" si="42"/>
        <v>0</v>
      </c>
      <c r="H62" s="836">
        <f t="shared" ref="H62:J62" si="43">+H63+H66</f>
        <v>0</v>
      </c>
      <c r="I62" s="836">
        <f t="shared" si="43"/>
        <v>0</v>
      </c>
      <c r="J62" s="836">
        <f t="shared" si="43"/>
        <v>0</v>
      </c>
      <c r="K62" s="836">
        <f>+K63+K66</f>
        <v>0</v>
      </c>
      <c r="L62" s="778">
        <f>+L63+L66</f>
        <v>0</v>
      </c>
      <c r="M62" s="2595">
        <f>M63+M66</f>
        <v>0</v>
      </c>
      <c r="N62" s="4378"/>
      <c r="O62" s="156">
        <f>D62-'[2]Tab. 6E - Administracja'!$D$60</f>
        <v>0</v>
      </c>
    </row>
    <row r="63" spans="1:15" s="820" customFormat="1" ht="12" customHeight="1">
      <c r="A63" s="4093"/>
      <c r="B63" s="326" t="s">
        <v>22</v>
      </c>
      <c r="C63" s="4339" t="s">
        <v>134</v>
      </c>
      <c r="D63" s="768">
        <f>+D64+D65</f>
        <v>1867</v>
      </c>
      <c r="E63" s="768">
        <f>+E64+E65</f>
        <v>1867</v>
      </c>
      <c r="F63" s="2247">
        <f t="shared" ref="F63" si="44">+F65</f>
        <v>0</v>
      </c>
      <c r="G63" s="2247">
        <f>+G65</f>
        <v>0</v>
      </c>
      <c r="H63" s="2247">
        <f t="shared" ref="H63:J63" si="45">+H65</f>
        <v>0</v>
      </c>
      <c r="I63" s="2247">
        <f t="shared" si="45"/>
        <v>0</v>
      </c>
      <c r="J63" s="2247">
        <f t="shared" si="45"/>
        <v>0</v>
      </c>
      <c r="K63" s="2247">
        <f>+K65</f>
        <v>0</v>
      </c>
      <c r="L63" s="768">
        <f>+L64+L65</f>
        <v>0</v>
      </c>
      <c r="M63" s="2596">
        <f>+M64+M65</f>
        <v>0</v>
      </c>
      <c r="N63" s="4378"/>
    </row>
    <row r="64" spans="1:15" s="820" customFormat="1" ht="12" customHeight="1">
      <c r="A64" s="4093"/>
      <c r="B64" s="74" t="s">
        <v>11</v>
      </c>
      <c r="C64" s="4380"/>
      <c r="D64" s="468">
        <f>E64+L64+K64+F64+G64+H64+I64+J64</f>
        <v>622</v>
      </c>
      <c r="E64" s="1105">
        <f>630-8</f>
        <v>622</v>
      </c>
      <c r="F64" s="2248">
        <v>0</v>
      </c>
      <c r="G64" s="2248">
        <v>0</v>
      </c>
      <c r="H64" s="2248">
        <v>0</v>
      </c>
      <c r="I64" s="2248">
        <v>0</v>
      </c>
      <c r="J64" s="2248">
        <v>0</v>
      </c>
      <c r="K64" s="2248">
        <v>0</v>
      </c>
      <c r="L64" s="1105"/>
      <c r="M64" s="2597">
        <f>SUM(F64:J64)</f>
        <v>0</v>
      </c>
      <c r="N64" s="4378"/>
    </row>
    <row r="65" spans="1:15" s="820" customFormat="1" ht="12" customHeight="1">
      <c r="A65" s="4093"/>
      <c r="B65" s="74" t="s">
        <v>12</v>
      </c>
      <c r="C65" s="4225"/>
      <c r="D65" s="468">
        <f>E65+L65+K65+F65+G65+H65+I65+J65</f>
        <v>1245</v>
      </c>
      <c r="E65" s="75">
        <f>1260-15</f>
        <v>1245</v>
      </c>
      <c r="F65" s="2253">
        <v>0</v>
      </c>
      <c r="G65" s="2253">
        <v>0</v>
      </c>
      <c r="H65" s="2253">
        <v>0</v>
      </c>
      <c r="I65" s="2253">
        <v>0</v>
      </c>
      <c r="J65" s="2253">
        <v>0</v>
      </c>
      <c r="K65" s="2253">
        <v>0</v>
      </c>
      <c r="L65" s="75"/>
      <c r="M65" s="2597">
        <f>SUM(F65:J65)</f>
        <v>0</v>
      </c>
      <c r="N65" s="4378"/>
      <c r="O65" s="156">
        <f>D65-D70</f>
        <v>0</v>
      </c>
    </row>
    <row r="66" spans="1:15" s="820" customFormat="1" ht="12" customHeight="1">
      <c r="A66" s="4093"/>
      <c r="B66" s="355" t="s">
        <v>17</v>
      </c>
      <c r="C66" s="4225"/>
      <c r="D66" s="773">
        <f t="shared" ref="D66:J66" si="46">D67</f>
        <v>10581</v>
      </c>
      <c r="E66" s="773">
        <f t="shared" si="46"/>
        <v>10581</v>
      </c>
      <c r="F66" s="774">
        <f t="shared" si="46"/>
        <v>0</v>
      </c>
      <c r="G66" s="774">
        <f t="shared" si="46"/>
        <v>0</v>
      </c>
      <c r="H66" s="774">
        <f t="shared" si="46"/>
        <v>0</v>
      </c>
      <c r="I66" s="774">
        <f t="shared" si="46"/>
        <v>0</v>
      </c>
      <c r="J66" s="774">
        <f t="shared" si="46"/>
        <v>0</v>
      </c>
      <c r="K66" s="774">
        <f>K67</f>
        <v>0</v>
      </c>
      <c r="L66" s="773">
        <f>L67</f>
        <v>0</v>
      </c>
      <c r="M66" s="2598">
        <f>+M67</f>
        <v>0</v>
      </c>
      <c r="N66" s="4378"/>
    </row>
    <row r="67" spans="1:15" s="820" customFormat="1">
      <c r="A67" s="4093"/>
      <c r="B67" s="356" t="s">
        <v>19</v>
      </c>
      <c r="C67" s="4226"/>
      <c r="D67" s="468">
        <f>E67+L67+K67+F67+G67+H67+I67+J67</f>
        <v>10581</v>
      </c>
      <c r="E67" s="48">
        <f>10710-129</f>
        <v>10581</v>
      </c>
      <c r="F67" s="2259">
        <v>0</v>
      </c>
      <c r="G67" s="2259">
        <v>0</v>
      </c>
      <c r="H67" s="2259">
        <v>0</v>
      </c>
      <c r="I67" s="2259">
        <v>0</v>
      </c>
      <c r="J67" s="2259">
        <v>0</v>
      </c>
      <c r="K67" s="2259">
        <v>0</v>
      </c>
      <c r="L67" s="48"/>
      <c r="M67" s="2597">
        <f>SUM(F67:J67)</f>
        <v>0</v>
      </c>
      <c r="N67" s="4378"/>
    </row>
    <row r="68" spans="1:15" s="820" customFormat="1" ht="12" customHeight="1">
      <c r="A68" s="4348"/>
      <c r="B68" s="336" t="s">
        <v>20</v>
      </c>
      <c r="C68" s="2260"/>
      <c r="D68" s="778">
        <f>+D69+D71</f>
        <v>11826</v>
      </c>
      <c r="E68" s="778">
        <f t="shared" ref="E68" si="47">E69+E71</f>
        <v>10581</v>
      </c>
      <c r="F68" s="778">
        <f t="shared" ref="F68:G68" si="48">F69+F71</f>
        <v>1245</v>
      </c>
      <c r="G68" s="836">
        <f t="shared" si="48"/>
        <v>0</v>
      </c>
      <c r="H68" s="836">
        <f t="shared" ref="H68:J68" si="49">H69+H71</f>
        <v>0</v>
      </c>
      <c r="I68" s="836">
        <f t="shared" si="49"/>
        <v>0</v>
      </c>
      <c r="J68" s="836">
        <f t="shared" si="49"/>
        <v>0</v>
      </c>
      <c r="K68" s="778">
        <f>K69+K71</f>
        <v>0</v>
      </c>
      <c r="L68" s="836">
        <f>L69+L71</f>
        <v>0</v>
      </c>
      <c r="M68" s="4330" t="s">
        <v>51</v>
      </c>
      <c r="N68" s="4378"/>
      <c r="O68" s="156">
        <f>D68-'[2]Tab. 6E - Administracja'!$D$66</f>
        <v>0</v>
      </c>
    </row>
    <row r="69" spans="1:15" s="820" customFormat="1" ht="12" customHeight="1">
      <c r="A69" s="4348"/>
      <c r="B69" s="838" t="s">
        <v>22</v>
      </c>
      <c r="C69" s="4339" t="s">
        <v>134</v>
      </c>
      <c r="D69" s="768">
        <f t="shared" ref="D69:J69" si="50">D70</f>
        <v>1245</v>
      </c>
      <c r="E69" s="2591">
        <f t="shared" si="50"/>
        <v>0</v>
      </c>
      <c r="F69" s="773">
        <f t="shared" si="50"/>
        <v>1245</v>
      </c>
      <c r="G69" s="2247">
        <f t="shared" si="50"/>
        <v>0</v>
      </c>
      <c r="H69" s="2247">
        <f t="shared" si="50"/>
        <v>0</v>
      </c>
      <c r="I69" s="2247">
        <f t="shared" si="50"/>
        <v>0</v>
      </c>
      <c r="J69" s="2247">
        <f t="shared" si="50"/>
        <v>0</v>
      </c>
      <c r="K69" s="768">
        <f>K70</f>
        <v>0</v>
      </c>
      <c r="L69" s="2247">
        <f>L70</f>
        <v>0</v>
      </c>
      <c r="M69" s="4251"/>
      <c r="N69" s="4378"/>
    </row>
    <row r="70" spans="1:15" s="820" customFormat="1" ht="10.5" customHeight="1">
      <c r="A70" s="4348"/>
      <c r="B70" s="78" t="s">
        <v>12</v>
      </c>
      <c r="C70" s="4225"/>
      <c r="D70" s="468">
        <f>E70+L70+K70+F70+G70+H70+I70+J70</f>
        <v>1245</v>
      </c>
      <c r="E70" s="2592">
        <f>1260-15-1245</f>
        <v>0</v>
      </c>
      <c r="F70" s="1107">
        <v>1245</v>
      </c>
      <c r="G70" s="1108">
        <v>0</v>
      </c>
      <c r="H70" s="1108">
        <v>0</v>
      </c>
      <c r="I70" s="1108">
        <v>0</v>
      </c>
      <c r="J70" s="1108">
        <v>0</v>
      </c>
      <c r="K70" s="780">
        <f>1260-15-1245</f>
        <v>0</v>
      </c>
      <c r="L70" s="1108">
        <v>0</v>
      </c>
      <c r="M70" s="4251"/>
      <c r="N70" s="4378"/>
    </row>
    <row r="71" spans="1:15" s="820" customFormat="1" ht="12" customHeight="1">
      <c r="A71" s="4348"/>
      <c r="B71" s="2261" t="s">
        <v>17</v>
      </c>
      <c r="C71" s="4225"/>
      <c r="D71" s="773">
        <f t="shared" ref="D71:J71" si="51">D72</f>
        <v>10581</v>
      </c>
      <c r="E71" s="773">
        <f t="shared" si="51"/>
        <v>10581</v>
      </c>
      <c r="F71" s="2130">
        <f t="shared" si="51"/>
        <v>0</v>
      </c>
      <c r="G71" s="774">
        <f t="shared" si="51"/>
        <v>0</v>
      </c>
      <c r="H71" s="774">
        <f t="shared" si="51"/>
        <v>0</v>
      </c>
      <c r="I71" s="774">
        <f t="shared" si="51"/>
        <v>0</v>
      </c>
      <c r="J71" s="774">
        <f t="shared" si="51"/>
        <v>0</v>
      </c>
      <c r="K71" s="773">
        <f>K72</f>
        <v>0</v>
      </c>
      <c r="L71" s="774">
        <f>L72</f>
        <v>0</v>
      </c>
      <c r="M71" s="4251"/>
      <c r="N71" s="4378"/>
    </row>
    <row r="72" spans="1:15" s="820" customFormat="1" ht="12" customHeight="1" thickBot="1">
      <c r="A72" s="4349"/>
      <c r="B72" s="187" t="s">
        <v>19</v>
      </c>
      <c r="C72" s="4341"/>
      <c r="D72" s="465">
        <f>E72+L72+K72+F72+G72+H72+I72+J72</f>
        <v>10581</v>
      </c>
      <c r="E72" s="333">
        <f>10710-129</f>
        <v>10581</v>
      </c>
      <c r="F72" s="2141">
        <v>0</v>
      </c>
      <c r="G72" s="2141">
        <v>0</v>
      </c>
      <c r="H72" s="2141">
        <v>0</v>
      </c>
      <c r="I72" s="2141">
        <v>0</v>
      </c>
      <c r="J72" s="2141">
        <v>0</v>
      </c>
      <c r="K72" s="333"/>
      <c r="L72" s="2141">
        <v>0</v>
      </c>
      <c r="M72" s="4252"/>
      <c r="N72" s="4379"/>
    </row>
    <row r="73" spans="1:15" s="820" customFormat="1" ht="37.5" customHeight="1">
      <c r="A73" s="4092" t="s">
        <v>56</v>
      </c>
      <c r="B73" s="71" t="s">
        <v>211</v>
      </c>
      <c r="C73" s="72" t="s">
        <v>97</v>
      </c>
      <c r="D73" s="88"/>
      <c r="E73" s="87"/>
      <c r="F73" s="87"/>
      <c r="G73" s="87"/>
      <c r="H73" s="87"/>
      <c r="I73" s="87"/>
      <c r="J73" s="129"/>
      <c r="K73" s="87"/>
      <c r="L73" s="217"/>
      <c r="M73" s="181"/>
      <c r="N73" s="4331" t="s">
        <v>292</v>
      </c>
    </row>
    <row r="74" spans="1:15" s="820" customFormat="1" ht="15" customHeight="1">
      <c r="A74" s="4093"/>
      <c r="B74" s="1212" t="s">
        <v>9</v>
      </c>
      <c r="C74" s="1893"/>
      <c r="D74" s="778">
        <f>+D75+D77</f>
        <v>8796591</v>
      </c>
      <c r="E74" s="778">
        <f>+E75+E77</f>
        <v>5666275</v>
      </c>
      <c r="F74" s="778">
        <f>+F75+F77</f>
        <v>1730316</v>
      </c>
      <c r="G74" s="778">
        <f>+G75+G77</f>
        <v>1400000</v>
      </c>
      <c r="H74" s="2590">
        <f t="shared" ref="H74:J74" si="52">+H75+H77</f>
        <v>0</v>
      </c>
      <c r="I74" s="2590">
        <f t="shared" si="52"/>
        <v>0</v>
      </c>
      <c r="J74" s="2590">
        <f t="shared" si="52"/>
        <v>0</v>
      </c>
      <c r="K74" s="778">
        <f>+K75+K77</f>
        <v>0</v>
      </c>
      <c r="L74" s="778">
        <f>+L75+L77</f>
        <v>0</v>
      </c>
      <c r="M74" s="837">
        <f>M75+M77</f>
        <v>3130316</v>
      </c>
      <c r="N74" s="4332"/>
      <c r="O74" s="156"/>
    </row>
    <row r="75" spans="1:15" s="820" customFormat="1" ht="15" customHeight="1">
      <c r="A75" s="4093"/>
      <c r="B75" s="1225" t="s">
        <v>22</v>
      </c>
      <c r="C75" s="4281" t="s">
        <v>162</v>
      </c>
      <c r="D75" s="768">
        <f>+D76</f>
        <v>1319488</v>
      </c>
      <c r="E75" s="768">
        <f t="shared" ref="E75:J75" si="53">+E76</f>
        <v>849941</v>
      </c>
      <c r="F75" s="768">
        <f t="shared" si="53"/>
        <v>259547</v>
      </c>
      <c r="G75" s="768">
        <f t="shared" si="53"/>
        <v>210000</v>
      </c>
      <c r="H75" s="2591">
        <f t="shared" si="53"/>
        <v>0</v>
      </c>
      <c r="I75" s="2591">
        <f t="shared" si="53"/>
        <v>0</v>
      </c>
      <c r="J75" s="2591">
        <f t="shared" si="53"/>
        <v>0</v>
      </c>
      <c r="K75" s="768">
        <f>+K76</f>
        <v>0</v>
      </c>
      <c r="L75" s="768">
        <f>+L76</f>
        <v>0</v>
      </c>
      <c r="M75" s="769">
        <f>+M76</f>
        <v>469547</v>
      </c>
      <c r="N75" s="4332"/>
    </row>
    <row r="76" spans="1:15" s="820" customFormat="1" ht="15" customHeight="1">
      <c r="A76" s="4093"/>
      <c r="B76" s="74" t="s">
        <v>12</v>
      </c>
      <c r="C76" s="4225"/>
      <c r="D76" s="789">
        <f>E76+L76+K76+F76+G76+H76+I76+J76</f>
        <v>1319488</v>
      </c>
      <c r="E76" s="770">
        <f>388354+227949+233638</f>
        <v>849941</v>
      </c>
      <c r="F76" s="75">
        <f>225000+7536+27011</f>
        <v>259547</v>
      </c>
      <c r="G76" s="75">
        <v>210000</v>
      </c>
      <c r="H76" s="2599">
        <v>0</v>
      </c>
      <c r="I76" s="2599">
        <v>0</v>
      </c>
      <c r="J76" s="2599">
        <v>0</v>
      </c>
      <c r="K76" s="75"/>
      <c r="L76" s="75">
        <v>0</v>
      </c>
      <c r="M76" s="772">
        <f>SUM(F76:J76)</f>
        <v>469547</v>
      </c>
      <c r="N76" s="4332"/>
    </row>
    <row r="77" spans="1:15" s="820" customFormat="1" ht="15" customHeight="1">
      <c r="A77" s="4093"/>
      <c r="B77" s="1184" t="s">
        <v>17</v>
      </c>
      <c r="C77" s="4225"/>
      <c r="D77" s="773">
        <f>+D78</f>
        <v>7477103</v>
      </c>
      <c r="E77" s="773">
        <f t="shared" ref="E77:J77" si="54">E78</f>
        <v>4816334</v>
      </c>
      <c r="F77" s="773">
        <f t="shared" si="54"/>
        <v>1470769</v>
      </c>
      <c r="G77" s="773">
        <f t="shared" si="54"/>
        <v>1190000</v>
      </c>
      <c r="H77" s="2593">
        <f t="shared" si="54"/>
        <v>0</v>
      </c>
      <c r="I77" s="2593">
        <f t="shared" si="54"/>
        <v>0</v>
      </c>
      <c r="J77" s="2593">
        <f t="shared" si="54"/>
        <v>0</v>
      </c>
      <c r="K77" s="773">
        <f>K78</f>
        <v>0</v>
      </c>
      <c r="L77" s="773">
        <f>L78</f>
        <v>0</v>
      </c>
      <c r="M77" s="769">
        <f>+M78</f>
        <v>2660769</v>
      </c>
      <c r="N77" s="4332"/>
    </row>
    <row r="78" spans="1:15" s="820" customFormat="1" ht="15" customHeight="1">
      <c r="A78" s="4093"/>
      <c r="B78" s="793" t="s">
        <v>19</v>
      </c>
      <c r="C78" s="4226"/>
      <c r="D78" s="766">
        <f>E78+L78+K78+F78+G78+H78+I78+J78</f>
        <v>7477103</v>
      </c>
      <c r="E78" s="770">
        <f>2200675+1291712+1323947</f>
        <v>4816334</v>
      </c>
      <c r="F78" s="48">
        <f>1275000+42704+153065</f>
        <v>1470769</v>
      </c>
      <c r="G78" s="48">
        <v>1190000</v>
      </c>
      <c r="H78" s="2600">
        <v>0</v>
      </c>
      <c r="I78" s="2600">
        <v>0</v>
      </c>
      <c r="J78" s="2600">
        <v>0</v>
      </c>
      <c r="K78" s="48"/>
      <c r="L78" s="48">
        <v>0</v>
      </c>
      <c r="M78" s="772">
        <f>SUM(F78:J78)</f>
        <v>2660769</v>
      </c>
      <c r="N78" s="4332"/>
    </row>
    <row r="79" spans="1:15" s="820" customFormat="1" ht="15" customHeight="1">
      <c r="A79" s="4348"/>
      <c r="B79" s="1212" t="s">
        <v>20</v>
      </c>
      <c r="C79" s="2815"/>
      <c r="D79" s="778">
        <f>+D80+D82</f>
        <v>8796591</v>
      </c>
      <c r="E79" s="778">
        <f t="shared" ref="E79" si="55">E80+E82</f>
        <v>5666275</v>
      </c>
      <c r="F79" s="794">
        <f>F80+F82</f>
        <v>1730316</v>
      </c>
      <c r="G79" s="778">
        <f>G80+G82</f>
        <v>1400000</v>
      </c>
      <c r="H79" s="2590">
        <f t="shared" ref="H79:J79" si="56">H80+H82</f>
        <v>0</v>
      </c>
      <c r="I79" s="2590">
        <f t="shared" si="56"/>
        <v>0</v>
      </c>
      <c r="J79" s="2590">
        <f t="shared" si="56"/>
        <v>0</v>
      </c>
      <c r="K79" s="778">
        <f>K80+K82</f>
        <v>0</v>
      </c>
      <c r="L79" s="778">
        <f>L80+L82</f>
        <v>0</v>
      </c>
      <c r="M79" s="4243" t="s">
        <v>51</v>
      </c>
      <c r="N79" s="4332"/>
      <c r="O79" s="156"/>
    </row>
    <row r="80" spans="1:15" s="820" customFormat="1" ht="15" customHeight="1">
      <c r="A80" s="4348"/>
      <c r="B80" s="838" t="s">
        <v>22</v>
      </c>
      <c r="C80" s="4281" t="s">
        <v>162</v>
      </c>
      <c r="D80" s="768">
        <f>+D81</f>
        <v>1319488</v>
      </c>
      <c r="E80" s="768">
        <f t="shared" ref="E80:J80" si="57">E81</f>
        <v>849941</v>
      </c>
      <c r="F80" s="795">
        <f t="shared" si="57"/>
        <v>259547</v>
      </c>
      <c r="G80" s="768">
        <f t="shared" si="57"/>
        <v>210000</v>
      </c>
      <c r="H80" s="2591">
        <f t="shared" si="57"/>
        <v>0</v>
      </c>
      <c r="I80" s="2591">
        <f t="shared" si="57"/>
        <v>0</v>
      </c>
      <c r="J80" s="2591">
        <f t="shared" si="57"/>
        <v>0</v>
      </c>
      <c r="K80" s="768">
        <f>K81</f>
        <v>0</v>
      </c>
      <c r="L80" s="768">
        <f>L81</f>
        <v>0</v>
      </c>
      <c r="M80" s="4251"/>
      <c r="N80" s="4332"/>
    </row>
    <row r="81" spans="1:17" s="820" customFormat="1" ht="15" customHeight="1">
      <c r="A81" s="4348"/>
      <c r="B81" s="78" t="s">
        <v>12</v>
      </c>
      <c r="C81" s="4225"/>
      <c r="D81" s="766">
        <f>E81+L81+K81+F81+G81+H81+I81+J81</f>
        <v>1319488</v>
      </c>
      <c r="E81" s="770">
        <f>388354+227949+233638</f>
        <v>849941</v>
      </c>
      <c r="F81" s="75">
        <f>225000+7536+27011</f>
        <v>259547</v>
      </c>
      <c r="G81" s="780">
        <v>210000</v>
      </c>
      <c r="H81" s="2592">
        <v>0</v>
      </c>
      <c r="I81" s="2592">
        <v>0</v>
      </c>
      <c r="J81" s="2592">
        <v>0</v>
      </c>
      <c r="K81" s="780"/>
      <c r="L81" s="780">
        <v>0</v>
      </c>
      <c r="M81" s="4251"/>
      <c r="N81" s="4332"/>
    </row>
    <row r="82" spans="1:17" s="820" customFormat="1" ht="15" customHeight="1">
      <c r="A82" s="4348"/>
      <c r="B82" s="781" t="s">
        <v>17</v>
      </c>
      <c r="C82" s="4225"/>
      <c r="D82" s="773">
        <f>+D83</f>
        <v>7477103</v>
      </c>
      <c r="E82" s="773">
        <f t="shared" ref="E82:J82" si="58">E83</f>
        <v>4816334</v>
      </c>
      <c r="F82" s="788">
        <f t="shared" si="58"/>
        <v>1470769</v>
      </c>
      <c r="G82" s="773">
        <f t="shared" si="58"/>
        <v>1190000</v>
      </c>
      <c r="H82" s="2593">
        <f t="shared" si="58"/>
        <v>0</v>
      </c>
      <c r="I82" s="2593">
        <f t="shared" si="58"/>
        <v>0</v>
      </c>
      <c r="J82" s="2593">
        <f t="shared" si="58"/>
        <v>0</v>
      </c>
      <c r="K82" s="773">
        <f>K83</f>
        <v>0</v>
      </c>
      <c r="L82" s="773">
        <f>L83</f>
        <v>0</v>
      </c>
      <c r="M82" s="4251"/>
      <c r="N82" s="4332"/>
    </row>
    <row r="83" spans="1:17" s="820" customFormat="1" ht="15" customHeight="1" thickBot="1">
      <c r="A83" s="4349"/>
      <c r="B83" s="187" t="s">
        <v>19</v>
      </c>
      <c r="C83" s="4341"/>
      <c r="D83" s="1142">
        <f>E83+L83+K83+F83+G83+H83+I83+J83</f>
        <v>7477103</v>
      </c>
      <c r="E83" s="1542">
        <f>2200675+1291712+1323947</f>
        <v>4816334</v>
      </c>
      <c r="F83" s="44">
        <f>1275000+42704+153065</f>
        <v>1470769</v>
      </c>
      <c r="G83" s="976">
        <v>1190000</v>
      </c>
      <c r="H83" s="2723">
        <v>0</v>
      </c>
      <c r="I83" s="2723">
        <v>0</v>
      </c>
      <c r="J83" s="2723">
        <v>0</v>
      </c>
      <c r="K83" s="976"/>
      <c r="L83" s="976">
        <v>0</v>
      </c>
      <c r="M83" s="4252"/>
      <c r="N83" s="4333"/>
    </row>
    <row r="84" spans="1:17" s="820" customFormat="1" ht="37.5" customHeight="1">
      <c r="A84" s="4092" t="s">
        <v>57</v>
      </c>
      <c r="B84" s="71" t="s">
        <v>245</v>
      </c>
      <c r="C84" s="72" t="s">
        <v>70</v>
      </c>
      <c r="D84" s="88"/>
      <c r="E84" s="217"/>
      <c r="F84" s="87"/>
      <c r="G84" s="87"/>
      <c r="H84" s="87"/>
      <c r="I84" s="87"/>
      <c r="J84" s="129"/>
      <c r="K84" s="87"/>
      <c r="L84" s="87"/>
      <c r="M84" s="181"/>
      <c r="N84" s="4331" t="s">
        <v>292</v>
      </c>
    </row>
    <row r="85" spans="1:17" s="820" customFormat="1" ht="12" customHeight="1">
      <c r="A85" s="4093"/>
      <c r="B85" s="16" t="s">
        <v>9</v>
      </c>
      <c r="C85" s="711"/>
      <c r="D85" s="224">
        <f>+D86+D88</f>
        <v>41857</v>
      </c>
      <c r="E85" s="224">
        <f t="shared" ref="E85" si="59">+E86+E88</f>
        <v>41857</v>
      </c>
      <c r="F85" s="2601">
        <f>+F86+F88</f>
        <v>0</v>
      </c>
      <c r="G85" s="2601">
        <f>+G86+G88</f>
        <v>0</v>
      </c>
      <c r="H85" s="2601">
        <f t="shared" ref="H85:J85" si="60">+H86+H88</f>
        <v>0</v>
      </c>
      <c r="I85" s="2601">
        <f t="shared" si="60"/>
        <v>0</v>
      </c>
      <c r="J85" s="2601">
        <f t="shared" si="60"/>
        <v>0</v>
      </c>
      <c r="K85" s="224">
        <f>+K86+K88</f>
        <v>0</v>
      </c>
      <c r="L85" s="224">
        <f>+L86+L88</f>
        <v>0</v>
      </c>
      <c r="M85" s="2606">
        <f>M86+M88</f>
        <v>0</v>
      </c>
      <c r="N85" s="4358"/>
      <c r="O85" s="156">
        <f>D85-'[2]Tab. 6E - Administracja'!$D$83</f>
        <v>0</v>
      </c>
    </row>
    <row r="86" spans="1:17" s="820" customFormat="1" ht="12" customHeight="1">
      <c r="A86" s="4093"/>
      <c r="B86" s="73" t="s">
        <v>22</v>
      </c>
      <c r="C86" s="4360" t="s">
        <v>162</v>
      </c>
      <c r="D86" s="225">
        <f>+D87</f>
        <v>6279</v>
      </c>
      <c r="E86" s="225">
        <f t="shared" ref="E86:J86" si="61">+E87</f>
        <v>6279</v>
      </c>
      <c r="F86" s="2602">
        <f t="shared" si="61"/>
        <v>0</v>
      </c>
      <c r="G86" s="2602">
        <f t="shared" si="61"/>
        <v>0</v>
      </c>
      <c r="H86" s="2602">
        <f t="shared" si="61"/>
        <v>0</v>
      </c>
      <c r="I86" s="2602">
        <f t="shared" si="61"/>
        <v>0</v>
      </c>
      <c r="J86" s="2602">
        <f t="shared" si="61"/>
        <v>0</v>
      </c>
      <c r="K86" s="225">
        <f>+K87</f>
        <v>0</v>
      </c>
      <c r="L86" s="225">
        <f>+L87</f>
        <v>0</v>
      </c>
      <c r="M86" s="2607">
        <f>+M87</f>
        <v>0</v>
      </c>
      <c r="N86" s="4332"/>
    </row>
    <row r="87" spans="1:17" s="820" customFormat="1" ht="12" customHeight="1">
      <c r="A87" s="4093"/>
      <c r="B87" s="74" t="s">
        <v>12</v>
      </c>
      <c r="C87" s="4225"/>
      <c r="D87" s="124">
        <f>E87+L87+K87+F87+G87+H87+I87+J87</f>
        <v>6279</v>
      </c>
      <c r="E87" s="693">
        <f>5706+573</f>
        <v>6279</v>
      </c>
      <c r="F87" s="2599">
        <v>0</v>
      </c>
      <c r="G87" s="2599">
        <v>0</v>
      </c>
      <c r="H87" s="2599">
        <v>0</v>
      </c>
      <c r="I87" s="2599">
        <v>0</v>
      </c>
      <c r="J87" s="2599">
        <v>0</v>
      </c>
      <c r="K87" s="75">
        <v>0</v>
      </c>
      <c r="L87" s="75">
        <v>0</v>
      </c>
      <c r="M87" s="2597">
        <f>SUM(F87:J87)</f>
        <v>0</v>
      </c>
      <c r="N87" s="4332"/>
    </row>
    <row r="88" spans="1:17" s="820" customFormat="1" ht="12" customHeight="1">
      <c r="A88" s="4093"/>
      <c r="B88" s="38" t="s">
        <v>17</v>
      </c>
      <c r="C88" s="4225"/>
      <c r="D88" s="226">
        <f>D89</f>
        <v>35578</v>
      </c>
      <c r="E88" s="226">
        <f t="shared" ref="E88:J88" si="62">E89</f>
        <v>35578</v>
      </c>
      <c r="F88" s="2603">
        <f t="shared" si="62"/>
        <v>0</v>
      </c>
      <c r="G88" s="2603">
        <f t="shared" si="62"/>
        <v>0</v>
      </c>
      <c r="H88" s="2603">
        <f t="shared" si="62"/>
        <v>0</v>
      </c>
      <c r="I88" s="2603">
        <f t="shared" si="62"/>
        <v>0</v>
      </c>
      <c r="J88" s="2603">
        <f t="shared" si="62"/>
        <v>0</v>
      </c>
      <c r="K88" s="226">
        <f>K89</f>
        <v>0</v>
      </c>
      <c r="L88" s="226">
        <f>L89</f>
        <v>0</v>
      </c>
      <c r="M88" s="2607">
        <f>+M89</f>
        <v>0</v>
      </c>
      <c r="N88" s="4332"/>
    </row>
    <row r="89" spans="1:17" s="820" customFormat="1" ht="12" customHeight="1">
      <c r="A89" s="4093"/>
      <c r="B89" s="712" t="s">
        <v>19</v>
      </c>
      <c r="C89" s="4226"/>
      <c r="D89" s="124">
        <f>E89+L89+K89+F89+G89+H89+I89+J89</f>
        <v>35578</v>
      </c>
      <c r="E89" s="693">
        <f>32332+3246</f>
        <v>35578</v>
      </c>
      <c r="F89" s="2600">
        <v>0</v>
      </c>
      <c r="G89" s="2600">
        <v>0</v>
      </c>
      <c r="H89" s="2600">
        <v>0</v>
      </c>
      <c r="I89" s="2600">
        <v>0</v>
      </c>
      <c r="J89" s="2600">
        <v>0</v>
      </c>
      <c r="K89" s="48">
        <v>0</v>
      </c>
      <c r="L89" s="48">
        <v>0</v>
      </c>
      <c r="M89" s="2597">
        <f>SUM(F89:J89)</f>
        <v>0</v>
      </c>
      <c r="N89" s="4332"/>
    </row>
    <row r="90" spans="1:17" s="820" customFormat="1" ht="12" customHeight="1">
      <c r="A90" s="4348"/>
      <c r="B90" s="16" t="s">
        <v>20</v>
      </c>
      <c r="C90" s="713"/>
      <c r="D90" s="224">
        <f>D91+D93</f>
        <v>41857</v>
      </c>
      <c r="E90" s="224">
        <f t="shared" ref="E90" si="63">E91+E93</f>
        <v>41857</v>
      </c>
      <c r="F90" s="2601">
        <f>F91+F93</f>
        <v>0</v>
      </c>
      <c r="G90" s="2601">
        <f>G91+G93</f>
        <v>0</v>
      </c>
      <c r="H90" s="2601">
        <f t="shared" ref="H90:J90" si="64">H91+H93</f>
        <v>0</v>
      </c>
      <c r="I90" s="2601">
        <f t="shared" si="64"/>
        <v>0</v>
      </c>
      <c r="J90" s="2601">
        <f t="shared" si="64"/>
        <v>0</v>
      </c>
      <c r="K90" s="224">
        <f>K91+K93</f>
        <v>0</v>
      </c>
      <c r="L90" s="224">
        <f>L91+L93</f>
        <v>0</v>
      </c>
      <c r="M90" s="4220" t="s">
        <v>51</v>
      </c>
      <c r="N90" s="4332"/>
      <c r="O90" s="156">
        <f>D90-'[2]Tab. 6E - Administracja'!$D$88</f>
        <v>0</v>
      </c>
    </row>
    <row r="91" spans="1:17" s="820" customFormat="1" ht="12" customHeight="1" thickBot="1">
      <c r="A91" s="4348"/>
      <c r="B91" s="714" t="s">
        <v>22</v>
      </c>
      <c r="C91" s="4360" t="s">
        <v>162</v>
      </c>
      <c r="D91" s="225">
        <f>D92</f>
        <v>6279</v>
      </c>
      <c r="E91" s="225">
        <f t="shared" ref="E91:J91" si="65">E92</f>
        <v>6279</v>
      </c>
      <c r="F91" s="2602">
        <f t="shared" si="65"/>
        <v>0</v>
      </c>
      <c r="G91" s="2602">
        <f t="shared" si="65"/>
        <v>0</v>
      </c>
      <c r="H91" s="2602">
        <f t="shared" si="65"/>
        <v>0</v>
      </c>
      <c r="I91" s="2602">
        <f t="shared" si="65"/>
        <v>0</v>
      </c>
      <c r="J91" s="2602">
        <f t="shared" si="65"/>
        <v>0</v>
      </c>
      <c r="K91" s="225">
        <f>K92</f>
        <v>0</v>
      </c>
      <c r="L91" s="225">
        <f>L92</f>
        <v>0</v>
      </c>
      <c r="M91" s="4221"/>
      <c r="N91" s="4333"/>
    </row>
    <row r="92" spans="1:17" s="820" customFormat="1" ht="12" customHeight="1" thickBot="1">
      <c r="A92" s="4348"/>
      <c r="B92" s="78" t="s">
        <v>12</v>
      </c>
      <c r="C92" s="4225"/>
      <c r="D92" s="124">
        <f>E92+L92+K92+F92+G92+H92+I92+J92</f>
        <v>6279</v>
      </c>
      <c r="E92" s="693">
        <f>5706+573</f>
        <v>6279</v>
      </c>
      <c r="F92" s="2604">
        <v>0</v>
      </c>
      <c r="G92" s="2604">
        <v>0</v>
      </c>
      <c r="H92" s="2604">
        <v>0</v>
      </c>
      <c r="I92" s="2604">
        <v>0</v>
      </c>
      <c r="J92" s="2604">
        <v>0</v>
      </c>
      <c r="K92" s="220">
        <v>0</v>
      </c>
      <c r="L92" s="220">
        <v>0</v>
      </c>
      <c r="M92" s="4221"/>
      <c r="N92" s="4334"/>
    </row>
    <row r="93" spans="1:17" s="820" customFormat="1" ht="12" customHeight="1" thickBot="1">
      <c r="A93" s="4348"/>
      <c r="B93" s="715" t="s">
        <v>17</v>
      </c>
      <c r="C93" s="4225"/>
      <c r="D93" s="226">
        <f>D94</f>
        <v>35578</v>
      </c>
      <c r="E93" s="226">
        <f t="shared" ref="E93:J93" si="66">E94</f>
        <v>35578</v>
      </c>
      <c r="F93" s="2603">
        <f t="shared" si="66"/>
        <v>0</v>
      </c>
      <c r="G93" s="2603">
        <f t="shared" si="66"/>
        <v>0</v>
      </c>
      <c r="H93" s="2603">
        <f t="shared" si="66"/>
        <v>0</v>
      </c>
      <c r="I93" s="2603">
        <f t="shared" si="66"/>
        <v>0</v>
      </c>
      <c r="J93" s="2603">
        <f t="shared" si="66"/>
        <v>0</v>
      </c>
      <c r="K93" s="226">
        <f>K94</f>
        <v>0</v>
      </c>
      <c r="L93" s="226">
        <f>L94</f>
        <v>0</v>
      </c>
      <c r="M93" s="4221"/>
      <c r="N93" s="4334"/>
    </row>
    <row r="94" spans="1:17" s="820" customFormat="1" ht="12" customHeight="1" thickBot="1">
      <c r="A94" s="4349"/>
      <c r="B94" s="187" t="s">
        <v>19</v>
      </c>
      <c r="C94" s="4341"/>
      <c r="D94" s="124">
        <f>E94+L94+K94+F94+G94+H94+I94+J94</f>
        <v>35578</v>
      </c>
      <c r="E94" s="693">
        <f>32332+3246</f>
        <v>35578</v>
      </c>
      <c r="F94" s="2605">
        <v>0</v>
      </c>
      <c r="G94" s="2605">
        <v>0</v>
      </c>
      <c r="H94" s="2605">
        <v>0</v>
      </c>
      <c r="I94" s="2605">
        <v>0</v>
      </c>
      <c r="J94" s="2605">
        <v>0</v>
      </c>
      <c r="K94" s="79">
        <v>0</v>
      </c>
      <c r="L94" s="79">
        <v>0</v>
      </c>
      <c r="M94" s="4222"/>
      <c r="N94" s="4359"/>
    </row>
    <row r="95" spans="1:17" s="175" customFormat="1" ht="17.25" customHeight="1" thickBot="1">
      <c r="A95" s="4094" t="s">
        <v>103</v>
      </c>
      <c r="B95" s="71" t="s">
        <v>204</v>
      </c>
      <c r="C95" s="72" t="s">
        <v>97</v>
      </c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4402" t="s">
        <v>284</v>
      </c>
      <c r="O95" s="676" t="s">
        <v>286</v>
      </c>
      <c r="P95" s="676" t="s">
        <v>287</v>
      </c>
      <c r="Q95" s="180"/>
    </row>
    <row r="96" spans="1:17" s="175" customFormat="1" ht="15.75" customHeight="1" thickBot="1">
      <c r="A96" s="4280"/>
      <c r="B96" s="336" t="s">
        <v>9</v>
      </c>
      <c r="C96" s="3695"/>
      <c r="D96" s="783">
        <f>+D107+D97</f>
        <v>226876000</v>
      </c>
      <c r="E96" s="783">
        <f t="shared" ref="E96" si="67">+E107+E97</f>
        <v>77463980</v>
      </c>
      <c r="F96" s="783">
        <f t="shared" ref="F96:G96" si="68">+F107+F97</f>
        <v>32317199</v>
      </c>
      <c r="G96" s="783">
        <f t="shared" si="68"/>
        <v>36519851</v>
      </c>
      <c r="H96" s="783">
        <f t="shared" ref="H96:M96" si="69">+H107+H97</f>
        <v>36416127</v>
      </c>
      <c r="I96" s="783">
        <f t="shared" si="69"/>
        <v>25541454</v>
      </c>
      <c r="J96" s="783">
        <f t="shared" si="69"/>
        <v>18617389</v>
      </c>
      <c r="K96" s="783">
        <f t="shared" si="69"/>
        <v>0</v>
      </c>
      <c r="L96" s="783">
        <f t="shared" si="69"/>
        <v>0</v>
      </c>
      <c r="M96" s="3696">
        <f t="shared" si="69"/>
        <v>149015740</v>
      </c>
      <c r="N96" s="4403"/>
      <c r="O96" s="678">
        <f>+O97+O107</f>
        <v>24456849</v>
      </c>
      <c r="P96" s="677">
        <f>D95-'[2]Tab. 6E - Administracja'!$D$93</f>
        <v>-217427656</v>
      </c>
    </row>
    <row r="97" spans="1:19" s="163" customFormat="1" ht="15.75" customHeight="1" thickBot="1">
      <c r="A97" s="4280"/>
      <c r="B97" s="838" t="s">
        <v>22</v>
      </c>
      <c r="C97" s="4002" t="s">
        <v>579</v>
      </c>
      <c r="D97" s="784">
        <f>D98+D104</f>
        <v>37095641</v>
      </c>
      <c r="E97" s="784">
        <f t="shared" ref="E97" si="70">E98+E104</f>
        <v>14605884</v>
      </c>
      <c r="F97" s="784">
        <f t="shared" ref="F97:G97" si="71">F98+F104</f>
        <v>5708607</v>
      </c>
      <c r="G97" s="784">
        <f t="shared" si="71"/>
        <v>6102968</v>
      </c>
      <c r="H97" s="784">
        <f t="shared" ref="H97:M97" si="72">H98+H104</f>
        <v>5829364</v>
      </c>
      <c r="I97" s="784">
        <f t="shared" si="72"/>
        <v>2958668</v>
      </c>
      <c r="J97" s="784">
        <f t="shared" si="72"/>
        <v>1890150</v>
      </c>
      <c r="K97" s="784">
        <f t="shared" si="72"/>
        <v>0</v>
      </c>
      <c r="L97" s="784">
        <f t="shared" si="72"/>
        <v>0</v>
      </c>
      <c r="M97" s="785">
        <f t="shared" si="72"/>
        <v>22093477</v>
      </c>
      <c r="N97" s="4403"/>
      <c r="O97" s="680">
        <f>+O98+O104</f>
        <v>2983757</v>
      </c>
      <c r="P97" s="679"/>
    </row>
    <row r="98" spans="1:19" s="175" customFormat="1" ht="12.75" customHeight="1" thickBot="1">
      <c r="A98" s="4280"/>
      <c r="B98" s="3697" t="s">
        <v>11</v>
      </c>
      <c r="C98" s="4225"/>
      <c r="D98" s="789">
        <f t="shared" ref="D98:D106" si="73">E98+L98+K98+F98+G98+H98+I98+J98</f>
        <v>35980074</v>
      </c>
      <c r="E98" s="1136">
        <f>+E100+E101+E102+E103</f>
        <v>13886597</v>
      </c>
      <c r="F98" s="3698">
        <f t="shared" ref="F98:J98" si="74">+F100+F101+F102+F103</f>
        <v>5614339</v>
      </c>
      <c r="G98" s="3698">
        <f t="shared" si="74"/>
        <v>6018968</v>
      </c>
      <c r="H98" s="3698">
        <f t="shared" si="74"/>
        <v>5752564</v>
      </c>
      <c r="I98" s="3698">
        <f t="shared" si="74"/>
        <v>2881868</v>
      </c>
      <c r="J98" s="3698">
        <f t="shared" si="74"/>
        <v>1825738</v>
      </c>
      <c r="K98" s="3698">
        <f>+K100+K101+K102+K103</f>
        <v>0</v>
      </c>
      <c r="L98" s="3698">
        <f>+L100+L101+L102+L103</f>
        <v>0</v>
      </c>
      <c r="M98" s="359">
        <f>SUM(F98:J98)</f>
        <v>22093477</v>
      </c>
      <c r="N98" s="4404"/>
      <c r="O98" s="1750">
        <v>2627754</v>
      </c>
      <c r="P98" s="1751"/>
    </row>
    <row r="99" spans="1:19" s="175" customFormat="1" ht="12.75" hidden="1" customHeight="1" thickBot="1">
      <c r="A99" s="4280"/>
      <c r="B99" s="3699" t="s">
        <v>135</v>
      </c>
      <c r="C99" s="4225"/>
      <c r="D99" s="1460">
        <f t="shared" si="73"/>
        <v>0</v>
      </c>
      <c r="E99" s="3700"/>
      <c r="F99" s="786"/>
      <c r="G99" s="786"/>
      <c r="H99" s="786"/>
      <c r="I99" s="786"/>
      <c r="J99" s="786"/>
      <c r="K99" s="786"/>
      <c r="L99" s="786"/>
      <c r="M99" s="3701"/>
      <c r="N99" s="4405"/>
      <c r="O99" s="1750"/>
      <c r="P99" s="1751"/>
    </row>
    <row r="100" spans="1:19" s="175" customFormat="1" ht="12.75" hidden="1" customHeight="1">
      <c r="A100" s="4092"/>
      <c r="B100" s="3702" t="s">
        <v>136</v>
      </c>
      <c r="C100" s="4225"/>
      <c r="D100" s="1460">
        <f t="shared" si="73"/>
        <v>13998345</v>
      </c>
      <c r="E100" s="3703">
        <f>2627754+3999921+4271978</f>
        <v>10899653</v>
      </c>
      <c r="F100" s="3704">
        <f>209584+437321+232973+17729+132553+31212+49519+724204+8255+329566+38911+154416+27498+330127+11263+26198+227942+109421</f>
        <v>3098692</v>
      </c>
      <c r="G100" s="3704">
        <f>152659-152659</f>
        <v>0</v>
      </c>
      <c r="H100" s="3704"/>
      <c r="I100" s="3704"/>
      <c r="J100" s="3704"/>
      <c r="K100" s="3704"/>
      <c r="L100" s="3704">
        <v>0</v>
      </c>
      <c r="M100" s="3705">
        <f>+F100+G100+H100+I100+J100</f>
        <v>3098692</v>
      </c>
      <c r="N100" s="4406"/>
      <c r="O100" s="1750"/>
      <c r="P100" s="1751"/>
    </row>
    <row r="101" spans="1:19" s="175" customFormat="1" ht="12.75" hidden="1" customHeight="1" thickBot="1">
      <c r="A101" s="4094"/>
      <c r="B101" s="3706" t="s">
        <v>137</v>
      </c>
      <c r="C101" s="4225"/>
      <c r="D101" s="1460">
        <f t="shared" si="73"/>
        <v>0</v>
      </c>
      <c r="E101" s="3707"/>
      <c r="F101" s="3708"/>
      <c r="G101" s="3708"/>
      <c r="H101" s="3708"/>
      <c r="I101" s="3708"/>
      <c r="J101" s="3708"/>
      <c r="K101" s="3708"/>
      <c r="L101" s="3708"/>
      <c r="M101" s="3709">
        <f>+K101+F101+G101+H101+I101+J101</f>
        <v>0</v>
      </c>
      <c r="N101" s="4407"/>
      <c r="O101" s="1750"/>
      <c r="P101" s="1751"/>
    </row>
    <row r="102" spans="1:19" s="175" customFormat="1" ht="12.75" hidden="1" customHeight="1" thickBot="1">
      <c r="A102" s="4280"/>
      <c r="B102" s="3710" t="s">
        <v>138</v>
      </c>
      <c r="C102" s="4341"/>
      <c r="D102" s="789">
        <f t="shared" si="73"/>
        <v>21981729</v>
      </c>
      <c r="E102" s="789">
        <f>12575+1455753-13283+824659+707240</f>
        <v>2986944</v>
      </c>
      <c r="F102" s="3711">
        <f>903845+1354520+99595+2103807+347372+333239+179141-209584-437321-232973-17729-132553-31212-49519-724204-8255-329566-38911-154416-27498-330127+292820-11263-26198-227942-109421</f>
        <v>2515647</v>
      </c>
      <c r="G102" s="3711">
        <f>921922+1381610+101587+2145884+357793+162483+30806+485510+431373</f>
        <v>6018968</v>
      </c>
      <c r="H102" s="3711">
        <f>4642023+192558-411216+1329199</f>
        <v>5752564</v>
      </c>
      <c r="I102" s="3711">
        <f>2551196+450141-14983+2156-106642</f>
        <v>2881868</v>
      </c>
      <c r="J102" s="3711">
        <f>2645893+416877-14984+2157+13-515379-708839</f>
        <v>1825738</v>
      </c>
      <c r="K102" s="3711"/>
      <c r="L102" s="3712">
        <v>0</v>
      </c>
      <c r="M102" s="3705">
        <f>+F102+G102+H102+I102+J102</f>
        <v>18994785</v>
      </c>
      <c r="N102" s="4404"/>
      <c r="O102" s="1750"/>
      <c r="P102" s="1751"/>
    </row>
    <row r="103" spans="1:19" s="175" customFormat="1" ht="12.75" hidden="1" customHeight="1" thickBot="1">
      <c r="A103" s="4280"/>
      <c r="B103" s="3713" t="s">
        <v>139</v>
      </c>
      <c r="C103" s="4398"/>
      <c r="D103" s="1461">
        <f t="shared" si="73"/>
        <v>0</v>
      </c>
      <c r="E103" s="3714"/>
      <c r="F103" s="3715"/>
      <c r="G103" s="3715"/>
      <c r="H103" s="3715"/>
      <c r="I103" s="3715"/>
      <c r="J103" s="3715"/>
      <c r="K103" s="3715"/>
      <c r="L103" s="3715"/>
      <c r="M103" s="3709">
        <f>+K103+F103+G103+H103+I103+J103</f>
        <v>0</v>
      </c>
      <c r="N103" s="4407"/>
      <c r="O103" s="1750"/>
      <c r="P103" s="1751"/>
    </row>
    <row r="104" spans="1:19" s="175" customFormat="1">
      <c r="A104" s="4093"/>
      <c r="B104" s="3716" t="s">
        <v>29</v>
      </c>
      <c r="C104" s="4225"/>
      <c r="D104" s="3717">
        <f t="shared" si="73"/>
        <v>1115567</v>
      </c>
      <c r="E104" s="1136">
        <f t="shared" ref="E104:J104" si="75">SUM(E105:E106)</f>
        <v>719287</v>
      </c>
      <c r="F104" s="1105">
        <f t="shared" si="75"/>
        <v>94268</v>
      </c>
      <c r="G104" s="1105">
        <f t="shared" si="75"/>
        <v>84000</v>
      </c>
      <c r="H104" s="1105">
        <f t="shared" si="75"/>
        <v>76800</v>
      </c>
      <c r="I104" s="1105">
        <f t="shared" si="75"/>
        <v>76800</v>
      </c>
      <c r="J104" s="1105">
        <f t="shared" si="75"/>
        <v>64412</v>
      </c>
      <c r="K104" s="1105">
        <f>SUM(K105:K106)</f>
        <v>0</v>
      </c>
      <c r="L104" s="1105">
        <f>SUM(L105:L106)</f>
        <v>0</v>
      </c>
      <c r="M104" s="3718">
        <f>M105+M106</f>
        <v>0</v>
      </c>
      <c r="N104" s="4408"/>
      <c r="O104" s="1750">
        <v>356003</v>
      </c>
      <c r="P104" s="1751"/>
    </row>
    <row r="105" spans="1:19" s="175" customFormat="1" ht="12.75" hidden="1" customHeight="1">
      <c r="A105" s="4356"/>
      <c r="B105" s="3719" t="s">
        <v>194</v>
      </c>
      <c r="C105" s="4399"/>
      <c r="D105" s="3720">
        <f t="shared" si="73"/>
        <v>576913</v>
      </c>
      <c r="E105" s="3721">
        <f>51728+68573+60332</f>
        <v>180633</v>
      </c>
      <c r="F105" s="3722">
        <f>64019+3544+20673+6032</f>
        <v>94268</v>
      </c>
      <c r="G105" s="3722">
        <f>64019+13446+6535</f>
        <v>84000</v>
      </c>
      <c r="H105" s="3722">
        <f>64019+12781</f>
        <v>76800</v>
      </c>
      <c r="I105" s="3722">
        <f>64018+12782</f>
        <v>76800</v>
      </c>
      <c r="J105" s="3722">
        <f>64018+394</f>
        <v>64412</v>
      </c>
      <c r="K105" s="3722"/>
      <c r="L105" s="3722">
        <v>0</v>
      </c>
      <c r="M105" s="3723">
        <v>0</v>
      </c>
      <c r="N105" s="4408"/>
      <c r="O105" s="1750"/>
      <c r="P105" s="1751"/>
    </row>
    <row r="106" spans="1:19" s="175" customFormat="1" ht="12.75" hidden="1" customHeight="1">
      <c r="A106" s="4356"/>
      <c r="B106" s="3719" t="s">
        <v>195</v>
      </c>
      <c r="C106" s="4399"/>
      <c r="D106" s="3720">
        <f t="shared" si="73"/>
        <v>538654</v>
      </c>
      <c r="E106" s="3721">
        <f>304275+234379</f>
        <v>538654</v>
      </c>
      <c r="F106" s="3722">
        <f>406479-406479</f>
        <v>0</v>
      </c>
      <c r="G106" s="3722">
        <f>406478-406478</f>
        <v>0</v>
      </c>
      <c r="H106" s="3722">
        <f>406478-406478</f>
        <v>0</v>
      </c>
      <c r="I106" s="3722">
        <f>406479-406479</f>
        <v>0</v>
      </c>
      <c r="J106" s="3722">
        <f>406479-406479</f>
        <v>0</v>
      </c>
      <c r="K106" s="3722">
        <f>441506+300-2-441804</f>
        <v>0</v>
      </c>
      <c r="L106" s="3722">
        <v>0</v>
      </c>
      <c r="M106" s="3723">
        <v>0</v>
      </c>
      <c r="N106" s="4408"/>
      <c r="O106" s="1750"/>
      <c r="P106" s="1751"/>
    </row>
    <row r="107" spans="1:19" s="175" customFormat="1" ht="12.75" customHeight="1">
      <c r="A107" s="4356"/>
      <c r="B107" s="3724" t="s">
        <v>17</v>
      </c>
      <c r="C107" s="4399"/>
      <c r="D107" s="3725">
        <f>+D108</f>
        <v>189780359</v>
      </c>
      <c r="E107" s="277">
        <f>+E108</f>
        <v>62858096</v>
      </c>
      <c r="F107" s="277">
        <f t="shared" ref="F107:M107" si="76">+F108</f>
        <v>26608592</v>
      </c>
      <c r="G107" s="277">
        <f t="shared" si="76"/>
        <v>30416883</v>
      </c>
      <c r="H107" s="277">
        <f t="shared" si="76"/>
        <v>30586763</v>
      </c>
      <c r="I107" s="277">
        <f t="shared" si="76"/>
        <v>22582786</v>
      </c>
      <c r="J107" s="3725">
        <f t="shared" si="76"/>
        <v>16727239</v>
      </c>
      <c r="K107" s="277">
        <f>+K108</f>
        <v>0</v>
      </c>
      <c r="L107" s="277">
        <f>+L108</f>
        <v>0</v>
      </c>
      <c r="M107" s="3726">
        <f t="shared" si="76"/>
        <v>126922263</v>
      </c>
      <c r="N107" s="4408"/>
      <c r="O107" s="680">
        <f>+O108</f>
        <v>21473092</v>
      </c>
      <c r="P107" s="679">
        <f>D117-'[2]Tab. 6E - Administracja'!$D$115</f>
        <v>7125572</v>
      </c>
    </row>
    <row r="108" spans="1:19" s="820" customFormat="1" ht="13.5" thickBot="1">
      <c r="A108" s="4094"/>
      <c r="B108" s="3727" t="s">
        <v>19</v>
      </c>
      <c r="C108" s="4226"/>
      <c r="D108" s="1432">
        <f>E108+L108+K108+F108+G108+H108+I108+J108</f>
        <v>189780359</v>
      </c>
      <c r="E108" s="1105">
        <f>+E110+E111+E112+E113+E114+E115+E116</f>
        <v>62858096</v>
      </c>
      <c r="F108" s="1105">
        <f t="shared" ref="F108:J108" si="77">+F110+F111+F112+F113+F114+F115+F116</f>
        <v>26608592</v>
      </c>
      <c r="G108" s="1105">
        <f t="shared" si="77"/>
        <v>30416883</v>
      </c>
      <c r="H108" s="1105">
        <f t="shared" si="77"/>
        <v>30586763</v>
      </c>
      <c r="I108" s="1105">
        <f t="shared" si="77"/>
        <v>22582786</v>
      </c>
      <c r="J108" s="1105">
        <f t="shared" si="77"/>
        <v>16727239</v>
      </c>
      <c r="K108" s="1105">
        <f>+K110+K111+K112+K113+K114+K115+K116</f>
        <v>0</v>
      </c>
      <c r="L108" s="1105">
        <f>+L110+L111+L112+L113+L114+L115+L116</f>
        <v>0</v>
      </c>
      <c r="M108" s="359">
        <f>SUM(F108:J108)</f>
        <v>126922263</v>
      </c>
      <c r="N108" s="4407"/>
      <c r="O108" s="1750">
        <v>21473092</v>
      </c>
      <c r="P108" s="1751">
        <f>K117-'[1]Tab. 6E - Administracja'!$G$115</f>
        <v>-26461975</v>
      </c>
      <c r="S108" s="192"/>
    </row>
    <row r="109" spans="1:19" s="820" customFormat="1" ht="15.75" hidden="1" customHeight="1" thickBot="1">
      <c r="A109" s="4280"/>
      <c r="B109" s="694" t="s">
        <v>135</v>
      </c>
      <c r="C109" s="3728"/>
      <c r="D109" s="3729"/>
      <c r="E109" s="3730"/>
      <c r="F109" s="3730"/>
      <c r="G109" s="3730"/>
      <c r="H109" s="3730"/>
      <c r="I109" s="3730"/>
      <c r="J109" s="3730"/>
      <c r="K109" s="3730"/>
      <c r="L109" s="3730"/>
      <c r="M109" s="3731"/>
      <c r="N109" s="4403"/>
      <c r="O109" s="1750"/>
      <c r="P109" s="678"/>
      <c r="S109" s="82"/>
    </row>
    <row r="110" spans="1:19" s="820" customFormat="1" ht="12.75" hidden="1" customHeight="1" thickBot="1">
      <c r="A110" s="4280"/>
      <c r="B110" s="3732" t="s">
        <v>136</v>
      </c>
      <c r="C110" s="3733"/>
      <c r="D110" s="468">
        <f t="shared" ref="D110:D116" si="78">E110+L110+K110+F110+G110+H110+I110+J110</f>
        <v>61400560</v>
      </c>
      <c r="E110" s="3734">
        <f>6418+10696707-5063+12765994+15538647</f>
        <v>39002703</v>
      </c>
      <c r="F110" s="3735">
        <f>1820395+620000-140395+15000+227456+400000+1187640+888759+510111+100457+751134+176877+280604+2456669+46776+670317+220496+875022+155822+1064843-695622+63821+148460+462274+620058</f>
        <v>12926974</v>
      </c>
      <c r="G110" s="3735">
        <f>1820395+865067-985462+326000+516456+281316+588398</f>
        <v>3412170</v>
      </c>
      <c r="H110" s="3735">
        <f>1820395-120395+1123772</f>
        <v>2823772</v>
      </c>
      <c r="I110" s="3735">
        <f>1820395-120395</f>
        <v>1700000</v>
      </c>
      <c r="J110" s="3735">
        <f>1820391-285524+74</f>
        <v>1534941</v>
      </c>
      <c r="K110" s="3735"/>
      <c r="L110" s="3735">
        <v>0</v>
      </c>
      <c r="M110" s="3705">
        <f t="shared" ref="M110:M115" si="79">+F110+G110+H110+I110+J110</f>
        <v>22397857</v>
      </c>
      <c r="N110" s="4403"/>
      <c r="O110" s="1750"/>
      <c r="P110" s="680"/>
      <c r="S110" s="82"/>
    </row>
    <row r="111" spans="1:19" s="820" customFormat="1" ht="12.75" hidden="1" customHeight="1" thickBot="1">
      <c r="A111" s="4280"/>
      <c r="B111" s="3736" t="s">
        <v>137</v>
      </c>
      <c r="C111" s="3737"/>
      <c r="D111" s="468">
        <f t="shared" si="78"/>
        <v>18377558</v>
      </c>
      <c r="E111" s="3708">
        <f>5406+2022679+2320551+2050374</f>
        <v>6399010</v>
      </c>
      <c r="F111" s="3708">
        <f>1813339+841315-154654+596852-324000</f>
        <v>2772852</v>
      </c>
      <c r="G111" s="3708">
        <f>1813339-113339+446000+17000+805414</f>
        <v>2968414</v>
      </c>
      <c r="H111" s="3708">
        <f>1813339-113339+17000+1251414</f>
        <v>2968414</v>
      </c>
      <c r="I111" s="3708">
        <f>1813339-113339+17000</f>
        <v>1717000</v>
      </c>
      <c r="J111" s="3708">
        <f>1813335-278467+17000</f>
        <v>1551868</v>
      </c>
      <c r="K111" s="3708"/>
      <c r="L111" s="3708">
        <v>0</v>
      </c>
      <c r="M111" s="3705">
        <f t="shared" si="79"/>
        <v>11978548</v>
      </c>
      <c r="N111" s="4403"/>
      <c r="O111" s="1750"/>
      <c r="P111" s="1750"/>
      <c r="S111" s="82"/>
    </row>
    <row r="112" spans="1:19" s="193" customFormat="1" ht="12.75" hidden="1" customHeight="1" thickBot="1">
      <c r="A112" s="4280"/>
      <c r="B112" s="3738" t="s">
        <v>138</v>
      </c>
      <c r="C112" s="3739"/>
      <c r="D112" s="468">
        <f t="shared" si="78"/>
        <v>85671921</v>
      </c>
      <c r="E112" s="3740">
        <f>71254+3533980-75275+2330050+2438171</f>
        <v>8298180</v>
      </c>
      <c r="F112" s="3741">
        <f>5121786+7675610+564375+1968441+2006240+376679-1187640-888759-510111-100457-751134-176877-280604-2456669-46776-670317-220496-875022-155822-1064843+1046141-63821-148460-462274-620058</f>
        <v>8079132</v>
      </c>
      <c r="G112" s="3741">
        <f>5224221+7829122+575662+2027494+491996+174564+2275728+1800618</f>
        <v>20399405</v>
      </c>
      <c r="H112" s="3741">
        <f>13901587+2088319+5429471</f>
        <v>21419377</v>
      </c>
      <c r="I112" s="3741">
        <f>14179618+2150968</f>
        <v>16330586</v>
      </c>
      <c r="J112" s="3741">
        <f>14463209+2215498-1821322-3712144</f>
        <v>11145241</v>
      </c>
      <c r="K112" s="3741"/>
      <c r="L112" s="3741">
        <v>0</v>
      </c>
      <c r="M112" s="3705">
        <f t="shared" si="79"/>
        <v>77373741</v>
      </c>
      <c r="N112" s="4403"/>
      <c r="O112" s="1750"/>
      <c r="P112" s="1750"/>
      <c r="S112" s="194"/>
    </row>
    <row r="113" spans="1:20" s="193" customFormat="1" ht="12.75" hidden="1" customHeight="1" thickBot="1">
      <c r="A113" s="4280"/>
      <c r="B113" s="3713" t="s">
        <v>139</v>
      </c>
      <c r="C113" s="3742"/>
      <c r="D113" s="468">
        <f t="shared" si="78"/>
        <v>13842154</v>
      </c>
      <c r="E113" s="3743">
        <f>1532968+1445489+1388467</f>
        <v>4366924</v>
      </c>
      <c r="F113" s="3743">
        <f>2048339-48339-254960</f>
        <v>1745040</v>
      </c>
      <c r="G113" s="3743">
        <f>2048339-48339</f>
        <v>2000000</v>
      </c>
      <c r="H113" s="3743">
        <f>2048339-48339</f>
        <v>2000000</v>
      </c>
      <c r="I113" s="3743">
        <f>2048339-48339</f>
        <v>2000000</v>
      </c>
      <c r="J113" s="3743">
        <f>2048336-148336-169810</f>
        <v>1730190</v>
      </c>
      <c r="K113" s="3743"/>
      <c r="L113" s="3743">
        <v>0</v>
      </c>
      <c r="M113" s="3705">
        <f t="shared" si="79"/>
        <v>9475230</v>
      </c>
      <c r="N113" s="4403"/>
      <c r="O113" s="1750"/>
      <c r="P113" s="1750"/>
      <c r="S113" s="194"/>
    </row>
    <row r="114" spans="1:20" s="193" customFormat="1" ht="12.75" hidden="1" customHeight="1" thickBot="1">
      <c r="A114" s="4280"/>
      <c r="B114" s="3713" t="s">
        <v>280</v>
      </c>
      <c r="C114" s="3744"/>
      <c r="D114" s="468">
        <f t="shared" si="78"/>
        <v>4166631</v>
      </c>
      <c r="E114" s="3745">
        <f>160590+554737</f>
        <v>715327</v>
      </c>
      <c r="F114" s="3745">
        <f>420000+88900+180510-139000</f>
        <v>550410</v>
      </c>
      <c r="G114" s="3745">
        <f>405000+284410+471484</f>
        <v>1160894</v>
      </c>
      <c r="H114" s="3745">
        <f>400000+540000</f>
        <v>940000</v>
      </c>
      <c r="I114" s="3745">
        <v>400000</v>
      </c>
      <c r="J114" s="3745">
        <v>400000</v>
      </c>
      <c r="K114" s="3745"/>
      <c r="L114" s="3745">
        <v>0</v>
      </c>
      <c r="M114" s="3705">
        <f t="shared" si="79"/>
        <v>3451304</v>
      </c>
      <c r="N114" s="4403"/>
      <c r="O114" s="1750"/>
      <c r="P114" s="1750"/>
      <c r="S114" s="194"/>
    </row>
    <row r="115" spans="1:20" s="193" customFormat="1" ht="12.75" hidden="1" customHeight="1" thickBot="1">
      <c r="A115" s="4280"/>
      <c r="B115" s="3746" t="s">
        <v>209</v>
      </c>
      <c r="C115" s="3747"/>
      <c r="D115" s="468">
        <f t="shared" si="78"/>
        <v>3269172</v>
      </c>
      <c r="E115" s="3748">
        <f>293127+388577+341885</f>
        <v>1023589</v>
      </c>
      <c r="F115" s="3749">
        <f>362772+20083+117145+34184</f>
        <v>534184</v>
      </c>
      <c r="G115" s="3749">
        <f>362772+76194+37034</f>
        <v>476000</v>
      </c>
      <c r="H115" s="3749">
        <f>362772+72428</f>
        <v>435200</v>
      </c>
      <c r="I115" s="3749">
        <f>362773+72427</f>
        <v>435200</v>
      </c>
      <c r="J115" s="3749">
        <f>362773+2226</f>
        <v>364999</v>
      </c>
      <c r="K115" s="3749"/>
      <c r="L115" s="3750">
        <v>0</v>
      </c>
      <c r="M115" s="3705">
        <f t="shared" si="79"/>
        <v>2245583</v>
      </c>
      <c r="N115" s="4403"/>
      <c r="O115" s="1750"/>
      <c r="P115" s="1750"/>
      <c r="S115" s="194"/>
    </row>
    <row r="116" spans="1:20" s="193" customFormat="1" ht="12.75" hidden="1" customHeight="1">
      <c r="A116" s="4092"/>
      <c r="B116" s="3746" t="s">
        <v>210</v>
      </c>
      <c r="C116" s="3751"/>
      <c r="D116" s="468">
        <f t="shared" si="78"/>
        <v>3052363</v>
      </c>
      <c r="E116" s="3748">
        <f>1724218+1328145</f>
        <v>3052363</v>
      </c>
      <c r="F116" s="3749">
        <f>2303378-2303378</f>
        <v>0</v>
      </c>
      <c r="G116" s="3749">
        <f>2303378-2303378</f>
        <v>0</v>
      </c>
      <c r="H116" s="3749">
        <f>2303378-2303378</f>
        <v>0</v>
      </c>
      <c r="I116" s="3749">
        <f>2303377-2303377</f>
        <v>0</v>
      </c>
      <c r="J116" s="3749">
        <f>2303377-2303377</f>
        <v>0</v>
      </c>
      <c r="K116" s="3749">
        <f>2501869+1700-1-2503568</f>
        <v>0</v>
      </c>
      <c r="L116" s="3750">
        <v>0</v>
      </c>
      <c r="M116" s="3752">
        <f>+K116+F116+G116+H116+I116+J116</f>
        <v>0</v>
      </c>
      <c r="N116" s="4406"/>
      <c r="O116" s="1750"/>
      <c r="P116" s="1750"/>
      <c r="S116" s="194"/>
    </row>
    <row r="117" spans="1:20" s="820" customFormat="1" ht="16.5" customHeight="1">
      <c r="A117" s="4348"/>
      <c r="B117" s="37" t="s">
        <v>20</v>
      </c>
      <c r="C117" s="80"/>
      <c r="D117" s="196">
        <f>+D118</f>
        <v>189780359</v>
      </c>
      <c r="E117" s="196">
        <f t="shared" ref="E117:J117" si="80">+E118</f>
        <v>59125067</v>
      </c>
      <c r="F117" s="790">
        <f t="shared" si="80"/>
        <v>26478702</v>
      </c>
      <c r="G117" s="790">
        <f t="shared" si="80"/>
        <v>27433702</v>
      </c>
      <c r="H117" s="790">
        <f t="shared" si="80"/>
        <v>13740751</v>
      </c>
      <c r="I117" s="790">
        <f t="shared" si="80"/>
        <v>23254317</v>
      </c>
      <c r="J117" s="790">
        <f t="shared" si="80"/>
        <v>25353504</v>
      </c>
      <c r="K117" s="196">
        <f>+K118</f>
        <v>0</v>
      </c>
      <c r="L117" s="196">
        <f>+L118</f>
        <v>0</v>
      </c>
      <c r="M117" s="4243" t="s">
        <v>51</v>
      </c>
      <c r="N117" s="4408"/>
      <c r="O117" s="4400" t="s">
        <v>596</v>
      </c>
      <c r="P117" s="4400"/>
      <c r="Q117" s="4400"/>
      <c r="R117" s="4400"/>
      <c r="T117" s="156">
        <f>D121-'[2]Tab. 6E - Administracja'!$D$119</f>
        <v>-110740</v>
      </c>
    </row>
    <row r="118" spans="1:20" s="820" customFormat="1">
      <c r="A118" s="4348"/>
      <c r="B118" s="3753" t="s">
        <v>17</v>
      </c>
      <c r="C118" s="4002" t="s">
        <v>193</v>
      </c>
      <c r="D118" s="773">
        <f t="shared" ref="D118:J118" si="81">+D119</f>
        <v>189780359</v>
      </c>
      <c r="E118" s="773">
        <f t="shared" si="81"/>
        <v>59125067</v>
      </c>
      <c r="F118" s="788">
        <f t="shared" si="81"/>
        <v>26478702</v>
      </c>
      <c r="G118" s="788">
        <f t="shared" si="81"/>
        <v>27433702</v>
      </c>
      <c r="H118" s="788">
        <f t="shared" si="81"/>
        <v>13740751</v>
      </c>
      <c r="I118" s="788">
        <f t="shared" si="81"/>
        <v>23254317</v>
      </c>
      <c r="J118" s="788">
        <f t="shared" si="81"/>
        <v>25353504</v>
      </c>
      <c r="K118" s="788">
        <f>+K119</f>
        <v>0</v>
      </c>
      <c r="L118" s="788">
        <f>+L119</f>
        <v>0</v>
      </c>
      <c r="M118" s="4251"/>
      <c r="N118" s="4408"/>
      <c r="O118" s="4400"/>
      <c r="P118" s="4400"/>
      <c r="Q118" s="4400"/>
      <c r="R118" s="4400"/>
    </row>
    <row r="119" spans="1:20" s="820" customFormat="1" ht="13.5" thickBot="1">
      <c r="A119" s="4349"/>
      <c r="B119" s="187" t="s">
        <v>321</v>
      </c>
      <c r="C119" s="4341"/>
      <c r="D119" s="1142">
        <f>E119+L119+K119+F119+G119+H119+I119+J119+2029435+2998719+2055406+3812897+2520257-11253840+12231442</f>
        <v>189780359</v>
      </c>
      <c r="E119" s="1542">
        <f>14581335-5063-75275+22777460+21846610</f>
        <v>59125067</v>
      </c>
      <c r="F119" s="976">
        <f>29939078-8229084+354097+1107218+5454925-5693167+221045-354239+3399481+916964-198127-439489</f>
        <v>26478702</v>
      </c>
      <c r="G119" s="976">
        <f>30223312-8246084-386089+82192+1168964-1018024+848194+17000-7137103-1301481+14303035-1120214</f>
        <v>27433702</v>
      </c>
      <c r="H119" s="976">
        <f>30407494-8157684-97132+17000+472638-4300184-4601381</f>
        <v>13740751</v>
      </c>
      <c r="I119" s="976">
        <f>30073524-7545683-34482+17000+743958</f>
        <v>23254317</v>
      </c>
      <c r="J119" s="976">
        <f>30175721-7364300-400206-169810+74+17000+2039811+1055214</f>
        <v>25353504</v>
      </c>
      <c r="K119" s="976"/>
      <c r="L119" s="976">
        <v>0</v>
      </c>
      <c r="M119" s="4252"/>
      <c r="N119" s="4407"/>
      <c r="O119" s="4400"/>
      <c r="P119" s="4400"/>
      <c r="Q119" s="4400"/>
      <c r="R119" s="4400"/>
    </row>
    <row r="120" spans="1:20" s="820" customFormat="1" ht="24" customHeight="1">
      <c r="A120" s="4092" t="s">
        <v>76</v>
      </c>
      <c r="B120" s="71" t="s">
        <v>205</v>
      </c>
      <c r="C120" s="72" t="s">
        <v>70</v>
      </c>
      <c r="D120" s="216"/>
      <c r="E120" s="215"/>
      <c r="F120" s="215"/>
      <c r="G120" s="215"/>
      <c r="H120" s="215"/>
      <c r="I120" s="215"/>
      <c r="J120" s="762"/>
      <c r="K120" s="215"/>
      <c r="L120" s="215"/>
      <c r="M120" s="216"/>
      <c r="N120" s="4327" t="s">
        <v>288</v>
      </c>
      <c r="O120" s="4401"/>
      <c r="P120" s="4400"/>
      <c r="Q120" s="4400"/>
      <c r="R120" s="4400"/>
    </row>
    <row r="121" spans="1:20" s="820" customFormat="1">
      <c r="A121" s="4093"/>
      <c r="B121" s="336" t="s">
        <v>9</v>
      </c>
      <c r="C121" s="3695"/>
      <c r="D121" s="783">
        <f t="shared" ref="D121:G121" si="82">+D126+D122</f>
        <v>2665986</v>
      </c>
      <c r="E121" s="783">
        <f t="shared" ref="E121" si="83">+E126+E122</f>
        <v>1413558</v>
      </c>
      <c r="F121" s="783">
        <f t="shared" si="82"/>
        <v>441387</v>
      </c>
      <c r="G121" s="783">
        <f t="shared" si="82"/>
        <v>265000</v>
      </c>
      <c r="H121" s="783">
        <f>+H126+H122</f>
        <v>200000</v>
      </c>
      <c r="I121" s="783">
        <f>+I126+I122</f>
        <v>200000</v>
      </c>
      <c r="J121" s="783">
        <f>+J126+J122</f>
        <v>146041</v>
      </c>
      <c r="K121" s="783">
        <f>+K126+K122</f>
        <v>0</v>
      </c>
      <c r="L121" s="783">
        <f>+L126+L122</f>
        <v>0</v>
      </c>
      <c r="M121" s="3696">
        <f>+M126</f>
        <v>1252428</v>
      </c>
      <c r="N121" s="4328"/>
      <c r="O121" s="4401"/>
      <c r="P121" s="4400"/>
      <c r="Q121" s="4400"/>
      <c r="R121" s="4400"/>
    </row>
    <row r="122" spans="1:20" s="820" customFormat="1" ht="13.5" customHeight="1">
      <c r="A122" s="4093"/>
      <c r="B122" s="326" t="s">
        <v>22</v>
      </c>
      <c r="C122" s="4002" t="s">
        <v>579</v>
      </c>
      <c r="D122" s="784">
        <f>+D123</f>
        <v>35657</v>
      </c>
      <c r="E122" s="784">
        <f t="shared" ref="E122:J122" si="84">+E123</f>
        <v>35657</v>
      </c>
      <c r="F122" s="3754">
        <f t="shared" si="84"/>
        <v>0</v>
      </c>
      <c r="G122" s="3754">
        <f t="shared" si="84"/>
        <v>0</v>
      </c>
      <c r="H122" s="3754">
        <f t="shared" si="84"/>
        <v>0</v>
      </c>
      <c r="I122" s="3754">
        <f t="shared" si="84"/>
        <v>0</v>
      </c>
      <c r="J122" s="3754">
        <f t="shared" si="84"/>
        <v>0</v>
      </c>
      <c r="K122" s="784">
        <f>+K123</f>
        <v>0</v>
      </c>
      <c r="L122" s="784">
        <f>+L123</f>
        <v>0</v>
      </c>
      <c r="M122" s="3755">
        <f>+M123</f>
        <v>0</v>
      </c>
      <c r="N122" s="4328"/>
      <c r="O122" s="4401"/>
      <c r="P122" s="4400"/>
      <c r="Q122" s="4400"/>
      <c r="R122" s="4400"/>
    </row>
    <row r="123" spans="1:20" s="820" customFormat="1" ht="13.5" customHeight="1">
      <c r="A123" s="4093"/>
      <c r="B123" s="3756" t="s">
        <v>29</v>
      </c>
      <c r="C123" s="4225"/>
      <c r="D123" s="3698">
        <f>E123+L123+K123+F123+G123+H123+I123+J123</f>
        <v>35657</v>
      </c>
      <c r="E123" s="3698">
        <f t="shared" ref="E123:J123" si="85">SUM(E124:E125)</f>
        <v>35657</v>
      </c>
      <c r="F123" s="3757">
        <f t="shared" si="85"/>
        <v>0</v>
      </c>
      <c r="G123" s="3757">
        <f t="shared" si="85"/>
        <v>0</v>
      </c>
      <c r="H123" s="3757">
        <f t="shared" si="85"/>
        <v>0</v>
      </c>
      <c r="I123" s="3757">
        <f t="shared" si="85"/>
        <v>0</v>
      </c>
      <c r="J123" s="3757">
        <f t="shared" si="85"/>
        <v>0</v>
      </c>
      <c r="K123" s="3698">
        <f>SUM(K124:K125)</f>
        <v>0</v>
      </c>
      <c r="L123" s="3698">
        <f>SUM(L124:L125)</f>
        <v>0</v>
      </c>
      <c r="M123" s="3758">
        <v>0</v>
      </c>
      <c r="N123" s="4328"/>
      <c r="O123" s="4401"/>
      <c r="P123" s="4400"/>
      <c r="Q123" s="4400"/>
      <c r="R123" s="4400"/>
    </row>
    <row r="124" spans="1:20" s="820" customFormat="1" ht="13.5" hidden="1" customHeight="1">
      <c r="A124" s="4093"/>
      <c r="B124" s="3759" t="s">
        <v>194</v>
      </c>
      <c r="C124" s="4225"/>
      <c r="D124" s="3748">
        <f>E124+L124+K124+F124+G124+H124+I124+J124</f>
        <v>7180</v>
      </c>
      <c r="E124" s="3748">
        <f>6636+544</f>
        <v>7180</v>
      </c>
      <c r="F124" s="3760">
        <f>865-865</f>
        <v>0</v>
      </c>
      <c r="G124" s="3760"/>
      <c r="H124" s="3760"/>
      <c r="I124" s="3760"/>
      <c r="J124" s="3760"/>
      <c r="K124" s="3760">
        <f>865-865</f>
        <v>0</v>
      </c>
      <c r="L124" s="3761">
        <v>0</v>
      </c>
      <c r="M124" s="3762">
        <v>0</v>
      </c>
      <c r="N124" s="4328"/>
      <c r="O124" s="4401"/>
      <c r="P124" s="4400"/>
      <c r="Q124" s="4400"/>
      <c r="R124" s="4400"/>
    </row>
    <row r="125" spans="1:20" s="820" customFormat="1" ht="13.5" hidden="1" customHeight="1">
      <c r="A125" s="4093"/>
      <c r="B125" s="3759" t="s">
        <v>195</v>
      </c>
      <c r="C125" s="4225"/>
      <c r="D125" s="3748">
        <f>E125+L125+K125+F125+G125+H125+I125+J125</f>
        <v>28477</v>
      </c>
      <c r="E125" s="3748">
        <v>28477</v>
      </c>
      <c r="F125" s="3760">
        <f>975-975</f>
        <v>0</v>
      </c>
      <c r="G125" s="3760">
        <f>975-975</f>
        <v>0</v>
      </c>
      <c r="H125" s="3760">
        <f>975-975</f>
        <v>0</v>
      </c>
      <c r="I125" s="3760">
        <f>975-975</f>
        <v>0</v>
      </c>
      <c r="J125" s="3760">
        <f>975-975</f>
        <v>0</v>
      </c>
      <c r="K125" s="3760">
        <f>1800-300-1500</f>
        <v>0</v>
      </c>
      <c r="L125" s="3761">
        <f>975+525+5215-6715</f>
        <v>0</v>
      </c>
      <c r="M125" s="3762">
        <v>0</v>
      </c>
      <c r="N125" s="4328"/>
      <c r="O125" s="4401"/>
      <c r="P125" s="4400"/>
      <c r="Q125" s="4400"/>
      <c r="R125" s="4400"/>
    </row>
    <row r="126" spans="1:20" s="820" customFormat="1" ht="13.5" customHeight="1" thickBot="1">
      <c r="A126" s="4094"/>
      <c r="B126" s="1184" t="s">
        <v>17</v>
      </c>
      <c r="C126" s="4341"/>
      <c r="D126" s="1126">
        <f>+D127</f>
        <v>2630329</v>
      </c>
      <c r="E126" s="3763">
        <f>+E127</f>
        <v>1377901</v>
      </c>
      <c r="F126" s="1126">
        <f t="shared" ref="F126:M126" si="86">+F127</f>
        <v>441387</v>
      </c>
      <c r="G126" s="1126">
        <f t="shared" si="86"/>
        <v>265000</v>
      </c>
      <c r="H126" s="1126">
        <f t="shared" si="86"/>
        <v>200000</v>
      </c>
      <c r="I126" s="1126">
        <f t="shared" si="86"/>
        <v>200000</v>
      </c>
      <c r="J126" s="1126">
        <f t="shared" si="86"/>
        <v>146041</v>
      </c>
      <c r="K126" s="1126">
        <f>+K127</f>
        <v>0</v>
      </c>
      <c r="L126" s="3763">
        <f>+L127</f>
        <v>0</v>
      </c>
      <c r="M126" s="3764">
        <f t="shared" si="86"/>
        <v>1252428</v>
      </c>
      <c r="N126" s="4329"/>
      <c r="O126" s="4401"/>
      <c r="P126" s="4400"/>
      <c r="Q126" s="4400"/>
      <c r="R126" s="4400"/>
    </row>
    <row r="127" spans="1:20" s="820" customFormat="1">
      <c r="A127" s="4093"/>
      <c r="B127" s="1106" t="s">
        <v>19</v>
      </c>
      <c r="C127" s="4226"/>
      <c r="D127" s="1105">
        <f>E127+L127+K127+F127+G127+H127+I127+J127</f>
        <v>2630329</v>
      </c>
      <c r="E127" s="1105">
        <f>+E129+E130+E131+E132+E133+E134+E135</f>
        <v>1377901</v>
      </c>
      <c r="F127" s="1105">
        <f t="shared" ref="F127:J127" si="87">+F129+F130+F131+F132+F133+F134+F135</f>
        <v>441387</v>
      </c>
      <c r="G127" s="1105">
        <f t="shared" si="87"/>
        <v>265000</v>
      </c>
      <c r="H127" s="1105">
        <f t="shared" si="87"/>
        <v>200000</v>
      </c>
      <c r="I127" s="1105">
        <f t="shared" si="87"/>
        <v>200000</v>
      </c>
      <c r="J127" s="1105">
        <f t="shared" si="87"/>
        <v>146041</v>
      </c>
      <c r="K127" s="1105">
        <f>+K129+K130+K131+K132+K133+K134+K135</f>
        <v>0</v>
      </c>
      <c r="L127" s="1105">
        <f>+L129+L130+L131+L132+L133+L134+L135</f>
        <v>0</v>
      </c>
      <c r="M127" s="359">
        <f>SUM(F127:J127)</f>
        <v>1252428</v>
      </c>
      <c r="N127" s="4328"/>
      <c r="O127" s="4401"/>
      <c r="P127" s="4400"/>
      <c r="Q127" s="4400"/>
      <c r="R127" s="4400"/>
    </row>
    <row r="128" spans="1:20" s="820" customFormat="1" ht="12.75" hidden="1" customHeight="1">
      <c r="A128" s="4093"/>
      <c r="B128" s="694" t="s">
        <v>135</v>
      </c>
      <c r="C128" s="3765"/>
      <c r="D128" s="771"/>
      <c r="E128" s="771"/>
      <c r="F128" s="775"/>
      <c r="G128" s="775"/>
      <c r="H128" s="775"/>
      <c r="I128" s="775"/>
      <c r="J128" s="775"/>
      <c r="K128" s="775"/>
      <c r="L128" s="775"/>
      <c r="M128" s="3731"/>
      <c r="N128" s="4328"/>
      <c r="O128" s="4401"/>
      <c r="P128" s="4400"/>
      <c r="Q128" s="4400"/>
      <c r="R128" s="4400"/>
    </row>
    <row r="129" spans="1:18" s="820" customFormat="1" ht="12.75" hidden="1" customHeight="1">
      <c r="A129" s="4093"/>
      <c r="B129" s="3732" t="s">
        <v>136</v>
      </c>
      <c r="C129" s="3733"/>
      <c r="D129" s="3734">
        <f t="shared" ref="D129:D135" si="88">E129+L129+K129+F129+G129+H129+I129+J129</f>
        <v>2172424</v>
      </c>
      <c r="E129" s="3734">
        <f>144449+351348+598459</f>
        <v>1094256</v>
      </c>
      <c r="F129" s="3735">
        <f>144500+50000+42627+30000</f>
        <v>267127</v>
      </c>
      <c r="G129" s="3735">
        <f>144500+55500+65000</f>
        <v>265000</v>
      </c>
      <c r="H129" s="3735">
        <f>144500+55500</f>
        <v>200000</v>
      </c>
      <c r="I129" s="3735">
        <f>144500+55500</f>
        <v>200000</v>
      </c>
      <c r="J129" s="3735">
        <f>144500+1541</f>
        <v>146041</v>
      </c>
      <c r="K129" s="3735"/>
      <c r="L129" s="3735">
        <v>0</v>
      </c>
      <c r="M129" s="772">
        <f t="shared" ref="M129:M135" si="89">SUM(F129:J129)</f>
        <v>1078168</v>
      </c>
      <c r="N129" s="4328"/>
      <c r="O129" s="4401"/>
      <c r="P129" s="4400"/>
      <c r="Q129" s="4400"/>
      <c r="R129" s="4400"/>
    </row>
    <row r="130" spans="1:18" s="820" customFormat="1" ht="12.75" hidden="1" customHeight="1">
      <c r="A130" s="4093"/>
      <c r="B130" s="3736" t="s">
        <v>137</v>
      </c>
      <c r="C130" s="3766"/>
      <c r="D130" s="3708">
        <f t="shared" si="88"/>
        <v>233933</v>
      </c>
      <c r="E130" s="3708">
        <f>14078+45595</f>
        <v>59673</v>
      </c>
      <c r="F130" s="3708">
        <f>350000-175740</f>
        <v>174260</v>
      </c>
      <c r="G130" s="3708">
        <f>17000-17000</f>
        <v>0</v>
      </c>
      <c r="H130" s="3708">
        <f>17000-17000</f>
        <v>0</v>
      </c>
      <c r="I130" s="3708">
        <f>17000-17000</f>
        <v>0</v>
      </c>
      <c r="J130" s="3708">
        <f>17000-17000</f>
        <v>0</v>
      </c>
      <c r="K130" s="3708">
        <f>17000+2922-19922</f>
        <v>0</v>
      </c>
      <c r="L130" s="3708">
        <v>0</v>
      </c>
      <c r="M130" s="772">
        <f t="shared" si="89"/>
        <v>174260</v>
      </c>
      <c r="N130" s="4328"/>
      <c r="O130" s="4401"/>
      <c r="P130" s="4400"/>
      <c r="Q130" s="4400"/>
      <c r="R130" s="4400"/>
    </row>
    <row r="131" spans="1:18" s="820" customFormat="1" ht="12.75" hidden="1" customHeight="1">
      <c r="A131" s="4093"/>
      <c r="B131" s="3738" t="s">
        <v>138</v>
      </c>
      <c r="C131" s="3767"/>
      <c r="D131" s="3740">
        <f t="shared" si="88"/>
        <v>0</v>
      </c>
      <c r="E131" s="3740"/>
      <c r="F131" s="3741"/>
      <c r="G131" s="3741"/>
      <c r="H131" s="3741"/>
      <c r="I131" s="3741"/>
      <c r="J131" s="3741"/>
      <c r="K131" s="3741"/>
      <c r="L131" s="3741"/>
      <c r="M131" s="772">
        <f t="shared" si="89"/>
        <v>0</v>
      </c>
      <c r="N131" s="4328"/>
      <c r="O131" s="4401"/>
      <c r="P131" s="4400"/>
      <c r="Q131" s="4400"/>
      <c r="R131" s="4400"/>
    </row>
    <row r="132" spans="1:18" s="820" customFormat="1" ht="12.75" hidden="1" customHeight="1">
      <c r="A132" s="4093"/>
      <c r="B132" s="3713" t="s">
        <v>139</v>
      </c>
      <c r="C132" s="3768"/>
      <c r="D132" s="3743">
        <f t="shared" si="88"/>
        <v>21912</v>
      </c>
      <c r="E132" s="3743">
        <v>21912</v>
      </c>
      <c r="F132" s="3743"/>
      <c r="G132" s="3743"/>
      <c r="H132" s="3743"/>
      <c r="I132" s="3743"/>
      <c r="J132" s="3743"/>
      <c r="K132" s="3743"/>
      <c r="L132" s="3743">
        <v>0</v>
      </c>
      <c r="M132" s="772">
        <f t="shared" si="89"/>
        <v>0</v>
      </c>
      <c r="N132" s="4328"/>
      <c r="O132" s="4401"/>
      <c r="P132" s="4400"/>
      <c r="Q132" s="4400"/>
      <c r="R132" s="4400"/>
    </row>
    <row r="133" spans="1:18" s="820" customFormat="1" ht="12.75" hidden="1" customHeight="1">
      <c r="A133" s="4093"/>
      <c r="B133" s="3713" t="s">
        <v>281</v>
      </c>
      <c r="C133" s="3769"/>
      <c r="D133" s="3743">
        <f t="shared" si="88"/>
        <v>0</v>
      </c>
      <c r="E133" s="3743">
        <v>0</v>
      </c>
      <c r="F133" s="3743"/>
      <c r="G133" s="3743"/>
      <c r="H133" s="3743"/>
      <c r="I133" s="3743"/>
      <c r="J133" s="3743"/>
      <c r="K133" s="3743"/>
      <c r="L133" s="3743">
        <f>25000-25000</f>
        <v>0</v>
      </c>
      <c r="M133" s="772">
        <f t="shared" si="89"/>
        <v>0</v>
      </c>
      <c r="N133" s="4328"/>
      <c r="O133" s="4401"/>
      <c r="P133" s="4400"/>
      <c r="Q133" s="4400"/>
      <c r="R133" s="4400"/>
    </row>
    <row r="134" spans="1:18" s="820" customFormat="1" ht="12.75" hidden="1" customHeight="1">
      <c r="A134" s="4093"/>
      <c r="B134" s="3746" t="s">
        <v>273</v>
      </c>
      <c r="C134" s="3770"/>
      <c r="D134" s="3748">
        <f t="shared" si="88"/>
        <v>40690</v>
      </c>
      <c r="E134" s="3748">
        <f>37607+3083</f>
        <v>40690</v>
      </c>
      <c r="F134" s="3748">
        <f>4907-4907</f>
        <v>0</v>
      </c>
      <c r="G134" s="3748"/>
      <c r="H134" s="3748"/>
      <c r="I134" s="3748"/>
      <c r="J134" s="3748"/>
      <c r="K134" s="3748">
        <f>4907-4907</f>
        <v>0</v>
      </c>
      <c r="L134" s="3748">
        <v>0</v>
      </c>
      <c r="M134" s="772">
        <f t="shared" si="89"/>
        <v>0</v>
      </c>
      <c r="N134" s="4328"/>
      <c r="O134" s="4401"/>
      <c r="P134" s="4400"/>
      <c r="Q134" s="4400"/>
      <c r="R134" s="4400"/>
    </row>
    <row r="135" spans="1:18" s="820" customFormat="1" ht="12.75" hidden="1" customHeight="1">
      <c r="A135" s="4093"/>
      <c r="B135" s="3746" t="s">
        <v>210</v>
      </c>
      <c r="C135" s="3771"/>
      <c r="D135" s="3748">
        <f t="shared" si="88"/>
        <v>161370</v>
      </c>
      <c r="E135" s="3748">
        <v>161370</v>
      </c>
      <c r="F135" s="3748">
        <f>5525-5525</f>
        <v>0</v>
      </c>
      <c r="G135" s="3748">
        <f>5525-5525</f>
        <v>0</v>
      </c>
      <c r="H135" s="3748">
        <f>5525-5525</f>
        <v>0</v>
      </c>
      <c r="I135" s="3748">
        <f>5525-5525</f>
        <v>0</v>
      </c>
      <c r="J135" s="3748">
        <f>5525-5525</f>
        <v>0</v>
      </c>
      <c r="K135" s="3748">
        <f>10200-1700-8500</f>
        <v>0</v>
      </c>
      <c r="L135" s="3748">
        <f>5525+2975+29556-38056</f>
        <v>0</v>
      </c>
      <c r="M135" s="772">
        <f t="shared" si="89"/>
        <v>0</v>
      </c>
      <c r="N135" s="4328"/>
      <c r="O135" s="4401"/>
      <c r="P135" s="4400"/>
      <c r="Q135" s="4400"/>
      <c r="R135" s="4400"/>
    </row>
    <row r="136" spans="1:18" s="820" customFormat="1">
      <c r="A136" s="4093"/>
      <c r="B136" s="37" t="s">
        <v>20</v>
      </c>
      <c r="C136" s="80"/>
      <c r="D136" s="196">
        <f>+D137</f>
        <v>2630329</v>
      </c>
      <c r="E136" s="196">
        <f t="shared" ref="E136:J136" si="90">+E137</f>
        <v>888502</v>
      </c>
      <c r="F136" s="196">
        <f t="shared" si="90"/>
        <v>930786</v>
      </c>
      <c r="G136" s="196">
        <f t="shared" si="90"/>
        <v>265000</v>
      </c>
      <c r="H136" s="196">
        <f t="shared" si="90"/>
        <v>200000</v>
      </c>
      <c r="I136" s="196">
        <f t="shared" si="90"/>
        <v>200000</v>
      </c>
      <c r="J136" s="196">
        <f t="shared" si="90"/>
        <v>146041</v>
      </c>
      <c r="K136" s="196">
        <f>+K137</f>
        <v>0</v>
      </c>
      <c r="L136" s="196">
        <f>+L137</f>
        <v>0</v>
      </c>
      <c r="M136" s="4330" t="s">
        <v>51</v>
      </c>
      <c r="N136" s="4328"/>
      <c r="O136" s="4401"/>
      <c r="P136" s="4400"/>
      <c r="Q136" s="4400"/>
      <c r="R136" s="4400"/>
    </row>
    <row r="137" spans="1:18" s="820" customFormat="1" ht="15.75" customHeight="1">
      <c r="A137" s="4093"/>
      <c r="B137" s="823" t="s">
        <v>17</v>
      </c>
      <c r="C137" s="4357" t="s">
        <v>193</v>
      </c>
      <c r="D137" s="839">
        <f t="shared" ref="D137:J137" si="91">+D138</f>
        <v>2630329</v>
      </c>
      <c r="E137" s="839">
        <f t="shared" si="91"/>
        <v>888502</v>
      </c>
      <c r="F137" s="839">
        <f t="shared" si="91"/>
        <v>930786</v>
      </c>
      <c r="G137" s="839">
        <f t="shared" si="91"/>
        <v>265000</v>
      </c>
      <c r="H137" s="839">
        <f t="shared" si="91"/>
        <v>200000</v>
      </c>
      <c r="I137" s="839">
        <f t="shared" si="91"/>
        <v>200000</v>
      </c>
      <c r="J137" s="839">
        <f t="shared" si="91"/>
        <v>146041</v>
      </c>
      <c r="K137" s="839">
        <f>+K138</f>
        <v>0</v>
      </c>
      <c r="L137" s="839">
        <f>+L138</f>
        <v>0</v>
      </c>
      <c r="M137" s="4251"/>
      <c r="N137" s="4328"/>
      <c r="O137" s="4401"/>
      <c r="P137" s="4400"/>
      <c r="Q137" s="4400"/>
      <c r="R137" s="4400"/>
    </row>
    <row r="138" spans="1:18" s="820" customFormat="1" ht="13.5" customHeight="1" thickBot="1">
      <c r="A138" s="4094"/>
      <c r="B138" s="187" t="s">
        <v>19</v>
      </c>
      <c r="C138" s="4341"/>
      <c r="D138" s="465">
        <f>E138+L138+K138+F138+G138+H138+I138+J138+11590+299481-61071-200000-50000</f>
        <v>2630329</v>
      </c>
      <c r="E138" s="782">
        <f>236568+231803+420131</f>
        <v>888502</v>
      </c>
      <c r="F138" s="3772">
        <f>167025-5525+4907+50000+20720+820895+48504-175740</f>
        <v>930786</v>
      </c>
      <c r="G138" s="3772">
        <f>167025-5525-17000+55500+65000</f>
        <v>265000</v>
      </c>
      <c r="H138" s="3772">
        <f>167025-5525-17000+55500</f>
        <v>200000</v>
      </c>
      <c r="I138" s="3772">
        <f>167025-5525-17000+55500</f>
        <v>200000</v>
      </c>
      <c r="J138" s="3772">
        <f>167025-5525-17000+1541</f>
        <v>146041</v>
      </c>
      <c r="K138" s="3772"/>
      <c r="L138" s="3772">
        <v>0</v>
      </c>
      <c r="M138" s="4252"/>
      <c r="N138" s="4329"/>
      <c r="O138" s="4401"/>
      <c r="P138" s="4400"/>
      <c r="Q138" s="4400"/>
      <c r="R138" s="4400"/>
    </row>
    <row r="139" spans="1:18" s="820" customFormat="1" ht="27" customHeight="1">
      <c r="A139" s="4092" t="s">
        <v>77</v>
      </c>
      <c r="B139" s="716" t="s">
        <v>491</v>
      </c>
      <c r="C139" s="1485" t="s">
        <v>70</v>
      </c>
      <c r="D139" s="88"/>
      <c r="E139" s="217"/>
      <c r="F139" s="87"/>
      <c r="G139" s="87"/>
      <c r="H139" s="87"/>
      <c r="I139" s="87"/>
      <c r="J139" s="129"/>
      <c r="K139" s="87"/>
      <c r="L139" s="87"/>
      <c r="M139" s="1593"/>
      <c r="N139" s="4327" t="s">
        <v>253</v>
      </c>
      <c r="O139" s="156">
        <f>D136-'[2]Tab. 6E - Administracja'!$D$124</f>
        <v>-110740</v>
      </c>
      <c r="P139" s="156">
        <f>D149-'[2]Tab. 6E - Administracja'!$D$147</f>
        <v>82700000</v>
      </c>
    </row>
    <row r="140" spans="1:18" s="820" customFormat="1" ht="15" customHeight="1">
      <c r="A140" s="4093"/>
      <c r="B140" s="246" t="s">
        <v>9</v>
      </c>
      <c r="C140" s="2262"/>
      <c r="D140" s="2263">
        <f>+D141+D144</f>
        <v>210000000</v>
      </c>
      <c r="E140" s="1617">
        <f>+E141+E144</f>
        <v>2299779</v>
      </c>
      <c r="F140" s="1617">
        <f t="shared" ref="F140:J140" si="92">+F141+F144</f>
        <v>8952900</v>
      </c>
      <c r="G140" s="1617">
        <f t="shared" si="92"/>
        <v>48895582</v>
      </c>
      <c r="H140" s="1617">
        <f t="shared" si="92"/>
        <v>94615985</v>
      </c>
      <c r="I140" s="1617">
        <f t="shared" si="92"/>
        <v>55235754</v>
      </c>
      <c r="J140" s="2608">
        <f t="shared" si="92"/>
        <v>0</v>
      </c>
      <c r="K140" s="1617">
        <f>+K141+K144</f>
        <v>0</v>
      </c>
      <c r="L140" s="1617">
        <f>+L141+L144</f>
        <v>0</v>
      </c>
      <c r="M140" s="1618">
        <f>+M141+M144</f>
        <v>207700221</v>
      </c>
      <c r="N140" s="4328"/>
      <c r="O140" s="156">
        <f>D140-'[2]Tab. 6E - Administracja'!$D$138</f>
        <v>111847890</v>
      </c>
    </row>
    <row r="141" spans="1:18" s="820" customFormat="1" ht="14.25" customHeight="1">
      <c r="A141" s="4093"/>
      <c r="B141" s="341" t="s">
        <v>22</v>
      </c>
      <c r="C141" s="4354" t="s">
        <v>227</v>
      </c>
      <c r="D141" s="2264">
        <f>+D142+D143</f>
        <v>58050000</v>
      </c>
      <c r="E141" s="1619">
        <f t="shared" ref="E141" si="93">+E142+E143</f>
        <v>74734</v>
      </c>
      <c r="F141" s="1619">
        <f t="shared" ref="F141:J141" si="94">+F142+F143</f>
        <v>3500000</v>
      </c>
      <c r="G141" s="1619">
        <f t="shared" si="94"/>
        <v>20645582</v>
      </c>
      <c r="H141" s="1619">
        <f t="shared" si="94"/>
        <v>25271181</v>
      </c>
      <c r="I141" s="1619">
        <f t="shared" si="94"/>
        <v>8558503</v>
      </c>
      <c r="J141" s="2609">
        <f t="shared" si="94"/>
        <v>0</v>
      </c>
      <c r="K141" s="1619">
        <f>+K142+K143</f>
        <v>0</v>
      </c>
      <c r="L141" s="1619">
        <f>+L142+L143</f>
        <v>0</v>
      </c>
      <c r="M141" s="1620">
        <f>+M142</f>
        <v>57975266</v>
      </c>
      <c r="N141" s="4328"/>
      <c r="O141" s="156"/>
    </row>
    <row r="142" spans="1:18" s="820" customFormat="1" ht="14.25" customHeight="1">
      <c r="A142" s="4093"/>
      <c r="B142" s="2219" t="s">
        <v>11</v>
      </c>
      <c r="C142" s="4354"/>
      <c r="D142" s="2265">
        <f>E142+L142+K142+F142+G142+H142+I142+J142</f>
        <v>58050000</v>
      </c>
      <c r="E142" s="2270">
        <f>+E160+E174+E190+E201</f>
        <v>74734</v>
      </c>
      <c r="F142" s="1109">
        <f t="shared" ref="F142:J142" si="95">+F160+F174+F190+F201</f>
        <v>3500000</v>
      </c>
      <c r="G142" s="1109">
        <f t="shared" si="95"/>
        <v>20645582</v>
      </c>
      <c r="H142" s="1109">
        <f t="shared" si="95"/>
        <v>25271181</v>
      </c>
      <c r="I142" s="1109">
        <f t="shared" si="95"/>
        <v>8558503</v>
      </c>
      <c r="J142" s="2610">
        <f t="shared" si="95"/>
        <v>0</v>
      </c>
      <c r="K142" s="1109">
        <f>+K160+K174+K190+K201</f>
        <v>0</v>
      </c>
      <c r="L142" s="1109">
        <f>+L160+L174+L190+L201</f>
        <v>0</v>
      </c>
      <c r="M142" s="359">
        <f>SUM(F142:J142)</f>
        <v>57975266</v>
      </c>
      <c r="N142" s="4328"/>
      <c r="O142" s="156"/>
    </row>
    <row r="143" spans="1:18" s="820" customFormat="1" ht="13.5" hidden="1" customHeight="1">
      <c r="A143" s="4093"/>
      <c r="B143" s="2219" t="s">
        <v>15</v>
      </c>
      <c r="C143" s="4354"/>
      <c r="D143" s="2265">
        <f>E143+L143+K143+F143+G143+H143+I143+J143</f>
        <v>0</v>
      </c>
      <c r="E143" s="2266">
        <v>0</v>
      </c>
      <c r="F143" s="1109">
        <f t="shared" ref="F143:J143" si="96">+F161+F175+F202</f>
        <v>0</v>
      </c>
      <c r="G143" s="1109">
        <f t="shared" si="96"/>
        <v>0</v>
      </c>
      <c r="H143" s="1109">
        <f t="shared" si="96"/>
        <v>0</v>
      </c>
      <c r="I143" s="1109">
        <f t="shared" si="96"/>
        <v>0</v>
      </c>
      <c r="J143" s="2610">
        <f t="shared" si="96"/>
        <v>0</v>
      </c>
      <c r="K143" s="1109">
        <f>+K161+K175+K202</f>
        <v>0</v>
      </c>
      <c r="L143" s="1109">
        <f>+L161+L175+L202</f>
        <v>0</v>
      </c>
      <c r="M143" s="1621">
        <f>SUM(F143:J143)</f>
        <v>0</v>
      </c>
      <c r="N143" s="4328"/>
      <c r="O143" s="156"/>
    </row>
    <row r="144" spans="1:18" s="820" customFormat="1" ht="13.5" customHeight="1">
      <c r="A144" s="4093"/>
      <c r="B144" s="2267" t="s">
        <v>17</v>
      </c>
      <c r="C144" s="4354"/>
      <c r="D144" s="2268">
        <f>+D145</f>
        <v>151950000</v>
      </c>
      <c r="E144" s="2268">
        <f t="shared" ref="E144" si="97">+E145</f>
        <v>2225045</v>
      </c>
      <c r="F144" s="1622">
        <f t="shared" ref="F144:J144" si="98">+F145</f>
        <v>5452900</v>
      </c>
      <c r="G144" s="1622">
        <f t="shared" si="98"/>
        <v>28250000</v>
      </c>
      <c r="H144" s="1622">
        <f t="shared" si="98"/>
        <v>69344804</v>
      </c>
      <c r="I144" s="1622">
        <f t="shared" si="98"/>
        <v>46677251</v>
      </c>
      <c r="J144" s="2611">
        <f t="shared" si="98"/>
        <v>0</v>
      </c>
      <c r="K144" s="1622">
        <f>+K145</f>
        <v>0</v>
      </c>
      <c r="L144" s="1622">
        <f>+L145</f>
        <v>0</v>
      </c>
      <c r="M144" s="1620">
        <f>+M145</f>
        <v>149724955</v>
      </c>
      <c r="N144" s="4328"/>
      <c r="O144" s="156"/>
    </row>
    <row r="145" spans="1:15" s="820" customFormat="1" ht="12.75" customHeight="1">
      <c r="A145" s="4093"/>
      <c r="B145" s="371" t="s">
        <v>19</v>
      </c>
      <c r="C145" s="4354"/>
      <c r="D145" s="2265">
        <f>E145+L145+K145+F145+G145+H145+I145+J145</f>
        <v>151950000</v>
      </c>
      <c r="E145" s="2269">
        <f>+E146+E147+E148</f>
        <v>2225045</v>
      </c>
      <c r="F145" s="1109">
        <f t="shared" ref="F145:J145" si="99">+F146+F147+F148</f>
        <v>5452900</v>
      </c>
      <c r="G145" s="1109">
        <f t="shared" si="99"/>
        <v>28250000</v>
      </c>
      <c r="H145" s="1109">
        <f t="shared" si="99"/>
        <v>69344804</v>
      </c>
      <c r="I145" s="1109">
        <f t="shared" si="99"/>
        <v>46677251</v>
      </c>
      <c r="J145" s="2610">
        <f t="shared" si="99"/>
        <v>0</v>
      </c>
      <c r="K145" s="1109">
        <f>+K146+K147+K148</f>
        <v>0</v>
      </c>
      <c r="L145" s="1109">
        <f>+L146+L147+L148</f>
        <v>0</v>
      </c>
      <c r="M145" s="359">
        <f>SUM(F145:J145)</f>
        <v>149724955</v>
      </c>
      <c r="N145" s="4328"/>
      <c r="O145" s="156"/>
    </row>
    <row r="146" spans="1:15" s="820" customFormat="1" ht="13.5" hidden="1" customHeight="1">
      <c r="A146" s="4093"/>
      <c r="B146" s="2274" t="s">
        <v>474</v>
      </c>
      <c r="C146" s="4354"/>
      <c r="D146" s="2269">
        <f>+D178</f>
        <v>18000000</v>
      </c>
      <c r="E146" s="2269">
        <f t="shared" ref="E146:J146" si="100">+E164+E178+E193+E205</f>
        <v>2225045</v>
      </c>
      <c r="F146" s="1109">
        <f t="shared" si="100"/>
        <v>2252900</v>
      </c>
      <c r="G146" s="1109">
        <f t="shared" si="100"/>
        <v>6000000</v>
      </c>
      <c r="H146" s="1109">
        <f t="shared" si="100"/>
        <v>7522055</v>
      </c>
      <c r="I146" s="1109">
        <f t="shared" si="100"/>
        <v>0</v>
      </c>
      <c r="J146" s="2610">
        <f t="shared" si="100"/>
        <v>0</v>
      </c>
      <c r="K146" s="1109">
        <f>+K164+K178+K193+K205</f>
        <v>0</v>
      </c>
      <c r="L146" s="1109">
        <f>+L164+L178+L193+L205</f>
        <v>0</v>
      </c>
      <c r="M146" s="1623">
        <f>SUM(F146:J146)</f>
        <v>15774955</v>
      </c>
      <c r="N146" s="4328"/>
      <c r="O146" s="156"/>
    </row>
    <row r="147" spans="1:15" s="820" customFormat="1" ht="13.5" hidden="1" customHeight="1">
      <c r="A147" s="4093"/>
      <c r="B147" s="2274" t="s">
        <v>476</v>
      </c>
      <c r="C147" s="4354"/>
      <c r="D147" s="2269">
        <f>+D179</f>
        <v>27700000</v>
      </c>
      <c r="E147" s="1109">
        <v>0</v>
      </c>
      <c r="F147" s="1109">
        <f t="shared" ref="F147:J147" si="101">+F179</f>
        <v>2000000</v>
      </c>
      <c r="G147" s="1109">
        <f t="shared" si="101"/>
        <v>7250000</v>
      </c>
      <c r="H147" s="1109">
        <f t="shared" si="101"/>
        <v>18450000</v>
      </c>
      <c r="I147" s="1109">
        <f t="shared" si="101"/>
        <v>0</v>
      </c>
      <c r="J147" s="2610">
        <f t="shared" si="101"/>
        <v>0</v>
      </c>
      <c r="K147" s="1109">
        <f>+K179</f>
        <v>0</v>
      </c>
      <c r="L147" s="1109">
        <f>+L179</f>
        <v>0</v>
      </c>
      <c r="M147" s="1623">
        <f>SUM(F147:J147)</f>
        <v>27700000</v>
      </c>
      <c r="N147" s="4328"/>
      <c r="O147" s="156"/>
    </row>
    <row r="148" spans="1:15" s="820" customFormat="1" ht="13.5" hidden="1" customHeight="1">
      <c r="A148" s="4093"/>
      <c r="B148" s="2274" t="s">
        <v>475</v>
      </c>
      <c r="C148" s="4354"/>
      <c r="D148" s="2269">
        <f>+D206</f>
        <v>106250000</v>
      </c>
      <c r="E148" s="1624">
        <v>0</v>
      </c>
      <c r="F148" s="1624">
        <f t="shared" ref="F148:J148" si="102">+F206</f>
        <v>1200000</v>
      </c>
      <c r="G148" s="1624">
        <f t="shared" si="102"/>
        <v>15000000</v>
      </c>
      <c r="H148" s="1624">
        <f t="shared" si="102"/>
        <v>43372749</v>
      </c>
      <c r="I148" s="1624">
        <f t="shared" si="102"/>
        <v>46677251</v>
      </c>
      <c r="J148" s="2612">
        <f t="shared" si="102"/>
        <v>0</v>
      </c>
      <c r="K148" s="1624">
        <f>+K206</f>
        <v>0</v>
      </c>
      <c r="L148" s="1624">
        <f>+L206</f>
        <v>0</v>
      </c>
      <c r="M148" s="1623">
        <f>SUM(F148:J148)</f>
        <v>106250000</v>
      </c>
      <c r="N148" s="4328"/>
      <c r="O148" s="156"/>
    </row>
    <row r="149" spans="1:15" s="820" customFormat="1" ht="15" customHeight="1">
      <c r="A149" s="4093"/>
      <c r="B149" s="89" t="s">
        <v>219</v>
      </c>
      <c r="C149" s="2262"/>
      <c r="D149" s="2263">
        <f t="shared" ref="D149:J149" si="103">+D150+D152</f>
        <v>151950000</v>
      </c>
      <c r="E149" s="1617">
        <f t="shared" si="103"/>
        <v>2025831</v>
      </c>
      <c r="F149" s="1617">
        <f t="shared" si="103"/>
        <v>3289214</v>
      </c>
      <c r="G149" s="1617">
        <f t="shared" si="103"/>
        <v>25000000</v>
      </c>
      <c r="H149" s="1617">
        <f t="shared" si="103"/>
        <v>74684955</v>
      </c>
      <c r="I149" s="1617">
        <f t="shared" si="103"/>
        <v>46950000</v>
      </c>
      <c r="J149" s="2608">
        <f t="shared" si="103"/>
        <v>0</v>
      </c>
      <c r="K149" s="1617">
        <f>+K150+K152</f>
        <v>0</v>
      </c>
      <c r="L149" s="1617">
        <f>+L150+L152</f>
        <v>0</v>
      </c>
      <c r="M149" s="4365" t="s">
        <v>51</v>
      </c>
      <c r="N149" s="4328"/>
      <c r="O149" s="156"/>
    </row>
    <row r="150" spans="1:15" s="820" customFormat="1" ht="13.5" hidden="1" customHeight="1">
      <c r="A150" s="4093"/>
      <c r="B150" s="341" t="s">
        <v>22</v>
      </c>
      <c r="C150" s="4353" t="s">
        <v>442</v>
      </c>
      <c r="D150" s="2264">
        <f>+D151</f>
        <v>0</v>
      </c>
      <c r="E150" s="1619">
        <f t="shared" ref="E150:J150" si="104">+E151</f>
        <v>0</v>
      </c>
      <c r="F150" s="1619">
        <f t="shared" si="104"/>
        <v>0</v>
      </c>
      <c r="G150" s="1619">
        <f t="shared" si="104"/>
        <v>0</v>
      </c>
      <c r="H150" s="1619">
        <f t="shared" si="104"/>
        <v>0</v>
      </c>
      <c r="I150" s="1619">
        <f t="shared" si="104"/>
        <v>0</v>
      </c>
      <c r="J150" s="2609">
        <f t="shared" si="104"/>
        <v>0</v>
      </c>
      <c r="K150" s="1619">
        <f>+K151</f>
        <v>0</v>
      </c>
      <c r="L150" s="1619">
        <f>+L151</f>
        <v>0</v>
      </c>
      <c r="M150" s="4249"/>
      <c r="N150" s="4328"/>
      <c r="O150" s="156"/>
    </row>
    <row r="151" spans="1:15" s="820" customFormat="1" ht="15.75" hidden="1" customHeight="1">
      <c r="A151" s="4093"/>
      <c r="B151" s="2219" t="s">
        <v>15</v>
      </c>
      <c r="C151" s="4354"/>
      <c r="D151" s="2265">
        <f>E151+L151+K151+F151+G151+H151+I151+J151</f>
        <v>0</v>
      </c>
      <c r="E151" s="2270">
        <v>0</v>
      </c>
      <c r="F151" s="1625">
        <f t="shared" ref="F151:J151" si="105">+F182+F209</f>
        <v>0</v>
      </c>
      <c r="G151" s="1625">
        <f t="shared" si="105"/>
        <v>0</v>
      </c>
      <c r="H151" s="1625">
        <f t="shared" si="105"/>
        <v>0</v>
      </c>
      <c r="I151" s="1625">
        <f t="shared" si="105"/>
        <v>0</v>
      </c>
      <c r="J151" s="2613">
        <f t="shared" si="105"/>
        <v>0</v>
      </c>
      <c r="K151" s="1625">
        <f>+K182+K209</f>
        <v>0</v>
      </c>
      <c r="L151" s="1625">
        <f>+L182+L209</f>
        <v>0</v>
      </c>
      <c r="M151" s="4249"/>
      <c r="N151" s="4328"/>
      <c r="O151" s="156"/>
    </row>
    <row r="152" spans="1:15" s="820" customFormat="1" ht="13.5" customHeight="1">
      <c r="A152" s="4093"/>
      <c r="B152" s="343" t="s">
        <v>17</v>
      </c>
      <c r="C152" s="4354"/>
      <c r="D152" s="2264">
        <f>+D153</f>
        <v>151950000</v>
      </c>
      <c r="E152" s="1619">
        <f>+E153</f>
        <v>2025831</v>
      </c>
      <c r="F152" s="1619">
        <f t="shared" ref="F152:J152" si="106">+F153</f>
        <v>3289214</v>
      </c>
      <c r="G152" s="1619">
        <f t="shared" si="106"/>
        <v>25000000</v>
      </c>
      <c r="H152" s="1619">
        <f t="shared" si="106"/>
        <v>74684955</v>
      </c>
      <c r="I152" s="1619">
        <f t="shared" si="106"/>
        <v>46950000</v>
      </c>
      <c r="J152" s="2609">
        <f t="shared" si="106"/>
        <v>0</v>
      </c>
      <c r="K152" s="1619">
        <f>+K153</f>
        <v>0</v>
      </c>
      <c r="L152" s="1619">
        <f>+L153</f>
        <v>0</v>
      </c>
      <c r="M152" s="4249"/>
      <c r="N152" s="4328"/>
      <c r="O152" s="156"/>
    </row>
    <row r="153" spans="1:15" s="820" customFormat="1" ht="13.5" customHeight="1" thickBot="1">
      <c r="A153" s="4093"/>
      <c r="B153" s="33" t="s">
        <v>19</v>
      </c>
      <c r="C153" s="4355"/>
      <c r="D153" s="2271">
        <f>E153+L153+K153+F153+G153+H153+I153+J153</f>
        <v>151950000</v>
      </c>
      <c r="E153" s="1110">
        <f t="shared" ref="E153:J153" si="107">+E169+E184+E211+E196</f>
        <v>2025831</v>
      </c>
      <c r="F153" s="1110">
        <f t="shared" si="107"/>
        <v>3289214</v>
      </c>
      <c r="G153" s="1110">
        <f t="shared" si="107"/>
        <v>25000000</v>
      </c>
      <c r="H153" s="1110">
        <f t="shared" si="107"/>
        <v>74684955</v>
      </c>
      <c r="I153" s="1110">
        <f t="shared" si="107"/>
        <v>46950000</v>
      </c>
      <c r="J153" s="2614">
        <f t="shared" si="107"/>
        <v>0</v>
      </c>
      <c r="K153" s="1110">
        <f>+K169+K184+K211+K196</f>
        <v>0</v>
      </c>
      <c r="L153" s="1110">
        <f>+L169+L184+L211+L196</f>
        <v>0</v>
      </c>
      <c r="M153" s="4250"/>
      <c r="N153" s="4329"/>
      <c r="O153" s="156">
        <f>'[2]Tab. 6E - Administracja'!$D$220+'[2]Tab. 6E - Administracja'!$D$231</f>
        <v>4942000</v>
      </c>
    </row>
    <row r="154" spans="1:15" s="820" customFormat="1" ht="12.75" hidden="1" customHeight="1">
      <c r="A154" s="3595"/>
      <c r="B154" s="2272" t="s">
        <v>474</v>
      </c>
      <c r="C154" s="2273"/>
      <c r="D154" s="1111">
        <f t="shared" ref="D154:J154" si="108">+D170+D185+D197+D212</f>
        <v>18000000</v>
      </c>
      <c r="E154" s="1111">
        <f>+E170+E185+E197+E212</f>
        <v>2025831</v>
      </c>
      <c r="F154" s="1111">
        <f t="shared" si="108"/>
        <v>1989214</v>
      </c>
      <c r="G154" s="1111">
        <f t="shared" si="108"/>
        <v>6000000</v>
      </c>
      <c r="H154" s="1111">
        <f t="shared" si="108"/>
        <v>7984955</v>
      </c>
      <c r="I154" s="1111">
        <f t="shared" si="108"/>
        <v>0</v>
      </c>
      <c r="J154" s="1111">
        <f t="shared" si="108"/>
        <v>0</v>
      </c>
      <c r="K154" s="1111">
        <f>+K170+K185+K197+K212</f>
        <v>0</v>
      </c>
      <c r="L154" s="1111">
        <f>+L170+L185+L197+L212</f>
        <v>0</v>
      </c>
      <c r="M154" s="1112"/>
      <c r="N154" s="1113"/>
      <c r="O154" s="156"/>
    </row>
    <row r="155" spans="1:15" s="820" customFormat="1" ht="12.75" hidden="1" customHeight="1">
      <c r="A155" s="3595"/>
      <c r="B155" s="2274" t="s">
        <v>476</v>
      </c>
      <c r="C155" s="2273"/>
      <c r="D155" s="1109">
        <f>+D186</f>
        <v>27700000</v>
      </c>
      <c r="E155" s="1109">
        <v>0</v>
      </c>
      <c r="F155" s="1109">
        <f t="shared" ref="F155:J155" si="109">+F186</f>
        <v>500000</v>
      </c>
      <c r="G155" s="1109">
        <f t="shared" si="109"/>
        <v>5500000</v>
      </c>
      <c r="H155" s="1109">
        <f t="shared" si="109"/>
        <v>21700000</v>
      </c>
      <c r="I155" s="1109">
        <f t="shared" si="109"/>
        <v>0</v>
      </c>
      <c r="J155" s="1109">
        <f t="shared" si="109"/>
        <v>0</v>
      </c>
      <c r="K155" s="1109">
        <f>+K186</f>
        <v>0</v>
      </c>
      <c r="L155" s="1109">
        <f>+L186</f>
        <v>0</v>
      </c>
      <c r="M155" s="1112"/>
      <c r="N155" s="1113"/>
      <c r="O155" s="156"/>
    </row>
    <row r="156" spans="1:15" s="820" customFormat="1" ht="13.5" hidden="1" customHeight="1" thickBot="1">
      <c r="A156" s="3596"/>
      <c r="B156" s="2275" t="s">
        <v>475</v>
      </c>
      <c r="C156" s="2276"/>
      <c r="D156" s="1110">
        <f>+D213</f>
        <v>106250000</v>
      </c>
      <c r="E156" s="1110">
        <v>0</v>
      </c>
      <c r="F156" s="1110">
        <f t="shared" ref="F156:J156" si="110">+F213</f>
        <v>800000</v>
      </c>
      <c r="G156" s="1110">
        <f t="shared" si="110"/>
        <v>13500000</v>
      </c>
      <c r="H156" s="1110">
        <f t="shared" si="110"/>
        <v>45000000</v>
      </c>
      <c r="I156" s="1110">
        <f t="shared" si="110"/>
        <v>46950000</v>
      </c>
      <c r="J156" s="1110">
        <f t="shared" si="110"/>
        <v>0</v>
      </c>
      <c r="K156" s="1110">
        <f>+K213</f>
        <v>0</v>
      </c>
      <c r="L156" s="1110">
        <f>+L213</f>
        <v>0</v>
      </c>
      <c r="M156" s="1114"/>
      <c r="N156" s="1115"/>
      <c r="O156" s="156"/>
    </row>
    <row r="157" spans="1:15" s="820" customFormat="1" ht="18.75" hidden="1" customHeight="1">
      <c r="A157" s="4092" t="s">
        <v>324</v>
      </c>
      <c r="B157" s="1148" t="s">
        <v>220</v>
      </c>
      <c r="C157" s="1872" t="s">
        <v>97</v>
      </c>
      <c r="D157" s="2277"/>
      <c r="E157" s="2278"/>
      <c r="F157" s="2279"/>
      <c r="G157" s="2279"/>
      <c r="H157" s="2279"/>
      <c r="I157" s="2279"/>
      <c r="J157" s="2280"/>
      <c r="K157" s="2279"/>
      <c r="L157" s="1117"/>
      <c r="M157" s="1626"/>
      <c r="N157" s="1113"/>
      <c r="O157" s="156"/>
    </row>
    <row r="158" spans="1:15" s="820" customFormat="1" ht="13.5" hidden="1" customHeight="1">
      <c r="A158" s="4093"/>
      <c r="B158" s="89" t="s">
        <v>9</v>
      </c>
      <c r="C158" s="2281"/>
      <c r="D158" s="223">
        <f t="shared" ref="D158:D170" si="111">SUM(E158:J158)</f>
        <v>0</v>
      </c>
      <c r="E158" s="1638">
        <v>0</v>
      </c>
      <c r="F158" s="1638">
        <f t="shared" ref="F158:J158" si="112">+F159+F162</f>
        <v>0</v>
      </c>
      <c r="G158" s="1638">
        <f t="shared" si="112"/>
        <v>0</v>
      </c>
      <c r="H158" s="1638">
        <f t="shared" si="112"/>
        <v>0</v>
      </c>
      <c r="I158" s="1638">
        <f t="shared" si="112"/>
        <v>0</v>
      </c>
      <c r="J158" s="1638">
        <f t="shared" si="112"/>
        <v>0</v>
      </c>
      <c r="K158" s="1638">
        <f>+K159+K162</f>
        <v>0</v>
      </c>
      <c r="L158" s="196">
        <f>+L159+L162</f>
        <v>0</v>
      </c>
      <c r="M158" s="199">
        <f t="shared" ref="M158:M164" si="113">SUM(E158:J158)</f>
        <v>0</v>
      </c>
      <c r="N158" s="1113"/>
      <c r="O158" s="156"/>
    </row>
    <row r="159" spans="1:15" s="820" customFormat="1" ht="13.5" hidden="1" customHeight="1">
      <c r="A159" s="4093"/>
      <c r="B159" s="119" t="s">
        <v>22</v>
      </c>
      <c r="C159" s="4350" t="s">
        <v>227</v>
      </c>
      <c r="D159" s="2282">
        <f t="shared" si="111"/>
        <v>0</v>
      </c>
      <c r="E159" s="2283">
        <v>0</v>
      </c>
      <c r="F159" s="2283">
        <f t="shared" ref="F159:J159" si="114">+F160+F161</f>
        <v>0</v>
      </c>
      <c r="G159" s="2283">
        <f t="shared" si="114"/>
        <v>0</v>
      </c>
      <c r="H159" s="2283">
        <f t="shared" si="114"/>
        <v>0</v>
      </c>
      <c r="I159" s="2283">
        <f t="shared" si="114"/>
        <v>0</v>
      </c>
      <c r="J159" s="2283">
        <f t="shared" si="114"/>
        <v>0</v>
      </c>
      <c r="K159" s="2283">
        <f>+K160+K161</f>
        <v>0</v>
      </c>
      <c r="L159" s="185">
        <f>+L160+L161</f>
        <v>0</v>
      </c>
      <c r="M159" s="199">
        <f t="shared" si="113"/>
        <v>0</v>
      </c>
      <c r="N159" s="1113"/>
      <c r="O159" s="156"/>
    </row>
    <row r="160" spans="1:15" s="820" customFormat="1" ht="13.5" hidden="1" customHeight="1">
      <c r="A160" s="4093"/>
      <c r="B160" s="2284" t="s">
        <v>11</v>
      </c>
      <c r="C160" s="4364"/>
      <c r="D160" s="2285">
        <f t="shared" si="111"/>
        <v>0</v>
      </c>
      <c r="E160" s="2286"/>
      <c r="F160" s="2285"/>
      <c r="G160" s="2285"/>
      <c r="H160" s="2287"/>
      <c r="I160" s="2287"/>
      <c r="J160" s="2287"/>
      <c r="K160" s="2285">
        <f>1840690-1840690</f>
        <v>0</v>
      </c>
      <c r="L160" s="1118">
        <f>1524390-1524390</f>
        <v>0</v>
      </c>
      <c r="M160" s="1628">
        <f t="shared" si="113"/>
        <v>0</v>
      </c>
      <c r="N160" s="1113"/>
      <c r="O160" s="156"/>
    </row>
    <row r="161" spans="1:15" s="820" customFormat="1" ht="13.5" hidden="1" customHeight="1">
      <c r="A161" s="4093"/>
      <c r="B161" s="2284" t="s">
        <v>52</v>
      </c>
      <c r="C161" s="4364"/>
      <c r="D161" s="2288">
        <f t="shared" si="111"/>
        <v>0</v>
      </c>
      <c r="E161" s="2289"/>
      <c r="F161" s="2288"/>
      <c r="G161" s="2288"/>
      <c r="H161" s="2290"/>
      <c r="I161" s="2290"/>
      <c r="J161" s="2290"/>
      <c r="K161" s="2288"/>
      <c r="L161" s="1119"/>
      <c r="M161" s="1629">
        <f t="shared" si="113"/>
        <v>0</v>
      </c>
      <c r="N161" s="1113"/>
      <c r="O161" s="156"/>
    </row>
    <row r="162" spans="1:15" s="820" customFormat="1" ht="13.5" hidden="1" customHeight="1">
      <c r="A162" s="4093"/>
      <c r="B162" s="2291" t="s">
        <v>17</v>
      </c>
      <c r="C162" s="4364"/>
      <c r="D162" s="2282">
        <f t="shared" si="111"/>
        <v>0</v>
      </c>
      <c r="E162" s="2283">
        <v>0</v>
      </c>
      <c r="F162" s="2283">
        <f t="shared" ref="F162:J162" si="115">+F163</f>
        <v>0</v>
      </c>
      <c r="G162" s="2283">
        <f t="shared" si="115"/>
        <v>0</v>
      </c>
      <c r="H162" s="2283">
        <f t="shared" si="115"/>
        <v>0</v>
      </c>
      <c r="I162" s="2283">
        <f t="shared" si="115"/>
        <v>0</v>
      </c>
      <c r="J162" s="2283">
        <f t="shared" si="115"/>
        <v>0</v>
      </c>
      <c r="K162" s="2283">
        <f>+K163</f>
        <v>0</v>
      </c>
      <c r="L162" s="185">
        <f>+L163</f>
        <v>0</v>
      </c>
      <c r="M162" s="1630">
        <f t="shared" si="113"/>
        <v>0</v>
      </c>
      <c r="N162" s="1113"/>
      <c r="O162" s="156"/>
    </row>
    <row r="163" spans="1:15" s="820" customFormat="1" ht="13.5" hidden="1" customHeight="1">
      <c r="A163" s="4093"/>
      <c r="B163" s="2292" t="s">
        <v>19</v>
      </c>
      <c r="C163" s="4364"/>
      <c r="D163" s="2285">
        <f t="shared" si="111"/>
        <v>0</v>
      </c>
      <c r="E163" s="2286">
        <v>0</v>
      </c>
      <c r="F163" s="2286">
        <f t="shared" ref="F163:J163" si="116">+F164</f>
        <v>0</v>
      </c>
      <c r="G163" s="2286">
        <f t="shared" si="116"/>
        <v>0</v>
      </c>
      <c r="H163" s="2286">
        <f t="shared" si="116"/>
        <v>0</v>
      </c>
      <c r="I163" s="2286">
        <f t="shared" si="116"/>
        <v>0</v>
      </c>
      <c r="J163" s="2286">
        <f t="shared" si="116"/>
        <v>0</v>
      </c>
      <c r="K163" s="2286">
        <f>+K164</f>
        <v>0</v>
      </c>
      <c r="L163" s="1627">
        <f>+L164</f>
        <v>0</v>
      </c>
      <c r="M163" s="1628">
        <f t="shared" si="113"/>
        <v>0</v>
      </c>
      <c r="N163" s="1113"/>
      <c r="O163" s="156"/>
    </row>
    <row r="164" spans="1:15" s="820" customFormat="1" ht="24.75" hidden="1" customHeight="1">
      <c r="A164" s="4093"/>
      <c r="B164" s="2293" t="s">
        <v>221</v>
      </c>
      <c r="C164" s="4351"/>
      <c r="D164" s="2288">
        <f t="shared" si="111"/>
        <v>0</v>
      </c>
      <c r="E164" s="2289"/>
      <c r="F164" s="2288"/>
      <c r="G164" s="2288"/>
      <c r="H164" s="2290"/>
      <c r="I164" s="2290"/>
      <c r="J164" s="2288"/>
      <c r="K164" s="2288">
        <f>312400-312400</f>
        <v>0</v>
      </c>
      <c r="L164" s="1119">
        <f>624800-624800</f>
        <v>0</v>
      </c>
      <c r="M164" s="1629">
        <f t="shared" si="113"/>
        <v>0</v>
      </c>
      <c r="N164" s="1113"/>
      <c r="O164" s="156"/>
    </row>
    <row r="165" spans="1:15" s="820" customFormat="1" ht="13.5" hidden="1" customHeight="1">
      <c r="A165" s="4093"/>
      <c r="B165" s="35" t="s">
        <v>219</v>
      </c>
      <c r="C165" s="76"/>
      <c r="D165" s="2294">
        <f t="shared" si="111"/>
        <v>0</v>
      </c>
      <c r="E165" s="2294">
        <v>0</v>
      </c>
      <c r="F165" s="2294">
        <f t="shared" ref="F165:J165" si="117">+F166+F168</f>
        <v>0</v>
      </c>
      <c r="G165" s="2294">
        <f t="shared" si="117"/>
        <v>0</v>
      </c>
      <c r="H165" s="2294">
        <f t="shared" si="117"/>
        <v>0</v>
      </c>
      <c r="I165" s="2294">
        <f t="shared" si="117"/>
        <v>0</v>
      </c>
      <c r="J165" s="2294">
        <f t="shared" si="117"/>
        <v>0</v>
      </c>
      <c r="K165" s="2294">
        <f>+K166+K168</f>
        <v>0</v>
      </c>
      <c r="L165" s="1631">
        <f>+L166+L168</f>
        <v>0</v>
      </c>
      <c r="M165" s="4243" t="s">
        <v>51</v>
      </c>
      <c r="N165" s="1113"/>
      <c r="O165" s="156"/>
    </row>
    <row r="166" spans="1:15" s="820" customFormat="1" ht="13.5" hidden="1" customHeight="1">
      <c r="A166" s="4093"/>
      <c r="B166" s="119" t="s">
        <v>22</v>
      </c>
      <c r="C166" s="4350" t="s">
        <v>227</v>
      </c>
      <c r="D166" s="1639">
        <f t="shared" si="111"/>
        <v>0</v>
      </c>
      <c r="E166" s="1640">
        <v>0</v>
      </c>
      <c r="F166" s="1640">
        <f t="shared" ref="F166:J166" si="118">+F167</f>
        <v>0</v>
      </c>
      <c r="G166" s="1640">
        <f t="shared" si="118"/>
        <v>0</v>
      </c>
      <c r="H166" s="1640">
        <f t="shared" si="118"/>
        <v>0</v>
      </c>
      <c r="I166" s="1640">
        <f t="shared" si="118"/>
        <v>0</v>
      </c>
      <c r="J166" s="1640">
        <f t="shared" si="118"/>
        <v>0</v>
      </c>
      <c r="K166" s="1640">
        <f>+K167</f>
        <v>0</v>
      </c>
      <c r="L166" s="1632">
        <f>+L167</f>
        <v>0</v>
      </c>
      <c r="M166" s="4251"/>
      <c r="N166" s="1113"/>
      <c r="O166" s="156"/>
    </row>
    <row r="167" spans="1:15" s="820" customFormat="1" ht="13.5" hidden="1" customHeight="1">
      <c r="A167" s="4093"/>
      <c r="B167" s="2284" t="s">
        <v>52</v>
      </c>
      <c r="C167" s="4351"/>
      <c r="D167" s="1642">
        <f t="shared" si="111"/>
        <v>0</v>
      </c>
      <c r="E167" s="1643"/>
      <c r="F167" s="1644"/>
      <c r="G167" s="1644"/>
      <c r="H167" s="1644"/>
      <c r="I167" s="1644"/>
      <c r="J167" s="1644"/>
      <c r="K167" s="1644"/>
      <c r="L167" s="1633"/>
      <c r="M167" s="4251"/>
      <c r="N167" s="1113"/>
      <c r="O167" s="156"/>
    </row>
    <row r="168" spans="1:15" s="820" customFormat="1" ht="12" hidden="1" customHeight="1">
      <c r="A168" s="4093"/>
      <c r="B168" s="2291" t="s">
        <v>17</v>
      </c>
      <c r="C168" s="4361" t="s">
        <v>193</v>
      </c>
      <c r="D168" s="2295">
        <f t="shared" si="111"/>
        <v>0</v>
      </c>
      <c r="E168" s="2296">
        <v>0</v>
      </c>
      <c r="F168" s="2296">
        <f t="shared" ref="F168:J168" si="119">+F169</f>
        <v>0</v>
      </c>
      <c r="G168" s="2296">
        <f t="shared" si="119"/>
        <v>0</v>
      </c>
      <c r="H168" s="2296">
        <f t="shared" si="119"/>
        <v>0</v>
      </c>
      <c r="I168" s="2296">
        <f t="shared" si="119"/>
        <v>0</v>
      </c>
      <c r="J168" s="2296">
        <f t="shared" si="119"/>
        <v>0</v>
      </c>
      <c r="K168" s="2296">
        <f>+K169</f>
        <v>0</v>
      </c>
      <c r="L168" s="1634">
        <f>+L169</f>
        <v>0</v>
      </c>
      <c r="M168" s="4251"/>
      <c r="N168" s="1113"/>
      <c r="O168" s="156"/>
    </row>
    <row r="169" spans="1:15" s="820" customFormat="1" ht="15" hidden="1" customHeight="1">
      <c r="A169" s="4093"/>
      <c r="B169" s="2292" t="s">
        <v>19</v>
      </c>
      <c r="C169" s="4362"/>
      <c r="D169" s="1642">
        <f t="shared" si="111"/>
        <v>0</v>
      </c>
      <c r="E169" s="1643">
        <v>0</v>
      </c>
      <c r="F169" s="1643">
        <f t="shared" ref="F169:J169" si="120">+F170</f>
        <v>0</v>
      </c>
      <c r="G169" s="1643">
        <f t="shared" si="120"/>
        <v>0</v>
      </c>
      <c r="H169" s="1643">
        <f t="shared" si="120"/>
        <v>0</v>
      </c>
      <c r="I169" s="1643">
        <f t="shared" si="120"/>
        <v>0</v>
      </c>
      <c r="J169" s="1643">
        <f t="shared" si="120"/>
        <v>0</v>
      </c>
      <c r="K169" s="1643">
        <f>+K170</f>
        <v>0</v>
      </c>
      <c r="L169" s="220">
        <f>+L170</f>
        <v>0</v>
      </c>
      <c r="M169" s="4251"/>
      <c r="N169" s="1113"/>
      <c r="O169" s="156"/>
    </row>
    <row r="170" spans="1:15" s="820" customFormat="1" ht="24" hidden="1" customHeight="1">
      <c r="A170" s="2297"/>
      <c r="B170" s="2298" t="s">
        <v>216</v>
      </c>
      <c r="C170" s="4363"/>
      <c r="D170" s="2299">
        <f t="shared" si="111"/>
        <v>0</v>
      </c>
      <c r="E170" s="2300"/>
      <c r="F170" s="2299"/>
      <c r="G170" s="2299"/>
      <c r="H170" s="2299"/>
      <c r="I170" s="2299"/>
      <c r="J170" s="2299"/>
      <c r="K170" s="2299">
        <f>312400-312400</f>
        <v>0</v>
      </c>
      <c r="L170" s="1635">
        <f>624800-624800</f>
        <v>0</v>
      </c>
      <c r="M170" s="4381"/>
      <c r="N170" s="1113"/>
      <c r="O170" s="156"/>
    </row>
    <row r="171" spans="1:15" s="820" customFormat="1" ht="15.75" hidden="1" customHeight="1">
      <c r="A171" s="4352" t="s">
        <v>325</v>
      </c>
      <c r="B171" s="2301" t="s">
        <v>220</v>
      </c>
      <c r="C171" s="2302" t="s">
        <v>70</v>
      </c>
      <c r="D171" s="2303"/>
      <c r="E171" s="2304"/>
      <c r="F171" s="1636"/>
      <c r="G171" s="1636"/>
      <c r="H171" s="1636"/>
      <c r="I171" s="1636"/>
      <c r="J171" s="2305"/>
      <c r="K171" s="1636"/>
      <c r="L171" s="1636"/>
      <c r="M171" s="1637"/>
      <c r="N171" s="1113"/>
      <c r="O171" s="156"/>
    </row>
    <row r="172" spans="1:15" s="820" customFormat="1" ht="13.5" hidden="1" customHeight="1">
      <c r="A172" s="4093"/>
      <c r="B172" s="89" t="s">
        <v>9</v>
      </c>
      <c r="C172" s="2306"/>
      <c r="D172" s="223">
        <f t="shared" ref="D172:D179" si="121">SUM(E172:J172)</f>
        <v>85000000</v>
      </c>
      <c r="E172" s="1638">
        <f t="shared" ref="E172" si="122">+E173+E176</f>
        <v>2299779</v>
      </c>
      <c r="F172" s="1638">
        <f t="shared" ref="F172:J172" si="123">+F173+F176</f>
        <v>6752900</v>
      </c>
      <c r="G172" s="1638">
        <f t="shared" si="123"/>
        <v>31248523</v>
      </c>
      <c r="H172" s="1638">
        <f t="shared" si="123"/>
        <v>44698798</v>
      </c>
      <c r="I172" s="1638">
        <f t="shared" si="123"/>
        <v>0</v>
      </c>
      <c r="J172" s="1638">
        <f t="shared" si="123"/>
        <v>0</v>
      </c>
      <c r="K172" s="1638">
        <f>+K173+K176</f>
        <v>0</v>
      </c>
      <c r="L172" s="1638">
        <f>+L173+L176</f>
        <v>0</v>
      </c>
      <c r="M172" s="1618">
        <f>+M173+M176</f>
        <v>82700221</v>
      </c>
      <c r="N172" s="1113"/>
      <c r="O172" s="156"/>
    </row>
    <row r="173" spans="1:15" s="820" customFormat="1" ht="14.25" hidden="1" customHeight="1">
      <c r="A173" s="4093"/>
      <c r="B173" s="119" t="s">
        <v>22</v>
      </c>
      <c r="C173" s="4387" t="s">
        <v>227</v>
      </c>
      <c r="D173" s="1639">
        <f t="shared" si="121"/>
        <v>39300000</v>
      </c>
      <c r="E173" s="1640">
        <f t="shared" ref="E173" si="124">+E174+E175</f>
        <v>74734</v>
      </c>
      <c r="F173" s="1640">
        <f t="shared" ref="F173:J173" si="125">+F174+F175</f>
        <v>2500000</v>
      </c>
      <c r="G173" s="1640">
        <f t="shared" si="125"/>
        <v>17998523</v>
      </c>
      <c r="H173" s="1640">
        <f t="shared" si="125"/>
        <v>18726743</v>
      </c>
      <c r="I173" s="1640">
        <f t="shared" si="125"/>
        <v>0</v>
      </c>
      <c r="J173" s="1640">
        <f t="shared" si="125"/>
        <v>0</v>
      </c>
      <c r="K173" s="1640">
        <f>+K174+K175</f>
        <v>0</v>
      </c>
      <c r="L173" s="1640">
        <f>+L174+L175</f>
        <v>0</v>
      </c>
      <c r="M173" s="1641">
        <f>+M174+M175</f>
        <v>39225266</v>
      </c>
      <c r="N173" s="1113"/>
      <c r="O173" s="156"/>
    </row>
    <row r="174" spans="1:15" s="820" customFormat="1" ht="15" hidden="1" customHeight="1">
      <c r="A174" s="4093"/>
      <c r="B174" s="2284" t="s">
        <v>11</v>
      </c>
      <c r="C174" s="4364"/>
      <c r="D174" s="1642">
        <f t="shared" si="121"/>
        <v>39300000</v>
      </c>
      <c r="E174" s="1643">
        <f>6785+32934+35015</f>
        <v>74734</v>
      </c>
      <c r="F174" s="1642">
        <f>2870218+1290507-735496-925229</f>
        <v>2500000</v>
      </c>
      <c r="G174" s="1642">
        <f>5000+1274578+3595+8303035+8412315</f>
        <v>17998523</v>
      </c>
      <c r="H174" s="1642">
        <f>10659328+7142186+925229</f>
        <v>18726743</v>
      </c>
      <c r="I174" s="1642"/>
      <c r="J174" s="1642"/>
      <c r="K174" s="1642"/>
      <c r="L174" s="1642">
        <v>0</v>
      </c>
      <c r="M174" s="1543">
        <f>SUM(F174:J174)</f>
        <v>39225266</v>
      </c>
      <c r="N174" s="1113"/>
      <c r="O174" s="156"/>
    </row>
    <row r="175" spans="1:15" s="820" customFormat="1" ht="17.25" hidden="1" customHeight="1">
      <c r="A175" s="4093"/>
      <c r="B175" s="2284" t="s">
        <v>52</v>
      </c>
      <c r="C175" s="4364"/>
      <c r="D175" s="1644">
        <f t="shared" si="121"/>
        <v>0</v>
      </c>
      <c r="E175" s="2307"/>
      <c r="F175" s="1644"/>
      <c r="G175" s="1644"/>
      <c r="H175" s="1644"/>
      <c r="I175" s="1644"/>
      <c r="J175" s="1644"/>
      <c r="K175" s="1644"/>
      <c r="L175" s="1644"/>
      <c r="M175" s="1543">
        <f>SUM(F175:J175)</f>
        <v>0</v>
      </c>
      <c r="N175" s="1113"/>
      <c r="O175" s="156"/>
    </row>
    <row r="176" spans="1:15" s="1749" customFormat="1" ht="15.75" hidden="1" customHeight="1">
      <c r="A176" s="4093"/>
      <c r="B176" s="2308" t="s">
        <v>17</v>
      </c>
      <c r="C176" s="4364"/>
      <c r="D176" s="1639">
        <f t="shared" si="121"/>
        <v>45700000</v>
      </c>
      <c r="E176" s="1639">
        <f>+E177</f>
        <v>2225045</v>
      </c>
      <c r="F176" s="1639">
        <f t="shared" ref="F176:J176" si="126">+F177</f>
        <v>4252900</v>
      </c>
      <c r="G176" s="1639">
        <f t="shared" si="126"/>
        <v>13250000</v>
      </c>
      <c r="H176" s="1639">
        <f t="shared" si="126"/>
        <v>25972055</v>
      </c>
      <c r="I176" s="1639">
        <f t="shared" si="126"/>
        <v>0</v>
      </c>
      <c r="J176" s="1639">
        <f t="shared" si="126"/>
        <v>0</v>
      </c>
      <c r="K176" s="1639">
        <f>+K177</f>
        <v>0</v>
      </c>
      <c r="L176" s="1639">
        <f>+L177</f>
        <v>0</v>
      </c>
      <c r="M176" s="1641">
        <f>+M177</f>
        <v>43474955</v>
      </c>
      <c r="N176" s="1113"/>
      <c r="O176" s="1752"/>
    </row>
    <row r="177" spans="1:15" s="820" customFormat="1" ht="13.5" hidden="1" customHeight="1">
      <c r="A177" s="4093"/>
      <c r="B177" s="2292" t="s">
        <v>19</v>
      </c>
      <c r="C177" s="4364"/>
      <c r="D177" s="1642">
        <f t="shared" si="121"/>
        <v>45700000</v>
      </c>
      <c r="E177" s="1643">
        <f>+E178+E179</f>
        <v>2225045</v>
      </c>
      <c r="F177" s="1643">
        <f t="shared" ref="F177:J177" si="127">+F178+F179</f>
        <v>4252900</v>
      </c>
      <c r="G177" s="1643">
        <f t="shared" si="127"/>
        <v>13250000</v>
      </c>
      <c r="H177" s="1643">
        <f t="shared" si="127"/>
        <v>25972055</v>
      </c>
      <c r="I177" s="1643">
        <f t="shared" si="127"/>
        <v>0</v>
      </c>
      <c r="J177" s="1643">
        <f t="shared" si="127"/>
        <v>0</v>
      </c>
      <c r="K177" s="1643">
        <f>+K178+K179</f>
        <v>0</v>
      </c>
      <c r="L177" s="1643">
        <f>+L178+L179</f>
        <v>0</v>
      </c>
      <c r="M177" s="1543">
        <f>+M178+M179</f>
        <v>43474955</v>
      </c>
      <c r="N177" s="1113"/>
      <c r="O177" s="156"/>
    </row>
    <row r="178" spans="1:15" s="820" customFormat="1" ht="27" hidden="1" customHeight="1">
      <c r="A178" s="4093"/>
      <c r="B178" s="2293" t="s">
        <v>216</v>
      </c>
      <c r="C178" s="4364"/>
      <c r="D178" s="1644">
        <f t="shared" si="121"/>
        <v>18000000</v>
      </c>
      <c r="E178" s="1644">
        <f>360377-6785+986569+884884</f>
        <v>2225045</v>
      </c>
      <c r="F178" s="1644">
        <f>3584737+432072+5314788+1929747+81572-5768145-3321871</f>
        <v>2252900</v>
      </c>
      <c r="G178" s="1644">
        <f>7959008+1344027-3303035</f>
        <v>6000000</v>
      </c>
      <c r="H178" s="1644">
        <f>4200184+3321871</f>
        <v>7522055</v>
      </c>
      <c r="I178" s="1644">
        <v>0</v>
      </c>
      <c r="J178" s="1644">
        <v>0</v>
      </c>
      <c r="K178" s="1644"/>
      <c r="L178" s="1644">
        <v>0</v>
      </c>
      <c r="M178" s="1543">
        <f>SUM(F178:J178)</f>
        <v>15774955</v>
      </c>
      <c r="N178" s="1113"/>
      <c r="O178" s="156"/>
    </row>
    <row r="179" spans="1:15" s="820" customFormat="1" ht="21.75" hidden="1" customHeight="1">
      <c r="A179" s="4093"/>
      <c r="B179" s="2293" t="s">
        <v>217</v>
      </c>
      <c r="C179" s="4351"/>
      <c r="D179" s="1644">
        <f t="shared" si="121"/>
        <v>27700000</v>
      </c>
      <c r="E179" s="2307">
        <v>0</v>
      </c>
      <c r="F179" s="1644">
        <f>2857000+833000+2295496+2081706-2544380-2522822-1000000</f>
        <v>2000000</v>
      </c>
      <c r="G179" s="1644">
        <f>4688465+2561535</f>
        <v>7250000</v>
      </c>
      <c r="H179" s="1644">
        <f>17450000+1000000</f>
        <v>18450000</v>
      </c>
      <c r="I179" s="1644">
        <v>0</v>
      </c>
      <c r="J179" s="1644">
        <v>0</v>
      </c>
      <c r="K179" s="1644">
        <f>7000000+143000-583000-2342700-2034502-2144085-38713</f>
        <v>0</v>
      </c>
      <c r="L179" s="1644">
        <f>3000000-3000000</f>
        <v>0</v>
      </c>
      <c r="M179" s="1543">
        <f>SUM(F179:J179)</f>
        <v>27700000</v>
      </c>
      <c r="N179" s="1113"/>
      <c r="O179" s="156"/>
    </row>
    <row r="180" spans="1:15" s="820" customFormat="1" ht="17.25" hidden="1" customHeight="1">
      <c r="A180" s="4093"/>
      <c r="B180" s="89" t="s">
        <v>219</v>
      </c>
      <c r="C180" s="76"/>
      <c r="D180" s="1638">
        <f t="shared" ref="D180:J180" si="128">+D181+D183</f>
        <v>45700000</v>
      </c>
      <c r="E180" s="1638">
        <f t="shared" ref="E180" si="129">+E181+E183</f>
        <v>2025831</v>
      </c>
      <c r="F180" s="1638">
        <f t="shared" si="128"/>
        <v>2489214</v>
      </c>
      <c r="G180" s="1638">
        <f t="shared" si="128"/>
        <v>11500000</v>
      </c>
      <c r="H180" s="1638">
        <f t="shared" si="128"/>
        <v>29684955</v>
      </c>
      <c r="I180" s="1638">
        <f t="shared" si="128"/>
        <v>0</v>
      </c>
      <c r="J180" s="1638">
        <f t="shared" si="128"/>
        <v>0</v>
      </c>
      <c r="K180" s="1638">
        <f>+K181+K183</f>
        <v>0</v>
      </c>
      <c r="L180" s="1638">
        <f>+L181+L183</f>
        <v>0</v>
      </c>
      <c r="M180" s="4396" t="s">
        <v>51</v>
      </c>
      <c r="N180" s="1113"/>
      <c r="O180" s="156"/>
    </row>
    <row r="181" spans="1:15" s="820" customFormat="1" ht="13.5" hidden="1" customHeight="1">
      <c r="A181" s="4093"/>
      <c r="B181" s="119" t="s">
        <v>22</v>
      </c>
      <c r="C181" s="4387" t="s">
        <v>227</v>
      </c>
      <c r="D181" s="1639">
        <f t="shared" ref="D181:D186" si="130">SUM(E181:J181)</f>
        <v>0</v>
      </c>
      <c r="E181" s="1640">
        <f t="shared" ref="E181:J181" si="131">+E182</f>
        <v>0</v>
      </c>
      <c r="F181" s="1640">
        <f t="shared" si="131"/>
        <v>0</v>
      </c>
      <c r="G181" s="1640">
        <f t="shared" si="131"/>
        <v>0</v>
      </c>
      <c r="H181" s="1640">
        <f t="shared" si="131"/>
        <v>0</v>
      </c>
      <c r="I181" s="1640">
        <f t="shared" si="131"/>
        <v>0</v>
      </c>
      <c r="J181" s="1640">
        <f t="shared" si="131"/>
        <v>0</v>
      </c>
      <c r="K181" s="1640">
        <f>+K182</f>
        <v>0</v>
      </c>
      <c r="L181" s="1640">
        <f>+L182</f>
        <v>0</v>
      </c>
      <c r="M181" s="4249"/>
      <c r="N181" s="1113"/>
      <c r="O181" s="156"/>
    </row>
    <row r="182" spans="1:15" s="820" customFormat="1" ht="15" hidden="1" customHeight="1">
      <c r="A182" s="4093"/>
      <c r="B182" s="2284" t="s">
        <v>52</v>
      </c>
      <c r="C182" s="4351"/>
      <c r="D182" s="1644">
        <f t="shared" si="130"/>
        <v>0</v>
      </c>
      <c r="E182" s="1644"/>
      <c r="F182" s="1644"/>
      <c r="G182" s="1644"/>
      <c r="H182" s="1644"/>
      <c r="I182" s="1644"/>
      <c r="J182" s="1644"/>
      <c r="K182" s="1644"/>
      <c r="L182" s="1644"/>
      <c r="M182" s="4249"/>
      <c r="N182" s="1113"/>
      <c r="O182" s="156"/>
    </row>
    <row r="183" spans="1:15" s="820" customFormat="1" ht="18.75" hidden="1" customHeight="1">
      <c r="A183" s="4093"/>
      <c r="B183" s="2308" t="s">
        <v>17</v>
      </c>
      <c r="C183" s="4387" t="s">
        <v>233</v>
      </c>
      <c r="D183" s="1639">
        <f t="shared" si="130"/>
        <v>45700000</v>
      </c>
      <c r="E183" s="1640">
        <f t="shared" ref="E183:J183" si="132">+E184</f>
        <v>2025831</v>
      </c>
      <c r="F183" s="1640">
        <f t="shared" si="132"/>
        <v>2489214</v>
      </c>
      <c r="G183" s="1640">
        <f t="shared" si="132"/>
        <v>11500000</v>
      </c>
      <c r="H183" s="1640">
        <f t="shared" si="132"/>
        <v>29684955</v>
      </c>
      <c r="I183" s="1640">
        <f t="shared" si="132"/>
        <v>0</v>
      </c>
      <c r="J183" s="1640">
        <f t="shared" si="132"/>
        <v>0</v>
      </c>
      <c r="K183" s="1640">
        <f>+K184</f>
        <v>0</v>
      </c>
      <c r="L183" s="1640">
        <f>+L184</f>
        <v>0</v>
      </c>
      <c r="M183" s="4249"/>
      <c r="N183" s="1113"/>
      <c r="O183" s="156"/>
    </row>
    <row r="184" spans="1:15" s="820" customFormat="1" ht="18" hidden="1" customHeight="1">
      <c r="A184" s="4093"/>
      <c r="B184" s="233" t="s">
        <v>19</v>
      </c>
      <c r="C184" s="4395"/>
      <c r="D184" s="1642">
        <f t="shared" si="130"/>
        <v>45700000</v>
      </c>
      <c r="E184" s="1642">
        <f t="shared" ref="E184:J184" si="133">+E185+E186</f>
        <v>2025831</v>
      </c>
      <c r="F184" s="1642">
        <f t="shared" si="133"/>
        <v>2489214</v>
      </c>
      <c r="G184" s="1642">
        <f t="shared" si="133"/>
        <v>11500000</v>
      </c>
      <c r="H184" s="1642">
        <f t="shared" si="133"/>
        <v>29684955</v>
      </c>
      <c r="I184" s="1642">
        <f t="shared" si="133"/>
        <v>0</v>
      </c>
      <c r="J184" s="1642">
        <f t="shared" si="133"/>
        <v>0</v>
      </c>
      <c r="K184" s="1642">
        <f>+K185+K186</f>
        <v>0</v>
      </c>
      <c r="L184" s="1642">
        <f>+L185+L186</f>
        <v>0</v>
      </c>
      <c r="M184" s="4249"/>
      <c r="N184" s="1113"/>
      <c r="O184" s="156"/>
    </row>
    <row r="185" spans="1:15" s="820" customFormat="1" ht="22.5" hidden="1" customHeight="1">
      <c r="A185" s="3595"/>
      <c r="B185" s="2309" t="s">
        <v>222</v>
      </c>
      <c r="C185" s="2310" t="s">
        <v>193</v>
      </c>
      <c r="D185" s="1644">
        <f t="shared" si="130"/>
        <v>18000000</v>
      </c>
      <c r="E185" s="1644">
        <f>226180-6785+1022720+783716</f>
        <v>2025831</v>
      </c>
      <c r="F185" s="1644">
        <f>3584737+432072+5314788+2062295-50976-5325270-197120-146541-3684771</f>
        <v>1989214</v>
      </c>
      <c r="G185" s="1644">
        <f>113335+7943719+1245981-3303035</f>
        <v>6000000</v>
      </c>
      <c r="H185" s="1644">
        <f>4300184+3684771</f>
        <v>7984955</v>
      </c>
      <c r="I185" s="1644"/>
      <c r="J185" s="1644"/>
      <c r="K185" s="1644"/>
      <c r="L185" s="1644">
        <v>0</v>
      </c>
      <c r="M185" s="4249"/>
      <c r="N185" s="1113"/>
      <c r="O185" s="156"/>
    </row>
    <row r="186" spans="1:15" s="820" customFormat="1" ht="24" hidden="1" customHeight="1" thickBot="1">
      <c r="A186" s="3596"/>
      <c r="B186" s="2293" t="s">
        <v>223</v>
      </c>
      <c r="C186" s="2310" t="s">
        <v>174</v>
      </c>
      <c r="D186" s="1642">
        <f t="shared" si="130"/>
        <v>27700000</v>
      </c>
      <c r="E186" s="1643"/>
      <c r="F186" s="1642">
        <f>2857000+833000+2295496+2081706-2505667-3061535-2000000</f>
        <v>500000</v>
      </c>
      <c r="G186" s="1642">
        <f>4688465+3061535-2250000</f>
        <v>5500000</v>
      </c>
      <c r="H186" s="1642">
        <f>2250000+17450000+2000000</f>
        <v>21700000</v>
      </c>
      <c r="I186" s="1642"/>
      <c r="J186" s="1642"/>
      <c r="K186" s="1642">
        <f>7000000+143000-583000-2342700-2034502-2182798</f>
        <v>0</v>
      </c>
      <c r="L186" s="1642">
        <f>3000000-3000000</f>
        <v>0</v>
      </c>
      <c r="M186" s="4397"/>
      <c r="N186" s="1113"/>
      <c r="O186" s="156"/>
    </row>
    <row r="187" spans="1:15" s="820" customFormat="1" ht="15" hidden="1" customHeight="1" thickBot="1">
      <c r="A187" s="4280" t="s">
        <v>239</v>
      </c>
      <c r="B187" s="1148" t="s">
        <v>224</v>
      </c>
      <c r="C187" s="1872" t="s">
        <v>97</v>
      </c>
      <c r="D187" s="2303"/>
      <c r="E187" s="2304"/>
      <c r="F187" s="1636"/>
      <c r="G187" s="1636"/>
      <c r="H187" s="1636"/>
      <c r="I187" s="1636"/>
      <c r="J187" s="2305"/>
      <c r="K187" s="1636"/>
      <c r="L187" s="1646"/>
      <c r="M187" s="1647"/>
      <c r="N187" s="1113"/>
      <c r="O187" s="156"/>
    </row>
    <row r="188" spans="1:15" s="820" customFormat="1" ht="13.5" hidden="1" customHeight="1" thickBot="1">
      <c r="A188" s="4280"/>
      <c r="B188" s="2311" t="s">
        <v>9</v>
      </c>
      <c r="C188" s="2306"/>
      <c r="D188" s="223">
        <f>+D189+D191</f>
        <v>0</v>
      </c>
      <c r="E188" s="223">
        <v>0</v>
      </c>
      <c r="F188" s="223">
        <f t="shared" ref="F188:J188" si="134">+F189+F191</f>
        <v>0</v>
      </c>
      <c r="G188" s="223">
        <f t="shared" si="134"/>
        <v>0</v>
      </c>
      <c r="H188" s="223">
        <f t="shared" si="134"/>
        <v>0</v>
      </c>
      <c r="I188" s="223">
        <f t="shared" si="134"/>
        <v>0</v>
      </c>
      <c r="J188" s="223">
        <f t="shared" si="134"/>
        <v>0</v>
      </c>
      <c r="K188" s="223">
        <f>+K189+K191</f>
        <v>0</v>
      </c>
      <c r="L188" s="717">
        <f>+L189+L191</f>
        <v>0</v>
      </c>
      <c r="M188" s="1648">
        <f>+M189+M191</f>
        <v>0</v>
      </c>
      <c r="N188" s="1113"/>
      <c r="O188" s="156"/>
    </row>
    <row r="189" spans="1:15" s="820" customFormat="1" ht="13.5" hidden="1" customHeight="1" thickBot="1">
      <c r="A189" s="4280"/>
      <c r="B189" s="2312" t="s">
        <v>22</v>
      </c>
      <c r="C189" s="4388" t="s">
        <v>227</v>
      </c>
      <c r="D189" s="1639">
        <f>SUM(E189:J189)</f>
        <v>0</v>
      </c>
      <c r="E189" s="1640">
        <v>0</v>
      </c>
      <c r="F189" s="1640">
        <f t="shared" ref="F189:J189" si="135">+F190</f>
        <v>0</v>
      </c>
      <c r="G189" s="1640">
        <f t="shared" si="135"/>
        <v>0</v>
      </c>
      <c r="H189" s="1640">
        <f t="shared" si="135"/>
        <v>0</v>
      </c>
      <c r="I189" s="1640">
        <f t="shared" si="135"/>
        <v>0</v>
      </c>
      <c r="J189" s="1640">
        <f t="shared" si="135"/>
        <v>0</v>
      </c>
      <c r="K189" s="1640">
        <f>+K190</f>
        <v>0</v>
      </c>
      <c r="L189" s="1632">
        <f>+L190</f>
        <v>0</v>
      </c>
      <c r="M189" s="1649">
        <f>SUM(E189:J189)</f>
        <v>0</v>
      </c>
      <c r="N189" s="1113"/>
      <c r="O189" s="156"/>
    </row>
    <row r="190" spans="1:15" s="820" customFormat="1" ht="13.5" hidden="1" customHeight="1" thickBot="1">
      <c r="A190" s="4280"/>
      <c r="B190" s="2313" t="s">
        <v>11</v>
      </c>
      <c r="C190" s="4389"/>
      <c r="D190" s="1644">
        <f>SUM(E190:J190)</f>
        <v>0</v>
      </c>
      <c r="E190" s="2307">
        <v>0</v>
      </c>
      <c r="F190" s="1644">
        <v>0</v>
      </c>
      <c r="G190" s="1644">
        <v>0</v>
      </c>
      <c r="H190" s="1644">
        <v>0</v>
      </c>
      <c r="I190" s="1644">
        <v>0</v>
      </c>
      <c r="J190" s="1644"/>
      <c r="K190" s="1644">
        <v>0</v>
      </c>
      <c r="L190" s="1633">
        <v>0</v>
      </c>
      <c r="M190" s="1543">
        <f>SUM(F190:J190)</f>
        <v>0</v>
      </c>
      <c r="N190" s="1113"/>
      <c r="O190" s="156"/>
    </row>
    <row r="191" spans="1:15" s="820" customFormat="1" ht="13.5" hidden="1" customHeight="1" thickBot="1">
      <c r="A191" s="4280"/>
      <c r="B191" s="2291" t="s">
        <v>17</v>
      </c>
      <c r="C191" s="4366" t="s">
        <v>134</v>
      </c>
      <c r="D191" s="1639">
        <f>SUM(E191:J191)</f>
        <v>0</v>
      </c>
      <c r="E191" s="1640">
        <v>0</v>
      </c>
      <c r="F191" s="1640">
        <f t="shared" ref="F191:J191" si="136">+F192</f>
        <v>0</v>
      </c>
      <c r="G191" s="1640">
        <f t="shared" si="136"/>
        <v>0</v>
      </c>
      <c r="H191" s="1640">
        <f t="shared" si="136"/>
        <v>0</v>
      </c>
      <c r="I191" s="1640">
        <f t="shared" si="136"/>
        <v>0</v>
      </c>
      <c r="J191" s="1640">
        <f t="shared" si="136"/>
        <v>0</v>
      </c>
      <c r="K191" s="1640">
        <f>+K192</f>
        <v>0</v>
      </c>
      <c r="L191" s="1632">
        <f>+L192</f>
        <v>0</v>
      </c>
      <c r="M191" s="1649">
        <f>SUM(E191:J191)</f>
        <v>0</v>
      </c>
      <c r="N191" s="1113"/>
      <c r="O191" s="156"/>
    </row>
    <row r="192" spans="1:15" s="820" customFormat="1" ht="13.5" hidden="1" customHeight="1" thickBot="1">
      <c r="A192" s="4280"/>
      <c r="B192" s="2292" t="s">
        <v>19</v>
      </c>
      <c r="C192" s="4391"/>
      <c r="D192" s="1642">
        <f>SUM(E192:J192)</f>
        <v>0</v>
      </c>
      <c r="E192" s="1643">
        <v>0</v>
      </c>
      <c r="F192" s="1643">
        <f t="shared" ref="F192:J192" si="137">+F193</f>
        <v>0</v>
      </c>
      <c r="G192" s="1643">
        <f t="shared" si="137"/>
        <v>0</v>
      </c>
      <c r="H192" s="1643">
        <f t="shared" si="137"/>
        <v>0</v>
      </c>
      <c r="I192" s="1643">
        <f t="shared" si="137"/>
        <v>0</v>
      </c>
      <c r="J192" s="1643">
        <f t="shared" si="137"/>
        <v>0</v>
      </c>
      <c r="K192" s="1643">
        <f>+K193</f>
        <v>0</v>
      </c>
      <c r="L192" s="220">
        <f>+L193</f>
        <v>0</v>
      </c>
      <c r="M192" s="1543">
        <f>SUM(F192:J192)</f>
        <v>0</v>
      </c>
      <c r="N192" s="1113"/>
      <c r="O192" s="156"/>
    </row>
    <row r="193" spans="1:15" s="820" customFormat="1" ht="22.5" hidden="1" customHeight="1" thickBot="1">
      <c r="A193" s="4280"/>
      <c r="B193" s="2314" t="s">
        <v>221</v>
      </c>
      <c r="C193" s="4392"/>
      <c r="D193" s="1644">
        <f>SUM(E193:J193)</f>
        <v>0</v>
      </c>
      <c r="E193" s="2307">
        <v>0</v>
      </c>
      <c r="F193" s="1644">
        <f>624800-624800</f>
        <v>0</v>
      </c>
      <c r="G193" s="1644">
        <f>625000-625000</f>
        <v>0</v>
      </c>
      <c r="H193" s="1644">
        <v>0</v>
      </c>
      <c r="I193" s="1644">
        <v>0</v>
      </c>
      <c r="J193" s="1644">
        <v>0</v>
      </c>
      <c r="K193" s="1644">
        <f>312400-312400</f>
        <v>0</v>
      </c>
      <c r="L193" s="1633">
        <v>0</v>
      </c>
      <c r="M193" s="1543">
        <f>SUM(F193:J193)</f>
        <v>0</v>
      </c>
      <c r="N193" s="1113"/>
      <c r="O193" s="156"/>
    </row>
    <row r="194" spans="1:15" s="820" customFormat="1" ht="13.5" hidden="1" customHeight="1" thickBot="1">
      <c r="A194" s="4280"/>
      <c r="B194" s="89" t="s">
        <v>219</v>
      </c>
      <c r="C194" s="80"/>
      <c r="D194" s="1638">
        <f>+D195</f>
        <v>0</v>
      </c>
      <c r="E194" s="1638">
        <v>0</v>
      </c>
      <c r="F194" s="1638">
        <f t="shared" ref="F194:J194" si="138">+F195</f>
        <v>0</v>
      </c>
      <c r="G194" s="1638">
        <f t="shared" si="138"/>
        <v>0</v>
      </c>
      <c r="H194" s="1638">
        <f t="shared" si="138"/>
        <v>0</v>
      </c>
      <c r="I194" s="1638">
        <f t="shared" si="138"/>
        <v>0</v>
      </c>
      <c r="J194" s="1638">
        <f t="shared" si="138"/>
        <v>0</v>
      </c>
      <c r="K194" s="1638">
        <f t="shared" ref="K194:L196" si="139">+K195</f>
        <v>0</v>
      </c>
      <c r="L194" s="196">
        <f t="shared" si="139"/>
        <v>0</v>
      </c>
      <c r="M194" s="4390" t="s">
        <v>51</v>
      </c>
      <c r="N194" s="1113"/>
      <c r="O194" s="156"/>
    </row>
    <row r="195" spans="1:15" s="820" customFormat="1" ht="13.5" hidden="1" customHeight="1" thickBot="1">
      <c r="A195" s="4280"/>
      <c r="B195" s="2291" t="s">
        <v>17</v>
      </c>
      <c r="C195" s="4366" t="s">
        <v>193</v>
      </c>
      <c r="D195" s="1639">
        <f>SUM(E195:J195)</f>
        <v>0</v>
      </c>
      <c r="E195" s="2315">
        <v>0</v>
      </c>
      <c r="F195" s="2315">
        <f t="shared" ref="F195:J196" si="140">+F196</f>
        <v>0</v>
      </c>
      <c r="G195" s="2315">
        <f t="shared" si="140"/>
        <v>0</v>
      </c>
      <c r="H195" s="2315">
        <f t="shared" si="140"/>
        <v>0</v>
      </c>
      <c r="I195" s="2315">
        <f t="shared" si="140"/>
        <v>0</v>
      </c>
      <c r="J195" s="2315">
        <f t="shared" si="140"/>
        <v>0</v>
      </c>
      <c r="K195" s="2315">
        <f t="shared" si="139"/>
        <v>0</v>
      </c>
      <c r="L195" s="226">
        <f t="shared" si="139"/>
        <v>0</v>
      </c>
      <c r="M195" s="4251"/>
      <c r="N195" s="1113"/>
      <c r="O195" s="156"/>
    </row>
    <row r="196" spans="1:15" s="820" customFormat="1" ht="13.5" hidden="1" customHeight="1" thickBot="1">
      <c r="A196" s="4280"/>
      <c r="B196" s="36" t="s">
        <v>19</v>
      </c>
      <c r="C196" s="4367"/>
      <c r="D196" s="2316">
        <f>SUM(E196:J196)</f>
        <v>0</v>
      </c>
      <c r="E196" s="2317">
        <v>0</v>
      </c>
      <c r="F196" s="2317">
        <f t="shared" si="140"/>
        <v>0</v>
      </c>
      <c r="G196" s="2317">
        <f t="shared" si="140"/>
        <v>0</v>
      </c>
      <c r="H196" s="2317">
        <f t="shared" si="140"/>
        <v>0</v>
      </c>
      <c r="I196" s="2317">
        <f t="shared" si="140"/>
        <v>0</v>
      </c>
      <c r="J196" s="2317">
        <f t="shared" si="140"/>
        <v>0</v>
      </c>
      <c r="K196" s="2317">
        <f t="shared" si="139"/>
        <v>0</v>
      </c>
      <c r="L196" s="1650">
        <f t="shared" si="139"/>
        <v>0</v>
      </c>
      <c r="M196" s="4252"/>
      <c r="N196" s="1115"/>
      <c r="O196" s="156">
        <f>+D192+D203</f>
        <v>106250000</v>
      </c>
    </row>
    <row r="197" spans="1:15" s="820" customFormat="1" ht="12" hidden="1" customHeight="1" thickBot="1">
      <c r="A197" s="1645"/>
      <c r="B197" s="1651" t="s">
        <v>216</v>
      </c>
      <c r="C197" s="1652"/>
      <c r="D197" s="1653">
        <f>SUM(E197:J197)</f>
        <v>0</v>
      </c>
      <c r="E197" s="1654"/>
      <c r="F197" s="1653">
        <f>624800-624800</f>
        <v>0</v>
      </c>
      <c r="G197" s="1653">
        <f>625000-625000</f>
        <v>0</v>
      </c>
      <c r="H197" s="1655"/>
      <c r="I197" s="1655"/>
      <c r="J197" s="1653"/>
      <c r="K197" s="1653">
        <f>312400-312400</f>
        <v>0</v>
      </c>
      <c r="L197" s="1653">
        <v>0</v>
      </c>
      <c r="M197" s="1656"/>
      <c r="N197" s="1115"/>
      <c r="O197" s="156"/>
    </row>
    <row r="198" spans="1:15" s="820" customFormat="1" ht="16.5" hidden="1" customHeight="1" thickBot="1">
      <c r="A198" s="4280" t="s">
        <v>238</v>
      </c>
      <c r="B198" s="2318" t="s">
        <v>224</v>
      </c>
      <c r="C198" s="2319" t="s">
        <v>70</v>
      </c>
      <c r="D198" s="2320"/>
      <c r="E198" s="1116"/>
      <c r="F198" s="1117"/>
      <c r="G198" s="1117"/>
      <c r="H198" s="1117"/>
      <c r="I198" s="1117"/>
      <c r="J198" s="2321"/>
      <c r="K198" s="1117"/>
      <c r="L198" s="1117"/>
      <c r="M198" s="3603"/>
      <c r="N198" s="1113"/>
      <c r="O198" s="156"/>
    </row>
    <row r="199" spans="1:15" s="820" customFormat="1" ht="13.5" hidden="1" customHeight="1" thickBot="1">
      <c r="A199" s="4280"/>
      <c r="B199" s="37" t="s">
        <v>9</v>
      </c>
      <c r="C199" s="2322"/>
      <c r="D199" s="717">
        <f t="shared" ref="D199:M199" si="141">+D200+D203</f>
        <v>125000000</v>
      </c>
      <c r="E199" s="717">
        <v>0</v>
      </c>
      <c r="F199" s="717">
        <f t="shared" si="141"/>
        <v>2200000</v>
      </c>
      <c r="G199" s="717">
        <f t="shared" si="141"/>
        <v>17647059</v>
      </c>
      <c r="H199" s="717">
        <f t="shared" si="141"/>
        <v>49917187</v>
      </c>
      <c r="I199" s="717">
        <f t="shared" si="141"/>
        <v>55235754</v>
      </c>
      <c r="J199" s="717">
        <f t="shared" si="141"/>
        <v>0</v>
      </c>
      <c r="K199" s="717">
        <f>+K200+K203</f>
        <v>0</v>
      </c>
      <c r="L199" s="717">
        <f>+L200+L203</f>
        <v>0</v>
      </c>
      <c r="M199" s="199">
        <f t="shared" si="141"/>
        <v>125000000</v>
      </c>
      <c r="N199" s="1113"/>
      <c r="O199" s="156"/>
    </row>
    <row r="200" spans="1:15" s="820" customFormat="1" ht="13.5" hidden="1" customHeight="1" thickBot="1">
      <c r="A200" s="4280"/>
      <c r="B200" s="1470" t="s">
        <v>22</v>
      </c>
      <c r="C200" s="4387" t="s">
        <v>227</v>
      </c>
      <c r="D200" s="2323">
        <f>SUM(E200:J200)</f>
        <v>18750000</v>
      </c>
      <c r="E200" s="185">
        <v>0</v>
      </c>
      <c r="F200" s="185">
        <f>+F201+F202</f>
        <v>1000000</v>
      </c>
      <c r="G200" s="185">
        <f>+G201+G202</f>
        <v>2647059</v>
      </c>
      <c r="H200" s="185">
        <f t="shared" ref="H200:J200" si="142">+H201+H202</f>
        <v>6544438</v>
      </c>
      <c r="I200" s="185">
        <f t="shared" si="142"/>
        <v>8558503</v>
      </c>
      <c r="J200" s="185">
        <f t="shared" si="142"/>
        <v>0</v>
      </c>
      <c r="K200" s="185">
        <f>+K201+K202</f>
        <v>0</v>
      </c>
      <c r="L200" s="185">
        <f>+L201+L202</f>
        <v>0</v>
      </c>
      <c r="M200" s="2324">
        <f>SUM(E200:J200)</f>
        <v>18750000</v>
      </c>
      <c r="N200" s="1113"/>
      <c r="O200" s="156"/>
    </row>
    <row r="201" spans="1:15" s="820" customFormat="1" ht="13.5" hidden="1" customHeight="1" thickBot="1">
      <c r="A201" s="4280"/>
      <c r="B201" s="2284" t="s">
        <v>11</v>
      </c>
      <c r="C201" s="4364"/>
      <c r="D201" s="1118">
        <f>SUM(E201:J201)</f>
        <v>18750000</v>
      </c>
      <c r="E201" s="186"/>
      <c r="F201" s="1118">
        <f>4006159-2149730+11478766-1254345+1284139-1290507-10074482-1000000</f>
        <v>1000000</v>
      </c>
      <c r="G201" s="1118">
        <f>825200-119869+1136000+9043924+1438489-1284139+98690-78921-8412315</f>
        <v>2647059</v>
      </c>
      <c r="H201" s="1118">
        <f>11059373-4514935</f>
        <v>6544438</v>
      </c>
      <c r="I201" s="1118">
        <f>13235754-5677251+1000000</f>
        <v>8558503</v>
      </c>
      <c r="J201" s="1118"/>
      <c r="K201" s="1118">
        <f>298890-145175+17079-170794</f>
        <v>0</v>
      </c>
      <c r="L201" s="1118">
        <v>0</v>
      </c>
      <c r="M201" s="2325">
        <f>SUM(F201:J201)</f>
        <v>18750000</v>
      </c>
      <c r="N201" s="1113"/>
      <c r="O201" s="156"/>
    </row>
    <row r="202" spans="1:15" s="820" customFormat="1" ht="13.5" hidden="1" customHeight="1" thickBot="1">
      <c r="A202" s="4280"/>
      <c r="B202" s="2284" t="s">
        <v>15</v>
      </c>
      <c r="C202" s="4364"/>
      <c r="D202" s="1118">
        <f>SUM(E202:J202)</f>
        <v>0</v>
      </c>
      <c r="E202" s="186"/>
      <c r="F202" s="1118">
        <f>3328200-3328200</f>
        <v>0</v>
      </c>
      <c r="G202" s="1118">
        <f>1394500+277300-1671800</f>
        <v>0</v>
      </c>
      <c r="H202" s="1118"/>
      <c r="I202" s="1118"/>
      <c r="J202" s="1118"/>
      <c r="K202" s="1118">
        <f>277300-277300</f>
        <v>0</v>
      </c>
      <c r="L202" s="1118">
        <v>0</v>
      </c>
      <c r="M202" s="2325">
        <f>SUM(F202:J202)</f>
        <v>0</v>
      </c>
      <c r="N202" s="1113"/>
      <c r="O202" s="156"/>
    </row>
    <row r="203" spans="1:15" s="820" customFormat="1" ht="15.75" hidden="1" customHeight="1" thickBot="1">
      <c r="A203" s="4280"/>
      <c r="B203" s="237" t="s">
        <v>17</v>
      </c>
      <c r="C203" s="4393"/>
      <c r="D203" s="2323">
        <f>SUM(E203:J203)</f>
        <v>106250000</v>
      </c>
      <c r="E203" s="2323">
        <v>0</v>
      </c>
      <c r="F203" s="2323">
        <f t="shared" ref="F203:J203" si="143">+F204</f>
        <v>1200000</v>
      </c>
      <c r="G203" s="2323">
        <f t="shared" si="143"/>
        <v>15000000</v>
      </c>
      <c r="H203" s="2323">
        <f t="shared" si="143"/>
        <v>43372749</v>
      </c>
      <c r="I203" s="2323">
        <f t="shared" si="143"/>
        <v>46677251</v>
      </c>
      <c r="J203" s="2323">
        <f t="shared" si="143"/>
        <v>0</v>
      </c>
      <c r="K203" s="2323">
        <f>+K204</f>
        <v>0</v>
      </c>
      <c r="L203" s="2323">
        <f>+L204</f>
        <v>0</v>
      </c>
      <c r="M203" s="2326">
        <f>SUM(E203:J203)</f>
        <v>106250000</v>
      </c>
      <c r="N203" s="1113"/>
      <c r="O203" s="156"/>
    </row>
    <row r="204" spans="1:15" s="820" customFormat="1" ht="12" hidden="1" customHeight="1" thickBot="1">
      <c r="A204" s="4280"/>
      <c r="B204" s="233" t="s">
        <v>19</v>
      </c>
      <c r="C204" s="4394"/>
      <c r="D204" s="1118">
        <f>+D205+D206</f>
        <v>106250000</v>
      </c>
      <c r="E204" s="1118">
        <v>0</v>
      </c>
      <c r="F204" s="1118">
        <f t="shared" ref="F204:J204" si="144">+F205+F206</f>
        <v>1200000</v>
      </c>
      <c r="G204" s="1118">
        <f>+G205+G206</f>
        <v>15000000</v>
      </c>
      <c r="H204" s="1118">
        <f t="shared" si="144"/>
        <v>43372749</v>
      </c>
      <c r="I204" s="1118">
        <f t="shared" si="144"/>
        <v>46677251</v>
      </c>
      <c r="J204" s="1118">
        <f t="shared" si="144"/>
        <v>0</v>
      </c>
      <c r="K204" s="1118">
        <f>+K205+K206</f>
        <v>0</v>
      </c>
      <c r="L204" s="1118">
        <f>+L205+L206</f>
        <v>0</v>
      </c>
      <c r="M204" s="2325">
        <f>SUM(F204:J204)</f>
        <v>106250000</v>
      </c>
      <c r="N204" s="1113"/>
      <c r="O204" s="156"/>
    </row>
    <row r="205" spans="1:15" s="820" customFormat="1" ht="22.5" hidden="1" customHeight="1" thickBot="1">
      <c r="A205" s="4280"/>
      <c r="B205" s="2309" t="s">
        <v>225</v>
      </c>
      <c r="C205" s="4394"/>
      <c r="D205" s="1119">
        <f>+E205+L205+K205+F205+G205+H205+I205+J205</f>
        <v>0</v>
      </c>
      <c r="E205" s="2327">
        <v>0</v>
      </c>
      <c r="F205" s="1119">
        <f>915000+624800-1539800</f>
        <v>0</v>
      </c>
      <c r="G205" s="1119">
        <f>511000+625000-1136000</f>
        <v>0</v>
      </c>
      <c r="H205" s="1119">
        <v>0</v>
      </c>
      <c r="I205" s="1119">
        <v>0</v>
      </c>
      <c r="J205" s="1119">
        <v>0</v>
      </c>
      <c r="K205" s="1119">
        <v>0</v>
      </c>
      <c r="L205" s="1119">
        <v>0</v>
      </c>
      <c r="M205" s="2325">
        <f>SUM(F205:J205)</f>
        <v>0</v>
      </c>
      <c r="N205" s="1113"/>
      <c r="O205" s="156"/>
    </row>
    <row r="206" spans="1:15" s="820" customFormat="1" ht="23.25" hidden="1" customHeight="1" thickBot="1">
      <c r="A206" s="4092"/>
      <c r="B206" s="2328" t="s">
        <v>218</v>
      </c>
      <c r="C206" s="4394"/>
      <c r="D206" s="2329">
        <f>+E206+L206+K206+F206+G206+H206+I206+J206</f>
        <v>106250000</v>
      </c>
      <c r="E206" s="2330">
        <v>0</v>
      </c>
      <c r="F206" s="2329">
        <f>27936000-5731740+345740-2337736+2238756-2236767-16214253-2800000</f>
        <v>1200000</v>
      </c>
      <c r="G206" s="2329">
        <f>11600000+8059740-1209740+2337736-2238756+2236767-785747-5000000</f>
        <v>15000000</v>
      </c>
      <c r="H206" s="2329">
        <f>17000000+26372749</f>
        <v>43372749</v>
      </c>
      <c r="I206" s="2329">
        <f>5000000+38877251+2800000</f>
        <v>46677251</v>
      </c>
      <c r="J206" s="2329">
        <v>0</v>
      </c>
      <c r="K206" s="2329">
        <f>2328000-2328000</f>
        <v>0</v>
      </c>
      <c r="L206" s="2329">
        <v>0</v>
      </c>
      <c r="M206" s="2331">
        <f>SUM(F206:J206)</f>
        <v>106250000</v>
      </c>
      <c r="N206" s="1113"/>
      <c r="O206" s="156"/>
    </row>
    <row r="207" spans="1:15" s="820" customFormat="1" ht="13.5" hidden="1" customHeight="1">
      <c r="A207" s="4093"/>
      <c r="B207" s="16" t="s">
        <v>219</v>
      </c>
      <c r="C207" s="2332"/>
      <c r="D207" s="2333">
        <f t="shared" ref="D207:J207" si="145">+D208+D210</f>
        <v>106250000</v>
      </c>
      <c r="E207" s="2333">
        <v>0</v>
      </c>
      <c r="F207" s="2333">
        <f t="shared" si="145"/>
        <v>800000</v>
      </c>
      <c r="G207" s="2333">
        <f t="shared" si="145"/>
        <v>13500000</v>
      </c>
      <c r="H207" s="2333">
        <f t="shared" si="145"/>
        <v>45000000</v>
      </c>
      <c r="I207" s="2333">
        <f t="shared" si="145"/>
        <v>46950000</v>
      </c>
      <c r="J207" s="2333">
        <f t="shared" si="145"/>
        <v>0</v>
      </c>
      <c r="K207" s="2333">
        <f>+K208+K210</f>
        <v>0</v>
      </c>
      <c r="L207" s="2333">
        <f>+L208+L210</f>
        <v>0</v>
      </c>
      <c r="M207" s="4382" t="s">
        <v>51</v>
      </c>
      <c r="N207" s="1113"/>
      <c r="O207" s="156"/>
    </row>
    <row r="208" spans="1:15" s="820" customFormat="1" ht="15" hidden="1" customHeight="1">
      <c r="A208" s="4093"/>
      <c r="B208" s="1470" t="s">
        <v>22</v>
      </c>
      <c r="C208" s="4384" t="s">
        <v>233</v>
      </c>
      <c r="D208" s="2323">
        <f>+D209</f>
        <v>0</v>
      </c>
      <c r="E208" s="2323">
        <v>0</v>
      </c>
      <c r="F208" s="2323">
        <f t="shared" ref="F208:J208" si="146">+F209</f>
        <v>0</v>
      </c>
      <c r="G208" s="2323">
        <f t="shared" si="146"/>
        <v>0</v>
      </c>
      <c r="H208" s="2323">
        <f t="shared" si="146"/>
        <v>0</v>
      </c>
      <c r="I208" s="2323">
        <f t="shared" si="146"/>
        <v>0</v>
      </c>
      <c r="J208" s="2323">
        <f t="shared" si="146"/>
        <v>0</v>
      </c>
      <c r="K208" s="2323">
        <f>+K209</f>
        <v>0</v>
      </c>
      <c r="L208" s="2323">
        <f>+L209</f>
        <v>0</v>
      </c>
      <c r="M208" s="4251"/>
      <c r="N208" s="1113"/>
      <c r="O208" s="156"/>
    </row>
    <row r="209" spans="1:15" s="820" customFormat="1" ht="16.5" hidden="1" customHeight="1">
      <c r="A209" s="4093"/>
      <c r="B209" s="2284" t="s">
        <v>15</v>
      </c>
      <c r="C209" s="4385"/>
      <c r="D209" s="1118">
        <f>SUM(E209:J209)</f>
        <v>0</v>
      </c>
      <c r="E209" s="186"/>
      <c r="F209" s="1118">
        <f>3328200-3328200</f>
        <v>0</v>
      </c>
      <c r="G209" s="1118">
        <f>1394500+277300-1671800</f>
        <v>0</v>
      </c>
      <c r="H209" s="1118"/>
      <c r="I209" s="1118"/>
      <c r="J209" s="1118"/>
      <c r="K209" s="1118">
        <f>277300-277300</f>
        <v>0</v>
      </c>
      <c r="L209" s="1118">
        <v>0</v>
      </c>
      <c r="M209" s="4251"/>
      <c r="N209" s="1113"/>
      <c r="O209" s="156"/>
    </row>
    <row r="210" spans="1:15" s="820" customFormat="1" ht="16.5" hidden="1" customHeight="1">
      <c r="A210" s="4093"/>
      <c r="B210" s="237" t="s">
        <v>17</v>
      </c>
      <c r="C210" s="4385"/>
      <c r="D210" s="2323">
        <f>SUM(E210:J210)</f>
        <v>106250000</v>
      </c>
      <c r="E210" s="2323">
        <v>0</v>
      </c>
      <c r="F210" s="2323">
        <f t="shared" ref="F210:J210" si="147">+F211</f>
        <v>800000</v>
      </c>
      <c r="G210" s="2323">
        <f t="shared" si="147"/>
        <v>13500000</v>
      </c>
      <c r="H210" s="2323">
        <f t="shared" si="147"/>
        <v>45000000</v>
      </c>
      <c r="I210" s="2323">
        <f t="shared" si="147"/>
        <v>46950000</v>
      </c>
      <c r="J210" s="2323">
        <f t="shared" si="147"/>
        <v>0</v>
      </c>
      <c r="K210" s="2323">
        <f>+K211</f>
        <v>0</v>
      </c>
      <c r="L210" s="2323">
        <f>+L211</f>
        <v>0</v>
      </c>
      <c r="M210" s="4251"/>
      <c r="N210" s="1113"/>
      <c r="O210" s="156"/>
    </row>
    <row r="211" spans="1:15" s="820" customFormat="1" ht="15" hidden="1" customHeight="1">
      <c r="A211" s="2823"/>
      <c r="B211" s="233" t="s">
        <v>19</v>
      </c>
      <c r="C211" s="4386"/>
      <c r="D211" s="1118">
        <f>SUM(E211:J211)</f>
        <v>106250000</v>
      </c>
      <c r="E211" s="1118">
        <v>0</v>
      </c>
      <c r="F211" s="1118">
        <f t="shared" ref="F211:J211" si="148">+F212+F213</f>
        <v>800000</v>
      </c>
      <c r="G211" s="1118">
        <f t="shared" si="148"/>
        <v>13500000</v>
      </c>
      <c r="H211" s="1118">
        <f t="shared" si="148"/>
        <v>45000000</v>
      </c>
      <c r="I211" s="1118">
        <f t="shared" si="148"/>
        <v>46950000</v>
      </c>
      <c r="J211" s="1118">
        <f t="shared" si="148"/>
        <v>0</v>
      </c>
      <c r="K211" s="1118">
        <f>+K212+K213</f>
        <v>0</v>
      </c>
      <c r="L211" s="1118">
        <f>+L212+L213</f>
        <v>0</v>
      </c>
      <c r="M211" s="4251"/>
      <c r="N211" s="1113"/>
      <c r="O211" s="156"/>
    </row>
    <row r="212" spans="1:15" s="820" customFormat="1" ht="27.75" hidden="1" customHeight="1">
      <c r="A212" s="2823"/>
      <c r="B212" s="2309" t="s">
        <v>216</v>
      </c>
      <c r="C212" s="3602" t="s">
        <v>193</v>
      </c>
      <c r="D212" s="1119">
        <f>SUM(E212:J212)</f>
        <v>0</v>
      </c>
      <c r="E212" s="2327">
        <v>0</v>
      </c>
      <c r="F212" s="1119">
        <f>915000+624800-1539800</f>
        <v>0</v>
      </c>
      <c r="G212" s="1119">
        <f>511000+625000-1136000</f>
        <v>0</v>
      </c>
      <c r="H212" s="1119">
        <v>0</v>
      </c>
      <c r="I212" s="1119">
        <v>0</v>
      </c>
      <c r="J212" s="1119">
        <v>0</v>
      </c>
      <c r="K212" s="1119">
        <v>0</v>
      </c>
      <c r="L212" s="1119">
        <v>0</v>
      </c>
      <c r="M212" s="4251"/>
      <c r="N212" s="2334"/>
      <c r="O212" s="156"/>
    </row>
    <row r="213" spans="1:15" s="820" customFormat="1" ht="21.75" hidden="1" customHeight="1" thickBot="1">
      <c r="A213" s="2823"/>
      <c r="B213" s="2335" t="s">
        <v>226</v>
      </c>
      <c r="C213" s="3602" t="s">
        <v>174</v>
      </c>
      <c r="D213" s="2336">
        <f>SUM(E213:J213)</f>
        <v>106250000</v>
      </c>
      <c r="E213" s="2337">
        <v>0</v>
      </c>
      <c r="F213" s="2336">
        <f>27936000-5731740+345740-2337736+2238756-2236767-16714253-2700000</f>
        <v>800000</v>
      </c>
      <c r="G213" s="2336">
        <f>11600000+8059740-1209740+2337736-2238756+2236767-1785747-5500000</f>
        <v>13500000</v>
      </c>
      <c r="H213" s="2336">
        <f>18500000-2500000+29000000</f>
        <v>45000000</v>
      </c>
      <c r="I213" s="2336">
        <f>8000000+36250000+2700000</f>
        <v>46950000</v>
      </c>
      <c r="J213" s="2336">
        <v>0</v>
      </c>
      <c r="K213" s="2336">
        <f>2328000-2328000</f>
        <v>0</v>
      </c>
      <c r="L213" s="2336">
        <v>0</v>
      </c>
      <c r="M213" s="4252"/>
      <c r="N213" s="2338"/>
      <c r="O213" s="156"/>
    </row>
    <row r="214" spans="1:15" s="820" customFormat="1" ht="27" hidden="1" customHeight="1" thickBot="1">
      <c r="A214" s="4092"/>
      <c r="B214" s="71"/>
      <c r="C214" s="72" t="s">
        <v>97</v>
      </c>
      <c r="D214" s="217"/>
      <c r="E214" s="217"/>
      <c r="F214" s="217"/>
      <c r="G214" s="217"/>
      <c r="H214" s="217"/>
      <c r="I214" s="217"/>
      <c r="J214" s="217"/>
      <c r="K214" s="217"/>
      <c r="L214" s="217"/>
      <c r="M214" s="217"/>
      <c r="N214" s="4303"/>
      <c r="O214" s="156"/>
    </row>
    <row r="215" spans="1:15" s="820" customFormat="1" ht="13.5" hidden="1" thickBot="1">
      <c r="A215" s="4093"/>
      <c r="B215" s="16" t="s">
        <v>9</v>
      </c>
      <c r="C215" s="230"/>
      <c r="D215" s="195">
        <f>+D216+D220</f>
        <v>0</v>
      </c>
      <c r="E215" s="195">
        <f t="shared" ref="E215" si="149">+E216+E220</f>
        <v>0</v>
      </c>
      <c r="F215" s="182"/>
      <c r="G215" s="182"/>
      <c r="H215" s="182"/>
      <c r="I215" s="182"/>
      <c r="J215" s="182"/>
      <c r="K215" s="195">
        <f>+K216+K220</f>
        <v>0</v>
      </c>
      <c r="L215" s="195">
        <f t="shared" ref="L215" si="150">+L216+L220</f>
        <v>0</v>
      </c>
      <c r="M215" s="231">
        <f>M216+M220</f>
        <v>0</v>
      </c>
      <c r="N215" s="4334"/>
      <c r="O215" s="156"/>
    </row>
    <row r="216" spans="1:15" s="820" customFormat="1" hidden="1">
      <c r="A216" s="4093"/>
      <c r="B216" s="73" t="s">
        <v>22</v>
      </c>
      <c r="C216" s="4383" t="s">
        <v>162</v>
      </c>
      <c r="D216" s="183">
        <f>SUM(D217:D219)</f>
        <v>0</v>
      </c>
      <c r="E216" s="183">
        <f>SUM(E217:E219)</f>
        <v>0</v>
      </c>
      <c r="F216" s="183"/>
      <c r="G216" s="183"/>
      <c r="H216" s="183"/>
      <c r="I216" s="183"/>
      <c r="J216" s="183"/>
      <c r="K216" s="183">
        <f t="shared" ref="K216" si="151">SUM(K217:K219)</f>
        <v>0</v>
      </c>
      <c r="L216" s="183">
        <f>SUM(L217:L219)</f>
        <v>0</v>
      </c>
      <c r="M216" s="184">
        <f>SUM(M217:M218)</f>
        <v>0</v>
      </c>
      <c r="N216" s="4335"/>
      <c r="O216" s="156"/>
    </row>
    <row r="217" spans="1:15" s="820" customFormat="1" hidden="1">
      <c r="A217" s="4093"/>
      <c r="B217" s="74" t="s">
        <v>11</v>
      </c>
      <c r="C217" s="4380"/>
      <c r="D217" s="124">
        <f>E217+L217+K217+F217+G217+H217+I217+J217</f>
        <v>0</v>
      </c>
      <c r="E217" s="693"/>
      <c r="F217" s="232"/>
      <c r="G217" s="232"/>
      <c r="H217" s="232"/>
      <c r="I217" s="232"/>
      <c r="J217" s="232"/>
      <c r="K217" s="1105"/>
      <c r="L217" s="1105">
        <v>0</v>
      </c>
      <c r="M217" s="359">
        <f>SUM(F217:J217)</f>
        <v>0</v>
      </c>
      <c r="N217" s="4332"/>
      <c r="O217" s="156"/>
    </row>
    <row r="218" spans="1:15" s="820" customFormat="1" hidden="1">
      <c r="A218" s="4093"/>
      <c r="B218" s="74" t="s">
        <v>12</v>
      </c>
      <c r="C218" s="4225"/>
      <c r="D218" s="124">
        <f>E218+L218+K218+F218+G218+H218+I218+J218</f>
        <v>0</v>
      </c>
      <c r="E218" s="693"/>
      <c r="F218" s="75"/>
      <c r="G218" s="75"/>
      <c r="H218" s="75"/>
      <c r="I218" s="75"/>
      <c r="J218" s="75"/>
      <c r="K218" s="1120"/>
      <c r="L218" s="1120">
        <v>0</v>
      </c>
      <c r="M218" s="359">
        <f>SUM(F218:J218)</f>
        <v>0</v>
      </c>
      <c r="N218" s="4332"/>
      <c r="O218" s="156"/>
    </row>
    <row r="219" spans="1:15" s="820" customFormat="1" hidden="1">
      <c r="A219" s="4093"/>
      <c r="B219" s="1121" t="s">
        <v>29</v>
      </c>
      <c r="C219" s="4225"/>
      <c r="D219" s="124">
        <f>E219+L219+K219+F219+G219+H219+I219+J219</f>
        <v>0</v>
      </c>
      <c r="E219" s="693"/>
      <c r="F219" s="75"/>
      <c r="G219" s="75"/>
      <c r="H219" s="75"/>
      <c r="I219" s="75"/>
      <c r="J219" s="75"/>
      <c r="K219" s="75"/>
      <c r="L219" s="75">
        <v>0</v>
      </c>
      <c r="M219" s="1249">
        <v>0</v>
      </c>
      <c r="N219" s="4332"/>
      <c r="O219" s="156"/>
    </row>
    <row r="220" spans="1:15" s="820" customFormat="1" hidden="1">
      <c r="A220" s="4093"/>
      <c r="B220" s="38" t="s">
        <v>17</v>
      </c>
      <c r="C220" s="4225"/>
      <c r="D220" s="185">
        <f>+D221</f>
        <v>0</v>
      </c>
      <c r="E220" s="185">
        <f t="shared" ref="E220" si="152">E221</f>
        <v>0</v>
      </c>
      <c r="F220" s="185"/>
      <c r="G220" s="185"/>
      <c r="H220" s="185"/>
      <c r="I220" s="185"/>
      <c r="J220" s="185"/>
      <c r="K220" s="1122">
        <f>K221</f>
        <v>0</v>
      </c>
      <c r="L220" s="1122">
        <f>L221</f>
        <v>0</v>
      </c>
      <c r="M220" s="184">
        <f>+M221</f>
        <v>0</v>
      </c>
      <c r="N220" s="4332"/>
      <c r="O220" s="156"/>
    </row>
    <row r="221" spans="1:15" s="820" customFormat="1" hidden="1">
      <c r="A221" s="4093"/>
      <c r="B221" s="1123" t="s">
        <v>19</v>
      </c>
      <c r="C221" s="4226"/>
      <c r="D221" s="124">
        <f>E221+L221+K221+F221+G221+H221+I221+J221</f>
        <v>0</v>
      </c>
      <c r="E221" s="693"/>
      <c r="F221" s="48"/>
      <c r="G221" s="48"/>
      <c r="H221" s="48"/>
      <c r="I221" s="48"/>
      <c r="J221" s="48"/>
      <c r="K221" s="1124"/>
      <c r="L221" s="1124">
        <v>0</v>
      </c>
      <c r="M221" s="359">
        <f>SUM(F221:J221)</f>
        <v>0</v>
      </c>
      <c r="N221" s="4332"/>
      <c r="O221" s="156"/>
    </row>
    <row r="222" spans="1:15" s="820" customFormat="1" hidden="1">
      <c r="A222" s="4348"/>
      <c r="B222" s="16" t="s">
        <v>20</v>
      </c>
      <c r="C222" s="76"/>
      <c r="D222" s="182">
        <f>+D223+D225</f>
        <v>0</v>
      </c>
      <c r="E222" s="182">
        <f t="shared" ref="E222" si="153">E223+E225</f>
        <v>0</v>
      </c>
      <c r="F222" s="188"/>
      <c r="G222" s="182"/>
      <c r="H222" s="182"/>
      <c r="I222" s="182"/>
      <c r="J222" s="182"/>
      <c r="K222" s="182">
        <f t="shared" ref="K222" si="154">K223+K225</f>
        <v>0</v>
      </c>
      <c r="L222" s="182">
        <f>L223+L225</f>
        <v>0</v>
      </c>
      <c r="M222" s="4326" t="s">
        <v>51</v>
      </c>
      <c r="N222" s="4332"/>
      <c r="O222" s="156"/>
    </row>
    <row r="223" spans="1:15" s="820" customFormat="1" hidden="1">
      <c r="A223" s="4348"/>
      <c r="B223" s="77" t="s">
        <v>22</v>
      </c>
      <c r="C223" s="4383" t="s">
        <v>162</v>
      </c>
      <c r="D223" s="183">
        <f>+D224</f>
        <v>0</v>
      </c>
      <c r="E223" s="183">
        <f t="shared" ref="E223" si="155">E224</f>
        <v>0</v>
      </c>
      <c r="F223" s="189"/>
      <c r="G223" s="183"/>
      <c r="H223" s="183"/>
      <c r="I223" s="183"/>
      <c r="J223" s="183"/>
      <c r="K223" s="183">
        <f>K224</f>
        <v>0</v>
      </c>
      <c r="L223" s="183">
        <f>L224</f>
        <v>0</v>
      </c>
      <c r="M223" s="4251"/>
      <c r="N223" s="4332"/>
      <c r="O223" s="156"/>
    </row>
    <row r="224" spans="1:15" s="820" customFormat="1" hidden="1">
      <c r="A224" s="4348"/>
      <c r="B224" s="78" t="s">
        <v>12</v>
      </c>
      <c r="C224" s="4225"/>
      <c r="D224" s="124">
        <f>E224+L224+K224+F224+G224+H224+I224+J224</f>
        <v>0</v>
      </c>
      <c r="E224" s="693"/>
      <c r="F224" s="186"/>
      <c r="G224" s="186"/>
      <c r="H224" s="186"/>
      <c r="I224" s="186"/>
      <c r="J224" s="186"/>
      <c r="K224" s="342"/>
      <c r="L224" s="342">
        <v>0</v>
      </c>
      <c r="M224" s="4251"/>
      <c r="N224" s="4332"/>
      <c r="O224" s="156"/>
    </row>
    <row r="225" spans="1:15" s="820" customFormat="1" hidden="1">
      <c r="A225" s="4348"/>
      <c r="B225" s="1104" t="s">
        <v>17</v>
      </c>
      <c r="C225" s="4225"/>
      <c r="D225" s="185">
        <f>+D226</f>
        <v>0</v>
      </c>
      <c r="E225" s="185">
        <f t="shared" ref="E225" si="156">E226</f>
        <v>0</v>
      </c>
      <c r="F225" s="190"/>
      <c r="G225" s="185"/>
      <c r="H225" s="185"/>
      <c r="I225" s="185"/>
      <c r="J225" s="185"/>
      <c r="K225" s="1122">
        <f>K226</f>
        <v>0</v>
      </c>
      <c r="L225" s="1122">
        <f>L226</f>
        <v>0</v>
      </c>
      <c r="M225" s="4251"/>
      <c r="N225" s="4332"/>
      <c r="O225" s="156"/>
    </row>
    <row r="226" spans="1:15" s="820" customFormat="1" ht="13.5" hidden="1" thickBot="1">
      <c r="A226" s="4349"/>
      <c r="B226" s="187" t="s">
        <v>19</v>
      </c>
      <c r="C226" s="4341"/>
      <c r="D226" s="124">
        <f>E226+L226+K226+F226+G226+H226+I226+J226</f>
        <v>0</v>
      </c>
      <c r="E226" s="693"/>
      <c r="F226" s="79"/>
      <c r="G226" s="79"/>
      <c r="H226" s="79"/>
      <c r="I226" s="79"/>
      <c r="J226" s="79"/>
      <c r="K226" s="1125"/>
      <c r="L226" s="1125">
        <v>0</v>
      </c>
      <c r="M226" s="4252"/>
      <c r="N226" s="4333"/>
      <c r="O226" s="156"/>
    </row>
    <row r="227" spans="1:15" s="820" customFormat="1" ht="36" hidden="1" customHeight="1">
      <c r="A227" s="4092"/>
      <c r="B227" s="71"/>
      <c r="C227" s="72" t="s">
        <v>70</v>
      </c>
      <c r="D227" s="88"/>
      <c r="E227" s="87"/>
      <c r="F227" s="87"/>
      <c r="G227" s="87"/>
      <c r="H227" s="87"/>
      <c r="I227" s="87"/>
      <c r="J227" s="129"/>
      <c r="K227" s="87"/>
      <c r="L227" s="87"/>
      <c r="M227" s="181"/>
      <c r="N227" s="4331"/>
      <c r="O227" s="156"/>
    </row>
    <row r="228" spans="1:15" s="820" customFormat="1" hidden="1">
      <c r="A228" s="4093"/>
      <c r="B228" s="336" t="s">
        <v>9</v>
      </c>
      <c r="C228" s="791"/>
      <c r="D228" s="783">
        <f t="shared" ref="D228" si="157">+D229+D231</f>
        <v>0</v>
      </c>
      <c r="E228" s="783">
        <f t="shared" ref="E228" si="158">+E229+E231</f>
        <v>0</v>
      </c>
      <c r="F228" s="778"/>
      <c r="G228" s="778"/>
      <c r="H228" s="778"/>
      <c r="I228" s="778"/>
      <c r="J228" s="778"/>
      <c r="K228" s="783">
        <f>+K229+K231</f>
        <v>0</v>
      </c>
      <c r="L228" s="783">
        <f>+L229+L231</f>
        <v>0</v>
      </c>
      <c r="M228" s="792">
        <f>M229+M231</f>
        <v>0</v>
      </c>
      <c r="N228" s="4332"/>
      <c r="O228" s="156"/>
    </row>
    <row r="229" spans="1:15" s="820" customFormat="1" hidden="1">
      <c r="A229" s="4093"/>
      <c r="B229" s="326" t="s">
        <v>22</v>
      </c>
      <c r="C229" s="4281" t="s">
        <v>162</v>
      </c>
      <c r="D229" s="768">
        <f t="shared" ref="D229:E229" si="159">SUM(D230:D230)</f>
        <v>0</v>
      </c>
      <c r="E229" s="768">
        <f t="shared" si="159"/>
        <v>0</v>
      </c>
      <c r="F229" s="768"/>
      <c r="G229" s="768"/>
      <c r="H229" s="768"/>
      <c r="I229" s="768"/>
      <c r="J229" s="768"/>
      <c r="K229" s="768">
        <f>SUM(K230:K230)</f>
        <v>0</v>
      </c>
      <c r="L229" s="768">
        <f>SUM(L230:L230)</f>
        <v>0</v>
      </c>
      <c r="M229" s="359">
        <f>SUM(F229:J229)</f>
        <v>0</v>
      </c>
      <c r="N229" s="4332"/>
      <c r="O229" s="156"/>
    </row>
    <row r="230" spans="1:15" s="820" customFormat="1" hidden="1">
      <c r="A230" s="4093"/>
      <c r="B230" s="74" t="s">
        <v>12</v>
      </c>
      <c r="C230" s="4225"/>
      <c r="D230" s="766">
        <f>E230+L230+K230+F230+G230+H230+I230+J230</f>
        <v>0</v>
      </c>
      <c r="E230" s="770"/>
      <c r="F230" s="75"/>
      <c r="G230" s="75"/>
      <c r="H230" s="75"/>
      <c r="I230" s="75"/>
      <c r="J230" s="75"/>
      <c r="K230" s="75"/>
      <c r="L230" s="75">
        <v>0</v>
      </c>
      <c r="M230" s="359">
        <f>SUM(F230:J230)</f>
        <v>0</v>
      </c>
      <c r="N230" s="4332"/>
      <c r="O230" s="156"/>
    </row>
    <row r="231" spans="1:15" s="820" customFormat="1" hidden="1">
      <c r="A231" s="4093"/>
      <c r="B231" s="355" t="s">
        <v>17</v>
      </c>
      <c r="C231" s="4225"/>
      <c r="D231" s="773">
        <f>+D232</f>
        <v>0</v>
      </c>
      <c r="E231" s="773">
        <f t="shared" ref="E231" si="160">E232</f>
        <v>0</v>
      </c>
      <c r="F231" s="773"/>
      <c r="G231" s="773"/>
      <c r="H231" s="773"/>
      <c r="I231" s="773"/>
      <c r="J231" s="773"/>
      <c r="K231" s="773">
        <f>K232</f>
        <v>0</v>
      </c>
      <c r="L231" s="773">
        <f>L232</f>
        <v>0</v>
      </c>
      <c r="M231" s="769">
        <f>+M232</f>
        <v>0</v>
      </c>
      <c r="N231" s="4332"/>
      <c r="O231" s="156"/>
    </row>
    <row r="232" spans="1:15" s="820" customFormat="1" hidden="1">
      <c r="A232" s="4093"/>
      <c r="B232" s="793" t="s">
        <v>19</v>
      </c>
      <c r="C232" s="4226"/>
      <c r="D232" s="766">
        <f>E232+L232+K232+F232+G232+H232+I232+J232</f>
        <v>0</v>
      </c>
      <c r="E232" s="770"/>
      <c r="F232" s="48"/>
      <c r="G232" s="48"/>
      <c r="H232" s="48"/>
      <c r="I232" s="48"/>
      <c r="J232" s="48"/>
      <c r="K232" s="48"/>
      <c r="L232" s="48">
        <v>0</v>
      </c>
      <c r="M232" s="359">
        <f>SUM(F232:J232)</f>
        <v>0</v>
      </c>
      <c r="N232" s="4332"/>
      <c r="O232" s="156"/>
    </row>
    <row r="233" spans="1:15" s="820" customFormat="1" hidden="1">
      <c r="A233" s="4348"/>
      <c r="B233" s="336" t="s">
        <v>20</v>
      </c>
      <c r="C233" s="777"/>
      <c r="D233" s="778">
        <f>+D234+D236</f>
        <v>0</v>
      </c>
      <c r="E233" s="778">
        <f t="shared" ref="E233" si="161">E234+E236</f>
        <v>0</v>
      </c>
      <c r="F233" s="794"/>
      <c r="G233" s="778"/>
      <c r="H233" s="778"/>
      <c r="I233" s="778"/>
      <c r="J233" s="778"/>
      <c r="K233" s="778">
        <f t="shared" ref="K233" si="162">K234+K236</f>
        <v>0</v>
      </c>
      <c r="L233" s="778">
        <f>L234+L236</f>
        <v>0</v>
      </c>
      <c r="M233" s="4243" t="s">
        <v>51</v>
      </c>
      <c r="N233" s="4332"/>
      <c r="O233" s="156"/>
    </row>
    <row r="234" spans="1:15" s="820" customFormat="1" hidden="1">
      <c r="A234" s="4348"/>
      <c r="B234" s="779" t="s">
        <v>22</v>
      </c>
      <c r="C234" s="4281" t="s">
        <v>162</v>
      </c>
      <c r="D234" s="768">
        <f>+D235</f>
        <v>0</v>
      </c>
      <c r="E234" s="768">
        <f t="shared" ref="E234" si="163">E235</f>
        <v>0</v>
      </c>
      <c r="F234" s="795"/>
      <c r="G234" s="768"/>
      <c r="H234" s="768"/>
      <c r="I234" s="768"/>
      <c r="J234" s="768"/>
      <c r="K234" s="768">
        <f>K235</f>
        <v>0</v>
      </c>
      <c r="L234" s="768">
        <f>L235</f>
        <v>0</v>
      </c>
      <c r="M234" s="4251"/>
      <c r="N234" s="4332"/>
      <c r="O234" s="156"/>
    </row>
    <row r="235" spans="1:15" s="820" customFormat="1" hidden="1">
      <c r="A235" s="4348"/>
      <c r="B235" s="78" t="s">
        <v>12</v>
      </c>
      <c r="C235" s="4225"/>
      <c r="D235" s="766">
        <f>E235+L235+K235+F235+G235+H235+I235+J235</f>
        <v>0</v>
      </c>
      <c r="E235" s="770"/>
      <c r="F235" s="780"/>
      <c r="G235" s="780"/>
      <c r="H235" s="780"/>
      <c r="I235" s="780"/>
      <c r="J235" s="780"/>
      <c r="K235" s="780"/>
      <c r="L235" s="780">
        <v>0</v>
      </c>
      <c r="M235" s="4251"/>
      <c r="N235" s="4332"/>
      <c r="O235" s="156"/>
    </row>
    <row r="236" spans="1:15" s="820" customFormat="1" hidden="1">
      <c r="A236" s="4348"/>
      <c r="B236" s="781" t="s">
        <v>17</v>
      </c>
      <c r="C236" s="4225"/>
      <c r="D236" s="773">
        <f>+D237</f>
        <v>0</v>
      </c>
      <c r="E236" s="773">
        <f t="shared" ref="E236" si="164">E237</f>
        <v>0</v>
      </c>
      <c r="F236" s="788"/>
      <c r="G236" s="773"/>
      <c r="H236" s="773"/>
      <c r="I236" s="773"/>
      <c r="J236" s="773"/>
      <c r="K236" s="773">
        <f>K237</f>
        <v>0</v>
      </c>
      <c r="L236" s="773">
        <f>L237</f>
        <v>0</v>
      </c>
      <c r="M236" s="4251"/>
      <c r="N236" s="4332"/>
      <c r="O236" s="156"/>
    </row>
    <row r="237" spans="1:15" s="820" customFormat="1" ht="12" hidden="1" customHeight="1" thickBot="1">
      <c r="A237" s="4349"/>
      <c r="B237" s="187" t="s">
        <v>19</v>
      </c>
      <c r="C237" s="4341"/>
      <c r="D237" s="465">
        <f>E237+L237+K237+F237+G237+H237+I237+J237</f>
        <v>0</v>
      </c>
      <c r="E237" s="782"/>
      <c r="F237" s="333"/>
      <c r="G237" s="333"/>
      <c r="H237" s="333"/>
      <c r="I237" s="333"/>
      <c r="J237" s="333"/>
      <c r="K237" s="333"/>
      <c r="L237" s="333">
        <v>0</v>
      </c>
      <c r="M237" s="4252"/>
      <c r="N237" s="4333"/>
      <c r="O237" s="156"/>
    </row>
    <row r="238" spans="1:15" s="153" customFormat="1" ht="24.75" customHeight="1" thickBot="1">
      <c r="A238" s="93" t="s">
        <v>140</v>
      </c>
      <c r="B238" s="94"/>
      <c r="C238" s="94"/>
      <c r="D238" s="94"/>
      <c r="E238" s="763"/>
      <c r="F238" s="94"/>
      <c r="G238" s="94"/>
      <c r="H238" s="94"/>
      <c r="I238" s="94"/>
      <c r="J238" s="94"/>
      <c r="K238" s="94"/>
      <c r="L238" s="94"/>
      <c r="M238" s="495"/>
      <c r="N238" s="95"/>
    </row>
    <row r="239" spans="1:15" s="820" customFormat="1" ht="12" customHeight="1">
      <c r="A239" s="724"/>
      <c r="B239" s="103" t="s">
        <v>65</v>
      </c>
      <c r="C239" s="104"/>
      <c r="D239" s="105">
        <f>+D240+D241</f>
        <v>81056787</v>
      </c>
      <c r="E239" s="105">
        <f>+E240+E241</f>
        <v>38853293</v>
      </c>
      <c r="F239" s="105">
        <f>+F240+F241</f>
        <v>8305494</v>
      </c>
      <c r="G239" s="105">
        <f>+G240+G241</f>
        <v>9520000</v>
      </c>
      <c r="H239" s="105">
        <f t="shared" ref="H239:J239" si="165">+H240+H241</f>
        <v>9617000</v>
      </c>
      <c r="I239" s="105">
        <f t="shared" si="165"/>
        <v>8729000</v>
      </c>
      <c r="J239" s="105">
        <f t="shared" si="165"/>
        <v>6032000</v>
      </c>
      <c r="K239" s="105">
        <f>+K240+K241</f>
        <v>0</v>
      </c>
      <c r="L239" s="105">
        <f t="shared" ref="L239" si="166">+L240+L241</f>
        <v>0</v>
      </c>
      <c r="M239" s="12">
        <f>+M240+M241</f>
        <v>42203494</v>
      </c>
      <c r="N239" s="4098" t="s">
        <v>51</v>
      </c>
      <c r="O239" s="156"/>
    </row>
    <row r="240" spans="1:15" s="820" customFormat="1" ht="13.5" customHeight="1">
      <c r="A240" s="91"/>
      <c r="B240" s="106" t="s">
        <v>66</v>
      </c>
      <c r="C240" s="107"/>
      <c r="D240" s="108">
        <f>+D254+D260</f>
        <v>81056787</v>
      </c>
      <c r="E240" s="108">
        <f t="shared" ref="E240:G240" si="167">+E254+E260</f>
        <v>38853293</v>
      </c>
      <c r="F240" s="108">
        <f t="shared" si="167"/>
        <v>8305494</v>
      </c>
      <c r="G240" s="108">
        <f t="shared" si="167"/>
        <v>9520000</v>
      </c>
      <c r="H240" s="108">
        <f t="shared" ref="H240:J240" si="168">+H254+H260</f>
        <v>9617000</v>
      </c>
      <c r="I240" s="108">
        <f t="shared" si="168"/>
        <v>8729000</v>
      </c>
      <c r="J240" s="108">
        <f t="shared" si="168"/>
        <v>6032000</v>
      </c>
      <c r="K240" s="108">
        <f>+K254+K260</f>
        <v>0</v>
      </c>
      <c r="L240" s="108">
        <f>+L254+L260</f>
        <v>0</v>
      </c>
      <c r="M240" s="14">
        <f>SUM(F240:J240)</f>
        <v>42203494</v>
      </c>
      <c r="N240" s="4324"/>
    </row>
    <row r="241" spans="1:26" s="820" customFormat="1" ht="13.5" customHeight="1" thickBot="1">
      <c r="A241" s="91"/>
      <c r="B241" s="115" t="s">
        <v>8</v>
      </c>
      <c r="C241" s="107"/>
      <c r="D241" s="2615">
        <f>+D250</f>
        <v>0</v>
      </c>
      <c r="E241" s="2615">
        <f>+E250</f>
        <v>0</v>
      </c>
      <c r="F241" s="2616">
        <f>+F250</f>
        <v>0</v>
      </c>
      <c r="G241" s="2616">
        <f>+G250</f>
        <v>0</v>
      </c>
      <c r="H241" s="2616">
        <f t="shared" ref="H241:J241" si="169">+H250</f>
        <v>0</v>
      </c>
      <c r="I241" s="2616">
        <f t="shared" si="169"/>
        <v>0</v>
      </c>
      <c r="J241" s="2616">
        <f t="shared" si="169"/>
        <v>0</v>
      </c>
      <c r="K241" s="2616">
        <f>+K250</f>
        <v>0</v>
      </c>
      <c r="L241" s="2615">
        <f t="shared" ref="L241" si="170">+L250</f>
        <v>0</v>
      </c>
      <c r="M241" s="2617">
        <f>SUM(F241:J241)</f>
        <v>0</v>
      </c>
      <c r="N241" s="4324"/>
    </row>
    <row r="242" spans="1:26" s="201" customFormat="1" ht="13.5" customHeight="1">
      <c r="A242" s="198"/>
      <c r="B242" s="83" t="s">
        <v>9</v>
      </c>
      <c r="C242" s="84"/>
      <c r="D242" s="58">
        <f>+D243</f>
        <v>81056787</v>
      </c>
      <c r="E242" s="58">
        <f t="shared" ref="E242:J243" si="171">+E243</f>
        <v>38853293</v>
      </c>
      <c r="F242" s="58">
        <f t="shared" si="171"/>
        <v>8305494</v>
      </c>
      <c r="G242" s="58">
        <f t="shared" si="171"/>
        <v>9520000</v>
      </c>
      <c r="H242" s="58">
        <f t="shared" si="171"/>
        <v>9617000</v>
      </c>
      <c r="I242" s="58">
        <f t="shared" si="171"/>
        <v>8729000</v>
      </c>
      <c r="J242" s="58">
        <f t="shared" si="171"/>
        <v>6032000</v>
      </c>
      <c r="K242" s="58">
        <f>+K243</f>
        <v>0</v>
      </c>
      <c r="L242" s="58">
        <f>+L243</f>
        <v>0</v>
      </c>
      <c r="M242" s="199">
        <f>+M243</f>
        <v>42203494</v>
      </c>
      <c r="N242" s="4324"/>
      <c r="O242" s="200"/>
      <c r="P242" s="200"/>
    </row>
    <row r="243" spans="1:26" s="204" customFormat="1" ht="15" customHeight="1">
      <c r="A243" s="97"/>
      <c r="B243" s="59" t="s">
        <v>10</v>
      </c>
      <c r="C243" s="4306" t="s">
        <v>51</v>
      </c>
      <c r="D243" s="840">
        <f>+D244+D245</f>
        <v>81056787</v>
      </c>
      <c r="E243" s="840">
        <f t="shared" si="171"/>
        <v>38853293</v>
      </c>
      <c r="F243" s="840">
        <f t="shared" si="171"/>
        <v>8305494</v>
      </c>
      <c r="G243" s="840">
        <f t="shared" si="171"/>
        <v>9520000</v>
      </c>
      <c r="H243" s="840">
        <f t="shared" si="171"/>
        <v>9617000</v>
      </c>
      <c r="I243" s="840">
        <f t="shared" si="171"/>
        <v>8729000</v>
      </c>
      <c r="J243" s="840">
        <f t="shared" si="171"/>
        <v>6032000</v>
      </c>
      <c r="K243" s="840">
        <f>+K244</f>
        <v>0</v>
      </c>
      <c r="L243" s="840">
        <f>+L244</f>
        <v>0</v>
      </c>
      <c r="M243" s="841">
        <f>+M244+M245</f>
        <v>42203494</v>
      </c>
      <c r="N243" s="4324"/>
      <c r="O243" s="202"/>
      <c r="P243" s="203"/>
      <c r="Q243" s="202"/>
      <c r="R243" s="202"/>
      <c r="S243" s="202"/>
      <c r="T243" s="202"/>
      <c r="U243" s="202"/>
      <c r="V243" s="202"/>
      <c r="W243" s="202"/>
      <c r="X243" s="202"/>
      <c r="Y243" s="202"/>
      <c r="Z243" s="202"/>
    </row>
    <row r="244" spans="1:26" s="167" customFormat="1" ht="15" customHeight="1" thickBot="1">
      <c r="A244" s="61"/>
      <c r="B244" s="62" t="s">
        <v>11</v>
      </c>
      <c r="C244" s="4103"/>
      <c r="D244" s="842">
        <f>+D252+D256+D262</f>
        <v>81056787</v>
      </c>
      <c r="E244" s="842">
        <f>+E252+E256+E262</f>
        <v>38853293</v>
      </c>
      <c r="F244" s="842">
        <f>+F252+F256+F262</f>
        <v>8305494</v>
      </c>
      <c r="G244" s="842">
        <f>+G252+G256+G262</f>
        <v>9520000</v>
      </c>
      <c r="H244" s="842">
        <f t="shared" ref="H244:J244" si="172">+H252+H256</f>
        <v>9617000</v>
      </c>
      <c r="I244" s="842">
        <f t="shared" si="172"/>
        <v>8729000</v>
      </c>
      <c r="J244" s="842">
        <f t="shared" si="172"/>
        <v>6032000</v>
      </c>
      <c r="K244" s="842">
        <f t="shared" ref="K244" si="173">+K252+K256+K262</f>
        <v>0</v>
      </c>
      <c r="L244" s="842">
        <f>+L252+L256+L262</f>
        <v>0</v>
      </c>
      <c r="M244" s="843">
        <f>SUM(F244:J244)</f>
        <v>42203494</v>
      </c>
      <c r="N244" s="4324"/>
      <c r="O244" s="156"/>
    </row>
    <row r="245" spans="1:26" s="167" customFormat="1" ht="13.5" hidden="1" customHeight="1">
      <c r="A245" s="61"/>
      <c r="B245" s="62" t="s">
        <v>13</v>
      </c>
      <c r="C245" s="4103"/>
      <c r="D245" s="842">
        <f t="shared" ref="D245" si="174">+D263</f>
        <v>0</v>
      </c>
      <c r="E245" s="842">
        <f t="shared" ref="E245" si="175">+E263</f>
        <v>0</v>
      </c>
      <c r="F245" s="842">
        <f>+F263</f>
        <v>0</v>
      </c>
      <c r="G245" s="842">
        <f>+G263</f>
        <v>0</v>
      </c>
      <c r="H245" s="842"/>
      <c r="I245" s="842"/>
      <c r="J245" s="842"/>
      <c r="K245" s="842"/>
      <c r="L245" s="842"/>
      <c r="M245" s="843">
        <f>SUM(F245:J245)</f>
        <v>0</v>
      </c>
      <c r="N245" s="4324"/>
      <c r="O245" s="156"/>
    </row>
    <row r="246" spans="1:26" s="159" customFormat="1" ht="15" hidden="1" customHeight="1">
      <c r="A246" s="55"/>
      <c r="B246" s="37" t="s">
        <v>20</v>
      </c>
      <c r="C246" s="40"/>
      <c r="D246" s="96">
        <f>+D247</f>
        <v>0</v>
      </c>
      <c r="E246" s="96">
        <f t="shared" ref="E246" si="176">+E247</f>
        <v>0</v>
      </c>
      <c r="F246" s="96">
        <f t="shared" ref="F246:G247" si="177">+F247</f>
        <v>0</v>
      </c>
      <c r="G246" s="96">
        <f t="shared" si="177"/>
        <v>0</v>
      </c>
      <c r="H246" s="96"/>
      <c r="I246" s="96"/>
      <c r="J246" s="96"/>
      <c r="K246" s="96">
        <f>+K247</f>
        <v>0</v>
      </c>
      <c r="L246" s="96">
        <f>+L247</f>
        <v>0</v>
      </c>
      <c r="M246" s="4243" t="s">
        <v>51</v>
      </c>
      <c r="N246" s="4324"/>
      <c r="O246" s="158"/>
      <c r="P246" s="158"/>
    </row>
    <row r="247" spans="1:26" s="159" customFormat="1" ht="14.25" hidden="1" customHeight="1">
      <c r="A247" s="55"/>
      <c r="B247" s="59" t="s">
        <v>10</v>
      </c>
      <c r="C247" s="4306" t="s">
        <v>51</v>
      </c>
      <c r="D247" s="840">
        <f>+D248</f>
        <v>0</v>
      </c>
      <c r="E247" s="840">
        <f>+E248</f>
        <v>0</v>
      </c>
      <c r="F247" s="840">
        <f t="shared" si="177"/>
        <v>0</v>
      </c>
      <c r="G247" s="840">
        <f t="shared" si="177"/>
        <v>0</v>
      </c>
      <c r="H247" s="840"/>
      <c r="I247" s="840"/>
      <c r="J247" s="840"/>
      <c r="K247" s="840">
        <f>+K248</f>
        <v>0</v>
      </c>
      <c r="L247" s="840">
        <f>+L248</f>
        <v>0</v>
      </c>
      <c r="M247" s="4251"/>
      <c r="N247" s="4324"/>
      <c r="O247" s="158"/>
      <c r="P247" s="158"/>
    </row>
    <row r="248" spans="1:26" s="167" customFormat="1" ht="16.5" hidden="1" customHeight="1" thickBot="1">
      <c r="A248" s="61"/>
      <c r="B248" s="62" t="s">
        <v>13</v>
      </c>
      <c r="C248" s="4103"/>
      <c r="D248" s="842">
        <f>+D266</f>
        <v>0</v>
      </c>
      <c r="E248" s="842">
        <f>+E266</f>
        <v>0</v>
      </c>
      <c r="F248" s="842">
        <f t="shared" ref="F248:G248" si="178">+F266</f>
        <v>0</v>
      </c>
      <c r="G248" s="842">
        <f t="shared" si="178"/>
        <v>0</v>
      </c>
      <c r="H248" s="205"/>
      <c r="I248" s="205"/>
      <c r="J248" s="205"/>
      <c r="K248" s="842"/>
      <c r="L248" s="842"/>
      <c r="M248" s="4252"/>
      <c r="N248" s="4099"/>
      <c r="O248" s="157"/>
    </row>
    <row r="249" spans="1:26" s="175" customFormat="1" hidden="1" thickBot="1">
      <c r="A249" s="4092" t="s">
        <v>53</v>
      </c>
      <c r="B249" s="86"/>
      <c r="C249" s="207" t="s">
        <v>70</v>
      </c>
      <c r="D249" s="216"/>
      <c r="E249" s="215"/>
      <c r="F249" s="215"/>
      <c r="G249" s="215"/>
      <c r="H249" s="215"/>
      <c r="I249" s="215"/>
      <c r="J249" s="762"/>
      <c r="K249" s="215"/>
      <c r="L249" s="215"/>
      <c r="M249" s="191"/>
      <c r="N249" s="4303" t="s">
        <v>254</v>
      </c>
    </row>
    <row r="250" spans="1:26" s="175" customFormat="1" ht="13.5" hidden="1" thickBot="1">
      <c r="A250" s="4093"/>
      <c r="B250" s="89" t="s">
        <v>9</v>
      </c>
      <c r="C250" s="1893"/>
      <c r="D250" s="778">
        <f>+D251</f>
        <v>0</v>
      </c>
      <c r="E250" s="778">
        <f t="shared" ref="E250:M251" si="179">+E251</f>
        <v>0</v>
      </c>
      <c r="F250" s="836">
        <v>0</v>
      </c>
      <c r="G250" s="836">
        <v>0</v>
      </c>
      <c r="H250" s="836">
        <v>0</v>
      </c>
      <c r="I250" s="836">
        <v>0</v>
      </c>
      <c r="J250" s="836">
        <v>0</v>
      </c>
      <c r="K250" s="778">
        <f>+K251</f>
        <v>0</v>
      </c>
      <c r="L250" s="778">
        <f>+L251</f>
        <v>0</v>
      </c>
      <c r="M250" s="837">
        <f t="shared" si="179"/>
        <v>0</v>
      </c>
      <c r="N250" s="4303"/>
      <c r="O250" s="156"/>
    </row>
    <row r="251" spans="1:26" s="175" customFormat="1" ht="12" hidden="1" customHeight="1" thickBot="1">
      <c r="A251" s="4093"/>
      <c r="B251" s="1529" t="s">
        <v>22</v>
      </c>
      <c r="C251" s="4340" t="s">
        <v>141</v>
      </c>
      <c r="D251" s="773">
        <f>+D252</f>
        <v>0</v>
      </c>
      <c r="E251" s="773">
        <f t="shared" si="179"/>
        <v>0</v>
      </c>
      <c r="F251" s="774">
        <v>0</v>
      </c>
      <c r="G251" s="774">
        <v>0</v>
      </c>
      <c r="H251" s="774">
        <v>0</v>
      </c>
      <c r="I251" s="774">
        <v>0</v>
      </c>
      <c r="J251" s="774">
        <v>0</v>
      </c>
      <c r="K251" s="773">
        <f>+K252</f>
        <v>0</v>
      </c>
      <c r="L251" s="773">
        <f>+L252</f>
        <v>0</v>
      </c>
      <c r="M251" s="844">
        <f t="shared" si="179"/>
        <v>0</v>
      </c>
      <c r="N251" s="4303"/>
    </row>
    <row r="252" spans="1:26" s="175" customFormat="1" hidden="1" thickBot="1">
      <c r="A252" s="4094"/>
      <c r="B252" s="2339" t="s">
        <v>11</v>
      </c>
      <c r="C252" s="4341"/>
      <c r="D252" s="766">
        <f>E252+L252+K252+F252+G252+H252+I252+J252</f>
        <v>0</v>
      </c>
      <c r="E252" s="770">
        <v>0</v>
      </c>
      <c r="F252" s="2828">
        <v>0</v>
      </c>
      <c r="G252" s="2828">
        <v>0</v>
      </c>
      <c r="H252" s="2828">
        <v>0</v>
      </c>
      <c r="I252" s="2828">
        <v>0</v>
      </c>
      <c r="J252" s="2828">
        <v>0</v>
      </c>
      <c r="K252" s="975">
        <v>0</v>
      </c>
      <c r="L252" s="975">
        <f>5824-5824</f>
        <v>0</v>
      </c>
      <c r="M252" s="772">
        <f>SUM(F252:J252)</f>
        <v>0</v>
      </c>
      <c r="N252" s="4338"/>
    </row>
    <row r="253" spans="1:26" s="175" customFormat="1" ht="15" customHeight="1">
      <c r="A253" s="4345" t="s">
        <v>53</v>
      </c>
      <c r="B253" s="716" t="s">
        <v>437</v>
      </c>
      <c r="C253" s="1149" t="s">
        <v>97</v>
      </c>
      <c r="D253" s="88"/>
      <c r="E253" s="217"/>
      <c r="F253" s="217"/>
      <c r="G253" s="217"/>
      <c r="H253" s="217"/>
      <c r="I253" s="217"/>
      <c r="J253" s="1286"/>
      <c r="K253" s="217"/>
      <c r="L253" s="217"/>
      <c r="M253" s="191"/>
      <c r="N253" s="4331" t="s">
        <v>255</v>
      </c>
      <c r="O253" s="156">
        <f>D254-'[2]Tab. 6E - Administracja'!$D$253</f>
        <v>-2101348</v>
      </c>
    </row>
    <row r="254" spans="1:26" s="175" customFormat="1" ht="17.25" customHeight="1">
      <c r="A254" s="4346"/>
      <c r="B254" s="1195" t="s">
        <v>9</v>
      </c>
      <c r="C254" s="1557"/>
      <c r="D254" s="2174">
        <f>+D255</f>
        <v>80191787</v>
      </c>
      <c r="E254" s="2174">
        <f t="shared" ref="E254:M255" si="180">+E255</f>
        <v>38829643</v>
      </c>
      <c r="F254" s="2174">
        <f t="shared" si="180"/>
        <v>7964144</v>
      </c>
      <c r="G254" s="2174">
        <f t="shared" si="180"/>
        <v>9020000</v>
      </c>
      <c r="H254" s="2174">
        <f t="shared" si="180"/>
        <v>9617000</v>
      </c>
      <c r="I254" s="2174">
        <f t="shared" si="180"/>
        <v>8729000</v>
      </c>
      <c r="J254" s="2174">
        <f t="shared" si="180"/>
        <v>6032000</v>
      </c>
      <c r="K254" s="2174">
        <f>+K255</f>
        <v>0</v>
      </c>
      <c r="L254" s="2174">
        <f>+L255</f>
        <v>0</v>
      </c>
      <c r="M254" s="2340">
        <f t="shared" si="180"/>
        <v>41362144</v>
      </c>
      <c r="N254" s="4343"/>
    </row>
    <row r="255" spans="1:26" s="175" customFormat="1" ht="14.25" customHeight="1">
      <c r="A255" s="4346"/>
      <c r="B255" s="1529" t="s">
        <v>22</v>
      </c>
      <c r="C255" s="4087" t="s">
        <v>134</v>
      </c>
      <c r="D255" s="2176">
        <f>+D256</f>
        <v>80191787</v>
      </c>
      <c r="E255" s="2341">
        <f t="shared" si="180"/>
        <v>38829643</v>
      </c>
      <c r="F255" s="2178">
        <f t="shared" si="180"/>
        <v>7964144</v>
      </c>
      <c r="G255" s="2178">
        <f t="shared" si="180"/>
        <v>9020000</v>
      </c>
      <c r="H255" s="2178">
        <f t="shared" si="180"/>
        <v>9617000</v>
      </c>
      <c r="I255" s="2178">
        <f t="shared" si="180"/>
        <v>8729000</v>
      </c>
      <c r="J255" s="2178">
        <f t="shared" si="180"/>
        <v>6032000</v>
      </c>
      <c r="K255" s="2178">
        <f>+K256</f>
        <v>0</v>
      </c>
      <c r="L255" s="2179">
        <f>+L256</f>
        <v>0</v>
      </c>
      <c r="M255" s="2342">
        <f t="shared" si="180"/>
        <v>41362144</v>
      </c>
      <c r="N255" s="4343"/>
    </row>
    <row r="256" spans="1:26" s="175" customFormat="1" ht="15" customHeight="1" thickBot="1">
      <c r="A256" s="4346"/>
      <c r="B256" s="3773" t="s">
        <v>11</v>
      </c>
      <c r="C256" s="4203"/>
      <c r="D256" s="1657">
        <f>E256+L256+K256+F256+G256+H256+I256+J256</f>
        <v>80191787</v>
      </c>
      <c r="E256" s="2343">
        <f>20241982+5766983+6344982+6475696</f>
        <v>38829643</v>
      </c>
      <c r="F256" s="2180">
        <f>F257+F258</f>
        <v>7964144</v>
      </c>
      <c r="G256" s="2180">
        <f>G257+G258</f>
        <v>9020000</v>
      </c>
      <c r="H256" s="2180">
        <f t="shared" ref="H256:J256" si="181">H257+H258</f>
        <v>9617000</v>
      </c>
      <c r="I256" s="2180">
        <f t="shared" si="181"/>
        <v>8729000</v>
      </c>
      <c r="J256" s="2180">
        <f t="shared" si="181"/>
        <v>6032000</v>
      </c>
      <c r="K256" s="2180"/>
      <c r="L256" s="2344">
        <v>0</v>
      </c>
      <c r="M256" s="2345">
        <f>SUM(F256:J256)</f>
        <v>41362144</v>
      </c>
      <c r="N256" s="4343"/>
    </row>
    <row r="257" spans="1:15" s="175" customFormat="1" ht="15" hidden="1" customHeight="1">
      <c r="A257" s="4346"/>
      <c r="B257" s="2346" t="s">
        <v>432</v>
      </c>
      <c r="C257" s="4203"/>
      <c r="D257" s="2347"/>
      <c r="E257" s="2348"/>
      <c r="F257" s="2350">
        <f>7856850-70000-100000</f>
        <v>7686850</v>
      </c>
      <c r="G257" s="2350">
        <f>9160000+60000-650000</f>
        <v>8570000</v>
      </c>
      <c r="H257" s="2350">
        <f>9220000+60000</f>
        <v>9280000</v>
      </c>
      <c r="I257" s="2350">
        <f>8459000+60000</f>
        <v>8519000</v>
      </c>
      <c r="J257" s="2350">
        <f>5762000+60000</f>
        <v>5822000</v>
      </c>
      <c r="K257" s="2349"/>
      <c r="L257" s="2349"/>
      <c r="M257" s="2345">
        <f>SUM(F257:J257)</f>
        <v>39877850</v>
      </c>
      <c r="N257" s="4343"/>
    </row>
    <row r="258" spans="1:15" s="175" customFormat="1" ht="15" hidden="1" customHeight="1" thickBot="1">
      <c r="A258" s="4347"/>
      <c r="B258" s="2351" t="s">
        <v>431</v>
      </c>
      <c r="C258" s="4088"/>
      <c r="D258" s="2352"/>
      <c r="E258" s="2353"/>
      <c r="F258" s="2355">
        <v>277294</v>
      </c>
      <c r="G258" s="2355">
        <f>218093+231907</f>
        <v>450000</v>
      </c>
      <c r="H258" s="2355">
        <f>210000+127000</f>
        <v>337000</v>
      </c>
      <c r="I258" s="2355">
        <v>210000</v>
      </c>
      <c r="J258" s="2355">
        <v>210000</v>
      </c>
      <c r="K258" s="2354"/>
      <c r="L258" s="2354"/>
      <c r="M258" s="2356">
        <f>SUM(F258:J258)</f>
        <v>1484294</v>
      </c>
      <c r="N258" s="4344"/>
    </row>
    <row r="259" spans="1:15" s="175" customFormat="1" ht="24.75" customHeight="1" thickBot="1">
      <c r="A259" s="4092" t="s">
        <v>54</v>
      </c>
      <c r="B259" s="71" t="s">
        <v>552</v>
      </c>
      <c r="C259" s="207" t="s">
        <v>97</v>
      </c>
      <c r="D259" s="88"/>
      <c r="E259" s="217"/>
      <c r="F259" s="217"/>
      <c r="G259" s="217"/>
      <c r="H259" s="217"/>
      <c r="I259" s="217"/>
      <c r="J259" s="1286"/>
      <c r="K259" s="217"/>
      <c r="L259" s="217"/>
      <c r="M259" s="1593"/>
      <c r="N259" s="4303" t="s">
        <v>254</v>
      </c>
      <c r="O259" s="156">
        <f>D260-'[2]Tab. 6E - Administracja'!$D$259</f>
        <v>180000</v>
      </c>
    </row>
    <row r="260" spans="1:15" s="175" customFormat="1" thickBot="1">
      <c r="A260" s="4093"/>
      <c r="B260" s="1212" t="s">
        <v>9</v>
      </c>
      <c r="C260" s="2357"/>
      <c r="D260" s="778">
        <f>+D261</f>
        <v>865000</v>
      </c>
      <c r="E260" s="2174">
        <f t="shared" ref="E260:K260" si="182">+E261</f>
        <v>23650</v>
      </c>
      <c r="F260" s="778">
        <f t="shared" si="182"/>
        <v>341350</v>
      </c>
      <c r="G260" s="778">
        <f t="shared" si="182"/>
        <v>500000</v>
      </c>
      <c r="H260" s="836">
        <f t="shared" si="182"/>
        <v>0</v>
      </c>
      <c r="I260" s="836">
        <f t="shared" si="182"/>
        <v>0</v>
      </c>
      <c r="J260" s="836">
        <f t="shared" si="182"/>
        <v>0</v>
      </c>
      <c r="K260" s="836">
        <f t="shared" si="182"/>
        <v>0</v>
      </c>
      <c r="L260" s="778">
        <f>+L261</f>
        <v>0</v>
      </c>
      <c r="M260" s="199">
        <f>+M261</f>
        <v>841350</v>
      </c>
      <c r="N260" s="4303"/>
    </row>
    <row r="261" spans="1:15" s="175" customFormat="1" thickBot="1">
      <c r="A261" s="4093"/>
      <c r="B261" s="1225" t="s">
        <v>22</v>
      </c>
      <c r="C261" s="4281">
        <v>75018</v>
      </c>
      <c r="D261" s="2358">
        <f>+D262+D263</f>
        <v>865000</v>
      </c>
      <c r="E261" s="2178">
        <f t="shared" ref="E261" si="183">+E262+E263</f>
        <v>23650</v>
      </c>
      <c r="F261" s="784">
        <f t="shared" ref="F261:M261" si="184">+F262+F263</f>
        <v>341350</v>
      </c>
      <c r="G261" s="784">
        <f t="shared" si="184"/>
        <v>500000</v>
      </c>
      <c r="H261" s="1012">
        <f t="shared" si="184"/>
        <v>0</v>
      </c>
      <c r="I261" s="1012">
        <f t="shared" si="184"/>
        <v>0</v>
      </c>
      <c r="J261" s="1012">
        <f t="shared" si="184"/>
        <v>0</v>
      </c>
      <c r="K261" s="1012">
        <f t="shared" ref="K261" si="185">+K262+K263</f>
        <v>0</v>
      </c>
      <c r="L261" s="2358"/>
      <c r="M261" s="2359">
        <f t="shared" si="184"/>
        <v>841350</v>
      </c>
      <c r="N261" s="4303"/>
    </row>
    <row r="262" spans="1:15" s="175" customFormat="1" ht="13.5" thickBot="1">
      <c r="A262" s="4094"/>
      <c r="B262" s="2360" t="s">
        <v>11</v>
      </c>
      <c r="C262" s="4342"/>
      <c r="D262" s="1003">
        <f>E262+L262+K262+F262+G262+H262+I262+J262</f>
        <v>865000</v>
      </c>
      <c r="E262" s="2459">
        <f>45000-21350</f>
        <v>23650</v>
      </c>
      <c r="F262" s="1594">
        <f>640000+121350+80000-500000</f>
        <v>341350</v>
      </c>
      <c r="G262" s="1594">
        <v>500000</v>
      </c>
      <c r="H262" s="2361">
        <v>0</v>
      </c>
      <c r="I262" s="2361">
        <v>0</v>
      </c>
      <c r="J262" s="2361">
        <v>0</v>
      </c>
      <c r="K262" s="2361"/>
      <c r="L262" s="2362"/>
      <c r="M262" s="2829">
        <f>SUM(F262:J262)</f>
        <v>841350</v>
      </c>
      <c r="N262" s="4338"/>
    </row>
    <row r="263" spans="1:15" s="175" customFormat="1" ht="13.5" hidden="1" customHeight="1" thickBot="1">
      <c r="A263" s="481"/>
      <c r="B263" s="820" t="s">
        <v>13</v>
      </c>
      <c r="C263" s="482"/>
      <c r="D263" s="1461">
        <f>E263+F263+G263+H263+I263+J263</f>
        <v>0</v>
      </c>
      <c r="E263" s="484"/>
      <c r="F263" s="485">
        <v>0</v>
      </c>
      <c r="G263" s="485">
        <v>0</v>
      </c>
      <c r="H263" s="485">
        <v>0</v>
      </c>
      <c r="I263" s="485">
        <v>0</v>
      </c>
      <c r="J263" s="485">
        <v>0</v>
      </c>
      <c r="K263" s="485"/>
      <c r="L263" s="485"/>
      <c r="M263" s="408">
        <f>SUM(F263:J263)</f>
        <v>0</v>
      </c>
      <c r="N263" s="659"/>
    </row>
    <row r="264" spans="1:15" s="820" customFormat="1" ht="13.5" hidden="1" customHeight="1" thickBot="1">
      <c r="A264" s="481"/>
      <c r="B264" s="336" t="s">
        <v>20</v>
      </c>
      <c r="C264" s="479"/>
      <c r="D264" s="354">
        <f>+D265</f>
        <v>0</v>
      </c>
      <c r="E264" s="354">
        <f t="shared" ref="E264:J264" si="186">+E265</f>
        <v>0</v>
      </c>
      <c r="F264" s="337">
        <f t="shared" si="186"/>
        <v>0</v>
      </c>
      <c r="G264" s="357">
        <f t="shared" si="186"/>
        <v>0</v>
      </c>
      <c r="H264" s="357">
        <f t="shared" si="186"/>
        <v>0</v>
      </c>
      <c r="I264" s="337">
        <f t="shared" si="186"/>
        <v>0</v>
      </c>
      <c r="J264" s="357">
        <f t="shared" si="186"/>
        <v>0</v>
      </c>
      <c r="K264" s="1710"/>
      <c r="L264" s="1710"/>
      <c r="M264" s="4330" t="s">
        <v>21</v>
      </c>
      <c r="N264" s="1325"/>
    </row>
    <row r="265" spans="1:15" s="820" customFormat="1" ht="13.5" hidden="1" customHeight="1">
      <c r="A265" s="1753"/>
      <c r="B265" s="326" t="s">
        <v>22</v>
      </c>
      <c r="C265" s="4339" t="s">
        <v>270</v>
      </c>
      <c r="D265" s="480">
        <f t="shared" ref="D265:J265" si="187">+D266</f>
        <v>0</v>
      </c>
      <c r="E265" s="480">
        <f t="shared" si="187"/>
        <v>0</v>
      </c>
      <c r="F265" s="360">
        <f t="shared" si="187"/>
        <v>0</v>
      </c>
      <c r="G265" s="361">
        <f t="shared" si="187"/>
        <v>0</v>
      </c>
      <c r="H265" s="351">
        <f t="shared" si="187"/>
        <v>0</v>
      </c>
      <c r="I265" s="360">
        <f t="shared" si="187"/>
        <v>0</v>
      </c>
      <c r="J265" s="361">
        <f t="shared" si="187"/>
        <v>0</v>
      </c>
      <c r="K265" s="1689"/>
      <c r="L265" s="1689"/>
      <c r="M265" s="4251"/>
      <c r="N265" s="1326"/>
    </row>
    <row r="266" spans="1:15" s="820" customFormat="1" ht="22.5" hidden="1" customHeight="1" thickBot="1">
      <c r="A266" s="3588"/>
      <c r="B266" s="328" t="s">
        <v>13</v>
      </c>
      <c r="C266" s="4282"/>
      <c r="D266" s="464">
        <f>E266+F266+G266+H266+I266+J266</f>
        <v>0</v>
      </c>
      <c r="E266" s="358">
        <v>0</v>
      </c>
      <c r="F266" s="363">
        <v>0</v>
      </c>
      <c r="G266" s="363">
        <v>0</v>
      </c>
      <c r="H266" s="362">
        <v>0</v>
      </c>
      <c r="I266" s="363">
        <v>0</v>
      </c>
      <c r="J266" s="363">
        <v>0</v>
      </c>
      <c r="K266" s="363"/>
      <c r="L266" s="363"/>
      <c r="M266" s="4252"/>
      <c r="N266" s="659"/>
    </row>
    <row r="267" spans="1:15" ht="14.25" hidden="1" customHeight="1">
      <c r="A267" s="4337"/>
      <c r="B267" s="4337"/>
      <c r="C267" s="4337"/>
      <c r="D267" s="4337"/>
      <c r="E267" s="4337"/>
      <c r="F267" s="4337"/>
      <c r="G267" s="4337"/>
      <c r="H267" s="4337"/>
      <c r="I267" s="4337"/>
      <c r="J267" s="4337"/>
      <c r="K267" s="4337"/>
      <c r="L267" s="4337"/>
      <c r="M267" s="4337"/>
      <c r="N267" s="4337"/>
    </row>
    <row r="268" spans="1:15" ht="14.25" hidden="1" customHeight="1">
      <c r="A268" s="4337"/>
      <c r="B268" s="4337"/>
      <c r="C268" s="4337"/>
      <c r="D268" s="4337"/>
      <c r="E268" s="4337"/>
      <c r="F268" s="4337"/>
      <c r="G268" s="4337"/>
      <c r="H268" s="4337"/>
      <c r="I268" s="4337"/>
      <c r="J268" s="4337"/>
      <c r="K268" s="4337"/>
      <c r="L268" s="4337"/>
      <c r="M268" s="4337"/>
      <c r="N268" s="4337"/>
    </row>
    <row r="269" spans="1:15" ht="19.5" hidden="1" customHeight="1">
      <c r="A269" s="4337"/>
      <c r="B269" s="4337"/>
      <c r="C269" s="4337"/>
      <c r="D269" s="4337"/>
      <c r="E269" s="4337"/>
      <c r="F269" s="4337"/>
      <c r="G269" s="4337"/>
      <c r="H269" s="4337"/>
      <c r="I269" s="4337"/>
      <c r="J269" s="4337"/>
      <c r="K269" s="4337"/>
      <c r="L269" s="4337"/>
      <c r="M269" s="4337"/>
      <c r="N269" s="4337"/>
    </row>
    <row r="270" spans="1:15" ht="13.5" hidden="1" customHeight="1">
      <c r="A270" s="2822"/>
      <c r="B270" s="687" t="s">
        <v>301</v>
      </c>
      <c r="C270" s="1687"/>
      <c r="D270" s="1687"/>
      <c r="E270" s="1687"/>
      <c r="F270" s="1687"/>
      <c r="G270" s="1687"/>
      <c r="H270" s="1687"/>
      <c r="I270" s="1687"/>
      <c r="J270" s="1687"/>
      <c r="K270" s="1687"/>
      <c r="L270" s="820"/>
      <c r="M270" s="2822"/>
      <c r="N270" s="2822"/>
    </row>
    <row r="271" spans="1:15" ht="13.5" hidden="1" customHeight="1">
      <c r="A271" s="2822"/>
      <c r="B271" s="1730" t="s">
        <v>302</v>
      </c>
      <c r="C271" s="1687"/>
      <c r="D271" s="1688">
        <f>+D222+D117+D79+D56+D37</f>
        <v>201457873</v>
      </c>
      <c r="E271" s="1688">
        <f t="shared" ref="E271:J271" si="188">+E222+E117+E79+E56+E37</f>
        <v>65588509</v>
      </c>
      <c r="F271" s="1688">
        <f t="shared" si="188"/>
        <v>28733576</v>
      </c>
      <c r="G271" s="1688">
        <f t="shared" si="188"/>
        <v>29374570</v>
      </c>
      <c r="H271" s="1688">
        <f t="shared" si="188"/>
        <v>14166812</v>
      </c>
      <c r="I271" s="1688">
        <f t="shared" si="188"/>
        <v>23619409</v>
      </c>
      <c r="J271" s="1688">
        <f t="shared" si="188"/>
        <v>25580681</v>
      </c>
      <c r="K271" s="1688">
        <f>+K222+K117+K79+K56+K37</f>
        <v>0</v>
      </c>
      <c r="L271" s="1688">
        <f>+L222+L117+L79+L56+L37</f>
        <v>0</v>
      </c>
      <c r="M271" s="2822"/>
      <c r="N271" s="2822"/>
    </row>
    <row r="272" spans="1:15" ht="13.5" hidden="1" customHeight="1">
      <c r="A272" s="2822"/>
      <c r="B272" s="1730" t="s">
        <v>303</v>
      </c>
      <c r="C272" s="1687"/>
      <c r="D272" s="1688">
        <f>+D68+D90+D136+D149+D233</f>
        <v>154634012</v>
      </c>
      <c r="E272" s="1688">
        <f t="shared" ref="E272:J272" si="189">+E68+E90+E136+E149+E233</f>
        <v>2966771</v>
      </c>
      <c r="F272" s="1688">
        <f t="shared" si="189"/>
        <v>4221245</v>
      </c>
      <c r="G272" s="1688">
        <f t="shared" si="189"/>
        <v>25265000</v>
      </c>
      <c r="H272" s="1688">
        <f t="shared" si="189"/>
        <v>74884955</v>
      </c>
      <c r="I272" s="1688">
        <f t="shared" si="189"/>
        <v>47150000</v>
      </c>
      <c r="J272" s="1688">
        <f t="shared" si="189"/>
        <v>146041</v>
      </c>
      <c r="K272" s="1688">
        <f>+K68+K90+K136+K149+K233</f>
        <v>0</v>
      </c>
      <c r="L272" s="1688">
        <f>+L68+L90+L136+L149+L233</f>
        <v>0</v>
      </c>
      <c r="M272" s="2822"/>
      <c r="N272" s="2822"/>
    </row>
    <row r="273" spans="1:14" ht="13.5" hidden="1" customHeight="1">
      <c r="A273" s="2822"/>
      <c r="B273" s="1730" t="s">
        <v>304</v>
      </c>
      <c r="C273" s="1687"/>
      <c r="D273" s="685">
        <f>D271+D272</f>
        <v>356091885</v>
      </c>
      <c r="E273" s="685">
        <f t="shared" ref="E273:J273" si="190">E271+E272</f>
        <v>68555280</v>
      </c>
      <c r="F273" s="685">
        <f t="shared" si="190"/>
        <v>32954821</v>
      </c>
      <c r="G273" s="685">
        <f t="shared" si="190"/>
        <v>54639570</v>
      </c>
      <c r="H273" s="685">
        <f t="shared" si="190"/>
        <v>89051767</v>
      </c>
      <c r="I273" s="685">
        <f t="shared" si="190"/>
        <v>70769409</v>
      </c>
      <c r="J273" s="685">
        <f t="shared" si="190"/>
        <v>25726722</v>
      </c>
      <c r="K273" s="685">
        <f>K271+K272</f>
        <v>0</v>
      </c>
      <c r="L273" s="685">
        <f>L271+L272</f>
        <v>0</v>
      </c>
      <c r="M273" s="2822"/>
      <c r="N273" s="2822"/>
    </row>
    <row r="274" spans="1:14" ht="13.5" hidden="1" customHeight="1">
      <c r="A274" s="2822"/>
      <c r="B274" s="682" t="s">
        <v>39</v>
      </c>
      <c r="C274" s="684"/>
      <c r="D274" s="686">
        <f t="shared" ref="D274:L274" si="191">D19-D273</f>
        <v>0</v>
      </c>
      <c r="E274" s="686">
        <f t="shared" si="191"/>
        <v>0</v>
      </c>
      <c r="F274" s="686">
        <f t="shared" si="191"/>
        <v>0</v>
      </c>
      <c r="G274" s="686">
        <f t="shared" si="191"/>
        <v>0</v>
      </c>
      <c r="H274" s="686">
        <f t="shared" si="191"/>
        <v>0</v>
      </c>
      <c r="I274" s="686">
        <f t="shared" si="191"/>
        <v>0</v>
      </c>
      <c r="J274" s="686">
        <f t="shared" si="191"/>
        <v>0</v>
      </c>
      <c r="K274" s="686">
        <f t="shared" si="191"/>
        <v>0</v>
      </c>
      <c r="L274" s="686">
        <f t="shared" si="191"/>
        <v>0</v>
      </c>
      <c r="M274" s="2822"/>
      <c r="N274" s="2822"/>
    </row>
    <row r="275" spans="1:14" ht="31.5" hidden="1" customHeight="1">
      <c r="A275" s="2822"/>
      <c r="B275" s="2822"/>
      <c r="C275" s="2822"/>
      <c r="D275" s="2822"/>
      <c r="E275" s="2822"/>
      <c r="F275" s="2822"/>
      <c r="G275" s="2822"/>
      <c r="H275" s="2822"/>
      <c r="I275" s="2822"/>
      <c r="J275" s="2822"/>
      <c r="K275" s="2822"/>
      <c r="L275" s="2822"/>
      <c r="M275" s="2822"/>
      <c r="N275" s="2822"/>
    </row>
    <row r="276" spans="1:14" ht="31.5" hidden="1" customHeight="1">
      <c r="A276" s="2822"/>
      <c r="B276" s="2822"/>
      <c r="C276" s="2822"/>
      <c r="D276" s="2822"/>
      <c r="E276" s="2822"/>
      <c r="F276" s="2822"/>
      <c r="G276" s="2822"/>
      <c r="H276" s="2822"/>
      <c r="I276" s="2822"/>
      <c r="J276" s="2822"/>
      <c r="K276" s="2822"/>
      <c r="L276" s="2822"/>
      <c r="M276" s="2822"/>
      <c r="N276" s="2822"/>
    </row>
    <row r="277" spans="1:14" hidden="1">
      <c r="B277" s="2825" t="s">
        <v>39</v>
      </c>
    </row>
    <row r="278" spans="1:14" hidden="1">
      <c r="B278" s="4336" t="s">
        <v>197</v>
      </c>
      <c r="C278" s="146" t="s">
        <v>97</v>
      </c>
      <c r="D278" s="149">
        <f>D117-L117-K117-F117-G117-H117-I117-J117</f>
        <v>73519383</v>
      </c>
      <c r="E278" s="146" t="s">
        <v>97</v>
      </c>
    </row>
    <row r="279" spans="1:14" hidden="1">
      <c r="B279" s="4336"/>
      <c r="C279" s="146" t="s">
        <v>70</v>
      </c>
      <c r="D279" s="149">
        <f>D136-L136-K136-F136-G136-H136-I136-J136</f>
        <v>888502</v>
      </c>
      <c r="E279" s="146" t="s">
        <v>70</v>
      </c>
    </row>
    <row r="280" spans="1:14" hidden="1">
      <c r="B280" s="4336"/>
      <c r="D280" s="210">
        <f>D278+D279</f>
        <v>74407885</v>
      </c>
    </row>
    <row r="281" spans="1:14" hidden="1"/>
    <row r="282" spans="1:14" hidden="1">
      <c r="B282" s="1754" t="s">
        <v>576</v>
      </c>
      <c r="C282" s="146" t="s">
        <v>97</v>
      </c>
      <c r="D282" s="149">
        <f>+D107-L107-K107-F107-G107-H107-I107-J107</f>
        <v>62858096</v>
      </c>
    </row>
    <row r="283" spans="1:14" hidden="1">
      <c r="C283" s="146" t="s">
        <v>70</v>
      </c>
      <c r="D283" s="149">
        <f>D126-L126-K126-F126-G126-H126-I126-J126</f>
        <v>1377901</v>
      </c>
    </row>
    <row r="284" spans="1:14" hidden="1">
      <c r="D284" s="210">
        <f>D282+D283</f>
        <v>64235997</v>
      </c>
    </row>
    <row r="285" spans="1:14" hidden="1"/>
    <row r="286" spans="1:14" hidden="1">
      <c r="B286" s="1754" t="s">
        <v>199</v>
      </c>
      <c r="D286" s="210">
        <f>+D98-L98-K98-F98-G98-H98-I98-J98</f>
        <v>13886597</v>
      </c>
    </row>
    <row r="287" spans="1:14" hidden="1"/>
    <row r="288" spans="1:14" hidden="1">
      <c r="B288" s="146" t="s">
        <v>198</v>
      </c>
      <c r="D288" s="210">
        <f>D284+D286</f>
        <v>78122594</v>
      </c>
    </row>
    <row r="289" spans="2:13" hidden="1">
      <c r="E289" s="149"/>
    </row>
    <row r="290" spans="2:13" hidden="1">
      <c r="B290" s="146" t="s">
        <v>261</v>
      </c>
      <c r="D290" s="149">
        <f t="shared" ref="D290:J290" si="192">+D98+D108</f>
        <v>225760433</v>
      </c>
      <c r="E290" s="149">
        <f t="shared" si="192"/>
        <v>76744693</v>
      </c>
      <c r="F290" s="149">
        <f t="shared" si="192"/>
        <v>32222931</v>
      </c>
      <c r="G290" s="149">
        <f t="shared" si="192"/>
        <v>36435851</v>
      </c>
      <c r="H290" s="149">
        <f t="shared" si="192"/>
        <v>36339327</v>
      </c>
      <c r="I290" s="149">
        <f t="shared" si="192"/>
        <v>25464654</v>
      </c>
      <c r="J290" s="149">
        <f t="shared" si="192"/>
        <v>18552977</v>
      </c>
      <c r="K290" s="149"/>
      <c r="L290" s="149"/>
      <c r="M290" s="149">
        <f>SUM(E290:J290)-D290</f>
        <v>0</v>
      </c>
    </row>
    <row r="291" spans="2:13" hidden="1">
      <c r="B291" s="146" t="s">
        <v>262</v>
      </c>
      <c r="D291" s="149">
        <f t="shared" ref="D291:J291" si="193">+D127</f>
        <v>2630329</v>
      </c>
      <c r="E291" s="149">
        <f t="shared" si="193"/>
        <v>1377901</v>
      </c>
      <c r="F291" s="149">
        <f t="shared" si="193"/>
        <v>441387</v>
      </c>
      <c r="G291" s="149">
        <f t="shared" si="193"/>
        <v>265000</v>
      </c>
      <c r="H291" s="149">
        <f t="shared" si="193"/>
        <v>200000</v>
      </c>
      <c r="I291" s="149">
        <f t="shared" si="193"/>
        <v>200000</v>
      </c>
      <c r="J291" s="149">
        <f t="shared" si="193"/>
        <v>146041</v>
      </c>
      <c r="K291" s="149"/>
      <c r="L291" s="149"/>
      <c r="M291" s="149">
        <f>SUM(E291:J291)-D291</f>
        <v>0</v>
      </c>
    </row>
    <row r="292" spans="2:13" hidden="1"/>
    <row r="293" spans="2:13" hidden="1">
      <c r="B293" s="146" t="s">
        <v>260</v>
      </c>
      <c r="D293" s="149">
        <f>+D117+'Tab. 6B Polit społ i rozwój prz'!D108+D136+'Tab. 6B Polit społ i rozwój prz'!D120</f>
        <v>257229504</v>
      </c>
      <c r="F293" s="149">
        <f>+F117+'Tab. 6B Polit społ i rozwój prz'!F108+F136+'Tab. 6B Polit społ i rozwój prz'!F120</f>
        <v>36710786</v>
      </c>
      <c r="G293" s="149">
        <f>+G117+'Tab. 6B Polit społ i rozwój prz'!G108+G136+'Tab. 6B Polit społ i rozwój prz'!G120</f>
        <v>37000000</v>
      </c>
      <c r="H293" s="149">
        <f>+H117+'Tab. 6B Polit społ i rozwój prz'!H108+H136+'Tab. 6B Polit społ i rozwój prz'!H120</f>
        <v>23015045</v>
      </c>
      <c r="I293" s="149">
        <f>+I117+'Tab. 6B Polit społ i rozwój prz'!I108+I136+'Tab. 6B Polit społ i rozwój prz'!I120</f>
        <v>31000000</v>
      </c>
      <c r="J293" s="149">
        <f>+J117+'Tab. 6B Polit społ i rozwój prz'!J108+J136+'Tab. 6B Polit społ i rozwój prz'!J120</f>
        <v>31000000</v>
      </c>
      <c r="K293" s="149"/>
      <c r="L293" s="149"/>
      <c r="M293" s="149">
        <f>SUM(E293:J293)-D293</f>
        <v>-98503673</v>
      </c>
    </row>
    <row r="294" spans="2:13" hidden="1">
      <c r="B294" s="146" t="s">
        <v>259</v>
      </c>
      <c r="D294" s="149">
        <f>+D96+D121+'Tab. 6B Polit społ i rozwój prz'!D102+'Tab. 6B Polit społ i rozwój prz'!D114</f>
        <v>305799417</v>
      </c>
      <c r="E294" s="149">
        <f>+E96+E121+'Tab. 6B Polit społ i rozwój prz'!E102+'Tab. 6B Polit społ i rozwój prz'!E114</f>
        <v>107225523</v>
      </c>
      <c r="F294" s="149">
        <f>+F96+F121+'Tab. 6B Polit społ i rozwój prz'!F102+'Tab. 6B Polit społ i rozwój prz'!F114</f>
        <v>43701288</v>
      </c>
      <c r="G294" s="149">
        <f>+G96+G121+'Tab. 6B Polit społ i rozwój prz'!G102+'Tab. 6B Polit społ i rozwój prz'!G114</f>
        <v>47727553</v>
      </c>
      <c r="H294" s="149">
        <f>+H96+H121+'Tab. 6B Polit społ i rozwój prz'!H102+'Tab. 6B Polit społ i rozwój prz'!H114</f>
        <v>47291768</v>
      </c>
      <c r="I294" s="149">
        <f>+I96+I121+'Tab. 6B Polit społ i rozwój prz'!I102+'Tab. 6B Polit społ i rozwój prz'!I114</f>
        <v>34618729</v>
      </c>
      <c r="J294" s="149">
        <f>+J96+J121+'Tab. 6B Polit społ i rozwój prz'!J102+'Tab. 6B Polit społ i rozwój prz'!J114</f>
        <v>25234556</v>
      </c>
      <c r="K294" s="149"/>
      <c r="L294" s="149"/>
      <c r="M294" s="149">
        <f>SUM(E294:J294)-D294</f>
        <v>0</v>
      </c>
    </row>
    <row r="295" spans="2:13" hidden="1"/>
    <row r="296" spans="2:13" hidden="1"/>
    <row r="297" spans="2:13" hidden="1"/>
    <row r="298" spans="2:13" hidden="1"/>
    <row r="299" spans="2:13" hidden="1">
      <c r="B299" s="146" t="s">
        <v>232</v>
      </c>
      <c r="C299" s="146" t="s">
        <v>230</v>
      </c>
      <c r="D299" s="149">
        <f>+D212+D178</f>
        <v>18000000</v>
      </c>
      <c r="F299" s="149">
        <f t="shared" ref="F299:I299" si="194">+F212+F178</f>
        <v>2252900</v>
      </c>
      <c r="G299" s="149">
        <f t="shared" si="194"/>
        <v>6000000</v>
      </c>
      <c r="H299" s="149">
        <f t="shared" si="194"/>
        <v>7522055</v>
      </c>
      <c r="I299" s="149">
        <f t="shared" si="194"/>
        <v>0</v>
      </c>
      <c r="M299" s="149">
        <f>SUM(E299:J299)-D299</f>
        <v>-2225045</v>
      </c>
    </row>
    <row r="300" spans="2:13" hidden="1">
      <c r="C300" s="146" t="s">
        <v>231</v>
      </c>
      <c r="D300" s="149">
        <f>+D170+D197</f>
        <v>0</v>
      </c>
      <c r="F300" s="149">
        <f t="shared" ref="F300:I300" si="195">+F170+F197</f>
        <v>0</v>
      </c>
      <c r="G300" s="149">
        <f t="shared" si="195"/>
        <v>0</v>
      </c>
      <c r="H300" s="149">
        <f t="shared" si="195"/>
        <v>0</v>
      </c>
      <c r="I300" s="149">
        <f t="shared" si="195"/>
        <v>0</v>
      </c>
      <c r="M300" s="149">
        <f>SUM(E300:J300)-D300</f>
        <v>0</v>
      </c>
    </row>
    <row r="301" spans="2:13" hidden="1">
      <c r="D301" s="149">
        <f>SUM(D299:D300)</f>
        <v>18000000</v>
      </c>
      <c r="E301" s="149">
        <f t="shared" ref="E301:I301" si="196">SUM(E299:E300)</f>
        <v>0</v>
      </c>
      <c r="F301" s="149">
        <f t="shared" si="196"/>
        <v>2252900</v>
      </c>
      <c r="G301" s="149">
        <f t="shared" si="196"/>
        <v>6000000</v>
      </c>
      <c r="H301" s="149">
        <f t="shared" si="196"/>
        <v>7522055</v>
      </c>
      <c r="I301" s="149">
        <f t="shared" si="196"/>
        <v>0</v>
      </c>
      <c r="M301" s="149">
        <f>SUM(E301:J301)-D301</f>
        <v>-2225045</v>
      </c>
    </row>
    <row r="302" spans="2:13" hidden="1">
      <c r="B302" s="146" t="s">
        <v>263</v>
      </c>
      <c r="D302" s="149">
        <f t="shared" ref="D302:I302" si="197">D146</f>
        <v>18000000</v>
      </c>
      <c r="E302" s="149">
        <f t="shared" si="197"/>
        <v>2225045</v>
      </c>
      <c r="F302" s="149">
        <f t="shared" si="197"/>
        <v>2252900</v>
      </c>
      <c r="G302" s="149">
        <f t="shared" si="197"/>
        <v>6000000</v>
      </c>
      <c r="H302" s="149">
        <f t="shared" si="197"/>
        <v>7522055</v>
      </c>
      <c r="I302" s="149">
        <f t="shared" si="197"/>
        <v>0</v>
      </c>
      <c r="M302" s="149">
        <f>SUM(E302:J302)-D302</f>
        <v>0</v>
      </c>
    </row>
    <row r="303" spans="2:13" hidden="1"/>
    <row r="304" spans="2:13" hidden="1">
      <c r="B304" s="146" t="s">
        <v>264</v>
      </c>
      <c r="D304" s="149">
        <f>+D293+D301</f>
        <v>275229504</v>
      </c>
      <c r="E304" s="149">
        <f t="shared" ref="E304:J304" si="198">+E293+E301</f>
        <v>0</v>
      </c>
      <c r="F304" s="149">
        <f t="shared" si="198"/>
        <v>38963686</v>
      </c>
      <c r="G304" s="149">
        <f t="shared" si="198"/>
        <v>43000000</v>
      </c>
      <c r="H304" s="149">
        <f t="shared" si="198"/>
        <v>30537100</v>
      </c>
      <c r="I304" s="149">
        <f t="shared" si="198"/>
        <v>31000000</v>
      </c>
      <c r="J304" s="149">
        <f t="shared" si="198"/>
        <v>31000000</v>
      </c>
      <c r="K304" s="149"/>
      <c r="L304" s="149"/>
      <c r="M304" s="149">
        <f>SUM(E304:J304)-D304</f>
        <v>-100728718</v>
      </c>
    </row>
    <row r="305" spans="2:13" hidden="1">
      <c r="B305" s="146" t="s">
        <v>265</v>
      </c>
      <c r="D305" s="149">
        <f>+D294+D302</f>
        <v>323799417</v>
      </c>
      <c r="E305" s="149">
        <f t="shared" ref="E305:J305" si="199">+E294+E302</f>
        <v>109450568</v>
      </c>
      <c r="F305" s="149">
        <f t="shared" si="199"/>
        <v>45954188</v>
      </c>
      <c r="G305" s="149">
        <f t="shared" si="199"/>
        <v>53727553</v>
      </c>
      <c r="H305" s="149">
        <f t="shared" si="199"/>
        <v>54813823</v>
      </c>
      <c r="I305" s="149">
        <f t="shared" si="199"/>
        <v>34618729</v>
      </c>
      <c r="J305" s="149">
        <f t="shared" si="199"/>
        <v>25234556</v>
      </c>
      <c r="K305" s="149"/>
      <c r="L305" s="149"/>
      <c r="M305" s="149">
        <f>SUM(E305:J305)-D305</f>
        <v>0</v>
      </c>
    </row>
    <row r="306" spans="2:13" hidden="1"/>
    <row r="307" spans="2:13" hidden="1"/>
    <row r="308" spans="2:13" hidden="1"/>
    <row r="309" spans="2:13" hidden="1"/>
    <row r="310" spans="2:13" hidden="1"/>
    <row r="311" spans="2:13" hidden="1"/>
    <row r="312" spans="2:13" hidden="1"/>
    <row r="313" spans="2:13" hidden="1"/>
    <row r="314" spans="2:13" hidden="1"/>
    <row r="315" spans="2:13" hidden="1"/>
    <row r="316" spans="2:13" hidden="1"/>
    <row r="317" spans="2:13" hidden="1"/>
    <row r="318" spans="2:13" hidden="1"/>
    <row r="319" spans="2:13" hidden="1"/>
    <row r="320" spans="2:13" hidden="1"/>
    <row r="321" hidden="1"/>
    <row r="322" hidden="1"/>
    <row r="323" hidden="1"/>
    <row r="324" hidden="1"/>
    <row r="325" hidden="1"/>
    <row r="404" spans="1:14" ht="13.5" thickBot="1">
      <c r="A404" s="1174"/>
    </row>
    <row r="405" spans="1:14" ht="13.5" thickBot="1">
      <c r="A405" s="1353"/>
    </row>
    <row r="406" spans="1:14" ht="13.5" thickBot="1">
      <c r="A406" s="1353"/>
    </row>
    <row r="407" spans="1:14" ht="13.5" thickBot="1">
      <c r="A407" s="1353"/>
    </row>
    <row r="408" spans="1:14" ht="13.5" thickBot="1">
      <c r="A408" s="1353"/>
    </row>
    <row r="409" spans="1:14" ht="13.5" thickBot="1">
      <c r="A409" s="1353"/>
    </row>
    <row r="410" spans="1:14" ht="13.5" thickBot="1">
      <c r="A410" s="1353"/>
      <c r="M410" s="1755"/>
      <c r="N410" s="1756"/>
    </row>
    <row r="411" spans="1:14" ht="13.5" thickBot="1">
      <c r="A411" s="1353"/>
      <c r="C411" s="1755"/>
      <c r="M411" s="1757"/>
      <c r="N411" s="1758"/>
    </row>
    <row r="412" spans="1:14" ht="13.5" thickBot="1">
      <c r="A412" s="1353"/>
      <c r="C412" s="1757"/>
      <c r="D412" s="1755"/>
      <c r="E412" s="1755"/>
      <c r="F412" s="1755"/>
      <c r="G412" s="1755"/>
      <c r="H412" s="1755"/>
      <c r="I412" s="1755"/>
      <c r="J412" s="1755"/>
      <c r="K412" s="1755"/>
      <c r="L412" s="1755"/>
      <c r="M412" s="1757"/>
      <c r="N412" s="1758"/>
    </row>
    <row r="413" spans="1:14" ht="13.5" thickBot="1">
      <c r="A413" s="1353"/>
      <c r="C413" s="1759"/>
      <c r="D413" s="1759"/>
      <c r="E413" s="1759"/>
      <c r="F413" s="1759"/>
      <c r="G413" s="1759"/>
      <c r="H413" s="1759"/>
      <c r="I413" s="1759"/>
      <c r="J413" s="1759"/>
      <c r="K413" s="1759"/>
      <c r="L413" s="1759"/>
      <c r="M413" s="1759"/>
      <c r="N413" s="1758"/>
    </row>
    <row r="414" spans="1:14" ht="13.5" thickBot="1">
      <c r="A414" s="1353"/>
      <c r="N414" s="1758"/>
    </row>
    <row r="415" spans="1:14" ht="13.5" thickBot="1">
      <c r="A415" s="1353"/>
      <c r="N415" s="1758"/>
    </row>
    <row r="416" spans="1:14" ht="13.5" thickBot="1">
      <c r="A416" s="1353"/>
      <c r="N416" s="1758"/>
    </row>
    <row r="417" spans="1:14" ht="13.5" thickBot="1">
      <c r="A417" s="1353"/>
      <c r="N417" s="1758"/>
    </row>
    <row r="418" spans="1:14" ht="13.5" thickBot="1">
      <c r="A418" s="1353"/>
      <c r="N418" s="1760"/>
    </row>
    <row r="419" spans="1:14" ht="13.5" thickBot="1">
      <c r="A419" s="1353"/>
    </row>
    <row r="420" spans="1:14" ht="13.5" thickBot="1">
      <c r="A420" s="1353"/>
    </row>
    <row r="421" spans="1:14">
      <c r="A421" s="1354"/>
    </row>
    <row r="519" spans="1:14" ht="13.5" thickBot="1">
      <c r="N519" s="1756"/>
    </row>
    <row r="520" spans="1:14" ht="13.5" thickBot="1">
      <c r="N520" s="1758"/>
    </row>
    <row r="521" spans="1:14" ht="13.5" thickBot="1">
      <c r="N521" s="1758"/>
    </row>
    <row r="522" spans="1:14" ht="13.5" thickBot="1">
      <c r="N522" s="1758"/>
    </row>
    <row r="523" spans="1:14" ht="13.5" thickBot="1">
      <c r="M523" s="1755"/>
      <c r="N523" s="1758"/>
    </row>
    <row r="524" spans="1:14" ht="13.5" thickBot="1">
      <c r="M524" s="1757"/>
      <c r="N524" s="1758"/>
    </row>
    <row r="525" spans="1:14" ht="13.5" thickBot="1">
      <c r="M525" s="1757"/>
      <c r="N525" s="1758"/>
    </row>
    <row r="526" spans="1:14" ht="13.5" thickBot="1">
      <c r="M526" s="1757"/>
      <c r="N526" s="1758"/>
    </row>
    <row r="527" spans="1:14" ht="13.5" thickBot="1">
      <c r="M527" s="1757"/>
      <c r="N527" s="1758"/>
    </row>
    <row r="528" spans="1:14" ht="13.5" thickBot="1">
      <c r="A528" s="1174"/>
      <c r="B528" s="1755"/>
      <c r="C528" s="1755"/>
      <c r="D528" s="1755"/>
      <c r="E528" s="1755"/>
      <c r="F528" s="1755"/>
      <c r="G528" s="1755"/>
      <c r="H528" s="1755"/>
      <c r="I528" s="1755"/>
      <c r="J528" s="1755"/>
      <c r="K528" s="1755"/>
      <c r="L528" s="1755"/>
      <c r="M528" s="1757"/>
      <c r="N528" s="1758"/>
    </row>
    <row r="529" spans="1:14" ht="13.5" thickBot="1">
      <c r="A529" s="1353"/>
      <c r="B529" s="1759"/>
      <c r="C529" s="1759"/>
      <c r="D529" s="1759"/>
      <c r="E529" s="1759"/>
      <c r="F529" s="1759"/>
      <c r="G529" s="1759"/>
      <c r="H529" s="1759"/>
      <c r="I529" s="1759"/>
      <c r="J529" s="1759"/>
      <c r="K529" s="1759"/>
      <c r="L529" s="1759"/>
      <c r="M529" s="1759"/>
      <c r="N529" s="1758"/>
    </row>
    <row r="530" spans="1:14" ht="13.5" thickBot="1">
      <c r="A530" s="1353"/>
      <c r="N530" s="1758"/>
    </row>
    <row r="531" spans="1:14" ht="13.5" thickBot="1">
      <c r="A531" s="1353"/>
      <c r="N531" s="1758"/>
    </row>
    <row r="532" spans="1:14" ht="13.5" thickBot="1">
      <c r="A532" s="1353"/>
      <c r="N532" s="1758"/>
    </row>
    <row r="533" spans="1:14" ht="13.5" thickBot="1">
      <c r="A533" s="1353"/>
      <c r="N533" s="1758"/>
    </row>
    <row r="534" spans="1:14" ht="13.5" thickBot="1">
      <c r="A534" s="1353"/>
      <c r="N534" s="1758"/>
    </row>
    <row r="535" spans="1:14" ht="13.5" thickBot="1">
      <c r="A535" s="1353"/>
      <c r="N535" s="1758"/>
    </row>
    <row r="536" spans="1:14">
      <c r="A536" s="1354"/>
      <c r="N536" s="1760"/>
    </row>
    <row r="543" spans="1:14" ht="13.5" thickBot="1"/>
    <row r="544" spans="1:14" ht="33.75">
      <c r="A544" s="211"/>
      <c r="B544" s="212" t="s">
        <v>59</v>
      </c>
      <c r="C544" s="212"/>
      <c r="D544" s="1759"/>
      <c r="E544" s="1759"/>
      <c r="F544" s="1759"/>
      <c r="G544" s="1759"/>
      <c r="H544" s="1759"/>
      <c r="I544" s="1759"/>
      <c r="J544" s="1759"/>
      <c r="K544" s="1759"/>
      <c r="L544" s="1759"/>
      <c r="M544" s="1759"/>
      <c r="N544" s="1761"/>
    </row>
    <row r="545" spans="1:14">
      <c r="A545" s="213"/>
      <c r="N545" s="1762"/>
    </row>
    <row r="546" spans="1:14">
      <c r="A546" s="213"/>
      <c r="N546" s="1762"/>
    </row>
    <row r="547" spans="1:14">
      <c r="A547" s="213"/>
      <c r="N547" s="1762"/>
    </row>
    <row r="548" spans="1:14">
      <c r="A548" s="213"/>
      <c r="N548" s="1762"/>
    </row>
    <row r="549" spans="1:14">
      <c r="A549" s="213"/>
      <c r="N549" s="1762"/>
    </row>
    <row r="550" spans="1:14">
      <c r="A550" s="213"/>
      <c r="N550" s="1762"/>
    </row>
    <row r="551" spans="1:14">
      <c r="A551" s="213"/>
      <c r="N551" s="1762"/>
    </row>
    <row r="552" spans="1:14">
      <c r="A552" s="213"/>
      <c r="N552" s="1762"/>
    </row>
    <row r="553" spans="1:14">
      <c r="A553" s="213"/>
      <c r="N553" s="1762"/>
    </row>
    <row r="554" spans="1:14">
      <c r="A554" s="213"/>
      <c r="N554" s="1762"/>
    </row>
    <row r="555" spans="1:14" ht="13.5" thickBot="1">
      <c r="A555" s="214"/>
      <c r="B555" s="1755"/>
      <c r="C555" s="1755"/>
      <c r="D555" s="1755"/>
      <c r="E555" s="1755"/>
      <c r="F555" s="1755"/>
      <c r="G555" s="1755"/>
      <c r="H555" s="1755"/>
      <c r="I555" s="1755"/>
      <c r="J555" s="1755"/>
      <c r="K555" s="1755"/>
      <c r="L555" s="1755"/>
      <c r="M555" s="1755"/>
      <c r="N555" s="1763"/>
    </row>
  </sheetData>
  <mergeCells count="99">
    <mergeCell ref="C122:C127"/>
    <mergeCell ref="C118:C119"/>
    <mergeCell ref="C97:C108"/>
    <mergeCell ref="O117:R138"/>
    <mergeCell ref="N139:N153"/>
    <mergeCell ref="N95:N119"/>
    <mergeCell ref="M117:M119"/>
    <mergeCell ref="M165:M170"/>
    <mergeCell ref="M207:M213"/>
    <mergeCell ref="C216:C221"/>
    <mergeCell ref="M222:M226"/>
    <mergeCell ref="C223:C226"/>
    <mergeCell ref="C208:C211"/>
    <mergeCell ref="C181:C182"/>
    <mergeCell ref="C189:C190"/>
    <mergeCell ref="M194:M196"/>
    <mergeCell ref="C173:C179"/>
    <mergeCell ref="C191:C193"/>
    <mergeCell ref="C200:C206"/>
    <mergeCell ref="C183:C184"/>
    <mergeCell ref="M180:M186"/>
    <mergeCell ref="A25:A39"/>
    <mergeCell ref="N25:N39"/>
    <mergeCell ref="C27:C33"/>
    <mergeCell ref="C38:C39"/>
    <mergeCell ref="A61:A72"/>
    <mergeCell ref="N61:N72"/>
    <mergeCell ref="C63:C67"/>
    <mergeCell ref="C69:C72"/>
    <mergeCell ref="N40:N60"/>
    <mergeCell ref="C42:C52"/>
    <mergeCell ref="M56:M60"/>
    <mergeCell ref="C57:C60"/>
    <mergeCell ref="A40:A60"/>
    <mergeCell ref="M68:M72"/>
    <mergeCell ref="A4:N4"/>
    <mergeCell ref="B5:B6"/>
    <mergeCell ref="C5:C6"/>
    <mergeCell ref="D5:D6"/>
    <mergeCell ref="N5:N6"/>
    <mergeCell ref="M5:M6"/>
    <mergeCell ref="L5:L6"/>
    <mergeCell ref="F5:J5"/>
    <mergeCell ref="K5:K6"/>
    <mergeCell ref="A269:N269"/>
    <mergeCell ref="A84:A94"/>
    <mergeCell ref="N84:N94"/>
    <mergeCell ref="C86:C89"/>
    <mergeCell ref="C91:C94"/>
    <mergeCell ref="C168:C170"/>
    <mergeCell ref="C159:C164"/>
    <mergeCell ref="N227:N237"/>
    <mergeCell ref="C229:C232"/>
    <mergeCell ref="A198:A210"/>
    <mergeCell ref="A214:A226"/>
    <mergeCell ref="A227:A237"/>
    <mergeCell ref="M246:M248"/>
    <mergeCell ref="M233:M237"/>
    <mergeCell ref="M149:M153"/>
    <mergeCell ref="C195:C196"/>
    <mergeCell ref="C255:C258"/>
    <mergeCell ref="A253:A258"/>
    <mergeCell ref="C75:C78"/>
    <mergeCell ref="C80:C83"/>
    <mergeCell ref="A73:A83"/>
    <mergeCell ref="C166:C167"/>
    <mergeCell ref="A139:A153"/>
    <mergeCell ref="A157:A169"/>
    <mergeCell ref="C234:C237"/>
    <mergeCell ref="A171:A184"/>
    <mergeCell ref="A187:A196"/>
    <mergeCell ref="C150:C153"/>
    <mergeCell ref="C141:C148"/>
    <mergeCell ref="A95:A119"/>
    <mergeCell ref="A120:A138"/>
    <mergeCell ref="C137:C138"/>
    <mergeCell ref="N214:N226"/>
    <mergeCell ref="B278:B280"/>
    <mergeCell ref="A267:N267"/>
    <mergeCell ref="A249:A252"/>
    <mergeCell ref="N249:N252"/>
    <mergeCell ref="N239:N248"/>
    <mergeCell ref="C243:C245"/>
    <mergeCell ref="C247:C248"/>
    <mergeCell ref="C265:C266"/>
    <mergeCell ref="M264:M266"/>
    <mergeCell ref="C251:C252"/>
    <mergeCell ref="A259:A262"/>
    <mergeCell ref="C261:C262"/>
    <mergeCell ref="N259:N262"/>
    <mergeCell ref="A268:N268"/>
    <mergeCell ref="N253:N258"/>
    <mergeCell ref="M19:M24"/>
    <mergeCell ref="M37:M39"/>
    <mergeCell ref="N120:N138"/>
    <mergeCell ref="M136:M138"/>
    <mergeCell ref="M79:M83"/>
    <mergeCell ref="M90:M94"/>
    <mergeCell ref="N73:N8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6" firstPageNumber="35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4" manualBreakCount="4">
    <brk id="60" max="13" man="1"/>
    <brk id="94" max="13" man="1"/>
    <brk id="262" max="13" man="1"/>
    <brk id="266" max="1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X536"/>
  <sheetViews>
    <sheetView showGridLines="0" view="pageBreakPreview" zoomScaleSheetLayoutView="100" workbookViewId="0">
      <pane xSplit="3" ySplit="5" topLeftCell="G178" activePane="bottomRight" state="frozen"/>
      <selection activeCell="F19" sqref="F19"/>
      <selection pane="topRight" activeCell="F19" sqref="F19"/>
      <selection pane="bottomLeft" activeCell="F19" sqref="F19"/>
      <selection pane="bottomRight" activeCell="C181" sqref="C181:C211"/>
    </sheetView>
  </sheetViews>
  <sheetFormatPr defaultColWidth="9.140625" defaultRowHeight="11.25"/>
  <cols>
    <col min="1" max="1" width="4.140625" style="221" customWidth="1"/>
    <col min="2" max="2" width="60.42578125" style="155" customWidth="1"/>
    <col min="3" max="3" width="10.5703125" style="155" customWidth="1"/>
    <col min="4" max="4" width="15.5703125" style="155" customWidth="1"/>
    <col min="5" max="5" width="13.140625" style="155" customWidth="1"/>
    <col min="6" max="10" width="12.5703125" style="155" customWidth="1"/>
    <col min="11" max="12" width="8.28515625" style="155" hidden="1" customWidth="1"/>
    <col min="13" max="13" width="12.42578125" style="155" customWidth="1"/>
    <col min="14" max="14" width="15.28515625" style="259" customWidth="1"/>
    <col min="15" max="15" width="3.28515625" style="155" hidden="1" customWidth="1"/>
    <col min="16" max="16" width="13.42578125" style="155" hidden="1" customWidth="1"/>
    <col min="17" max="20" width="18.28515625" style="155" hidden="1" customWidth="1"/>
    <col min="21" max="33" width="18.28515625" style="155" customWidth="1"/>
    <col min="34" max="75" width="3.28515625" style="155" customWidth="1"/>
    <col min="76" max="16384" width="9.140625" style="155"/>
  </cols>
  <sheetData>
    <row r="1" spans="1:76" s="258" customFormat="1" ht="18" customHeight="1">
      <c r="A1" s="262"/>
      <c r="B1" s="263"/>
      <c r="C1" s="262"/>
      <c r="D1" s="262"/>
      <c r="E1" s="262"/>
      <c r="F1" s="151"/>
      <c r="G1" s="151"/>
      <c r="H1" s="151"/>
      <c r="I1" s="151" t="s">
        <v>527</v>
      </c>
      <c r="J1" s="151"/>
      <c r="K1" s="151"/>
      <c r="L1" s="151"/>
      <c r="M1" s="3"/>
      <c r="N1" s="4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154"/>
    </row>
    <row r="2" spans="1:76" s="258" customFormat="1" ht="16.5" customHeight="1" thickBot="1">
      <c r="A2" s="264"/>
      <c r="B2" s="263"/>
      <c r="C2" s="262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4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154"/>
    </row>
    <row r="3" spans="1:76" ht="63" customHeight="1" thickBot="1">
      <c r="A3" s="266"/>
      <c r="B3" s="4444" t="s">
        <v>64</v>
      </c>
      <c r="C3" s="4445" t="s">
        <v>60</v>
      </c>
      <c r="D3" s="4372" t="s">
        <v>61</v>
      </c>
      <c r="E3" s="1684" t="s">
        <v>208</v>
      </c>
      <c r="F3" s="3985" t="s">
        <v>447</v>
      </c>
      <c r="G3" s="3986"/>
      <c r="H3" s="3986"/>
      <c r="I3" s="3986"/>
      <c r="J3" s="3987"/>
      <c r="K3" s="4135">
        <v>2024</v>
      </c>
      <c r="L3" s="4135">
        <v>2025</v>
      </c>
      <c r="M3" s="4456" t="s">
        <v>456</v>
      </c>
      <c r="N3" s="4374" t="s">
        <v>62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</row>
    <row r="4" spans="1:76" ht="18" customHeight="1" thickBot="1">
      <c r="A4" s="267"/>
      <c r="B4" s="4444"/>
      <c r="C4" s="4446"/>
      <c r="D4" s="4447"/>
      <c r="E4" s="2564" t="s">
        <v>517</v>
      </c>
      <c r="F4" s="1685" t="s">
        <v>163</v>
      </c>
      <c r="G4" s="1685" t="s">
        <v>164</v>
      </c>
      <c r="H4" s="1685" t="s">
        <v>202</v>
      </c>
      <c r="I4" s="1685" t="s">
        <v>203</v>
      </c>
      <c r="J4" s="1685" t="s">
        <v>201</v>
      </c>
      <c r="K4" s="4409"/>
      <c r="L4" s="4409"/>
      <c r="M4" s="4457"/>
      <c r="N4" s="44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</row>
    <row r="5" spans="1:76" ht="14.25" customHeight="1">
      <c r="A5" s="490">
        <v>1</v>
      </c>
      <c r="B5" s="491">
        <v>2</v>
      </c>
      <c r="C5" s="492" t="s">
        <v>105</v>
      </c>
      <c r="D5" s="492" t="s">
        <v>106</v>
      </c>
      <c r="E5" s="765">
        <v>5</v>
      </c>
      <c r="F5" s="765">
        <v>6</v>
      </c>
      <c r="G5" s="765">
        <v>7</v>
      </c>
      <c r="H5" s="765">
        <v>8</v>
      </c>
      <c r="I5" s="765">
        <v>9</v>
      </c>
      <c r="J5" s="765">
        <v>10</v>
      </c>
      <c r="K5" s="765"/>
      <c r="L5" s="765"/>
      <c r="M5" s="828">
        <v>11</v>
      </c>
      <c r="N5" s="494">
        <v>12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</row>
    <row r="6" spans="1:76" ht="14.25" customHeight="1">
      <c r="A6" s="364"/>
      <c r="B6" s="1501" t="s">
        <v>65</v>
      </c>
      <c r="C6" s="1682"/>
      <c r="D6" s="1502">
        <f>+D8+D7</f>
        <v>143524687</v>
      </c>
      <c r="E6" s="1502">
        <f t="shared" ref="E6:J6" si="0">+E8+E7</f>
        <v>15207604</v>
      </c>
      <c r="F6" s="1502">
        <f t="shared" si="0"/>
        <v>15700997</v>
      </c>
      <c r="G6" s="1502">
        <f t="shared" si="0"/>
        <v>41426994</v>
      </c>
      <c r="H6" s="1502">
        <f>+H8+H7</f>
        <v>58719367</v>
      </c>
      <c r="I6" s="1502">
        <f t="shared" si="0"/>
        <v>12469725</v>
      </c>
      <c r="J6" s="2618">
        <f t="shared" si="0"/>
        <v>0</v>
      </c>
      <c r="K6" s="1502">
        <f>+K8+K7</f>
        <v>0</v>
      </c>
      <c r="L6" s="1502">
        <f>+L8+L7</f>
        <v>0</v>
      </c>
      <c r="M6" s="52">
        <f>+M8+M7</f>
        <v>128317083</v>
      </c>
      <c r="N6" s="268"/>
      <c r="O6" s="154"/>
      <c r="P6" s="81">
        <f>M6-M12</f>
        <v>0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</row>
    <row r="7" spans="1:76" ht="14.25" customHeight="1">
      <c r="A7" s="364"/>
      <c r="B7" s="1503" t="s">
        <v>66</v>
      </c>
      <c r="C7" s="1683"/>
      <c r="D7" s="108">
        <f>D35+D160+D71</f>
        <v>13331341</v>
      </c>
      <c r="E7" s="108">
        <f t="shared" ref="E7:J7" si="1">E35+E160+E71</f>
        <v>10199538</v>
      </c>
      <c r="F7" s="108">
        <f t="shared" si="1"/>
        <v>2774270</v>
      </c>
      <c r="G7" s="108">
        <f t="shared" si="1"/>
        <v>356812</v>
      </c>
      <c r="H7" s="108">
        <f>H35+H160+H71</f>
        <v>721</v>
      </c>
      <c r="I7" s="2615">
        <f t="shared" si="1"/>
        <v>0</v>
      </c>
      <c r="J7" s="2615">
        <f t="shared" si="1"/>
        <v>0</v>
      </c>
      <c r="K7" s="108">
        <f>K35+K160+K71</f>
        <v>0</v>
      </c>
      <c r="L7" s="108">
        <f>L35+L160+L71</f>
        <v>0</v>
      </c>
      <c r="M7" s="1006">
        <f>M35+M160+M71</f>
        <v>3131803</v>
      </c>
      <c r="N7" s="268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</row>
    <row r="8" spans="1:76" ht="14.25" customHeight="1" thickBot="1">
      <c r="A8" s="364"/>
      <c r="B8" s="1504" t="s">
        <v>8</v>
      </c>
      <c r="C8" s="1505"/>
      <c r="D8" s="116">
        <f t="shared" ref="D8:M8" si="2">+D25+D48+D59+D84+D110+D122+D134+D146+D172+D96</f>
        <v>130193346</v>
      </c>
      <c r="E8" s="116">
        <f t="shared" si="2"/>
        <v>5008066</v>
      </c>
      <c r="F8" s="116">
        <f t="shared" si="2"/>
        <v>12926727</v>
      </c>
      <c r="G8" s="116">
        <f t="shared" si="2"/>
        <v>41070182</v>
      </c>
      <c r="H8" s="116">
        <f t="shared" si="2"/>
        <v>58718646</v>
      </c>
      <c r="I8" s="116">
        <f t="shared" si="2"/>
        <v>12469725</v>
      </c>
      <c r="J8" s="2619">
        <f t="shared" si="2"/>
        <v>0</v>
      </c>
      <c r="K8" s="116">
        <f>+K25+K48+K59+K84+K110+K122+K134+K146+K172+K96</f>
        <v>0</v>
      </c>
      <c r="L8" s="116">
        <f t="shared" si="2"/>
        <v>0</v>
      </c>
      <c r="M8" s="54">
        <f t="shared" si="2"/>
        <v>125185280</v>
      </c>
      <c r="N8" s="268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</row>
    <row r="9" spans="1:76" s="288" customFormat="1" ht="12">
      <c r="A9" s="364"/>
      <c r="B9" s="718" t="s">
        <v>9</v>
      </c>
      <c r="C9" s="718"/>
      <c r="D9" s="717">
        <f>+D10+D14</f>
        <v>292824384</v>
      </c>
      <c r="E9" s="717">
        <f t="shared" ref="E9" si="3">+E10+E14</f>
        <v>16550213</v>
      </c>
      <c r="F9" s="717">
        <f t="shared" ref="F9:J9" si="4">+F10+F14</f>
        <v>51695406</v>
      </c>
      <c r="G9" s="717">
        <f t="shared" si="4"/>
        <v>120653988</v>
      </c>
      <c r="H9" s="717">
        <f t="shared" si="4"/>
        <v>89170501</v>
      </c>
      <c r="I9" s="717">
        <f t="shared" si="4"/>
        <v>14754276</v>
      </c>
      <c r="J9" s="2620">
        <f t="shared" si="4"/>
        <v>0</v>
      </c>
      <c r="K9" s="717">
        <f>+K10+K14</f>
        <v>0</v>
      </c>
      <c r="L9" s="717">
        <f>+L10+L14</f>
        <v>0</v>
      </c>
      <c r="M9" s="199">
        <f>+M10</f>
        <v>128317083</v>
      </c>
      <c r="N9" s="4449"/>
      <c r="O9" s="154"/>
      <c r="P9" s="81"/>
      <c r="Q9" s="81">
        <f>+D23+D45+D57+D69+D81+D107</f>
        <v>269378800</v>
      </c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</row>
    <row r="10" spans="1:76" s="288" customFormat="1" ht="14.1" customHeight="1">
      <c r="A10" s="364"/>
      <c r="B10" s="1506" t="s">
        <v>10</v>
      </c>
      <c r="C10" s="4451" t="s">
        <v>51</v>
      </c>
      <c r="D10" s="1507">
        <f>+D11+D12+D13</f>
        <v>144396265</v>
      </c>
      <c r="E10" s="1507">
        <f t="shared" ref="E10:J10" si="5">+E11+E12+E13</f>
        <v>15456217</v>
      </c>
      <c r="F10" s="1507">
        <f t="shared" si="5"/>
        <v>16323962</v>
      </c>
      <c r="G10" s="1507">
        <f t="shared" si="5"/>
        <v>41426994</v>
      </c>
      <c r="H10" s="1507">
        <f t="shared" si="5"/>
        <v>58719367</v>
      </c>
      <c r="I10" s="1507">
        <f t="shared" si="5"/>
        <v>12469725</v>
      </c>
      <c r="J10" s="2621">
        <f t="shared" si="5"/>
        <v>0</v>
      </c>
      <c r="K10" s="1507">
        <f>+K11+K12+K13</f>
        <v>0</v>
      </c>
      <c r="L10" s="1507">
        <f>+L11+L12+L13</f>
        <v>0</v>
      </c>
      <c r="M10" s="1508">
        <f>+M12</f>
        <v>128317083</v>
      </c>
      <c r="N10" s="4449"/>
      <c r="O10" s="154"/>
      <c r="P10" s="81"/>
      <c r="Q10" s="81">
        <f>+Q9-D9</f>
        <v>-23445584</v>
      </c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</row>
    <row r="11" spans="1:76" s="288" customFormat="1" ht="12">
      <c r="A11" s="364"/>
      <c r="B11" s="1509" t="s">
        <v>29</v>
      </c>
      <c r="C11" s="4451"/>
      <c r="D11" s="1510">
        <f t="shared" ref="D11:J11" si="6">D145+D159+D171+D121+D109+D95+D72+D83+D36+D28</f>
        <v>138995</v>
      </c>
      <c r="E11" s="1510">
        <f t="shared" si="6"/>
        <v>98995</v>
      </c>
      <c r="F11" s="1510">
        <f t="shared" si="6"/>
        <v>40000</v>
      </c>
      <c r="G11" s="2622">
        <f t="shared" si="6"/>
        <v>0</v>
      </c>
      <c r="H11" s="2622">
        <f t="shared" si="6"/>
        <v>0</v>
      </c>
      <c r="I11" s="2622">
        <f t="shared" si="6"/>
        <v>0</v>
      </c>
      <c r="J11" s="2622">
        <f t="shared" si="6"/>
        <v>0</v>
      </c>
      <c r="K11" s="1510">
        <f>K145+K159+K171+K121+K109+K95+K72+K83+K36+K28</f>
        <v>0</v>
      </c>
      <c r="L11" s="1510">
        <f>L145+L159+L171+L121+L109+L95</f>
        <v>0</v>
      </c>
      <c r="M11" s="1511" t="s">
        <v>51</v>
      </c>
      <c r="N11" s="4449"/>
      <c r="O11" s="154"/>
      <c r="P11" s="81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</row>
    <row r="12" spans="1:76" s="288" customFormat="1" ht="12">
      <c r="A12" s="364"/>
      <c r="B12" s="1509" t="s">
        <v>142</v>
      </c>
      <c r="C12" s="4451"/>
      <c r="D12" s="1510">
        <f t="shared" ref="D12:L12" si="7">+D25+D48+D59+D71+D110+D84+D122+D134+D35+D146+D160+D172+D96</f>
        <v>143524687</v>
      </c>
      <c r="E12" s="1510">
        <f t="shared" si="7"/>
        <v>15207604</v>
      </c>
      <c r="F12" s="1510">
        <f t="shared" si="7"/>
        <v>15700997</v>
      </c>
      <c r="G12" s="1510">
        <f t="shared" si="7"/>
        <v>41426994</v>
      </c>
      <c r="H12" s="1510">
        <f t="shared" si="7"/>
        <v>58719367</v>
      </c>
      <c r="I12" s="1510">
        <f t="shared" si="7"/>
        <v>12469725</v>
      </c>
      <c r="J12" s="2622">
        <f t="shared" si="7"/>
        <v>0</v>
      </c>
      <c r="K12" s="1510">
        <f>+K25+K48+K59+K71+K110+K84+K122+K134+K35+K146+K160+K172+K96</f>
        <v>0</v>
      </c>
      <c r="L12" s="1510">
        <f t="shared" si="7"/>
        <v>0</v>
      </c>
      <c r="M12" s="269">
        <f>SUM(F12:J12)</f>
        <v>128317083</v>
      </c>
      <c r="N12" s="4449"/>
      <c r="O12" s="154"/>
      <c r="P12" s="81"/>
      <c r="Q12" s="81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</row>
    <row r="13" spans="1:76" s="288" customFormat="1" ht="12">
      <c r="A13" s="364"/>
      <c r="B13" s="1468" t="s">
        <v>338</v>
      </c>
      <c r="C13" s="4452"/>
      <c r="D13" s="1469">
        <f>D147+D97</f>
        <v>732583</v>
      </c>
      <c r="E13" s="1469">
        <f t="shared" ref="E13:J13" si="8">E147+E97</f>
        <v>149618</v>
      </c>
      <c r="F13" s="1469">
        <f t="shared" si="8"/>
        <v>582965</v>
      </c>
      <c r="G13" s="2623">
        <f t="shared" si="8"/>
        <v>0</v>
      </c>
      <c r="H13" s="2623">
        <f t="shared" si="8"/>
        <v>0</v>
      </c>
      <c r="I13" s="2623">
        <f t="shared" si="8"/>
        <v>0</v>
      </c>
      <c r="J13" s="2623">
        <f t="shared" si="8"/>
        <v>0</v>
      </c>
      <c r="K13" s="1469">
        <f>K147+K97</f>
        <v>0</v>
      </c>
      <c r="L13" s="1469">
        <f>L147+L97</f>
        <v>0</v>
      </c>
      <c r="M13" s="1514" t="s">
        <v>51</v>
      </c>
      <c r="N13" s="4449"/>
      <c r="O13" s="154"/>
      <c r="P13" s="81"/>
      <c r="Q13" s="81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</row>
    <row r="14" spans="1:76" s="288" customFormat="1" ht="12">
      <c r="A14" s="364"/>
      <c r="B14" s="1506" t="s">
        <v>17</v>
      </c>
      <c r="C14" s="4451"/>
      <c r="D14" s="1507">
        <f>+D15</f>
        <v>148428119</v>
      </c>
      <c r="E14" s="1507">
        <f t="shared" ref="E14:J14" si="9">+E15</f>
        <v>1093996</v>
      </c>
      <c r="F14" s="1507">
        <f t="shared" si="9"/>
        <v>35371444</v>
      </c>
      <c r="G14" s="1507">
        <f t="shared" si="9"/>
        <v>79226994</v>
      </c>
      <c r="H14" s="1507">
        <f t="shared" si="9"/>
        <v>30451134</v>
      </c>
      <c r="I14" s="1507">
        <f t="shared" si="9"/>
        <v>2284551</v>
      </c>
      <c r="J14" s="2621">
        <f t="shared" si="9"/>
        <v>0</v>
      </c>
      <c r="K14" s="1507">
        <f>+K15</f>
        <v>0</v>
      </c>
      <c r="L14" s="1507">
        <f>+L15</f>
        <v>0</v>
      </c>
      <c r="M14" s="1512" t="str">
        <f>+M15</f>
        <v>x</v>
      </c>
      <c r="N14" s="4449"/>
      <c r="O14" s="154"/>
      <c r="P14" s="81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</row>
    <row r="15" spans="1:76" s="288" customFormat="1" ht="12">
      <c r="A15" s="364"/>
      <c r="B15" s="1513" t="s">
        <v>32</v>
      </c>
      <c r="C15" s="4451"/>
      <c r="D15" s="1510">
        <f t="shared" ref="D15:L15" si="10">D27+D50+D62+D86+D112+D74+D124+D149+D162+D174</f>
        <v>148428119</v>
      </c>
      <c r="E15" s="1510">
        <f t="shared" si="10"/>
        <v>1093996</v>
      </c>
      <c r="F15" s="1510">
        <f t="shared" si="10"/>
        <v>35371444</v>
      </c>
      <c r="G15" s="1510">
        <f t="shared" si="10"/>
        <v>79226994</v>
      </c>
      <c r="H15" s="1510">
        <f t="shared" si="10"/>
        <v>30451134</v>
      </c>
      <c r="I15" s="1510">
        <f t="shared" si="10"/>
        <v>2284551</v>
      </c>
      <c r="J15" s="2622">
        <f t="shared" si="10"/>
        <v>0</v>
      </c>
      <c r="K15" s="1510">
        <f>K27+K50+K62+K86+K112+K74+K124+K149+K162+K174</f>
        <v>0</v>
      </c>
      <c r="L15" s="1510">
        <f t="shared" si="10"/>
        <v>0</v>
      </c>
      <c r="M15" s="1514" t="s">
        <v>51</v>
      </c>
      <c r="N15" s="4449"/>
      <c r="O15" s="154"/>
      <c r="P15" s="81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</row>
    <row r="16" spans="1:76" s="288" customFormat="1" ht="12">
      <c r="A16" s="364"/>
      <c r="B16" s="252" t="s">
        <v>20</v>
      </c>
      <c r="C16" s="252"/>
      <c r="D16" s="270">
        <f>+D17+D20</f>
        <v>198840006</v>
      </c>
      <c r="E16" s="270">
        <f t="shared" ref="E16" si="11">+E17+E20</f>
        <v>5428753</v>
      </c>
      <c r="F16" s="270">
        <f t="shared" ref="F16:J16" si="12">+F17+F20</f>
        <v>45251587</v>
      </c>
      <c r="G16" s="270">
        <f t="shared" si="12"/>
        <v>96361228</v>
      </c>
      <c r="H16" s="270">
        <f t="shared" si="12"/>
        <v>47719208</v>
      </c>
      <c r="I16" s="270">
        <f t="shared" si="12"/>
        <v>4079230</v>
      </c>
      <c r="J16" s="2624">
        <f t="shared" si="12"/>
        <v>0</v>
      </c>
      <c r="K16" s="270">
        <f>+K17+K20</f>
        <v>0</v>
      </c>
      <c r="L16" s="270">
        <f>+L17+L20</f>
        <v>0</v>
      </c>
      <c r="M16" s="4458" t="s">
        <v>51</v>
      </c>
      <c r="N16" s="4449"/>
      <c r="O16" s="154"/>
      <c r="P16" s="81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</row>
    <row r="17" spans="1:76" s="288" customFormat="1" ht="12">
      <c r="A17" s="364"/>
      <c r="B17" s="1506" t="s">
        <v>22</v>
      </c>
      <c r="C17" s="4453" t="s">
        <v>51</v>
      </c>
      <c r="D17" s="1507">
        <f>+D18+D19</f>
        <v>50411887</v>
      </c>
      <c r="E17" s="1507">
        <f t="shared" ref="E17:J17" si="13">+E18+E19</f>
        <v>4536930</v>
      </c>
      <c r="F17" s="1507">
        <f t="shared" si="13"/>
        <v>10275782</v>
      </c>
      <c r="G17" s="1507">
        <f t="shared" si="13"/>
        <v>16536422</v>
      </c>
      <c r="H17" s="1507">
        <f t="shared" si="13"/>
        <v>17268074</v>
      </c>
      <c r="I17" s="1507">
        <f t="shared" si="13"/>
        <v>1794679</v>
      </c>
      <c r="J17" s="2621">
        <f t="shared" si="13"/>
        <v>0</v>
      </c>
      <c r="K17" s="1507">
        <f>+K18+K19</f>
        <v>0</v>
      </c>
      <c r="L17" s="1507">
        <f>+L18+L19</f>
        <v>0</v>
      </c>
      <c r="M17" s="4459"/>
      <c r="N17" s="4449"/>
      <c r="O17" s="154"/>
      <c r="P17" s="81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</row>
    <row r="18" spans="1:76" s="288" customFormat="1" ht="12">
      <c r="A18" s="364"/>
      <c r="B18" s="1513" t="s">
        <v>132</v>
      </c>
      <c r="C18" s="4454"/>
      <c r="D18" s="1510">
        <f>+D65+D115+D53+D77+D89+D31+D41+D152+D165+D177</f>
        <v>49679304</v>
      </c>
      <c r="E18" s="1510">
        <f t="shared" ref="E18:I18" si="14">+E65+E115+E53+E77+E89+E31+E41+E152+E165+E177</f>
        <v>4400651</v>
      </c>
      <c r="F18" s="1510">
        <f t="shared" si="14"/>
        <v>9679478</v>
      </c>
      <c r="G18" s="1510">
        <f t="shared" si="14"/>
        <v>16536422</v>
      </c>
      <c r="H18" s="1510">
        <f t="shared" si="14"/>
        <v>17268074</v>
      </c>
      <c r="I18" s="1510">
        <f t="shared" si="14"/>
        <v>1794679</v>
      </c>
      <c r="J18" s="2622">
        <f t="shared" ref="J18" si="15">+J65+J115+J53+J77+J89+J31+J41+J152+J165+J177</f>
        <v>0</v>
      </c>
      <c r="K18" s="1510">
        <f>+K65+K115+K53+K77+K89+K31+K41+K152+K165+K177</f>
        <v>0</v>
      </c>
      <c r="L18" s="1510">
        <f>+L65+L115+L53+L77+L89+L31+L41+L152+L165+L177</f>
        <v>0</v>
      </c>
      <c r="M18" s="4459"/>
      <c r="N18" s="4449"/>
      <c r="O18" s="154"/>
      <c r="P18" s="81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</row>
    <row r="19" spans="1:76" s="288" customFormat="1" ht="12">
      <c r="A19" s="364"/>
      <c r="B19" s="1515" t="s">
        <v>338</v>
      </c>
      <c r="C19" s="4454"/>
      <c r="D19" s="271">
        <f>D153+D103</f>
        <v>732583</v>
      </c>
      <c r="E19" s="271">
        <f t="shared" ref="E19:J19" si="16">E153+E103</f>
        <v>136279</v>
      </c>
      <c r="F19" s="271">
        <f t="shared" si="16"/>
        <v>596304</v>
      </c>
      <c r="G19" s="2625">
        <f t="shared" si="16"/>
        <v>0</v>
      </c>
      <c r="H19" s="2625">
        <f t="shared" si="16"/>
        <v>0</v>
      </c>
      <c r="I19" s="2625">
        <f t="shared" si="16"/>
        <v>0</v>
      </c>
      <c r="J19" s="2625">
        <f t="shared" si="16"/>
        <v>0</v>
      </c>
      <c r="K19" s="271">
        <f>K153+K103</f>
        <v>0</v>
      </c>
      <c r="L19" s="271">
        <f>L153+L103</f>
        <v>0</v>
      </c>
      <c r="M19" s="4459"/>
      <c r="N19" s="4449"/>
      <c r="O19" s="154"/>
      <c r="P19" s="81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</row>
    <row r="20" spans="1:76" s="288" customFormat="1" ht="12">
      <c r="A20" s="364"/>
      <c r="B20" s="1516" t="s">
        <v>17</v>
      </c>
      <c r="C20" s="4454"/>
      <c r="D20" s="1517">
        <f>+D21</f>
        <v>148428119</v>
      </c>
      <c r="E20" s="1517">
        <f t="shared" ref="E20:J20" si="17">+E21</f>
        <v>891823</v>
      </c>
      <c r="F20" s="1517">
        <f t="shared" si="17"/>
        <v>34975805</v>
      </c>
      <c r="G20" s="1517">
        <f t="shared" si="17"/>
        <v>79824806</v>
      </c>
      <c r="H20" s="1517">
        <f t="shared" si="17"/>
        <v>30451134</v>
      </c>
      <c r="I20" s="1517">
        <f t="shared" si="17"/>
        <v>2284551</v>
      </c>
      <c r="J20" s="2626">
        <f t="shared" si="17"/>
        <v>0</v>
      </c>
      <c r="K20" s="1517">
        <f>+K21</f>
        <v>0</v>
      </c>
      <c r="L20" s="1517">
        <f>+L21</f>
        <v>0</v>
      </c>
      <c r="M20" s="4459"/>
      <c r="N20" s="4449"/>
      <c r="O20" s="154"/>
      <c r="P20" s="81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</row>
    <row r="21" spans="1:76" s="288" customFormat="1" ht="14.1" customHeight="1" thickBot="1">
      <c r="A21" s="365"/>
      <c r="B21" s="1518" t="s">
        <v>32</v>
      </c>
      <c r="C21" s="4455"/>
      <c r="D21" s="719">
        <f t="shared" ref="D21:J21" si="18">+D55+D67+D117+D91+D79+D129+D155+D167+D179</f>
        <v>148428119</v>
      </c>
      <c r="E21" s="719">
        <f t="shared" si="18"/>
        <v>891823</v>
      </c>
      <c r="F21" s="719">
        <f t="shared" si="18"/>
        <v>34975805</v>
      </c>
      <c r="G21" s="719">
        <f t="shared" si="18"/>
        <v>79824806</v>
      </c>
      <c r="H21" s="719">
        <f t="shared" si="18"/>
        <v>30451134</v>
      </c>
      <c r="I21" s="719">
        <f t="shared" si="18"/>
        <v>2284551</v>
      </c>
      <c r="J21" s="2627">
        <f t="shared" si="18"/>
        <v>0</v>
      </c>
      <c r="K21" s="719">
        <f>+K55+K67+K117+K91+K79+K129+K155+K167+K179</f>
        <v>0</v>
      </c>
      <c r="L21" s="719">
        <f>+L55+L67+L117+L91+L79+L129+L155+L167+L179</f>
        <v>0</v>
      </c>
      <c r="M21" s="4460"/>
      <c r="N21" s="4450"/>
      <c r="O21" s="154"/>
      <c r="P21" s="81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</row>
    <row r="22" spans="1:76" s="154" customFormat="1" ht="23.25" customHeight="1">
      <c r="A22" s="4417" t="s">
        <v>53</v>
      </c>
      <c r="B22" s="2741" t="s">
        <v>408</v>
      </c>
      <c r="C22" s="2742" t="s">
        <v>70</v>
      </c>
      <c r="D22" s="2460"/>
      <c r="E22" s="215"/>
      <c r="F22" s="215"/>
      <c r="G22" s="215"/>
      <c r="H22" s="215"/>
      <c r="I22" s="215"/>
      <c r="J22" s="762"/>
      <c r="K22" s="215"/>
      <c r="L22" s="215"/>
      <c r="M22" s="272"/>
      <c r="N22" s="4427" t="s">
        <v>269</v>
      </c>
    </row>
    <row r="23" spans="1:76" s="154" customFormat="1" ht="12">
      <c r="A23" s="4301"/>
      <c r="B23" s="252" t="s">
        <v>9</v>
      </c>
      <c r="C23" s="850"/>
      <c r="D23" s="778">
        <f t="shared" ref="D23" si="19">+D24+D26</f>
        <v>1813918</v>
      </c>
      <c r="E23" s="270">
        <f t="shared" ref="E23:M23" si="20">+E24</f>
        <v>251304</v>
      </c>
      <c r="F23" s="270">
        <f t="shared" si="20"/>
        <v>562000</v>
      </c>
      <c r="G23" s="270">
        <f t="shared" si="20"/>
        <v>1000614</v>
      </c>
      <c r="H23" s="2624">
        <f t="shared" si="20"/>
        <v>0</v>
      </c>
      <c r="I23" s="2624">
        <f t="shared" si="20"/>
        <v>0</v>
      </c>
      <c r="J23" s="2624">
        <f t="shared" si="20"/>
        <v>0</v>
      </c>
      <c r="K23" s="270">
        <f>+K24</f>
        <v>0</v>
      </c>
      <c r="L23" s="270">
        <f>+L24</f>
        <v>0</v>
      </c>
      <c r="M23" s="273">
        <f t="shared" si="20"/>
        <v>1562614</v>
      </c>
      <c r="N23" s="4428"/>
    </row>
    <row r="24" spans="1:76" s="154" customFormat="1" ht="12">
      <c r="A24" s="4301"/>
      <c r="B24" s="1463" t="s">
        <v>22</v>
      </c>
      <c r="C24" s="4419" t="s">
        <v>268</v>
      </c>
      <c r="D24" s="773">
        <f>D25+D28</f>
        <v>1813918</v>
      </c>
      <c r="E24" s="250">
        <f>E25+E28</f>
        <v>251304</v>
      </c>
      <c r="F24" s="250">
        <f>F25+F28</f>
        <v>562000</v>
      </c>
      <c r="G24" s="250">
        <f>G25+G28</f>
        <v>1000614</v>
      </c>
      <c r="H24" s="2637">
        <f t="shared" ref="H24:J24" si="21">H25+H28</f>
        <v>0</v>
      </c>
      <c r="I24" s="2637">
        <f t="shared" si="21"/>
        <v>0</v>
      </c>
      <c r="J24" s="2637">
        <f t="shared" si="21"/>
        <v>0</v>
      </c>
      <c r="K24" s="250">
        <f>K25+K28</f>
        <v>0</v>
      </c>
      <c r="L24" s="250">
        <f>L25</f>
        <v>0</v>
      </c>
      <c r="M24" s="274">
        <f>+M25</f>
        <v>1562614</v>
      </c>
      <c r="N24" s="4428"/>
    </row>
    <row r="25" spans="1:76" s="154" customFormat="1" ht="12.75" customHeight="1">
      <c r="A25" s="4301"/>
      <c r="B25" s="1519" t="s">
        <v>108</v>
      </c>
      <c r="C25" s="4420"/>
      <c r="D25" s="787">
        <f>E25+L25+K25+F25+G25+H25+I25+J25</f>
        <v>1805000</v>
      </c>
      <c r="E25" s="247">
        <f>355000-112614</f>
        <v>242386</v>
      </c>
      <c r="F25" s="247">
        <f>562000</f>
        <v>562000</v>
      </c>
      <c r="G25" s="247">
        <f>1562614-562000</f>
        <v>1000614</v>
      </c>
      <c r="H25" s="2636">
        <v>0</v>
      </c>
      <c r="I25" s="2636">
        <v>0</v>
      </c>
      <c r="J25" s="2636">
        <v>0</v>
      </c>
      <c r="K25" s="247">
        <f>1450000+112614-1562614</f>
        <v>0</v>
      </c>
      <c r="L25" s="247">
        <v>0</v>
      </c>
      <c r="M25" s="269">
        <f>SUM(F25:J25)</f>
        <v>1562614</v>
      </c>
      <c r="N25" s="4428"/>
    </row>
    <row r="26" spans="1:76" s="154" customFormat="1" ht="12.75" hidden="1" customHeight="1">
      <c r="A26" s="4301"/>
      <c r="B26" s="276" t="s">
        <v>17</v>
      </c>
      <c r="C26" s="4420"/>
      <c r="D26" s="2743">
        <f>+D27</f>
        <v>0</v>
      </c>
      <c r="E26" s="277"/>
      <c r="F26" s="277"/>
      <c r="G26" s="277"/>
      <c r="H26" s="2635"/>
      <c r="I26" s="2635"/>
      <c r="J26" s="2635"/>
      <c r="K26" s="277"/>
      <c r="L26" s="277"/>
      <c r="M26" s="2744" t="s">
        <v>51</v>
      </c>
      <c r="N26" s="4428"/>
    </row>
    <row r="27" spans="1:76" s="154" customFormat="1" ht="13.5" hidden="1" customHeight="1">
      <c r="A27" s="4301"/>
      <c r="B27" s="1464" t="s">
        <v>32</v>
      </c>
      <c r="C27" s="4420"/>
      <c r="D27" s="787">
        <f>E27+L27+K27+F27+G27+H27+I27+J27</f>
        <v>0</v>
      </c>
      <c r="E27" s="247"/>
      <c r="F27" s="247"/>
      <c r="G27" s="247"/>
      <c r="H27" s="2636"/>
      <c r="I27" s="2636"/>
      <c r="J27" s="2636"/>
      <c r="K27" s="247"/>
      <c r="L27" s="247"/>
      <c r="M27" s="284" t="s">
        <v>51</v>
      </c>
      <c r="N27" s="4428"/>
    </row>
    <row r="28" spans="1:76" s="154" customFormat="1" ht="13.5" customHeight="1">
      <c r="A28" s="4301"/>
      <c r="B28" s="2365" t="s">
        <v>29</v>
      </c>
      <c r="C28" s="4420"/>
      <c r="D28" s="787">
        <f>E28+L28+K28+F28+G28+H28+I28+J28</f>
        <v>8918</v>
      </c>
      <c r="E28" s="247">
        <v>8918</v>
      </c>
      <c r="F28" s="2636">
        <v>0</v>
      </c>
      <c r="G28" s="2636">
        <v>0</v>
      </c>
      <c r="H28" s="2636">
        <v>0</v>
      </c>
      <c r="I28" s="2636">
        <v>0</v>
      </c>
      <c r="J28" s="2636">
        <v>0</v>
      </c>
      <c r="K28" s="247"/>
      <c r="L28" s="247"/>
      <c r="M28" s="1511" t="s">
        <v>51</v>
      </c>
      <c r="N28" s="4428"/>
    </row>
    <row r="29" spans="1:76" s="278" customFormat="1" ht="12">
      <c r="A29" s="4301"/>
      <c r="B29" s="718" t="s">
        <v>20</v>
      </c>
      <c r="C29" s="4420"/>
      <c r="D29" s="978">
        <f>D30</f>
        <v>20453</v>
      </c>
      <c r="E29" s="2565">
        <f>E30</f>
        <v>0</v>
      </c>
      <c r="F29" s="720">
        <f>F30</f>
        <v>7356</v>
      </c>
      <c r="G29" s="720">
        <f>G30</f>
        <v>13097</v>
      </c>
      <c r="H29" s="2631">
        <f t="shared" ref="H29:J30" si="22">H30</f>
        <v>0</v>
      </c>
      <c r="I29" s="2631">
        <f t="shared" si="22"/>
        <v>0</v>
      </c>
      <c r="J29" s="2631">
        <f t="shared" si="22"/>
        <v>0</v>
      </c>
      <c r="K29" s="720">
        <f>K30</f>
        <v>0</v>
      </c>
      <c r="L29" s="720"/>
      <c r="M29" s="4243" t="s">
        <v>51</v>
      </c>
      <c r="N29" s="4428"/>
    </row>
    <row r="30" spans="1:76" s="154" customFormat="1" ht="12.75">
      <c r="A30" s="4301"/>
      <c r="B30" s="854" t="s">
        <v>22</v>
      </c>
      <c r="C30" s="4420"/>
      <c r="D30" s="788">
        <f>+D31</f>
        <v>20453</v>
      </c>
      <c r="E30" s="2130">
        <f>+E31</f>
        <v>0</v>
      </c>
      <c r="F30" s="250">
        <f>F31</f>
        <v>7356</v>
      </c>
      <c r="G30" s="250">
        <f>G31</f>
        <v>13097</v>
      </c>
      <c r="H30" s="2745">
        <f t="shared" si="22"/>
        <v>0</v>
      </c>
      <c r="I30" s="2745">
        <f t="shared" si="22"/>
        <v>0</v>
      </c>
      <c r="J30" s="2745">
        <f t="shared" si="22"/>
        <v>0</v>
      </c>
      <c r="K30" s="250">
        <f>K31</f>
        <v>0</v>
      </c>
      <c r="L30" s="2746"/>
      <c r="M30" s="4251"/>
      <c r="N30" s="4428"/>
    </row>
    <row r="31" spans="1:76" s="154" customFormat="1" ht="13.5" thickBot="1">
      <c r="A31" s="4302"/>
      <c r="B31" s="855" t="s">
        <v>132</v>
      </c>
      <c r="C31" s="4461"/>
      <c r="D31" s="1003">
        <f>E31+L31+K31+F31+G31+H31+I31+J31</f>
        <v>20453</v>
      </c>
      <c r="E31" s="350">
        <v>0</v>
      </c>
      <c r="F31" s="2747">
        <v>7356</v>
      </c>
      <c r="G31" s="247">
        <f>23142-10045</f>
        <v>13097</v>
      </c>
      <c r="H31" s="2748">
        <v>0</v>
      </c>
      <c r="I31" s="2748">
        <v>0</v>
      </c>
      <c r="J31" s="2748">
        <v>0</v>
      </c>
      <c r="K31" s="275">
        <f>55657-55657</f>
        <v>0</v>
      </c>
      <c r="L31" s="2747"/>
      <c r="M31" s="4251"/>
      <c r="N31" s="4437"/>
    </row>
    <row r="32" spans="1:76" s="154" customFormat="1" ht="27" customHeight="1">
      <c r="A32" s="4417" t="s">
        <v>54</v>
      </c>
      <c r="B32" s="2397" t="s">
        <v>436</v>
      </c>
      <c r="C32" s="1480" t="s">
        <v>97</v>
      </c>
      <c r="D32" s="2460"/>
      <c r="E32" s="215"/>
      <c r="F32" s="215"/>
      <c r="G32" s="215"/>
      <c r="H32" s="215"/>
      <c r="I32" s="215"/>
      <c r="J32" s="762"/>
      <c r="K32" s="215"/>
      <c r="L32" s="215"/>
      <c r="M32" s="287"/>
      <c r="N32" s="4427" t="s">
        <v>269</v>
      </c>
    </row>
    <row r="33" spans="1:14" s="154" customFormat="1" ht="12.75" customHeight="1">
      <c r="A33" s="4301"/>
      <c r="B33" s="850" t="s">
        <v>9</v>
      </c>
      <c r="C33" s="850"/>
      <c r="D33" s="794">
        <f>+D34+D37</f>
        <v>11794665</v>
      </c>
      <c r="E33" s="794">
        <f t="shared" ref="E33:M33" si="23">+E34</f>
        <v>10034712</v>
      </c>
      <c r="F33" s="794">
        <f t="shared" si="23"/>
        <v>1759953</v>
      </c>
      <c r="G33" s="2628">
        <f t="shared" si="23"/>
        <v>0</v>
      </c>
      <c r="H33" s="2628">
        <f t="shared" si="23"/>
        <v>0</v>
      </c>
      <c r="I33" s="2628">
        <f t="shared" si="23"/>
        <v>0</v>
      </c>
      <c r="J33" s="2628">
        <f t="shared" si="23"/>
        <v>0</v>
      </c>
      <c r="K33" s="794">
        <f>+K34</f>
        <v>0</v>
      </c>
      <c r="L33" s="794">
        <f>+L34</f>
        <v>0</v>
      </c>
      <c r="M33" s="851">
        <f t="shared" si="23"/>
        <v>1759953</v>
      </c>
      <c r="N33" s="4428"/>
    </row>
    <row r="34" spans="1:14" s="154" customFormat="1" ht="12.75" customHeight="1">
      <c r="A34" s="4301"/>
      <c r="B34" s="1463" t="s">
        <v>22</v>
      </c>
      <c r="C34" s="4464" t="s">
        <v>268</v>
      </c>
      <c r="D34" s="788">
        <f>D35+D36</f>
        <v>11794665</v>
      </c>
      <c r="E34" s="788">
        <f t="shared" ref="E34:F34" si="24">E35+E36</f>
        <v>10034712</v>
      </c>
      <c r="F34" s="788">
        <f t="shared" si="24"/>
        <v>1759953</v>
      </c>
      <c r="G34" s="2629">
        <f t="shared" ref="G34:J34" si="25">G35+G36</f>
        <v>0</v>
      </c>
      <c r="H34" s="2629">
        <f t="shared" si="25"/>
        <v>0</v>
      </c>
      <c r="I34" s="2629">
        <f t="shared" si="25"/>
        <v>0</v>
      </c>
      <c r="J34" s="2629">
        <f t="shared" si="25"/>
        <v>0</v>
      </c>
      <c r="K34" s="788">
        <f>K35+K36</f>
        <v>0</v>
      </c>
      <c r="L34" s="788">
        <f>L35</f>
        <v>0</v>
      </c>
      <c r="M34" s="769">
        <f>+M35</f>
        <v>1759953</v>
      </c>
      <c r="N34" s="4428"/>
    </row>
    <row r="35" spans="1:14" s="154" customFormat="1" ht="12.75" customHeight="1">
      <c r="A35" s="4301"/>
      <c r="B35" s="1519" t="s">
        <v>108</v>
      </c>
      <c r="C35" s="4465"/>
      <c r="D35" s="789">
        <f>E35+L35+K35+F35+G35+H35+I35+J35</f>
        <v>11765000</v>
      </c>
      <c r="E35" s="780">
        <f>4813876-714603+5905774</f>
        <v>10005047</v>
      </c>
      <c r="F35" s="780">
        <f>1215886+544067</f>
        <v>1759953</v>
      </c>
      <c r="G35" s="2592">
        <v>0</v>
      </c>
      <c r="H35" s="2592">
        <v>0</v>
      </c>
      <c r="I35" s="2592">
        <v>0</v>
      </c>
      <c r="J35" s="2592">
        <v>0</v>
      </c>
      <c r="K35" s="780"/>
      <c r="L35" s="780"/>
      <c r="M35" s="852">
        <f>SUM(F35:J35)</f>
        <v>1759953</v>
      </c>
      <c r="N35" s="4428"/>
    </row>
    <row r="36" spans="1:14" s="154" customFormat="1" ht="12.75" customHeight="1">
      <c r="A36" s="4301"/>
      <c r="B36" s="2365" t="s">
        <v>29</v>
      </c>
      <c r="C36" s="4465"/>
      <c r="D36" s="789">
        <f>E36+L36+K36+F36+G36+H36+I36+J36</f>
        <v>29665</v>
      </c>
      <c r="E36" s="1132">
        <v>29665</v>
      </c>
      <c r="F36" s="2630">
        <v>0</v>
      </c>
      <c r="G36" s="2630">
        <v>0</v>
      </c>
      <c r="H36" s="2630">
        <v>0</v>
      </c>
      <c r="I36" s="2630">
        <v>0</v>
      </c>
      <c r="J36" s="2630">
        <v>0</v>
      </c>
      <c r="K36" s="1132"/>
      <c r="L36" s="1132"/>
      <c r="M36" s="1514" t="s">
        <v>51</v>
      </c>
      <c r="N36" s="4428"/>
    </row>
    <row r="37" spans="1:14" s="154" customFormat="1" ht="12" hidden="1" customHeight="1">
      <c r="A37" s="4301"/>
      <c r="B37" s="276" t="s">
        <v>17</v>
      </c>
      <c r="C37" s="4465"/>
      <c r="D37" s="789">
        <f>E37+L37+K37+F37+G37+H37+I37+J37</f>
        <v>0</v>
      </c>
      <c r="E37" s="277"/>
      <c r="F37" s="277"/>
      <c r="G37" s="277"/>
      <c r="H37" s="277"/>
      <c r="I37" s="277"/>
      <c r="J37" s="277"/>
      <c r="K37" s="277"/>
      <c r="L37" s="277"/>
      <c r="M37" s="1590" t="s">
        <v>51</v>
      </c>
      <c r="N37" s="4428"/>
    </row>
    <row r="38" spans="1:14" s="154" customFormat="1" ht="12" hidden="1" customHeight="1">
      <c r="A38" s="4301"/>
      <c r="B38" s="1464" t="s">
        <v>32</v>
      </c>
      <c r="C38" s="4465"/>
      <c r="D38" s="789">
        <f>E38+L38+K38+F38+G38+H38+I38+J38</f>
        <v>0</v>
      </c>
      <c r="E38" s="780"/>
      <c r="F38" s="780"/>
      <c r="G38" s="780"/>
      <c r="H38" s="780"/>
      <c r="I38" s="780"/>
      <c r="J38" s="780"/>
      <c r="K38" s="780"/>
      <c r="L38" s="780"/>
      <c r="M38" s="1591" t="s">
        <v>51</v>
      </c>
      <c r="N38" s="4428"/>
    </row>
    <row r="39" spans="1:14" s="154" customFormat="1" ht="12.75" customHeight="1">
      <c r="A39" s="4301"/>
      <c r="B39" s="718" t="s">
        <v>20</v>
      </c>
      <c r="C39" s="4465"/>
      <c r="D39" s="794">
        <f>D40</f>
        <v>3923454</v>
      </c>
      <c r="E39" s="720">
        <f t="shared" ref="E39:J40" si="26">E40</f>
        <v>3900387</v>
      </c>
      <c r="F39" s="720">
        <f t="shared" si="26"/>
        <v>23067</v>
      </c>
      <c r="G39" s="2631">
        <f t="shared" si="26"/>
        <v>0</v>
      </c>
      <c r="H39" s="2631">
        <f t="shared" si="26"/>
        <v>0</v>
      </c>
      <c r="I39" s="2631">
        <f t="shared" si="26"/>
        <v>0</v>
      </c>
      <c r="J39" s="2631">
        <f t="shared" si="26"/>
        <v>0</v>
      </c>
      <c r="K39" s="720">
        <f>K40</f>
        <v>0</v>
      </c>
      <c r="L39" s="720">
        <f>L40</f>
        <v>0</v>
      </c>
      <c r="M39" s="4243" t="s">
        <v>51</v>
      </c>
      <c r="N39" s="4428"/>
    </row>
    <row r="40" spans="1:14" s="154" customFormat="1" ht="12.75">
      <c r="A40" s="4301"/>
      <c r="B40" s="854" t="s">
        <v>22</v>
      </c>
      <c r="C40" s="4465"/>
      <c r="D40" s="788">
        <f>+D41</f>
        <v>3923454</v>
      </c>
      <c r="E40" s="1744">
        <f t="shared" si="26"/>
        <v>3900387</v>
      </c>
      <c r="F40" s="788">
        <f t="shared" si="26"/>
        <v>23067</v>
      </c>
      <c r="G40" s="2632">
        <f t="shared" si="26"/>
        <v>0</v>
      </c>
      <c r="H40" s="2632">
        <f t="shared" si="26"/>
        <v>0</v>
      </c>
      <c r="I40" s="2632">
        <f t="shared" si="26"/>
        <v>0</v>
      </c>
      <c r="J40" s="2632">
        <f t="shared" si="26"/>
        <v>0</v>
      </c>
      <c r="K40" s="788">
        <f>K41</f>
        <v>0</v>
      </c>
      <c r="L40" s="1744">
        <f>L41</f>
        <v>0</v>
      </c>
      <c r="M40" s="4251"/>
      <c r="N40" s="4428"/>
    </row>
    <row r="41" spans="1:14" s="154" customFormat="1" ht="12.75">
      <c r="A41" s="4301"/>
      <c r="B41" s="1137" t="s">
        <v>435</v>
      </c>
      <c r="C41" s="4465"/>
      <c r="D41" s="1460">
        <f>E41+L41+K41+F41+G41+H41+I41+J41</f>
        <v>3923454</v>
      </c>
      <c r="E41" s="1745">
        <f>E42+E43</f>
        <v>3900387</v>
      </c>
      <c r="F41" s="1745">
        <f t="shared" ref="F41:J41" si="27">F42+F43</f>
        <v>23067</v>
      </c>
      <c r="G41" s="2633">
        <f t="shared" si="27"/>
        <v>0</v>
      </c>
      <c r="H41" s="2633">
        <f t="shared" si="27"/>
        <v>0</v>
      </c>
      <c r="I41" s="2633">
        <f t="shared" si="27"/>
        <v>0</v>
      </c>
      <c r="J41" s="2633">
        <f t="shared" si="27"/>
        <v>0</v>
      </c>
      <c r="K41" s="1745">
        <f>K42+K43</f>
        <v>0</v>
      </c>
      <c r="L41" s="1745">
        <f>L42+L43</f>
        <v>0</v>
      </c>
      <c r="M41" s="4251"/>
      <c r="N41" s="4462"/>
    </row>
    <row r="42" spans="1:14" s="154" customFormat="1" ht="12.75">
      <c r="A42" s="4301"/>
      <c r="B42" s="2368" t="s">
        <v>433</v>
      </c>
      <c r="C42" s="4465"/>
      <c r="D42" s="2461">
        <f>E42+L42+K42+F42+G42+H42+I42+J42</f>
        <v>216732</v>
      </c>
      <c r="E42" s="1746">
        <f>106202+87463</f>
        <v>193665</v>
      </c>
      <c r="F42" s="2369">
        <f>18007+5060</f>
        <v>23067</v>
      </c>
      <c r="G42" s="2633">
        <v>0</v>
      </c>
      <c r="H42" s="2633">
        <v>0</v>
      </c>
      <c r="I42" s="2633">
        <v>0</v>
      </c>
      <c r="J42" s="2633">
        <v>0</v>
      </c>
      <c r="K42" s="2369"/>
      <c r="L42" s="1746"/>
      <c r="M42" s="4251"/>
      <c r="N42" s="3606"/>
    </row>
    <row r="43" spans="1:14" s="154" customFormat="1" ht="12.75">
      <c r="A43" s="4463"/>
      <c r="B43" s="2368" t="s">
        <v>434</v>
      </c>
      <c r="C43" s="4466"/>
      <c r="D43" s="2462">
        <f>E43+L43+K43+F43+G43+H43+I43+J43</f>
        <v>3706722</v>
      </c>
      <c r="E43" s="1746">
        <f>166764+3539958</f>
        <v>3706722</v>
      </c>
      <c r="F43" s="2634">
        <v>0</v>
      </c>
      <c r="G43" s="2633">
        <v>0</v>
      </c>
      <c r="H43" s="2633">
        <v>0</v>
      </c>
      <c r="I43" s="2633">
        <v>0</v>
      </c>
      <c r="J43" s="2633">
        <v>0</v>
      </c>
      <c r="K43" s="2369"/>
      <c r="L43" s="1746"/>
      <c r="M43" s="4381"/>
      <c r="N43" s="2137"/>
    </row>
    <row r="44" spans="1:14" s="154" customFormat="1" ht="26.25" customHeight="1">
      <c r="A44" s="4301" t="s">
        <v>55</v>
      </c>
      <c r="B44" s="1539" t="s">
        <v>336</v>
      </c>
      <c r="C44" s="1484" t="s">
        <v>70</v>
      </c>
      <c r="D44" s="1603"/>
      <c r="E44" s="1116"/>
      <c r="F44" s="1116"/>
      <c r="G44" s="1116"/>
      <c r="H44" s="1116"/>
      <c r="I44" s="1116"/>
      <c r="J44" s="1604"/>
      <c r="K44" s="1116"/>
      <c r="L44" s="1116"/>
      <c r="M44" s="272"/>
      <c r="N44" s="4428" t="s">
        <v>337</v>
      </c>
    </row>
    <row r="45" spans="1:14" s="154" customFormat="1" ht="11.25" customHeight="1">
      <c r="A45" s="4301"/>
      <c r="B45" s="2749" t="s">
        <v>9</v>
      </c>
      <c r="C45" s="2750"/>
      <c r="D45" s="2751">
        <f>+D46+D49</f>
        <v>132972660</v>
      </c>
      <c r="E45" s="2751">
        <f t="shared" ref="E45" si="28">+E46+E49</f>
        <v>4026624</v>
      </c>
      <c r="F45" s="2751">
        <f>+F46+F49</f>
        <v>37270905</v>
      </c>
      <c r="G45" s="2751">
        <f>+G46+G49</f>
        <v>53904406</v>
      </c>
      <c r="H45" s="2751">
        <f t="shared" ref="H45:I45" si="29">+H46+H49</f>
        <v>34013929</v>
      </c>
      <c r="I45" s="2751">
        <f t="shared" si="29"/>
        <v>3756796</v>
      </c>
      <c r="J45" s="2752">
        <f t="shared" ref="J45" si="30">+J46+J49</f>
        <v>0</v>
      </c>
      <c r="K45" s="2751">
        <f t="shared" ref="K45" si="31">+K46+K49</f>
        <v>0</v>
      </c>
      <c r="L45" s="2751">
        <f>+L46+L49</f>
        <v>0</v>
      </c>
      <c r="M45" s="2753">
        <f>+M46</f>
        <v>34594636</v>
      </c>
      <c r="N45" s="4428"/>
    </row>
    <row r="46" spans="1:14" s="154" customFormat="1" ht="12" customHeight="1">
      <c r="A46" s="4301"/>
      <c r="B46" s="2754" t="s">
        <v>22</v>
      </c>
      <c r="C46" s="4297" t="s">
        <v>492</v>
      </c>
      <c r="D46" s="1126">
        <f>D48+D47</f>
        <v>38621260</v>
      </c>
      <c r="E46" s="1126">
        <f t="shared" ref="E46" si="32">E48+E47</f>
        <v>4026624</v>
      </c>
      <c r="F46" s="1126">
        <f t="shared" ref="F46:I46" si="33">F48+F47</f>
        <v>9605905</v>
      </c>
      <c r="G46" s="1126">
        <f t="shared" si="33"/>
        <v>19949606</v>
      </c>
      <c r="H46" s="1126">
        <f t="shared" si="33"/>
        <v>3566880</v>
      </c>
      <c r="I46" s="1126">
        <f t="shared" si="33"/>
        <v>1472245</v>
      </c>
      <c r="J46" s="2755">
        <f t="shared" ref="J46" si="34">J48+J47</f>
        <v>0</v>
      </c>
      <c r="K46" s="1126">
        <f>K48+K47</f>
        <v>0</v>
      </c>
      <c r="L46" s="1126">
        <f>L48+L47</f>
        <v>0</v>
      </c>
      <c r="M46" s="2756">
        <f>+M48</f>
        <v>34594636</v>
      </c>
      <c r="N46" s="4428"/>
    </row>
    <row r="47" spans="1:14" s="154" customFormat="1" ht="12" hidden="1" customHeight="1">
      <c r="A47" s="4301"/>
      <c r="B47" s="2757" t="s">
        <v>29</v>
      </c>
      <c r="C47" s="4298"/>
      <c r="D47" s="468">
        <f>E47+L47+K47+F47+G47+H47+I47+J47</f>
        <v>0</v>
      </c>
      <c r="E47" s="2758"/>
      <c r="F47" s="2759">
        <v>0</v>
      </c>
      <c r="G47" s="2759">
        <v>0</v>
      </c>
      <c r="H47" s="1127"/>
      <c r="I47" s="1127"/>
      <c r="J47" s="2646"/>
      <c r="K47" s="2759">
        <v>0</v>
      </c>
      <c r="L47" s="2759">
        <v>0</v>
      </c>
      <c r="M47" s="280" t="s">
        <v>51</v>
      </c>
      <c r="N47" s="4428"/>
    </row>
    <row r="48" spans="1:14" s="154" customFormat="1" ht="12">
      <c r="A48" s="4301"/>
      <c r="B48" s="2760" t="s">
        <v>108</v>
      </c>
      <c r="C48" s="4298"/>
      <c r="D48" s="468">
        <f>E48+L48+K48+F48+G48+H48+I48+J48</f>
        <v>38621260</v>
      </c>
      <c r="E48" s="2758">
        <f>353841+917164+2755619</f>
        <v>4026624</v>
      </c>
      <c r="F48" s="2761">
        <f>9600000+5905</f>
        <v>9605905</v>
      </c>
      <c r="G48" s="2761">
        <f>5657500+3339012+10953094</f>
        <v>19949606</v>
      </c>
      <c r="H48" s="2761">
        <v>3566880</v>
      </c>
      <c r="I48" s="2761">
        <f>1467579+4666</f>
        <v>1472245</v>
      </c>
      <c r="J48" s="2762">
        <v>0</v>
      </c>
      <c r="K48" s="2761"/>
      <c r="L48" s="2761"/>
      <c r="M48" s="269">
        <f>SUM(F48:J48)</f>
        <v>34594636</v>
      </c>
      <c r="N48" s="4428"/>
    </row>
    <row r="49" spans="1:76" s="202" customFormat="1" ht="12">
      <c r="A49" s="4301"/>
      <c r="B49" s="2763" t="s">
        <v>17</v>
      </c>
      <c r="C49" s="4298"/>
      <c r="D49" s="2764">
        <f>+D50</f>
        <v>94351400</v>
      </c>
      <c r="E49" s="2765">
        <f t="shared" ref="E49:M49" si="35">+E50</f>
        <v>0</v>
      </c>
      <c r="F49" s="2764">
        <f t="shared" si="35"/>
        <v>27665000</v>
      </c>
      <c r="G49" s="2764">
        <f t="shared" si="35"/>
        <v>33954800</v>
      </c>
      <c r="H49" s="2764">
        <f t="shared" si="35"/>
        <v>30447049</v>
      </c>
      <c r="I49" s="2764">
        <f t="shared" si="35"/>
        <v>2284551</v>
      </c>
      <c r="J49" s="2765">
        <f t="shared" si="35"/>
        <v>0</v>
      </c>
      <c r="K49" s="2764">
        <f>+K50</f>
        <v>0</v>
      </c>
      <c r="L49" s="2764">
        <f>+L50</f>
        <v>0</v>
      </c>
      <c r="M49" s="1129" t="str">
        <f t="shared" si="35"/>
        <v>x</v>
      </c>
      <c r="N49" s="4428"/>
    </row>
    <row r="50" spans="1:76" s="202" customFormat="1" ht="12">
      <c r="A50" s="4301"/>
      <c r="B50" s="2760" t="s">
        <v>32</v>
      </c>
      <c r="C50" s="4416"/>
      <c r="D50" s="468">
        <f>E50+L50+K50+F50+G50+H50+I50+J50</f>
        <v>94351400</v>
      </c>
      <c r="E50" s="2766">
        <v>0</v>
      </c>
      <c r="F50" s="749">
        <f>20400000+7265000</f>
        <v>27665000</v>
      </c>
      <c r="G50" s="749">
        <f>11942500+12012300+10000000</f>
        <v>33954800</v>
      </c>
      <c r="H50" s="1130">
        <f>8500000-3192051+25139100</f>
        <v>30447049</v>
      </c>
      <c r="I50" s="1130">
        <f>10092500-7807949</f>
        <v>2284551</v>
      </c>
      <c r="J50" s="2652">
        <v>0</v>
      </c>
      <c r="K50" s="749">
        <f>9265000-7265000-2000000</f>
        <v>0</v>
      </c>
      <c r="L50" s="749">
        <v>0</v>
      </c>
      <c r="M50" s="1131" t="s">
        <v>51</v>
      </c>
      <c r="N50" s="4428"/>
    </row>
    <row r="51" spans="1:76" s="281" customFormat="1" ht="12">
      <c r="A51" s="4301"/>
      <c r="B51" s="2749" t="s">
        <v>20</v>
      </c>
      <c r="C51" s="2767"/>
      <c r="D51" s="2768">
        <f>D54+D52</f>
        <v>119075653</v>
      </c>
      <c r="E51" s="2768">
        <f t="shared" ref="E51" si="36">E54+E52</f>
        <v>307874</v>
      </c>
      <c r="F51" s="2768">
        <f>F54+F52</f>
        <v>35507126</v>
      </c>
      <c r="G51" s="2768">
        <f>G54+G52</f>
        <v>40002940</v>
      </c>
      <c r="H51" s="2768">
        <f t="shared" ref="H51:I51" si="37">H54+H52</f>
        <v>39322433</v>
      </c>
      <c r="I51" s="2768">
        <f t="shared" si="37"/>
        <v>3935280</v>
      </c>
      <c r="J51" s="2769">
        <f t="shared" ref="J51" si="38">J54+J52</f>
        <v>0</v>
      </c>
      <c r="K51" s="2768">
        <f t="shared" ref="K51" si="39">K54+K52</f>
        <v>0</v>
      </c>
      <c r="L51" s="2768">
        <f>L54+L52</f>
        <v>0</v>
      </c>
      <c r="M51" s="4431" t="s">
        <v>51</v>
      </c>
      <c r="N51" s="4428"/>
    </row>
    <row r="52" spans="1:76" s="281" customFormat="1" ht="12">
      <c r="A52" s="4301"/>
      <c r="B52" s="2770" t="s">
        <v>22</v>
      </c>
      <c r="C52" s="4297" t="s">
        <v>492</v>
      </c>
      <c r="D52" s="748">
        <f>+D53</f>
        <v>24724253</v>
      </c>
      <c r="E52" s="748">
        <f t="shared" ref="E52:J52" si="40">+E53</f>
        <v>307874</v>
      </c>
      <c r="F52" s="748">
        <f t="shared" si="40"/>
        <v>7842126</v>
      </c>
      <c r="G52" s="748">
        <f t="shared" si="40"/>
        <v>6048140</v>
      </c>
      <c r="H52" s="748">
        <f t="shared" si="40"/>
        <v>8875384</v>
      </c>
      <c r="I52" s="748">
        <f t="shared" si="40"/>
        <v>1650729</v>
      </c>
      <c r="J52" s="2771">
        <f t="shared" si="40"/>
        <v>0</v>
      </c>
      <c r="K52" s="748">
        <f>+K53</f>
        <v>0</v>
      </c>
      <c r="L52" s="748">
        <f>+L53</f>
        <v>0</v>
      </c>
      <c r="M52" s="4432"/>
      <c r="N52" s="4428"/>
    </row>
    <row r="53" spans="1:76" s="281" customFormat="1" ht="12.75" customHeight="1">
      <c r="A53" s="4301"/>
      <c r="B53" s="2760" t="s">
        <v>132</v>
      </c>
      <c r="C53" s="4298"/>
      <c r="D53" s="468">
        <f>E53+L53+K53+F53+G53+H53+I53+J53</f>
        <v>24724253</v>
      </c>
      <c r="E53" s="2761">
        <f>350000-252560+210434</f>
        <v>307874</v>
      </c>
      <c r="F53" s="2761">
        <f>6000000+1571324+270802</f>
        <v>7842126</v>
      </c>
      <c r="G53" s="2761">
        <f>4000000+2048140</f>
        <v>6048140</v>
      </c>
      <c r="H53" s="2761">
        <f>2000000+6875384</f>
        <v>8875384</v>
      </c>
      <c r="I53" s="2761">
        <v>1650729</v>
      </c>
      <c r="J53" s="2762">
        <v>0</v>
      </c>
      <c r="K53" s="2761"/>
      <c r="L53" s="2761"/>
      <c r="M53" s="4432"/>
      <c r="N53" s="4428"/>
      <c r="P53" s="282">
        <v>10989251</v>
      </c>
    </row>
    <row r="54" spans="1:76" s="202" customFormat="1" ht="13.5" customHeight="1">
      <c r="A54" s="4301"/>
      <c r="B54" s="2763" t="s">
        <v>17</v>
      </c>
      <c r="C54" s="4298"/>
      <c r="D54" s="2764">
        <f>+D55</f>
        <v>94351400</v>
      </c>
      <c r="E54" s="2765">
        <f t="shared" ref="E54:J54" si="41">+E55</f>
        <v>0</v>
      </c>
      <c r="F54" s="2764">
        <f t="shared" si="41"/>
        <v>27665000</v>
      </c>
      <c r="G54" s="2764">
        <f t="shared" si="41"/>
        <v>33954800</v>
      </c>
      <c r="H54" s="2764">
        <f t="shared" si="41"/>
        <v>30447049</v>
      </c>
      <c r="I54" s="2764">
        <f t="shared" si="41"/>
        <v>2284551</v>
      </c>
      <c r="J54" s="2765">
        <f t="shared" si="41"/>
        <v>0</v>
      </c>
      <c r="K54" s="2764">
        <f>+K55</f>
        <v>0</v>
      </c>
      <c r="L54" s="2764">
        <f>+L55</f>
        <v>0</v>
      </c>
      <c r="M54" s="4432"/>
      <c r="N54" s="4428"/>
    </row>
    <row r="55" spans="1:76" s="202" customFormat="1" ht="13.5" customHeight="1" thickBot="1">
      <c r="A55" s="4302"/>
      <c r="B55" s="2370" t="s">
        <v>32</v>
      </c>
      <c r="C55" s="4299"/>
      <c r="D55" s="1041">
        <f>E55+L55+K55+F55+G55+H55+I55+J55</f>
        <v>94351400</v>
      </c>
      <c r="E55" s="2638">
        <v>0</v>
      </c>
      <c r="F55" s="283">
        <f>20400000+7265000</f>
        <v>27665000</v>
      </c>
      <c r="G55" s="283">
        <f>11942500+12012300+10000000</f>
        <v>33954800</v>
      </c>
      <c r="H55" s="283">
        <f>8500000-3192051+25139100</f>
        <v>30447049</v>
      </c>
      <c r="I55" s="283">
        <f>10092500-7807949</f>
        <v>2284551</v>
      </c>
      <c r="J55" s="2665">
        <v>0</v>
      </c>
      <c r="K55" s="283">
        <f>9265000-7265000-2000000</f>
        <v>0</v>
      </c>
      <c r="L55" s="283">
        <v>0</v>
      </c>
      <c r="M55" s="4433"/>
      <c r="N55" s="4429"/>
    </row>
    <row r="56" spans="1:76" s="154" customFormat="1" ht="27" customHeight="1">
      <c r="A56" s="4417" t="s">
        <v>56</v>
      </c>
      <c r="B56" s="279" t="s">
        <v>354</v>
      </c>
      <c r="C56" s="1480" t="s">
        <v>70</v>
      </c>
      <c r="D56" s="1483"/>
      <c r="E56" s="215"/>
      <c r="F56" s="215"/>
      <c r="G56" s="215"/>
      <c r="H56" s="215"/>
      <c r="I56" s="215"/>
      <c r="J56" s="762"/>
      <c r="K56" s="215"/>
      <c r="L56" s="215"/>
      <c r="M56" s="3774"/>
      <c r="N56" s="4427" t="s">
        <v>426</v>
      </c>
      <c r="BX56" s="278"/>
    </row>
    <row r="57" spans="1:76" s="154" customFormat="1" ht="14.25" customHeight="1">
      <c r="A57" s="4301"/>
      <c r="B57" s="252" t="s">
        <v>9</v>
      </c>
      <c r="C57" s="2371"/>
      <c r="D57" s="270">
        <f>D58+D61</f>
        <v>106707947</v>
      </c>
      <c r="E57" s="270">
        <f t="shared" ref="E57" si="42">+E58+E61</f>
        <v>283864</v>
      </c>
      <c r="F57" s="270">
        <f t="shared" ref="F57:H57" si="43">+F58+F61</f>
        <v>1000000</v>
      </c>
      <c r="G57" s="270">
        <f t="shared" si="43"/>
        <v>58272317</v>
      </c>
      <c r="H57" s="270">
        <f t="shared" si="43"/>
        <v>47151766</v>
      </c>
      <c r="I57" s="2624">
        <f t="shared" ref="I57:J57" si="44">+I58+I61</f>
        <v>0</v>
      </c>
      <c r="J57" s="2624">
        <f t="shared" si="44"/>
        <v>0</v>
      </c>
      <c r="K57" s="270">
        <f>+K58+K61</f>
        <v>0</v>
      </c>
      <c r="L57" s="270">
        <f>+L58+L61</f>
        <v>0</v>
      </c>
      <c r="M57" s="273">
        <f>+M58</f>
        <v>63117083</v>
      </c>
      <c r="N57" s="4428"/>
    </row>
    <row r="58" spans="1:76" s="154" customFormat="1" ht="14.25" customHeight="1">
      <c r="A58" s="4301"/>
      <c r="B58" s="2366" t="s">
        <v>22</v>
      </c>
      <c r="C58" s="4126" t="s">
        <v>146</v>
      </c>
      <c r="D58" s="250">
        <f>D59+D60</f>
        <v>63400947</v>
      </c>
      <c r="E58" s="250">
        <f t="shared" ref="E58" si="45">E59+E60</f>
        <v>283864</v>
      </c>
      <c r="F58" s="250">
        <f>F59+F60</f>
        <v>1000000</v>
      </c>
      <c r="G58" s="250">
        <f>G59+G60</f>
        <v>14965317</v>
      </c>
      <c r="H58" s="250">
        <f>H59+H60</f>
        <v>47151766</v>
      </c>
      <c r="I58" s="2637">
        <f t="shared" ref="I58:J58" si="46">I59+I60</f>
        <v>0</v>
      </c>
      <c r="J58" s="2637">
        <f t="shared" si="46"/>
        <v>0</v>
      </c>
      <c r="K58" s="250">
        <f>K59+K60</f>
        <v>0</v>
      </c>
      <c r="L58" s="250">
        <f>L59+L60</f>
        <v>0</v>
      </c>
      <c r="M58" s="274">
        <f>+M59</f>
        <v>63117083</v>
      </c>
      <c r="N58" s="4428"/>
    </row>
    <row r="59" spans="1:76" s="154" customFormat="1" ht="14.25" customHeight="1">
      <c r="A59" s="4301"/>
      <c r="B59" s="2367" t="s">
        <v>108</v>
      </c>
      <c r="C59" s="4443"/>
      <c r="D59" s="249">
        <f>E59+L59+K59+F59+G59+H59+I59+J59</f>
        <v>63400947</v>
      </c>
      <c r="E59" s="247">
        <f>720400-436536</f>
        <v>283864</v>
      </c>
      <c r="F59" s="247">
        <f>41610400-39327950-1282450</f>
        <v>1000000</v>
      </c>
      <c r="G59" s="247">
        <f>7780807+5902060+1282450</f>
        <v>14965317</v>
      </c>
      <c r="H59" s="247">
        <f>13289340+33862426</f>
        <v>47151766</v>
      </c>
      <c r="I59" s="2636">
        <v>0</v>
      </c>
      <c r="J59" s="2636">
        <v>0</v>
      </c>
      <c r="K59" s="247"/>
      <c r="L59" s="247">
        <v>0</v>
      </c>
      <c r="M59" s="269">
        <f>SUM(F59:J59)</f>
        <v>63117083</v>
      </c>
      <c r="N59" s="4428"/>
    </row>
    <row r="60" spans="1:76" s="154" customFormat="1" ht="14.25" hidden="1" customHeight="1">
      <c r="A60" s="4301"/>
      <c r="B60" s="3775" t="s">
        <v>29</v>
      </c>
      <c r="C60" s="4430" t="s">
        <v>21</v>
      </c>
      <c r="D60" s="249">
        <f>E60+L60+K60+F60+G60+H60+I60+J60</f>
        <v>0</v>
      </c>
      <c r="E60" s="1132">
        <v>0</v>
      </c>
      <c r="F60" s="1132">
        <v>0</v>
      </c>
      <c r="G60" s="1132">
        <v>0</v>
      </c>
      <c r="H60" s="1132"/>
      <c r="I60" s="2630"/>
      <c r="J60" s="2630"/>
      <c r="K60" s="1132">
        <v>0</v>
      </c>
      <c r="L60" s="1132"/>
      <c r="M60" s="3776" t="s">
        <v>51</v>
      </c>
      <c r="N60" s="4428"/>
    </row>
    <row r="61" spans="1:76" s="154" customFormat="1" ht="14.25" customHeight="1">
      <c r="A61" s="4301"/>
      <c r="B61" s="3777" t="s">
        <v>17</v>
      </c>
      <c r="C61" s="4421"/>
      <c r="D61" s="277">
        <f>D62</f>
        <v>43307000</v>
      </c>
      <c r="E61" s="2635">
        <f t="shared" ref="E61:M61" si="47">+E62</f>
        <v>0</v>
      </c>
      <c r="F61" s="3778">
        <f t="shared" si="47"/>
        <v>0</v>
      </c>
      <c r="G61" s="277">
        <f t="shared" si="47"/>
        <v>43307000</v>
      </c>
      <c r="H61" s="2635">
        <f t="shared" si="47"/>
        <v>0</v>
      </c>
      <c r="I61" s="2635">
        <f t="shared" si="47"/>
        <v>0</v>
      </c>
      <c r="J61" s="2635">
        <f t="shared" si="47"/>
        <v>0</v>
      </c>
      <c r="K61" s="277">
        <f>+K62</f>
        <v>0</v>
      </c>
      <c r="L61" s="277">
        <f>+L62</f>
        <v>0</v>
      </c>
      <c r="M61" s="280" t="str">
        <f t="shared" si="47"/>
        <v>x</v>
      </c>
      <c r="N61" s="4428"/>
    </row>
    <row r="62" spans="1:76" s="154" customFormat="1" ht="14.25" customHeight="1">
      <c r="A62" s="4301"/>
      <c r="B62" s="3775" t="s">
        <v>32</v>
      </c>
      <c r="C62" s="4423"/>
      <c r="D62" s="249">
        <f>E62+L62+K62+F62+G62+H62+I62+J62</f>
        <v>43307000</v>
      </c>
      <c r="E62" s="2636">
        <v>0</v>
      </c>
      <c r="F62" s="2374">
        <f>13496470-13496470</f>
        <v>0</v>
      </c>
      <c r="G62" s="247">
        <f>33829593-4019063+13496470</f>
        <v>43307000</v>
      </c>
      <c r="H62" s="2636">
        <f>7840407-7840407</f>
        <v>0</v>
      </c>
      <c r="I62" s="2636">
        <v>0</v>
      </c>
      <c r="J62" s="2636">
        <v>0</v>
      </c>
      <c r="K62" s="247">
        <v>0</v>
      </c>
      <c r="L62" s="247">
        <v>0</v>
      </c>
      <c r="M62" s="284" t="s">
        <v>51</v>
      </c>
      <c r="N62" s="4428"/>
    </row>
    <row r="63" spans="1:76" s="278" customFormat="1" ht="14.25" customHeight="1">
      <c r="A63" s="4301"/>
      <c r="B63" s="252" t="s">
        <v>20</v>
      </c>
      <c r="C63" s="2371"/>
      <c r="D63" s="270">
        <f>D64+D66</f>
        <v>62055485</v>
      </c>
      <c r="E63" s="270">
        <f>E66+E64</f>
        <v>42076</v>
      </c>
      <c r="F63" s="270">
        <f>F66+F64</f>
        <v>308681</v>
      </c>
      <c r="G63" s="270">
        <f>G66+G64</f>
        <v>53416753</v>
      </c>
      <c r="H63" s="270">
        <f>H66+H64</f>
        <v>8287975</v>
      </c>
      <c r="I63" s="2624">
        <f t="shared" ref="I63:J63" si="48">I66+I64</f>
        <v>0</v>
      </c>
      <c r="J63" s="2624">
        <f t="shared" si="48"/>
        <v>0</v>
      </c>
      <c r="K63" s="270">
        <f>K66+K64</f>
        <v>0</v>
      </c>
      <c r="L63" s="270">
        <f>L66+L64</f>
        <v>0</v>
      </c>
      <c r="M63" s="4438" t="s">
        <v>51</v>
      </c>
      <c r="N63" s="4428"/>
    </row>
    <row r="64" spans="1:76" s="278" customFormat="1" ht="14.25" customHeight="1">
      <c r="A64" s="4301"/>
      <c r="B64" s="2366" t="s">
        <v>22</v>
      </c>
      <c r="C64" s="4412" t="s">
        <v>146</v>
      </c>
      <c r="D64" s="285">
        <f>D65</f>
        <v>18748485</v>
      </c>
      <c r="E64" s="285">
        <f t="shared" ref="E64:J64" si="49">+E65</f>
        <v>42076</v>
      </c>
      <c r="F64" s="285">
        <f t="shared" si="49"/>
        <v>308681</v>
      </c>
      <c r="G64" s="285">
        <f t="shared" si="49"/>
        <v>10109753</v>
      </c>
      <c r="H64" s="285">
        <f t="shared" si="49"/>
        <v>8287975</v>
      </c>
      <c r="I64" s="2639">
        <f t="shared" si="49"/>
        <v>0</v>
      </c>
      <c r="J64" s="2639">
        <f t="shared" si="49"/>
        <v>0</v>
      </c>
      <c r="K64" s="285">
        <f>+K65</f>
        <v>0</v>
      </c>
      <c r="L64" s="285">
        <f>+L65</f>
        <v>0</v>
      </c>
      <c r="M64" s="4439"/>
      <c r="N64" s="4428"/>
    </row>
    <row r="65" spans="1:76" s="278" customFormat="1" ht="14.25" customHeight="1">
      <c r="A65" s="4301"/>
      <c r="B65" s="3775" t="s">
        <v>132</v>
      </c>
      <c r="C65" s="4413"/>
      <c r="D65" s="249">
        <f>E65+L65+K65+F65+G65+H65+I65+J65</f>
        <v>18748485</v>
      </c>
      <c r="E65" s="247">
        <f>125279-83203</f>
        <v>42076</v>
      </c>
      <c r="F65" s="247">
        <f>7236150-5871216-1056253</f>
        <v>308681</v>
      </c>
      <c r="G65" s="247">
        <f>7236150+1817350+1056253</f>
        <v>10109753</v>
      </c>
      <c r="H65" s="247">
        <f>3675073+4612902</f>
        <v>8287975</v>
      </c>
      <c r="I65" s="2636">
        <v>0</v>
      </c>
      <c r="J65" s="2636">
        <v>0</v>
      </c>
      <c r="K65" s="247"/>
      <c r="L65" s="247">
        <v>0</v>
      </c>
      <c r="M65" s="4439"/>
      <c r="N65" s="4428"/>
      <c r="P65" s="286">
        <v>-13525758</v>
      </c>
    </row>
    <row r="66" spans="1:76" s="154" customFormat="1" ht="14.25" customHeight="1">
      <c r="A66" s="4301"/>
      <c r="B66" s="3777" t="s">
        <v>17</v>
      </c>
      <c r="C66" s="4430" t="s">
        <v>21</v>
      </c>
      <c r="D66" s="250">
        <f>D67</f>
        <v>43307000</v>
      </c>
      <c r="E66" s="2637">
        <f t="shared" ref="E66:J66" si="50">+E67</f>
        <v>0</v>
      </c>
      <c r="F66" s="2373">
        <f t="shared" si="50"/>
        <v>0</v>
      </c>
      <c r="G66" s="250">
        <f t="shared" si="50"/>
        <v>43307000</v>
      </c>
      <c r="H66" s="2637">
        <f t="shared" si="50"/>
        <v>0</v>
      </c>
      <c r="I66" s="2637">
        <f t="shared" si="50"/>
        <v>0</v>
      </c>
      <c r="J66" s="2637">
        <f t="shared" si="50"/>
        <v>0</v>
      </c>
      <c r="K66" s="250">
        <f>+K67</f>
        <v>0</v>
      </c>
      <c r="L66" s="250">
        <f>+L67</f>
        <v>0</v>
      </c>
      <c r="M66" s="4439"/>
      <c r="N66" s="4428"/>
    </row>
    <row r="67" spans="1:76" s="154" customFormat="1" ht="14.25" customHeight="1" thickBot="1">
      <c r="A67" s="4302"/>
      <c r="B67" s="2370" t="s">
        <v>32</v>
      </c>
      <c r="C67" s="4415"/>
      <c r="D67" s="283">
        <f>E67+L67+K67+F67+G67+H67+I67+J67</f>
        <v>43307000</v>
      </c>
      <c r="E67" s="2638">
        <v>0</v>
      </c>
      <c r="F67" s="350">
        <f>5482904-5482904</f>
        <v>0</v>
      </c>
      <c r="G67" s="275">
        <f>33829593+3994503+5482904</f>
        <v>43307000</v>
      </c>
      <c r="H67" s="2638">
        <f>7840407-7840407</f>
        <v>0</v>
      </c>
      <c r="I67" s="2638">
        <v>0</v>
      </c>
      <c r="J67" s="2638">
        <v>0</v>
      </c>
      <c r="K67" s="275">
        <v>0</v>
      </c>
      <c r="L67" s="275">
        <v>0</v>
      </c>
      <c r="M67" s="4440"/>
      <c r="N67" s="4429"/>
    </row>
    <row r="68" spans="1:76" s="154" customFormat="1" ht="27.75" customHeight="1">
      <c r="A68" s="4417" t="s">
        <v>57</v>
      </c>
      <c r="B68" s="279" t="s">
        <v>438</v>
      </c>
      <c r="C68" s="1480" t="s">
        <v>97</v>
      </c>
      <c r="D68" s="1483"/>
      <c r="E68" s="215"/>
      <c r="F68" s="215"/>
      <c r="G68" s="215"/>
      <c r="H68" s="215"/>
      <c r="I68" s="215"/>
      <c r="J68" s="762"/>
      <c r="K68" s="215"/>
      <c r="L68" s="215"/>
      <c r="M68" s="287"/>
      <c r="N68" s="4427" t="s">
        <v>145</v>
      </c>
      <c r="BX68" s="278"/>
    </row>
    <row r="69" spans="1:76" s="154" customFormat="1" ht="13.5" customHeight="1">
      <c r="A69" s="4301"/>
      <c r="B69" s="252" t="s">
        <v>9</v>
      </c>
      <c r="C69" s="2371"/>
      <c r="D69" s="270">
        <f>D70+D73</f>
        <v>622043</v>
      </c>
      <c r="E69" s="270">
        <f t="shared" ref="E69:H69" si="51">+E70+E73</f>
        <v>144641</v>
      </c>
      <c r="F69" s="270">
        <f t="shared" si="51"/>
        <v>233401</v>
      </c>
      <c r="G69" s="270">
        <f t="shared" si="51"/>
        <v>239195</v>
      </c>
      <c r="H69" s="270">
        <f t="shared" si="51"/>
        <v>4806</v>
      </c>
      <c r="I69" s="2624">
        <f t="shared" ref="I69:J69" si="52">+I70+I73</f>
        <v>0</v>
      </c>
      <c r="J69" s="2624">
        <f t="shared" si="52"/>
        <v>0</v>
      </c>
      <c r="K69" s="270">
        <f>+K70+K73</f>
        <v>0</v>
      </c>
      <c r="L69" s="270">
        <f>+L70+L73</f>
        <v>0</v>
      </c>
      <c r="M69" s="273">
        <f>+M70</f>
        <v>63782</v>
      </c>
      <c r="N69" s="4428"/>
    </row>
    <row r="70" spans="1:76" s="154" customFormat="1" ht="13.5" customHeight="1">
      <c r="A70" s="4301"/>
      <c r="B70" s="2363" t="s">
        <v>22</v>
      </c>
      <c r="C70" s="4412" t="s">
        <v>146</v>
      </c>
      <c r="D70" s="250">
        <f>D71+D72</f>
        <v>93307</v>
      </c>
      <c r="E70" s="250">
        <f t="shared" ref="E70" si="53">+E71+E72</f>
        <v>29525</v>
      </c>
      <c r="F70" s="250">
        <f>+F71+F72</f>
        <v>30510</v>
      </c>
      <c r="G70" s="250">
        <f>+G71+G72</f>
        <v>32551</v>
      </c>
      <c r="H70" s="250">
        <f>+H71+H72</f>
        <v>721</v>
      </c>
      <c r="I70" s="2637">
        <f t="shared" ref="I70:J70" si="54">+I71+I72</f>
        <v>0</v>
      </c>
      <c r="J70" s="2637">
        <f t="shared" si="54"/>
        <v>0</v>
      </c>
      <c r="K70" s="250">
        <f t="shared" ref="K70" si="55">+K71+K72</f>
        <v>0</v>
      </c>
      <c r="L70" s="250">
        <f>+L71+L72</f>
        <v>0</v>
      </c>
      <c r="M70" s="1534">
        <f>+M71</f>
        <v>63782</v>
      </c>
      <c r="N70" s="4428"/>
    </row>
    <row r="71" spans="1:76" s="154" customFormat="1" ht="13.5" customHeight="1">
      <c r="A71" s="4301"/>
      <c r="B71" s="2376" t="s">
        <v>108</v>
      </c>
      <c r="C71" s="4413"/>
      <c r="D71" s="249">
        <f>L71+K71+F71+G71+H71+I71+J71+E71</f>
        <v>93191</v>
      </c>
      <c r="E71" s="247">
        <v>29409</v>
      </c>
      <c r="F71" s="247">
        <v>30510</v>
      </c>
      <c r="G71" s="247">
        <v>32551</v>
      </c>
      <c r="H71" s="247">
        <v>721</v>
      </c>
      <c r="I71" s="2636">
        <v>0</v>
      </c>
      <c r="J71" s="2636">
        <v>0</v>
      </c>
      <c r="K71" s="247"/>
      <c r="L71" s="247">
        <v>0</v>
      </c>
      <c r="M71" s="269">
        <f>SUM(F71:J71)</f>
        <v>63782</v>
      </c>
      <c r="N71" s="4428"/>
    </row>
    <row r="72" spans="1:76" s="154" customFormat="1" ht="13.5" customHeight="1">
      <c r="A72" s="4301"/>
      <c r="B72" s="2377" t="s">
        <v>29</v>
      </c>
      <c r="C72" s="4414" t="s">
        <v>21</v>
      </c>
      <c r="D72" s="249">
        <f>L72+K72+F72+G72+H72+I72+J72+E72</f>
        <v>116</v>
      </c>
      <c r="E72" s="247">
        <v>116</v>
      </c>
      <c r="F72" s="2636">
        <v>0</v>
      </c>
      <c r="G72" s="2636">
        <v>0</v>
      </c>
      <c r="H72" s="2636">
        <v>0</v>
      </c>
      <c r="I72" s="2636">
        <v>0</v>
      </c>
      <c r="J72" s="2636">
        <v>0</v>
      </c>
      <c r="K72" s="247"/>
      <c r="L72" s="247"/>
      <c r="M72" s="1514" t="s">
        <v>51</v>
      </c>
      <c r="N72" s="4428"/>
    </row>
    <row r="73" spans="1:76" s="154" customFormat="1" ht="13.5" customHeight="1">
      <c r="A73" s="4301"/>
      <c r="B73" s="276" t="s">
        <v>17</v>
      </c>
      <c r="C73" s="4421"/>
      <c r="D73" s="285">
        <f>D74</f>
        <v>528736</v>
      </c>
      <c r="E73" s="285">
        <f t="shared" ref="E73:M73" si="56">+E74</f>
        <v>115116</v>
      </c>
      <c r="F73" s="285">
        <f t="shared" si="56"/>
        <v>202891</v>
      </c>
      <c r="G73" s="285">
        <f t="shared" si="56"/>
        <v>206644</v>
      </c>
      <c r="H73" s="285">
        <f t="shared" si="56"/>
        <v>4085</v>
      </c>
      <c r="I73" s="2639">
        <f t="shared" si="56"/>
        <v>0</v>
      </c>
      <c r="J73" s="2639">
        <f t="shared" si="56"/>
        <v>0</v>
      </c>
      <c r="K73" s="285">
        <f>+K74</f>
        <v>0</v>
      </c>
      <c r="L73" s="285">
        <f>+L74</f>
        <v>0</v>
      </c>
      <c r="M73" s="280" t="str">
        <f t="shared" si="56"/>
        <v>x</v>
      </c>
      <c r="N73" s="4428"/>
    </row>
    <row r="74" spans="1:76" s="154" customFormat="1" ht="13.5" customHeight="1">
      <c r="A74" s="4301"/>
      <c r="B74" s="2378" t="s">
        <v>32</v>
      </c>
      <c r="C74" s="4423"/>
      <c r="D74" s="249">
        <f>L74+K74+F74+G74+H74+I74+J74+E74</f>
        <v>528736</v>
      </c>
      <c r="E74" s="247">
        <f>167304-52188</f>
        <v>115116</v>
      </c>
      <c r="F74" s="247">
        <f>172891+30000</f>
        <v>202891</v>
      </c>
      <c r="G74" s="247">
        <f>184456+22188</f>
        <v>206644</v>
      </c>
      <c r="H74" s="247">
        <v>4085</v>
      </c>
      <c r="I74" s="2636">
        <v>0</v>
      </c>
      <c r="J74" s="2636">
        <v>0</v>
      </c>
      <c r="K74" s="247"/>
      <c r="L74" s="247">
        <v>0</v>
      </c>
      <c r="M74" s="284" t="s">
        <v>51</v>
      </c>
      <c r="N74" s="4428"/>
    </row>
    <row r="75" spans="1:76" s="154" customFormat="1" ht="13.5" customHeight="1">
      <c r="A75" s="4301"/>
      <c r="B75" s="252" t="s">
        <v>20</v>
      </c>
      <c r="C75" s="2379"/>
      <c r="D75" s="270">
        <f>D76+D78</f>
        <v>528736</v>
      </c>
      <c r="E75" s="2372">
        <v>0</v>
      </c>
      <c r="F75" s="270">
        <f>+F76+F78</f>
        <v>340195</v>
      </c>
      <c r="G75" s="270">
        <f>+G76+G78</f>
        <v>184456</v>
      </c>
      <c r="H75" s="270">
        <f>+H76+H78</f>
        <v>4085</v>
      </c>
      <c r="I75" s="2624">
        <f t="shared" ref="I75:J75" si="57">+I76+I78</f>
        <v>0</v>
      </c>
      <c r="J75" s="2624">
        <f t="shared" si="57"/>
        <v>0</v>
      </c>
      <c r="K75" s="270">
        <f t="shared" ref="K75" si="58">+K76+K78</f>
        <v>0</v>
      </c>
      <c r="L75" s="270">
        <f>+L76+L78</f>
        <v>0</v>
      </c>
      <c r="M75" s="4442" t="s">
        <v>51</v>
      </c>
      <c r="N75" s="4428"/>
    </row>
    <row r="76" spans="1:76" s="154" customFormat="1" ht="13.5" hidden="1" customHeight="1">
      <c r="A76" s="4301"/>
      <c r="B76" s="2363" t="s">
        <v>22</v>
      </c>
      <c r="C76" s="4412" t="s">
        <v>146</v>
      </c>
      <c r="D76" s="285"/>
      <c r="E76" s="2373">
        <v>0</v>
      </c>
      <c r="F76" s="250">
        <f t="shared" ref="F76:J76" si="59">+F77</f>
        <v>0</v>
      </c>
      <c r="G76" s="250">
        <f t="shared" si="59"/>
        <v>0</v>
      </c>
      <c r="H76" s="250">
        <f t="shared" si="59"/>
        <v>0</v>
      </c>
      <c r="I76" s="2637">
        <f t="shared" si="59"/>
        <v>0</v>
      </c>
      <c r="J76" s="2637">
        <f t="shared" si="59"/>
        <v>0</v>
      </c>
      <c r="K76" s="250">
        <f>+K77</f>
        <v>0</v>
      </c>
      <c r="L76" s="250">
        <f>+L77</f>
        <v>0</v>
      </c>
      <c r="M76" s="4251"/>
      <c r="N76" s="4428"/>
    </row>
    <row r="77" spans="1:76" s="154" customFormat="1" ht="13.5" hidden="1" customHeight="1">
      <c r="A77" s="4301"/>
      <c r="B77" s="2378" t="s">
        <v>124</v>
      </c>
      <c r="C77" s="4413"/>
      <c r="D77" s="249"/>
      <c r="E77" s="2374"/>
      <c r="F77" s="247">
        <v>0</v>
      </c>
      <c r="G77" s="247">
        <v>0</v>
      </c>
      <c r="H77" s="247">
        <v>0</v>
      </c>
      <c r="I77" s="2636">
        <v>0</v>
      </c>
      <c r="J77" s="2636">
        <v>0</v>
      </c>
      <c r="K77" s="247">
        <v>0</v>
      </c>
      <c r="L77" s="247">
        <v>0</v>
      </c>
      <c r="M77" s="4251"/>
      <c r="N77" s="4428"/>
    </row>
    <row r="78" spans="1:76" s="154" customFormat="1" ht="13.5" customHeight="1">
      <c r="A78" s="4301"/>
      <c r="B78" s="2380" t="s">
        <v>17</v>
      </c>
      <c r="C78" s="4430" t="s">
        <v>21</v>
      </c>
      <c r="D78" s="285">
        <f>D79</f>
        <v>528736</v>
      </c>
      <c r="E78" s="2375">
        <v>0</v>
      </c>
      <c r="F78" s="285">
        <f t="shared" ref="F78:J78" si="60">+F79</f>
        <v>340195</v>
      </c>
      <c r="G78" s="285">
        <f t="shared" si="60"/>
        <v>184456</v>
      </c>
      <c r="H78" s="285">
        <f t="shared" si="60"/>
        <v>4085</v>
      </c>
      <c r="I78" s="2639">
        <f t="shared" si="60"/>
        <v>0</v>
      </c>
      <c r="J78" s="2639">
        <f t="shared" si="60"/>
        <v>0</v>
      </c>
      <c r="K78" s="285">
        <f>+K79</f>
        <v>0</v>
      </c>
      <c r="L78" s="285">
        <f>+L79</f>
        <v>0</v>
      </c>
      <c r="M78" s="4251"/>
      <c r="N78" s="4428"/>
    </row>
    <row r="79" spans="1:76" s="154" customFormat="1" ht="13.5" customHeight="1" thickBot="1">
      <c r="A79" s="4302"/>
      <c r="B79" s="2381" t="s">
        <v>32</v>
      </c>
      <c r="C79" s="4423"/>
      <c r="D79" s="249">
        <f>L79+K79+F79+G79+H79+I79+J79</f>
        <v>528736</v>
      </c>
      <c r="E79" s="2375">
        <v>0</v>
      </c>
      <c r="F79" s="1535">
        <f>172891+167304</f>
        <v>340195</v>
      </c>
      <c r="G79" s="1535">
        <v>184456</v>
      </c>
      <c r="H79" s="1535">
        <v>4085</v>
      </c>
      <c r="I79" s="2640">
        <v>0</v>
      </c>
      <c r="J79" s="2640">
        <v>0</v>
      </c>
      <c r="K79" s="1535">
        <f>167304-167304</f>
        <v>0</v>
      </c>
      <c r="L79" s="1535">
        <v>0</v>
      </c>
      <c r="M79" s="4252"/>
      <c r="N79" s="4429"/>
    </row>
    <row r="80" spans="1:76" s="154" customFormat="1" ht="27.75" customHeight="1">
      <c r="A80" s="4417" t="s">
        <v>103</v>
      </c>
      <c r="B80" s="279" t="s">
        <v>439</v>
      </c>
      <c r="C80" s="1480" t="s">
        <v>70</v>
      </c>
      <c r="D80" s="1483"/>
      <c r="E80" s="215"/>
      <c r="F80" s="215"/>
      <c r="G80" s="215"/>
      <c r="H80" s="215"/>
      <c r="I80" s="215"/>
      <c r="J80" s="762"/>
      <c r="K80" s="215"/>
      <c r="L80" s="215"/>
      <c r="M80" s="287"/>
      <c r="N80" s="4427" t="s">
        <v>381</v>
      </c>
    </row>
    <row r="81" spans="1:16" s="154" customFormat="1" ht="13.5" customHeight="1">
      <c r="A81" s="4301"/>
      <c r="B81" s="252" t="s">
        <v>9</v>
      </c>
      <c r="C81" s="2379"/>
      <c r="D81" s="270">
        <f>D82+D85</f>
        <v>2392705</v>
      </c>
      <c r="E81" s="270">
        <f>+E82+E85</f>
        <v>12887</v>
      </c>
      <c r="F81" s="270">
        <f>+F82+F85</f>
        <v>1348850</v>
      </c>
      <c r="G81" s="270">
        <f>+G82+G85</f>
        <v>1030968</v>
      </c>
      <c r="H81" s="2624">
        <f t="shared" ref="H81:J81" si="61">+H82+H85</f>
        <v>0</v>
      </c>
      <c r="I81" s="2624">
        <f t="shared" si="61"/>
        <v>0</v>
      </c>
      <c r="J81" s="2624">
        <f t="shared" si="61"/>
        <v>0</v>
      </c>
      <c r="K81" s="270">
        <f>+K82+K85</f>
        <v>0</v>
      </c>
      <c r="L81" s="270">
        <f>+L82+L85</f>
        <v>0</v>
      </c>
      <c r="M81" s="273">
        <f>+M82</f>
        <v>356972</v>
      </c>
      <c r="N81" s="4428"/>
      <c r="P81" s="81"/>
    </row>
    <row r="82" spans="1:16" s="154" customFormat="1" ht="13.5" customHeight="1">
      <c r="A82" s="4301"/>
      <c r="B82" s="2363" t="s">
        <v>22</v>
      </c>
      <c r="C82" s="4410" t="s">
        <v>146</v>
      </c>
      <c r="D82" s="250">
        <f>D83+D84</f>
        <v>358905</v>
      </c>
      <c r="E82" s="250">
        <f>E84+E83</f>
        <v>1933</v>
      </c>
      <c r="F82" s="250">
        <f>F84+F83</f>
        <v>202327</v>
      </c>
      <c r="G82" s="250">
        <f>G84+G83</f>
        <v>154645</v>
      </c>
      <c r="H82" s="2637">
        <f t="shared" ref="H82:J82" si="62">H84+H83</f>
        <v>0</v>
      </c>
      <c r="I82" s="2637">
        <f t="shared" si="62"/>
        <v>0</v>
      </c>
      <c r="J82" s="2637">
        <f t="shared" si="62"/>
        <v>0</v>
      </c>
      <c r="K82" s="250">
        <f>K84+K83</f>
        <v>0</v>
      </c>
      <c r="L82" s="250">
        <f>L84+L83</f>
        <v>0</v>
      </c>
      <c r="M82" s="274">
        <f>+M84</f>
        <v>356972</v>
      </c>
      <c r="N82" s="4428"/>
    </row>
    <row r="83" spans="1:16" s="154" customFormat="1" ht="13.5" hidden="1" customHeight="1">
      <c r="A83" s="4301"/>
      <c r="B83" s="2376" t="s">
        <v>29</v>
      </c>
      <c r="C83" s="4411"/>
      <c r="D83" s="249">
        <f>K83+F83+G83+H83+I83+J83</f>
        <v>0</v>
      </c>
      <c r="E83" s="1536">
        <v>0</v>
      </c>
      <c r="F83" s="1536">
        <v>0</v>
      </c>
      <c r="G83" s="1536">
        <v>0</v>
      </c>
      <c r="H83" s="2641"/>
      <c r="I83" s="2641"/>
      <c r="J83" s="2641"/>
      <c r="K83" s="1536">
        <v>0</v>
      </c>
      <c r="L83" s="1536">
        <v>0</v>
      </c>
      <c r="M83" s="284" t="s">
        <v>51</v>
      </c>
      <c r="N83" s="4428"/>
    </row>
    <row r="84" spans="1:16" s="154" customFormat="1" ht="16.5" customHeight="1">
      <c r="A84" s="4301"/>
      <c r="B84" s="2364" t="s">
        <v>108</v>
      </c>
      <c r="C84" s="4167"/>
      <c r="D84" s="249">
        <f>L84+K84+F84+G84+H84+I84+J84+E84</f>
        <v>358905</v>
      </c>
      <c r="E84" s="1537">
        <v>1933</v>
      </c>
      <c r="F84" s="1537">
        <v>202327</v>
      </c>
      <c r="G84" s="1537">
        <v>154645</v>
      </c>
      <c r="H84" s="2642">
        <v>0</v>
      </c>
      <c r="I84" s="2642">
        <v>0</v>
      </c>
      <c r="J84" s="2642">
        <v>0</v>
      </c>
      <c r="K84" s="1537"/>
      <c r="L84" s="1537">
        <v>0</v>
      </c>
      <c r="M84" s="269">
        <f>SUM(F84:J84)</f>
        <v>356972</v>
      </c>
      <c r="N84" s="4428"/>
    </row>
    <row r="85" spans="1:16" s="154" customFormat="1" ht="15" customHeight="1">
      <c r="A85" s="4301"/>
      <c r="B85" s="2382" t="s">
        <v>17</v>
      </c>
      <c r="C85" s="4430" t="s">
        <v>21</v>
      </c>
      <c r="D85" s="1538">
        <f>D86</f>
        <v>2033800</v>
      </c>
      <c r="E85" s="1538">
        <f t="shared" ref="E85:M85" si="63">+E86</f>
        <v>10954</v>
      </c>
      <c r="F85" s="1538">
        <f t="shared" si="63"/>
        <v>1146523</v>
      </c>
      <c r="G85" s="1538">
        <f t="shared" si="63"/>
        <v>876323</v>
      </c>
      <c r="H85" s="2643">
        <f t="shared" si="63"/>
        <v>0</v>
      </c>
      <c r="I85" s="2643">
        <f t="shared" si="63"/>
        <v>0</v>
      </c>
      <c r="J85" s="2643">
        <f t="shared" si="63"/>
        <v>0</v>
      </c>
      <c r="K85" s="1538">
        <f>+K86</f>
        <v>0</v>
      </c>
      <c r="L85" s="1538">
        <f>+L86</f>
        <v>0</v>
      </c>
      <c r="M85" s="280" t="str">
        <f t="shared" si="63"/>
        <v>x</v>
      </c>
      <c r="N85" s="4428"/>
    </row>
    <row r="86" spans="1:16" s="154" customFormat="1" ht="14.25" customHeight="1">
      <c r="A86" s="4301"/>
      <c r="B86" s="2383" t="s">
        <v>32</v>
      </c>
      <c r="C86" s="4423"/>
      <c r="D86" s="249">
        <f>L86+K86+F86+G86+H86+I86+J86+E86</f>
        <v>2033800</v>
      </c>
      <c r="E86" s="1537">
        <v>10954</v>
      </c>
      <c r="F86" s="1537">
        <v>1146523</v>
      </c>
      <c r="G86" s="1537">
        <v>876323</v>
      </c>
      <c r="H86" s="2641">
        <v>0</v>
      </c>
      <c r="I86" s="2641">
        <v>0</v>
      </c>
      <c r="J86" s="2641">
        <v>0</v>
      </c>
      <c r="K86" s="1537"/>
      <c r="L86" s="1537">
        <v>0</v>
      </c>
      <c r="M86" s="2197" t="s">
        <v>51</v>
      </c>
      <c r="N86" s="4436"/>
    </row>
    <row r="87" spans="1:16" s="154" customFormat="1" ht="13.5" customHeight="1">
      <c r="A87" s="4301"/>
      <c r="B87" s="252" t="s">
        <v>20</v>
      </c>
      <c r="C87" s="2379"/>
      <c r="D87" s="270">
        <f>D88+D90</f>
        <v>2033800</v>
      </c>
      <c r="E87" s="2624">
        <f>+E88+E90</f>
        <v>0</v>
      </c>
      <c r="F87" s="270">
        <f>+F88+F90</f>
        <v>1157477</v>
      </c>
      <c r="G87" s="270">
        <f>+G88+G90</f>
        <v>876323</v>
      </c>
      <c r="H87" s="2624">
        <f t="shared" ref="H87:J87" si="64">+H88+H90</f>
        <v>0</v>
      </c>
      <c r="I87" s="2624">
        <f t="shared" si="64"/>
        <v>0</v>
      </c>
      <c r="J87" s="2624">
        <f t="shared" si="64"/>
        <v>0</v>
      </c>
      <c r="K87" s="270">
        <f>+K88+K90</f>
        <v>0</v>
      </c>
      <c r="L87" s="270">
        <f>+L88+L90</f>
        <v>0</v>
      </c>
      <c r="M87" s="4220" t="s">
        <v>51</v>
      </c>
      <c r="N87" s="4428"/>
    </row>
    <row r="88" spans="1:16" s="154" customFormat="1" ht="13.5" hidden="1" customHeight="1">
      <c r="A88" s="4301"/>
      <c r="B88" s="2363" t="s">
        <v>22</v>
      </c>
      <c r="C88" s="4412" t="s">
        <v>146</v>
      </c>
      <c r="D88" s="2384"/>
      <c r="E88" s="2644">
        <f t="shared" ref="E88:G88" si="65">+E89</f>
        <v>0</v>
      </c>
      <c r="F88" s="2384">
        <f t="shared" si="65"/>
        <v>0</v>
      </c>
      <c r="G88" s="2384">
        <f t="shared" si="65"/>
        <v>0</v>
      </c>
      <c r="H88" s="2644"/>
      <c r="I88" s="2644"/>
      <c r="J88" s="2644"/>
      <c r="K88" s="2384">
        <f>+K89</f>
        <v>0</v>
      </c>
      <c r="L88" s="2384">
        <f>+L89</f>
        <v>0</v>
      </c>
      <c r="M88" s="4221"/>
      <c r="N88" s="4428"/>
    </row>
    <row r="89" spans="1:16" s="154" customFormat="1" ht="13.5" hidden="1" customHeight="1">
      <c r="A89" s="4301"/>
      <c r="B89" s="2376" t="s">
        <v>124</v>
      </c>
      <c r="C89" s="4413"/>
      <c r="D89" s="249"/>
      <c r="E89" s="2641">
        <v>0</v>
      </c>
      <c r="F89" s="1536">
        <v>0</v>
      </c>
      <c r="G89" s="1536">
        <v>0</v>
      </c>
      <c r="H89" s="2641"/>
      <c r="I89" s="2641"/>
      <c r="J89" s="2641"/>
      <c r="K89" s="1536">
        <v>0</v>
      </c>
      <c r="L89" s="1536">
        <v>0</v>
      </c>
      <c r="M89" s="4221"/>
      <c r="N89" s="4428"/>
      <c r="P89" s="81">
        <v>-1488145</v>
      </c>
    </row>
    <row r="90" spans="1:16" s="154" customFormat="1" ht="13.5" customHeight="1">
      <c r="A90" s="4301"/>
      <c r="B90" s="2385" t="s">
        <v>17</v>
      </c>
      <c r="C90" s="4414" t="s">
        <v>21</v>
      </c>
      <c r="D90" s="788">
        <f>D91</f>
        <v>2033800</v>
      </c>
      <c r="E90" s="2637">
        <f t="shared" ref="E90:L90" si="66">+E91</f>
        <v>0</v>
      </c>
      <c r="F90" s="250">
        <f t="shared" si="66"/>
        <v>1157477</v>
      </c>
      <c r="G90" s="250">
        <f t="shared" si="66"/>
        <v>876323</v>
      </c>
      <c r="H90" s="2637">
        <f t="shared" si="66"/>
        <v>0</v>
      </c>
      <c r="I90" s="2637">
        <f t="shared" si="66"/>
        <v>0</v>
      </c>
      <c r="J90" s="2637">
        <f t="shared" si="66"/>
        <v>0</v>
      </c>
      <c r="K90" s="250">
        <f t="shared" si="66"/>
        <v>0</v>
      </c>
      <c r="L90" s="250">
        <f t="shared" si="66"/>
        <v>0</v>
      </c>
      <c r="M90" s="4221"/>
      <c r="N90" s="4428"/>
    </row>
    <row r="91" spans="1:16" s="154" customFormat="1" ht="15" customHeight="1" thickBot="1">
      <c r="A91" s="4238"/>
      <c r="B91" s="2386" t="s">
        <v>32</v>
      </c>
      <c r="C91" s="4415"/>
      <c r="D91" s="857">
        <f>K91+F91+G91+H91+I91+J91</f>
        <v>2033800</v>
      </c>
      <c r="E91" s="2638">
        <f>10954-10954</f>
        <v>0</v>
      </c>
      <c r="F91" s="275">
        <f>1146523+10954</f>
        <v>1157477</v>
      </c>
      <c r="G91" s="275">
        <v>876323</v>
      </c>
      <c r="H91" s="2638">
        <v>0</v>
      </c>
      <c r="I91" s="2638">
        <v>0</v>
      </c>
      <c r="J91" s="2638">
        <v>0</v>
      </c>
      <c r="K91" s="275">
        <f>10954-10954</f>
        <v>0</v>
      </c>
      <c r="L91" s="275">
        <v>0</v>
      </c>
      <c r="M91" s="4222"/>
      <c r="N91" s="4437"/>
    </row>
    <row r="92" spans="1:16" s="154" customFormat="1" ht="30.75" customHeight="1">
      <c r="A92" s="4467" t="s">
        <v>76</v>
      </c>
      <c r="B92" s="279" t="s">
        <v>380</v>
      </c>
      <c r="C92" s="1480" t="s">
        <v>70</v>
      </c>
      <c r="D92" s="1481"/>
      <c r="E92" s="2127"/>
      <c r="F92" s="215"/>
      <c r="G92" s="215"/>
      <c r="H92" s="215"/>
      <c r="I92" s="215"/>
      <c r="J92" s="762"/>
      <c r="K92" s="215"/>
      <c r="L92" s="215"/>
      <c r="M92" s="287"/>
      <c r="N92" s="4427" t="s">
        <v>381</v>
      </c>
    </row>
    <row r="93" spans="1:16" s="154" customFormat="1" ht="13.5" customHeight="1">
      <c r="A93" s="4468"/>
      <c r="B93" s="850" t="s">
        <v>9</v>
      </c>
      <c r="C93" s="1133"/>
      <c r="D93" s="794">
        <f>+D94+D98</f>
        <v>650203</v>
      </c>
      <c r="E93" s="794">
        <f t="shared" ref="E93" si="67">+E94+E98</f>
        <v>210203</v>
      </c>
      <c r="F93" s="794">
        <f>+F94+F98</f>
        <v>440000</v>
      </c>
      <c r="G93" s="2628">
        <f>+G94+G98</f>
        <v>0</v>
      </c>
      <c r="H93" s="2628">
        <f t="shared" ref="H93:J93" si="68">+H94+H98</f>
        <v>0</v>
      </c>
      <c r="I93" s="2628">
        <f t="shared" si="68"/>
        <v>0</v>
      </c>
      <c r="J93" s="2628">
        <f t="shared" si="68"/>
        <v>0</v>
      </c>
      <c r="K93" s="794">
        <f t="shared" ref="K93" si="69">+K94+K98</f>
        <v>0</v>
      </c>
      <c r="L93" s="794">
        <f>+L94+L98</f>
        <v>0</v>
      </c>
      <c r="M93" s="1449">
        <f>+M94</f>
        <v>200000</v>
      </c>
      <c r="N93" s="4428"/>
    </row>
    <row r="94" spans="1:16" s="154" customFormat="1" ht="13.5" customHeight="1">
      <c r="A94" s="4468"/>
      <c r="B94" s="1134" t="s">
        <v>22</v>
      </c>
      <c r="C94" s="1662"/>
      <c r="D94" s="788">
        <f>D96+D95+D97</f>
        <v>650203</v>
      </c>
      <c r="E94" s="788">
        <f t="shared" ref="E94" si="70">E96+E95+E97</f>
        <v>210203</v>
      </c>
      <c r="F94" s="788">
        <f t="shared" ref="F94:J94" si="71">F96+F95+F97</f>
        <v>440000</v>
      </c>
      <c r="G94" s="2629">
        <f t="shared" si="71"/>
        <v>0</v>
      </c>
      <c r="H94" s="2629">
        <f t="shared" si="71"/>
        <v>0</v>
      </c>
      <c r="I94" s="2629">
        <f t="shared" si="71"/>
        <v>0</v>
      </c>
      <c r="J94" s="2629">
        <f t="shared" si="71"/>
        <v>0</v>
      </c>
      <c r="K94" s="788">
        <f>K96+K95+K97</f>
        <v>0</v>
      </c>
      <c r="L94" s="788">
        <f>L96+L95+L97</f>
        <v>0</v>
      </c>
      <c r="M94" s="1450">
        <f>+M96</f>
        <v>200000</v>
      </c>
      <c r="N94" s="4428"/>
    </row>
    <row r="95" spans="1:16" s="154" customFormat="1" ht="13.5" customHeight="1">
      <c r="A95" s="4468"/>
      <c r="B95" s="1135" t="s">
        <v>29</v>
      </c>
      <c r="C95" s="3604" t="s">
        <v>21</v>
      </c>
      <c r="D95" s="766">
        <f>E95+L95+K95+F95+G95+H95+I95+J95</f>
        <v>50203</v>
      </c>
      <c r="E95" s="1136">
        <f>7500+2703</f>
        <v>10203</v>
      </c>
      <c r="F95" s="1136">
        <v>40000</v>
      </c>
      <c r="G95" s="2645">
        <v>0</v>
      </c>
      <c r="H95" s="2646">
        <v>0</v>
      </c>
      <c r="I95" s="2646">
        <v>0</v>
      </c>
      <c r="J95" s="2646">
        <v>0</v>
      </c>
      <c r="K95" s="1136"/>
      <c r="L95" s="1136"/>
      <c r="M95" s="1371" t="s">
        <v>51</v>
      </c>
      <c r="N95" s="4428"/>
    </row>
    <row r="96" spans="1:16" s="154" customFormat="1" ht="13.5" customHeight="1">
      <c r="A96" s="4468"/>
      <c r="B96" s="1137" t="s">
        <v>108</v>
      </c>
      <c r="C96" s="1675" t="s">
        <v>146</v>
      </c>
      <c r="D96" s="766">
        <f>E96+L96+K96+F96+G96+H96+I96+J96</f>
        <v>300000</v>
      </c>
      <c r="E96" s="1138">
        <v>100000</v>
      </c>
      <c r="F96" s="1138">
        <v>200000</v>
      </c>
      <c r="G96" s="2647">
        <v>0</v>
      </c>
      <c r="H96" s="2647">
        <v>0</v>
      </c>
      <c r="I96" s="2647">
        <v>0</v>
      </c>
      <c r="J96" s="2647">
        <v>0</v>
      </c>
      <c r="K96" s="1138"/>
      <c r="L96" s="1138"/>
      <c r="M96" s="269">
        <f>SUM(F96:J96)</f>
        <v>200000</v>
      </c>
      <c r="N96" s="4428"/>
    </row>
    <row r="97" spans="1:14" s="154" customFormat="1" ht="13.5" customHeight="1">
      <c r="A97" s="4468"/>
      <c r="B97" s="2387" t="s">
        <v>338</v>
      </c>
      <c r="C97" s="4414" t="s">
        <v>21</v>
      </c>
      <c r="D97" s="766">
        <f>E97+L97+K97+F97+G97+H97+I97+J97</f>
        <v>300000</v>
      </c>
      <c r="E97" s="1456">
        <v>100000</v>
      </c>
      <c r="F97" s="1456">
        <v>200000</v>
      </c>
      <c r="G97" s="2648">
        <v>0</v>
      </c>
      <c r="H97" s="2648">
        <v>0</v>
      </c>
      <c r="I97" s="2648">
        <v>0</v>
      </c>
      <c r="J97" s="2649">
        <v>0</v>
      </c>
      <c r="K97" s="1456"/>
      <c r="L97" s="1456"/>
      <c r="M97" s="1371" t="s">
        <v>51</v>
      </c>
      <c r="N97" s="4428"/>
    </row>
    <row r="98" spans="1:14" s="154" customFormat="1" ht="13.5" hidden="1" customHeight="1">
      <c r="A98" s="4468"/>
      <c r="B98" s="2388" t="s">
        <v>17</v>
      </c>
      <c r="C98" s="4422"/>
      <c r="D98" s="1457">
        <f>+D99</f>
        <v>0</v>
      </c>
      <c r="E98" s="1457">
        <f t="shared" ref="E98:M98" si="72">+E99</f>
        <v>0</v>
      </c>
      <c r="F98" s="1457">
        <f t="shared" si="72"/>
        <v>0</v>
      </c>
      <c r="G98" s="2650">
        <f t="shared" si="72"/>
        <v>0</v>
      </c>
      <c r="H98" s="2650">
        <f t="shared" si="72"/>
        <v>0</v>
      </c>
      <c r="I98" s="2650">
        <f t="shared" si="72"/>
        <v>0</v>
      </c>
      <c r="J98" s="2650"/>
      <c r="K98" s="1457">
        <f>+K99</f>
        <v>0</v>
      </c>
      <c r="L98" s="1457">
        <f>+L99</f>
        <v>0</v>
      </c>
      <c r="M98" s="1458" t="str">
        <f t="shared" si="72"/>
        <v>x</v>
      </c>
      <c r="N98" s="4428"/>
    </row>
    <row r="99" spans="1:14" s="154" customFormat="1" ht="13.5" hidden="1" customHeight="1">
      <c r="A99" s="4468"/>
      <c r="B99" s="1137" t="s">
        <v>32</v>
      </c>
      <c r="C99" s="4423"/>
      <c r="D99" s="766">
        <f>E99+L99+K99+F99+G99+H99+I99+J99</f>
        <v>0</v>
      </c>
      <c r="E99" s="853"/>
      <c r="F99" s="853"/>
      <c r="G99" s="2651"/>
      <c r="H99" s="2652"/>
      <c r="I99" s="2652"/>
      <c r="J99" s="2652"/>
      <c r="K99" s="853"/>
      <c r="L99" s="853"/>
      <c r="M99" s="1372" t="s">
        <v>51</v>
      </c>
      <c r="N99" s="4428"/>
    </row>
    <row r="100" spans="1:14" s="154" customFormat="1" ht="13.5" customHeight="1">
      <c r="A100" s="4468"/>
      <c r="B100" s="2389" t="s">
        <v>20</v>
      </c>
      <c r="C100" s="2390"/>
      <c r="D100" s="1296">
        <f>D104+D101</f>
        <v>300000</v>
      </c>
      <c r="E100" s="1296">
        <f t="shared" ref="E100" si="73">E104+E101</f>
        <v>100000</v>
      </c>
      <c r="F100" s="1296">
        <f>F104+F101</f>
        <v>200000</v>
      </c>
      <c r="G100" s="2653">
        <f>G104+G101</f>
        <v>0</v>
      </c>
      <c r="H100" s="2653">
        <f t="shared" ref="H100:J100" si="74">H104+H101</f>
        <v>0</v>
      </c>
      <c r="I100" s="2653">
        <f t="shared" si="74"/>
        <v>0</v>
      </c>
      <c r="J100" s="2653">
        <f t="shared" si="74"/>
        <v>0</v>
      </c>
      <c r="K100" s="1296">
        <f t="shared" ref="K100" si="75">K104+K101</f>
        <v>0</v>
      </c>
      <c r="L100" s="1296">
        <f>L104+L101</f>
        <v>0</v>
      </c>
      <c r="M100" s="4473" t="s">
        <v>51</v>
      </c>
      <c r="N100" s="4428"/>
    </row>
    <row r="101" spans="1:14" s="154" customFormat="1" ht="13.5" customHeight="1">
      <c r="A101" s="4468"/>
      <c r="B101" s="854" t="s">
        <v>22</v>
      </c>
      <c r="C101" s="4470" t="s">
        <v>51</v>
      </c>
      <c r="D101" s="845">
        <f>+D102+D103</f>
        <v>300000</v>
      </c>
      <c r="E101" s="845">
        <f t="shared" ref="E101" si="76">+E102+E103</f>
        <v>100000</v>
      </c>
      <c r="F101" s="845">
        <f t="shared" ref="F101:J101" si="77">+F102+F103</f>
        <v>200000</v>
      </c>
      <c r="G101" s="2654">
        <f t="shared" si="77"/>
        <v>0</v>
      </c>
      <c r="H101" s="2654">
        <f t="shared" si="77"/>
        <v>0</v>
      </c>
      <c r="I101" s="2654">
        <f t="shared" si="77"/>
        <v>0</v>
      </c>
      <c r="J101" s="2654">
        <f t="shared" si="77"/>
        <v>0</v>
      </c>
      <c r="K101" s="845">
        <f>+K102+K103</f>
        <v>0</v>
      </c>
      <c r="L101" s="845">
        <f>+L102+L103</f>
        <v>0</v>
      </c>
      <c r="M101" s="4474"/>
      <c r="N101" s="4428"/>
    </row>
    <row r="102" spans="1:14" s="154" customFormat="1" ht="13.5" hidden="1" customHeight="1">
      <c r="A102" s="4468"/>
      <c r="B102" s="2391" t="s">
        <v>132</v>
      </c>
      <c r="C102" s="4471"/>
      <c r="D102" s="787">
        <f>E102+L102+K102+F102+G102+H102+I102+J102</f>
        <v>0</v>
      </c>
      <c r="E102" s="1138"/>
      <c r="F102" s="1138"/>
      <c r="G102" s="2647"/>
      <c r="H102" s="2647"/>
      <c r="I102" s="2647"/>
      <c r="J102" s="2647"/>
      <c r="K102" s="1138"/>
      <c r="L102" s="1138"/>
      <c r="M102" s="4474"/>
      <c r="N102" s="4428"/>
    </row>
    <row r="103" spans="1:14" s="154" customFormat="1" ht="13.5" customHeight="1" thickBot="1">
      <c r="A103" s="4468"/>
      <c r="B103" s="855" t="s">
        <v>338</v>
      </c>
      <c r="C103" s="4471"/>
      <c r="D103" s="1003">
        <f>E103+L103+K103+F103+G103+H103+I103+J103</f>
        <v>300000</v>
      </c>
      <c r="E103" s="1156">
        <v>100000</v>
      </c>
      <c r="F103" s="1156">
        <v>200000</v>
      </c>
      <c r="G103" s="2655">
        <v>0</v>
      </c>
      <c r="H103" s="2655">
        <v>0</v>
      </c>
      <c r="I103" s="2655">
        <v>0</v>
      </c>
      <c r="J103" s="2655">
        <v>0</v>
      </c>
      <c r="K103" s="1156"/>
      <c r="L103" s="1156"/>
      <c r="M103" s="4474"/>
      <c r="N103" s="4428"/>
    </row>
    <row r="104" spans="1:14" s="154" customFormat="1" ht="13.5" hidden="1" customHeight="1" thickBot="1">
      <c r="A104" s="4469"/>
      <c r="B104" s="2392" t="s">
        <v>17</v>
      </c>
      <c r="C104" s="4472"/>
      <c r="D104" s="1424">
        <f>+D105</f>
        <v>0</v>
      </c>
      <c r="E104" s="1424">
        <f t="shared" ref="E104:I104" si="78">+E105</f>
        <v>0</v>
      </c>
      <c r="F104" s="1424">
        <f t="shared" si="78"/>
        <v>0</v>
      </c>
      <c r="G104" s="1424">
        <f t="shared" si="78"/>
        <v>0</v>
      </c>
      <c r="H104" s="1424">
        <f t="shared" si="78"/>
        <v>0</v>
      </c>
      <c r="I104" s="1424">
        <f t="shared" si="78"/>
        <v>0</v>
      </c>
      <c r="J104" s="1424"/>
      <c r="K104" s="1424">
        <f>+K105</f>
        <v>0</v>
      </c>
      <c r="L104" s="1424">
        <f>+L105</f>
        <v>0</v>
      </c>
      <c r="M104" s="4475"/>
      <c r="N104" s="4429"/>
    </row>
    <row r="105" spans="1:14" s="154" customFormat="1" ht="16.5" hidden="1" customHeight="1" thickBot="1">
      <c r="A105" s="1577"/>
      <c r="B105" s="1578" t="s">
        <v>32</v>
      </c>
      <c r="C105" s="1579"/>
      <c r="D105" s="1572">
        <f>E105+L105+K105+F105+G105+H105+I105+J105</f>
        <v>0</v>
      </c>
      <c r="E105" s="1747">
        <v>0</v>
      </c>
      <c r="F105" s="1573"/>
      <c r="G105" s="1573"/>
      <c r="H105" s="1573"/>
      <c r="I105" s="1573"/>
      <c r="J105" s="1573"/>
      <c r="K105" s="1573"/>
      <c r="L105" s="1573">
        <v>0</v>
      </c>
      <c r="M105" s="1581"/>
      <c r="N105" s="1580"/>
    </row>
    <row r="106" spans="1:14" s="154" customFormat="1" ht="29.25" customHeight="1" thickBot="1">
      <c r="A106" s="4424" t="s">
        <v>77</v>
      </c>
      <c r="B106" s="279" t="s">
        <v>593</v>
      </c>
      <c r="C106" s="1574" t="s">
        <v>70</v>
      </c>
      <c r="D106" s="1483"/>
      <c r="E106" s="215"/>
      <c r="F106" s="215"/>
      <c r="G106" s="215"/>
      <c r="H106" s="215"/>
      <c r="I106" s="215"/>
      <c r="J106" s="762"/>
      <c r="K106" s="215"/>
      <c r="L106" s="215"/>
      <c r="M106" s="1575"/>
      <c r="N106" s="4476" t="s">
        <v>147</v>
      </c>
    </row>
    <row r="107" spans="1:14" s="202" customFormat="1" ht="16.5" customHeight="1">
      <c r="A107" s="4425"/>
      <c r="B107" s="718" t="s">
        <v>9</v>
      </c>
      <c r="C107" s="1466"/>
      <c r="D107" s="717">
        <f>D108+D111</f>
        <v>24869527</v>
      </c>
      <c r="E107" s="717">
        <f>E108+E111</f>
        <v>806795</v>
      </c>
      <c r="F107" s="717">
        <f>+F108+F111</f>
        <v>65252</v>
      </c>
      <c r="G107" s="717">
        <f>+G108+G111</f>
        <v>5000000</v>
      </c>
      <c r="H107" s="717">
        <f t="shared" ref="H107:J107" si="79">+H108+H111</f>
        <v>8000000</v>
      </c>
      <c r="I107" s="717">
        <f t="shared" si="79"/>
        <v>10997480</v>
      </c>
      <c r="J107" s="2628">
        <f t="shared" si="79"/>
        <v>0</v>
      </c>
      <c r="K107" s="717">
        <f t="shared" ref="K107" si="80">+K108+K111</f>
        <v>0</v>
      </c>
      <c r="L107" s="717">
        <f>+L108+L111</f>
        <v>0</v>
      </c>
      <c r="M107" s="1467">
        <f>+M108</f>
        <v>24062732</v>
      </c>
      <c r="N107" s="4477"/>
    </row>
    <row r="108" spans="1:14" s="154" customFormat="1" ht="13.5" customHeight="1">
      <c r="A108" s="4425"/>
      <c r="B108" s="1463" t="s">
        <v>22</v>
      </c>
      <c r="C108" s="1662"/>
      <c r="D108" s="788">
        <f>D109+D110</f>
        <v>24344627</v>
      </c>
      <c r="E108" s="788">
        <f t="shared" ref="E108" si="81">E109+E110</f>
        <v>281895</v>
      </c>
      <c r="F108" s="788">
        <f t="shared" ref="F108:G108" si="82">F110</f>
        <v>65252</v>
      </c>
      <c r="G108" s="788">
        <f t="shared" si="82"/>
        <v>5000000</v>
      </c>
      <c r="H108" s="788">
        <f t="shared" ref="H108:J108" si="83">H110</f>
        <v>8000000</v>
      </c>
      <c r="I108" s="788">
        <f t="shared" si="83"/>
        <v>10997480</v>
      </c>
      <c r="J108" s="2629">
        <f t="shared" si="83"/>
        <v>0</v>
      </c>
      <c r="K108" s="788">
        <f>K110</f>
        <v>0</v>
      </c>
      <c r="L108" s="788">
        <f>L109+L110</f>
        <v>0</v>
      </c>
      <c r="M108" s="1465">
        <f>+M110</f>
        <v>24062732</v>
      </c>
      <c r="N108" s="4477"/>
    </row>
    <row r="109" spans="1:14" s="154" customFormat="1" ht="13.5" customHeight="1" thickBot="1">
      <c r="A109" s="4426"/>
      <c r="B109" s="3775" t="s">
        <v>29</v>
      </c>
      <c r="C109" s="3604" t="s">
        <v>21</v>
      </c>
      <c r="D109" s="1130">
        <f>E109+L109+K109+F109+G109+H109+I109+J109</f>
        <v>23900</v>
      </c>
      <c r="E109" s="1132">
        <v>23900</v>
      </c>
      <c r="F109" s="2635">
        <v>0</v>
      </c>
      <c r="G109" s="2635">
        <v>0</v>
      </c>
      <c r="H109" s="2635">
        <v>0</v>
      </c>
      <c r="I109" s="2635">
        <v>0</v>
      </c>
      <c r="J109" s="2635">
        <v>0</v>
      </c>
      <c r="K109" s="277"/>
      <c r="L109" s="1132"/>
      <c r="M109" s="2656">
        <v>0</v>
      </c>
      <c r="N109" s="4478"/>
    </row>
    <row r="110" spans="1:14" s="154" customFormat="1" ht="13.5" customHeight="1" thickBot="1">
      <c r="A110" s="4424"/>
      <c r="B110" s="3779" t="s">
        <v>108</v>
      </c>
      <c r="C110" s="1675" t="s">
        <v>268</v>
      </c>
      <c r="D110" s="853">
        <f>E110+L110+K110+F110+G110+H110+I110+J110</f>
        <v>24320727</v>
      </c>
      <c r="E110" s="780">
        <f>120727+137268</f>
        <v>257995</v>
      </c>
      <c r="F110" s="780">
        <f>8165000+1177732-9277480</f>
        <v>65252</v>
      </c>
      <c r="G110" s="780">
        <f>14720000-9720000</f>
        <v>5000000</v>
      </c>
      <c r="H110" s="780">
        <v>8000000</v>
      </c>
      <c r="I110" s="780">
        <f>8000000+2997480</f>
        <v>10997480</v>
      </c>
      <c r="J110" s="2630">
        <v>0</v>
      </c>
      <c r="K110" s="780"/>
      <c r="L110" s="780">
        <v>0</v>
      </c>
      <c r="M110" s="269">
        <f>SUM(F110:J110)</f>
        <v>24062732</v>
      </c>
      <c r="N110" s="4479"/>
    </row>
    <row r="111" spans="1:14" s="154" customFormat="1" ht="13.5" customHeight="1" thickBot="1">
      <c r="A111" s="4424"/>
      <c r="B111" s="3780" t="s">
        <v>17</v>
      </c>
      <c r="C111" s="4481" t="s">
        <v>21</v>
      </c>
      <c r="D111" s="788">
        <f>D112</f>
        <v>524900</v>
      </c>
      <c r="E111" s="788">
        <f>E112</f>
        <v>524900</v>
      </c>
      <c r="F111" s="2629">
        <f t="shared" ref="F111:M111" si="84">+F112</f>
        <v>0</v>
      </c>
      <c r="G111" s="2629">
        <f t="shared" si="84"/>
        <v>0</v>
      </c>
      <c r="H111" s="2629">
        <f t="shared" si="84"/>
        <v>0</v>
      </c>
      <c r="I111" s="2629">
        <f t="shared" si="84"/>
        <v>0</v>
      </c>
      <c r="J111" s="2629">
        <f t="shared" si="84"/>
        <v>0</v>
      </c>
      <c r="K111" s="788">
        <f>+K112</f>
        <v>0</v>
      </c>
      <c r="L111" s="788">
        <f>+L112</f>
        <v>0</v>
      </c>
      <c r="M111" s="280" t="str">
        <f t="shared" si="84"/>
        <v>x</v>
      </c>
      <c r="N111" s="4479"/>
    </row>
    <row r="112" spans="1:14" s="154" customFormat="1" ht="13.5" customHeight="1" thickBot="1">
      <c r="A112" s="4424"/>
      <c r="B112" s="3779" t="s">
        <v>32</v>
      </c>
      <c r="C112" s="4482"/>
      <c r="D112" s="853">
        <f>E112+L112+K112+F112+H112+I112+J112</f>
        <v>524900</v>
      </c>
      <c r="E112" s="780">
        <v>524900</v>
      </c>
      <c r="F112" s="2592">
        <v>0</v>
      </c>
      <c r="G112" s="2592">
        <v>0</v>
      </c>
      <c r="H112" s="2630">
        <v>0</v>
      </c>
      <c r="I112" s="2630">
        <v>0</v>
      </c>
      <c r="J112" s="2630">
        <v>0</v>
      </c>
      <c r="K112" s="780">
        <v>0</v>
      </c>
      <c r="L112" s="780">
        <v>0</v>
      </c>
      <c r="M112" s="280" t="s">
        <v>51</v>
      </c>
      <c r="N112" s="4479"/>
    </row>
    <row r="113" spans="1:16" s="202" customFormat="1" ht="16.5" customHeight="1" thickBot="1">
      <c r="A113" s="4424"/>
      <c r="B113" s="850" t="s">
        <v>20</v>
      </c>
      <c r="C113" s="1462"/>
      <c r="D113" s="790">
        <f>D114+D116</f>
        <v>961419</v>
      </c>
      <c r="E113" s="790">
        <f>E114+E116</f>
        <v>646453</v>
      </c>
      <c r="F113" s="790">
        <f>F116+F114</f>
        <v>854</v>
      </c>
      <c r="G113" s="790">
        <f>G116+G114</f>
        <v>65447</v>
      </c>
      <c r="H113" s="790">
        <f t="shared" ref="H113:J113" si="85">H116+H114</f>
        <v>104715</v>
      </c>
      <c r="I113" s="790">
        <f t="shared" si="85"/>
        <v>143950</v>
      </c>
      <c r="J113" s="2628">
        <f t="shared" si="85"/>
        <v>0</v>
      </c>
      <c r="K113" s="790">
        <f t="shared" ref="K113" si="86">K116+K114</f>
        <v>0</v>
      </c>
      <c r="L113" s="790">
        <f>L116+L114</f>
        <v>0</v>
      </c>
      <c r="M113" s="4243" t="s">
        <v>51</v>
      </c>
      <c r="N113" s="4479"/>
    </row>
    <row r="114" spans="1:16" s="154" customFormat="1" ht="13.5" customHeight="1" thickBot="1">
      <c r="A114" s="4424"/>
      <c r="B114" s="1463" t="s">
        <v>22</v>
      </c>
      <c r="C114" s="4483" t="s">
        <v>148</v>
      </c>
      <c r="D114" s="1576">
        <f>D115</f>
        <v>436519</v>
      </c>
      <c r="E114" s="1576">
        <f>E115</f>
        <v>121553</v>
      </c>
      <c r="F114" s="1576">
        <f t="shared" ref="F114:J114" si="87">+F115</f>
        <v>854</v>
      </c>
      <c r="G114" s="1576">
        <f t="shared" si="87"/>
        <v>65447</v>
      </c>
      <c r="H114" s="1576">
        <f t="shared" si="87"/>
        <v>104715</v>
      </c>
      <c r="I114" s="1576">
        <f t="shared" si="87"/>
        <v>143950</v>
      </c>
      <c r="J114" s="2629">
        <f t="shared" si="87"/>
        <v>0</v>
      </c>
      <c r="K114" s="1576">
        <f>+K115</f>
        <v>0</v>
      </c>
      <c r="L114" s="1576">
        <f>+L115</f>
        <v>0</v>
      </c>
      <c r="M114" s="4251"/>
      <c r="N114" s="4479"/>
      <c r="P114" s="81">
        <v>-4922063</v>
      </c>
    </row>
    <row r="115" spans="1:16" s="154" customFormat="1" ht="13.5" customHeight="1" thickBot="1">
      <c r="A115" s="4424"/>
      <c r="B115" s="3779" t="s">
        <v>132</v>
      </c>
      <c r="C115" s="4484"/>
      <c r="D115" s="853">
        <f>E115+L115+K115+F115+G115+H115+I115+J115</f>
        <v>436519</v>
      </c>
      <c r="E115" s="780">
        <f>119520+2033</f>
        <v>121553</v>
      </c>
      <c r="F115" s="1136">
        <f>120921+17442-137509</f>
        <v>854</v>
      </c>
      <c r="G115" s="1136">
        <f>218000-152553</f>
        <v>65447</v>
      </c>
      <c r="H115" s="1136">
        <v>104715</v>
      </c>
      <c r="I115" s="1136">
        <f>104715+39235</f>
        <v>143950</v>
      </c>
      <c r="J115" s="2630">
        <v>0</v>
      </c>
      <c r="K115" s="1136"/>
      <c r="L115" s="1136">
        <v>0</v>
      </c>
      <c r="M115" s="4251"/>
      <c r="N115" s="4479"/>
    </row>
    <row r="116" spans="1:16" s="154" customFormat="1" ht="13.5" customHeight="1" thickBot="1">
      <c r="A116" s="4424"/>
      <c r="B116" s="3780" t="s">
        <v>17</v>
      </c>
      <c r="C116" s="4481" t="s">
        <v>21</v>
      </c>
      <c r="D116" s="788">
        <f>D117</f>
        <v>524900</v>
      </c>
      <c r="E116" s="788">
        <f>E117</f>
        <v>524900</v>
      </c>
      <c r="F116" s="2629">
        <f t="shared" ref="F116:J116" si="88">+F117</f>
        <v>0</v>
      </c>
      <c r="G116" s="2629">
        <f t="shared" si="88"/>
        <v>0</v>
      </c>
      <c r="H116" s="2629">
        <f t="shared" si="88"/>
        <v>0</v>
      </c>
      <c r="I116" s="2629">
        <f t="shared" si="88"/>
        <v>0</v>
      </c>
      <c r="J116" s="2629">
        <f t="shared" si="88"/>
        <v>0</v>
      </c>
      <c r="K116" s="788">
        <f>+K117</f>
        <v>0</v>
      </c>
      <c r="L116" s="788">
        <f>+L117</f>
        <v>0</v>
      </c>
      <c r="M116" s="4251"/>
      <c r="N116" s="4479"/>
    </row>
    <row r="117" spans="1:16" s="154" customFormat="1" ht="13.5" customHeight="1" thickBot="1">
      <c r="A117" s="4424"/>
      <c r="B117" s="3781" t="s">
        <v>32</v>
      </c>
      <c r="C117" s="4485"/>
      <c r="D117" s="857">
        <f>E117+L117+K117+F117+G117+H117+I117+J117</f>
        <v>524900</v>
      </c>
      <c r="E117" s="975">
        <v>524900</v>
      </c>
      <c r="F117" s="2658">
        <v>0</v>
      </c>
      <c r="G117" s="2658">
        <v>0</v>
      </c>
      <c r="H117" s="2658">
        <v>0</v>
      </c>
      <c r="I117" s="2658">
        <v>0</v>
      </c>
      <c r="J117" s="2658">
        <v>0</v>
      </c>
      <c r="K117" s="975">
        <v>0</v>
      </c>
      <c r="L117" s="975">
        <v>0</v>
      </c>
      <c r="M117" s="4252"/>
      <c r="N117" s="4480"/>
    </row>
    <row r="118" spans="1:16" s="154" customFormat="1" ht="29.25" hidden="1" customHeight="1">
      <c r="A118" s="4301" t="s">
        <v>78</v>
      </c>
      <c r="B118" s="1539"/>
      <c r="C118" s="1484" t="s">
        <v>70</v>
      </c>
      <c r="D118" s="1603"/>
      <c r="E118" s="1116"/>
      <c r="F118" s="1116"/>
      <c r="G118" s="1116"/>
      <c r="H118" s="1116"/>
      <c r="I118" s="1116"/>
      <c r="J118" s="1604"/>
      <c r="K118" s="1116"/>
      <c r="L118" s="1116"/>
      <c r="M118" s="272"/>
      <c r="N118" s="4428" t="s">
        <v>279</v>
      </c>
    </row>
    <row r="119" spans="1:16" s="154" customFormat="1" ht="13.5" hidden="1" customHeight="1">
      <c r="A119" s="4301"/>
      <c r="B119" s="850" t="s">
        <v>9</v>
      </c>
      <c r="C119" s="1133"/>
      <c r="D119" s="794">
        <f>+D120+D123</f>
        <v>0</v>
      </c>
      <c r="E119" s="794">
        <f t="shared" ref="E119" si="89">+E120+E123</f>
        <v>0</v>
      </c>
      <c r="F119" s="794">
        <f>+F120+F123</f>
        <v>0</v>
      </c>
      <c r="G119" s="794">
        <f>+G120+G123</f>
        <v>0</v>
      </c>
      <c r="H119" s="794">
        <f t="shared" ref="H119:I119" si="90">+H120+H123</f>
        <v>0</v>
      </c>
      <c r="I119" s="794">
        <f t="shared" si="90"/>
        <v>0</v>
      </c>
      <c r="J119" s="794"/>
      <c r="K119" s="794">
        <f t="shared" ref="K119" si="91">+K120+K123</f>
        <v>0</v>
      </c>
      <c r="L119" s="794">
        <f>+L120+L123</f>
        <v>0</v>
      </c>
      <c r="M119" s="851">
        <f>+M120</f>
        <v>0</v>
      </c>
      <c r="N119" s="4428"/>
    </row>
    <row r="120" spans="1:16" s="154" customFormat="1" ht="12" hidden="1" customHeight="1">
      <c r="A120" s="4301"/>
      <c r="B120" s="1134" t="s">
        <v>22</v>
      </c>
      <c r="C120" s="1662"/>
      <c r="D120" s="788">
        <f>D122+D121</f>
        <v>0</v>
      </c>
      <c r="E120" s="788">
        <f t="shared" ref="E120" si="92">E122+E121</f>
        <v>0</v>
      </c>
      <c r="F120" s="788">
        <f t="shared" ref="F120:I120" si="93">F122+F121</f>
        <v>0</v>
      </c>
      <c r="G120" s="788">
        <f t="shared" si="93"/>
        <v>0</v>
      </c>
      <c r="H120" s="788">
        <f t="shared" si="93"/>
        <v>0</v>
      </c>
      <c r="I120" s="788">
        <f t="shared" si="93"/>
        <v>0</v>
      </c>
      <c r="J120" s="788"/>
      <c r="K120" s="788">
        <f>K122+K121</f>
        <v>0</v>
      </c>
      <c r="L120" s="788">
        <f>L122+L121</f>
        <v>0</v>
      </c>
      <c r="M120" s="769">
        <f>+M122</f>
        <v>0</v>
      </c>
      <c r="N120" s="4428"/>
    </row>
    <row r="121" spans="1:16" s="154" customFormat="1" ht="12.75" hidden="1" thickBot="1">
      <c r="A121" s="4301"/>
      <c r="B121" s="1135" t="s">
        <v>29</v>
      </c>
      <c r="C121" s="3604" t="s">
        <v>21</v>
      </c>
      <c r="D121" s="766">
        <f>E121+L121+K121+F121+G121+H121+I121+J121</f>
        <v>0</v>
      </c>
      <c r="E121" s="780"/>
      <c r="F121" s="1136">
        <v>0</v>
      </c>
      <c r="G121" s="1136">
        <v>0</v>
      </c>
      <c r="H121" s="1127"/>
      <c r="I121" s="1127"/>
      <c r="J121" s="1127"/>
      <c r="K121" s="1136"/>
      <c r="L121" s="1136">
        <v>0</v>
      </c>
      <c r="M121" s="280" t="s">
        <v>51</v>
      </c>
      <c r="N121" s="4428"/>
    </row>
    <row r="122" spans="1:16" s="154" customFormat="1" ht="12.75" hidden="1" thickBot="1">
      <c r="A122" s="4301"/>
      <c r="B122" s="1137" t="s">
        <v>108</v>
      </c>
      <c r="C122" s="1675" t="s">
        <v>278</v>
      </c>
      <c r="D122" s="766">
        <f>E122+L122+K122+F122+G122+H122+I122+J122</f>
        <v>0</v>
      </c>
      <c r="E122" s="780"/>
      <c r="F122" s="1138"/>
      <c r="G122" s="1138"/>
      <c r="H122" s="1138"/>
      <c r="I122" s="1138"/>
      <c r="J122" s="1138"/>
      <c r="K122" s="1138"/>
      <c r="L122" s="1138">
        <f>62454-62454</f>
        <v>0</v>
      </c>
      <c r="M122" s="269">
        <f>SUM(F122:J122)</f>
        <v>0</v>
      </c>
      <c r="N122" s="4428"/>
    </row>
    <row r="123" spans="1:16" s="154" customFormat="1" ht="13.5" hidden="1" customHeight="1">
      <c r="A123" s="4301"/>
      <c r="B123" s="1139" t="s">
        <v>17</v>
      </c>
      <c r="C123" s="4414" t="s">
        <v>21</v>
      </c>
      <c r="D123" s="839">
        <f>+D124</f>
        <v>0</v>
      </c>
      <c r="E123" s="839">
        <f t="shared" ref="E123:M123" si="94">+E124</f>
        <v>0</v>
      </c>
      <c r="F123" s="839">
        <f t="shared" si="94"/>
        <v>0</v>
      </c>
      <c r="G123" s="839">
        <f t="shared" si="94"/>
        <v>0</v>
      </c>
      <c r="H123" s="839">
        <f t="shared" si="94"/>
        <v>0</v>
      </c>
      <c r="I123" s="839">
        <f t="shared" si="94"/>
        <v>0</v>
      </c>
      <c r="J123" s="1128"/>
      <c r="K123" s="839">
        <f>+K124</f>
        <v>0</v>
      </c>
      <c r="L123" s="839">
        <f>+L124</f>
        <v>0</v>
      </c>
      <c r="M123" s="1129" t="str">
        <f t="shared" si="94"/>
        <v>x</v>
      </c>
      <c r="N123" s="4428"/>
    </row>
    <row r="124" spans="1:16" s="154" customFormat="1" ht="12.75" hidden="1" thickBot="1">
      <c r="A124" s="4301"/>
      <c r="B124" s="1137" t="s">
        <v>32</v>
      </c>
      <c r="C124" s="4423"/>
      <c r="D124" s="766">
        <f>E124+L124+K124+F124+G124+H124+I124+J124</f>
        <v>0</v>
      </c>
      <c r="E124" s="853"/>
      <c r="F124" s="853"/>
      <c r="G124" s="853"/>
      <c r="H124" s="1130"/>
      <c r="I124" s="1130"/>
      <c r="J124" s="1130"/>
      <c r="K124" s="853"/>
      <c r="L124" s="853">
        <v>0</v>
      </c>
      <c r="M124" s="1131" t="s">
        <v>51</v>
      </c>
      <c r="N124" s="4428"/>
    </row>
    <row r="125" spans="1:16" s="154" customFormat="1" ht="13.5" hidden="1" customHeight="1">
      <c r="A125" s="4301"/>
      <c r="B125" s="850" t="s">
        <v>20</v>
      </c>
      <c r="C125" s="1140"/>
      <c r="D125" s="790">
        <f>D128+D126</f>
        <v>0</v>
      </c>
      <c r="E125" s="790">
        <f t="shared" ref="E125" si="95">E128+E126</f>
        <v>0</v>
      </c>
      <c r="F125" s="790">
        <f>F128+F126</f>
        <v>0</v>
      </c>
      <c r="G125" s="790">
        <f>G128+G126</f>
        <v>0</v>
      </c>
      <c r="H125" s="790">
        <f t="shared" ref="H125:I125" si="96">H128+H126</f>
        <v>0</v>
      </c>
      <c r="I125" s="790">
        <f t="shared" si="96"/>
        <v>0</v>
      </c>
      <c r="J125" s="790"/>
      <c r="K125" s="790">
        <f t="shared" ref="K125" si="97">K128+K126</f>
        <v>0</v>
      </c>
      <c r="L125" s="790">
        <f>L128+L126</f>
        <v>0</v>
      </c>
      <c r="M125" s="4435" t="s">
        <v>51</v>
      </c>
      <c r="N125" s="4428"/>
    </row>
    <row r="126" spans="1:16" s="154" customFormat="1" ht="13.5" hidden="1" customHeight="1">
      <c r="A126" s="4301"/>
      <c r="B126" s="854" t="s">
        <v>22</v>
      </c>
      <c r="C126" s="4419" t="s">
        <v>278</v>
      </c>
      <c r="D126" s="845">
        <f>+D127</f>
        <v>0</v>
      </c>
      <c r="E126" s="845">
        <f t="shared" ref="E126:I126" si="98">+E127</f>
        <v>0</v>
      </c>
      <c r="F126" s="845">
        <f t="shared" si="98"/>
        <v>0</v>
      </c>
      <c r="G126" s="845">
        <f t="shared" si="98"/>
        <v>0</v>
      </c>
      <c r="H126" s="845">
        <f t="shared" si="98"/>
        <v>0</v>
      </c>
      <c r="I126" s="845">
        <f t="shared" si="98"/>
        <v>0</v>
      </c>
      <c r="J126" s="845"/>
      <c r="K126" s="845">
        <f>+K127</f>
        <v>0</v>
      </c>
      <c r="L126" s="845">
        <f>+L127</f>
        <v>0</v>
      </c>
      <c r="M126" s="4432"/>
      <c r="N126" s="4428"/>
    </row>
    <row r="127" spans="1:16" s="154" customFormat="1" ht="12" hidden="1" customHeight="1">
      <c r="A127" s="4301"/>
      <c r="B127" s="1137" t="s">
        <v>124</v>
      </c>
      <c r="C127" s="4420"/>
      <c r="D127" s="766">
        <f>E127+L127+K127+F127+G127+H127+I127+J127</f>
        <v>0</v>
      </c>
      <c r="E127" s="1138"/>
      <c r="F127" s="1138"/>
      <c r="G127" s="1138"/>
      <c r="H127" s="1138"/>
      <c r="I127" s="1138"/>
      <c r="J127" s="1138"/>
      <c r="K127" s="1138"/>
      <c r="L127" s="1138"/>
      <c r="M127" s="4432"/>
      <c r="N127" s="4428"/>
    </row>
    <row r="128" spans="1:16" s="154" customFormat="1" ht="13.5" hidden="1" customHeight="1">
      <c r="A128" s="4301"/>
      <c r="B128" s="1139" t="s">
        <v>17</v>
      </c>
      <c r="C128" s="4414" t="s">
        <v>21</v>
      </c>
      <c r="D128" s="839">
        <f>+D129</f>
        <v>0</v>
      </c>
      <c r="E128" s="839">
        <f t="shared" ref="E128:I128" si="99">+E129</f>
        <v>0</v>
      </c>
      <c r="F128" s="839">
        <f t="shared" si="99"/>
        <v>0</v>
      </c>
      <c r="G128" s="839">
        <f t="shared" si="99"/>
        <v>0</v>
      </c>
      <c r="H128" s="839">
        <f t="shared" si="99"/>
        <v>0</v>
      </c>
      <c r="I128" s="839">
        <f t="shared" si="99"/>
        <v>0</v>
      </c>
      <c r="J128" s="839"/>
      <c r="K128" s="839">
        <f>+K129</f>
        <v>0</v>
      </c>
      <c r="L128" s="839">
        <f>+L129</f>
        <v>0</v>
      </c>
      <c r="M128" s="4432"/>
      <c r="N128" s="4428"/>
    </row>
    <row r="129" spans="1:14" s="154" customFormat="1" ht="12.75" hidden="1" thickBot="1">
      <c r="A129" s="4302"/>
      <c r="B129" s="855" t="s">
        <v>32</v>
      </c>
      <c r="C129" s="4415"/>
      <c r="D129" s="1142">
        <f>E129+L129+K129+F129+G129+H129+I129+J129</f>
        <v>0</v>
      </c>
      <c r="E129" s="857"/>
      <c r="F129" s="857"/>
      <c r="G129" s="857"/>
      <c r="H129" s="857"/>
      <c r="I129" s="857"/>
      <c r="J129" s="857"/>
      <c r="K129" s="857"/>
      <c r="L129" s="857">
        <v>0</v>
      </c>
      <c r="M129" s="4433"/>
      <c r="N129" s="4429"/>
    </row>
    <row r="130" spans="1:14" s="154" customFormat="1" ht="30" hidden="1" customHeight="1">
      <c r="A130" s="4417" t="s">
        <v>79</v>
      </c>
      <c r="B130" s="279"/>
      <c r="C130" s="1480" t="s">
        <v>70</v>
      </c>
      <c r="D130" s="1481"/>
      <c r="E130" s="215"/>
      <c r="F130" s="215"/>
      <c r="G130" s="215"/>
      <c r="H130" s="215"/>
      <c r="I130" s="215"/>
      <c r="J130" s="762"/>
      <c r="K130" s="215"/>
      <c r="L130" s="215"/>
      <c r="M130" s="287"/>
      <c r="N130" s="4427" t="s">
        <v>279</v>
      </c>
    </row>
    <row r="131" spans="1:14" s="154" customFormat="1" ht="12.75" hidden="1" thickBot="1">
      <c r="A131" s="4301"/>
      <c r="B131" s="850" t="s">
        <v>9</v>
      </c>
      <c r="C131" s="1133"/>
      <c r="D131" s="794">
        <f>+D132+D135</f>
        <v>0</v>
      </c>
      <c r="E131" s="794">
        <f t="shared" ref="E131" si="100">+E132+E135</f>
        <v>0</v>
      </c>
      <c r="F131" s="794">
        <f>+F132+F135</f>
        <v>0</v>
      </c>
      <c r="G131" s="794">
        <f>+G132+G135</f>
        <v>0</v>
      </c>
      <c r="H131" s="794">
        <f t="shared" ref="H131:I131" si="101">+H132+H135</f>
        <v>0</v>
      </c>
      <c r="I131" s="794">
        <f t="shared" si="101"/>
        <v>0</v>
      </c>
      <c r="J131" s="794"/>
      <c r="K131" s="794">
        <f t="shared" ref="K131" si="102">+K132+K135</f>
        <v>0</v>
      </c>
      <c r="L131" s="794">
        <f>+L132+L135</f>
        <v>0</v>
      </c>
      <c r="M131" s="851">
        <f>+M132</f>
        <v>0</v>
      </c>
      <c r="N131" s="4428"/>
    </row>
    <row r="132" spans="1:14" s="154" customFormat="1" ht="12.75" hidden="1" thickBot="1">
      <c r="A132" s="4301"/>
      <c r="B132" s="1134" t="s">
        <v>22</v>
      </c>
      <c r="C132" s="4419" t="s">
        <v>278</v>
      </c>
      <c r="D132" s="788">
        <f>D134+D133</f>
        <v>0</v>
      </c>
      <c r="E132" s="788">
        <f t="shared" ref="E132" si="103">E134+E133</f>
        <v>0</v>
      </c>
      <c r="F132" s="788">
        <f t="shared" ref="F132:I132" si="104">F134+F133</f>
        <v>0</v>
      </c>
      <c r="G132" s="788">
        <f t="shared" si="104"/>
        <v>0</v>
      </c>
      <c r="H132" s="788">
        <f t="shared" si="104"/>
        <v>0</v>
      </c>
      <c r="I132" s="788">
        <f t="shared" si="104"/>
        <v>0</v>
      </c>
      <c r="J132" s="788"/>
      <c r="K132" s="788">
        <f>K134+K133</f>
        <v>0</v>
      </c>
      <c r="L132" s="788">
        <v>0</v>
      </c>
      <c r="M132" s="769">
        <f>+M134</f>
        <v>0</v>
      </c>
      <c r="N132" s="4428"/>
    </row>
    <row r="133" spans="1:14" s="154" customFormat="1" ht="13.5" hidden="1" customHeight="1">
      <c r="A133" s="4301"/>
      <c r="B133" s="1135" t="s">
        <v>29</v>
      </c>
      <c r="C133" s="4420"/>
      <c r="D133" s="468">
        <f>E133+L133+K133+F133+G133+H133+I133+J133</f>
        <v>0</v>
      </c>
      <c r="E133" s="1136">
        <v>0</v>
      </c>
      <c r="F133" s="1136">
        <v>0</v>
      </c>
      <c r="G133" s="1136">
        <v>0</v>
      </c>
      <c r="H133" s="1127"/>
      <c r="I133" s="1127"/>
      <c r="J133" s="1127"/>
      <c r="K133" s="1136">
        <v>0</v>
      </c>
      <c r="L133" s="1136">
        <v>0</v>
      </c>
      <c r="M133" s="280" t="s">
        <v>51</v>
      </c>
      <c r="N133" s="4428"/>
    </row>
    <row r="134" spans="1:14" s="154" customFormat="1" ht="13.5" hidden="1" customHeight="1" thickBot="1">
      <c r="A134" s="4301"/>
      <c r="B134" s="1137" t="s">
        <v>108</v>
      </c>
      <c r="C134" s="4441"/>
      <c r="D134" s="468">
        <f>E134+L134+K134+F134+G134+H134+I134+J134</f>
        <v>0</v>
      </c>
      <c r="E134" s="1156"/>
      <c r="F134" s="1156"/>
      <c r="G134" s="1156"/>
      <c r="H134" s="1156"/>
      <c r="I134" s="1156"/>
      <c r="J134" s="1156"/>
      <c r="K134" s="1156"/>
      <c r="L134" s="1156">
        <v>0</v>
      </c>
      <c r="M134" s="269">
        <f>SUM(F134:J134)</f>
        <v>0</v>
      </c>
      <c r="N134" s="4428"/>
    </row>
    <row r="135" spans="1:14" s="154" customFormat="1" ht="13.5" hidden="1" customHeight="1">
      <c r="A135" s="4301"/>
      <c r="B135" s="1139" t="s">
        <v>17</v>
      </c>
      <c r="C135" s="4414" t="s">
        <v>21</v>
      </c>
      <c r="D135" s="839">
        <f>+D136</f>
        <v>0</v>
      </c>
      <c r="E135" s="1748">
        <f t="shared" ref="E135:M135" si="105">+E136</f>
        <v>0</v>
      </c>
      <c r="F135" s="1128">
        <f t="shared" si="105"/>
        <v>0</v>
      </c>
      <c r="G135" s="1128">
        <f t="shared" si="105"/>
        <v>0</v>
      </c>
      <c r="H135" s="1128">
        <f t="shared" si="105"/>
        <v>0</v>
      </c>
      <c r="I135" s="1128">
        <f t="shared" si="105"/>
        <v>0</v>
      </c>
      <c r="J135" s="1128"/>
      <c r="K135" s="1128">
        <f>+K136</f>
        <v>0</v>
      </c>
      <c r="L135" s="1128">
        <f>+L136</f>
        <v>0</v>
      </c>
      <c r="M135" s="1129" t="str">
        <f t="shared" si="105"/>
        <v>x</v>
      </c>
      <c r="N135" s="4428"/>
    </row>
    <row r="136" spans="1:14" s="154" customFormat="1" ht="13.5" hidden="1" customHeight="1">
      <c r="A136" s="4301"/>
      <c r="B136" s="1137" t="s">
        <v>32</v>
      </c>
      <c r="C136" s="4423"/>
      <c r="D136" s="468">
        <f>E136+L136+K136+F136+G136+H136+I136+J136</f>
        <v>0</v>
      </c>
      <c r="E136" s="1154"/>
      <c r="F136" s="853"/>
      <c r="G136" s="853"/>
      <c r="H136" s="1130"/>
      <c r="I136" s="1130"/>
      <c r="J136" s="1130"/>
      <c r="K136" s="853">
        <v>0</v>
      </c>
      <c r="L136" s="853">
        <v>0</v>
      </c>
      <c r="M136" s="1131" t="s">
        <v>51</v>
      </c>
      <c r="N136" s="4428"/>
    </row>
    <row r="137" spans="1:14" s="154" customFormat="1" ht="13.5" hidden="1" customHeight="1">
      <c r="A137" s="4301"/>
      <c r="B137" s="850" t="s">
        <v>20</v>
      </c>
      <c r="C137" s="1140"/>
      <c r="D137" s="790">
        <f>D140+D138</f>
        <v>0</v>
      </c>
      <c r="E137" s="1141">
        <f>E140+E138</f>
        <v>0</v>
      </c>
      <c r="F137" s="790">
        <f>F140+F138</f>
        <v>0</v>
      </c>
      <c r="G137" s="790">
        <f>G140+G138</f>
        <v>0</v>
      </c>
      <c r="H137" s="790">
        <f t="shared" ref="H137:I137" si="106">H140+H138</f>
        <v>0</v>
      </c>
      <c r="I137" s="790">
        <f t="shared" si="106"/>
        <v>0</v>
      </c>
      <c r="J137" s="790"/>
      <c r="K137" s="790">
        <f t="shared" ref="K137" si="107">K140+K138</f>
        <v>0</v>
      </c>
      <c r="L137" s="790">
        <f>L140+L138</f>
        <v>0</v>
      </c>
      <c r="M137" s="4435" t="s">
        <v>51</v>
      </c>
      <c r="N137" s="4428"/>
    </row>
    <row r="138" spans="1:14" s="154" customFormat="1" ht="13.5" hidden="1" customHeight="1">
      <c r="A138" s="4301"/>
      <c r="B138" s="854" t="s">
        <v>22</v>
      </c>
      <c r="C138" s="4419" t="s">
        <v>278</v>
      </c>
      <c r="D138" s="845">
        <f>+D139</f>
        <v>0</v>
      </c>
      <c r="E138" s="1157">
        <f t="shared" ref="E138:I138" si="108">+E139</f>
        <v>0</v>
      </c>
      <c r="F138" s="845">
        <f t="shared" si="108"/>
        <v>0</v>
      </c>
      <c r="G138" s="845">
        <f t="shared" si="108"/>
        <v>0</v>
      </c>
      <c r="H138" s="845">
        <f t="shared" si="108"/>
        <v>0</v>
      </c>
      <c r="I138" s="845">
        <f t="shared" si="108"/>
        <v>0</v>
      </c>
      <c r="J138" s="845"/>
      <c r="K138" s="845">
        <f>+K139</f>
        <v>0</v>
      </c>
      <c r="L138" s="845">
        <f>+L139</f>
        <v>0</v>
      </c>
      <c r="M138" s="4432"/>
      <c r="N138" s="4428"/>
    </row>
    <row r="139" spans="1:14" s="154" customFormat="1" ht="13.5" hidden="1" customHeight="1">
      <c r="A139" s="4301"/>
      <c r="B139" s="1137" t="s">
        <v>124</v>
      </c>
      <c r="C139" s="4420"/>
      <c r="D139" s="468">
        <f>E139+L139+K139+F139+G139+H139+I139+J139</f>
        <v>0</v>
      </c>
      <c r="E139" s="1154"/>
      <c r="F139" s="1138"/>
      <c r="G139" s="1138"/>
      <c r="H139" s="1138"/>
      <c r="I139" s="1138"/>
      <c r="J139" s="1138"/>
      <c r="K139" s="1138"/>
      <c r="L139" s="1138"/>
      <c r="M139" s="4432"/>
      <c r="N139" s="4428"/>
    </row>
    <row r="140" spans="1:14" s="154" customFormat="1" ht="13.5" hidden="1" customHeight="1">
      <c r="A140" s="4301"/>
      <c r="B140" s="1139" t="s">
        <v>17</v>
      </c>
      <c r="C140" s="4414" t="s">
        <v>21</v>
      </c>
      <c r="D140" s="839">
        <f>+D141</f>
        <v>0</v>
      </c>
      <c r="E140" s="1748">
        <f t="shared" ref="E140:I140" si="109">+E141</f>
        <v>0</v>
      </c>
      <c r="F140" s="839">
        <f t="shared" si="109"/>
        <v>0</v>
      </c>
      <c r="G140" s="839">
        <f t="shared" si="109"/>
        <v>0</v>
      </c>
      <c r="H140" s="839">
        <f t="shared" si="109"/>
        <v>0</v>
      </c>
      <c r="I140" s="839">
        <f t="shared" si="109"/>
        <v>0</v>
      </c>
      <c r="J140" s="839"/>
      <c r="K140" s="839">
        <f>+K141</f>
        <v>0</v>
      </c>
      <c r="L140" s="839">
        <f>+L141</f>
        <v>0</v>
      </c>
      <c r="M140" s="4432"/>
      <c r="N140" s="4428"/>
    </row>
    <row r="141" spans="1:14" s="154" customFormat="1" ht="13.5" hidden="1" customHeight="1" thickBot="1">
      <c r="A141" s="4302"/>
      <c r="B141" s="855" t="s">
        <v>32</v>
      </c>
      <c r="C141" s="4415"/>
      <c r="D141" s="1142">
        <f>E141+L141+K141+F141+G141+H141+I141+J141</f>
        <v>0</v>
      </c>
      <c r="E141" s="1143"/>
      <c r="F141" s="857"/>
      <c r="G141" s="857"/>
      <c r="H141" s="857"/>
      <c r="I141" s="857"/>
      <c r="J141" s="857"/>
      <c r="K141" s="857">
        <v>0</v>
      </c>
      <c r="L141" s="857">
        <v>0</v>
      </c>
      <c r="M141" s="4433"/>
      <c r="N141" s="4429"/>
    </row>
    <row r="142" spans="1:14" s="154" customFormat="1" ht="39.75" customHeight="1">
      <c r="A142" s="4417" t="s">
        <v>78</v>
      </c>
      <c r="B142" s="279" t="s">
        <v>363</v>
      </c>
      <c r="C142" s="1480" t="s">
        <v>70</v>
      </c>
      <c r="D142" s="1481"/>
      <c r="E142" s="215"/>
      <c r="F142" s="215"/>
      <c r="G142" s="215"/>
      <c r="H142" s="215"/>
      <c r="I142" s="215"/>
      <c r="J142" s="762"/>
      <c r="K142" s="215"/>
      <c r="L142" s="215"/>
      <c r="M142" s="287"/>
      <c r="N142" s="4427" t="s">
        <v>341</v>
      </c>
    </row>
    <row r="143" spans="1:14" s="154" customFormat="1" ht="13.5" customHeight="1">
      <c r="A143" s="4301"/>
      <c r="B143" s="850" t="s">
        <v>9</v>
      </c>
      <c r="C143" s="1133"/>
      <c r="D143" s="794">
        <f>+D144+D148</f>
        <v>3503619</v>
      </c>
      <c r="E143" s="794">
        <f t="shared" ref="E143" si="110">+E144+E148</f>
        <v>385673</v>
      </c>
      <c r="F143" s="794">
        <f>+F144+F148</f>
        <v>3117946</v>
      </c>
      <c r="G143" s="2628">
        <f>+G144+G148</f>
        <v>0</v>
      </c>
      <c r="H143" s="2628">
        <f t="shared" ref="H143:J143" si="111">+H144+H148</f>
        <v>0</v>
      </c>
      <c r="I143" s="2628">
        <f t="shared" si="111"/>
        <v>0</v>
      </c>
      <c r="J143" s="2628">
        <f t="shared" si="111"/>
        <v>0</v>
      </c>
      <c r="K143" s="794">
        <f t="shared" ref="K143" si="112">+K144+K148</f>
        <v>0</v>
      </c>
      <c r="L143" s="794">
        <f>+L144+L148</f>
        <v>0</v>
      </c>
      <c r="M143" s="851">
        <f>+M144</f>
        <v>564846</v>
      </c>
      <c r="N143" s="4428"/>
    </row>
    <row r="144" spans="1:14" s="154" customFormat="1" ht="13.5" customHeight="1">
      <c r="A144" s="4301"/>
      <c r="B144" s="1134" t="s">
        <v>22</v>
      </c>
      <c r="C144" s="1662"/>
      <c r="D144" s="788">
        <f>D146+D145+D147</f>
        <v>1052313</v>
      </c>
      <c r="E144" s="788">
        <f t="shared" ref="E144" si="113">E146+E145+E147</f>
        <v>104502</v>
      </c>
      <c r="F144" s="788">
        <f t="shared" ref="F144:J144" si="114">F146+F145+F147</f>
        <v>947811</v>
      </c>
      <c r="G144" s="2629">
        <f t="shared" si="114"/>
        <v>0</v>
      </c>
      <c r="H144" s="2629">
        <f t="shared" si="114"/>
        <v>0</v>
      </c>
      <c r="I144" s="2629">
        <f t="shared" si="114"/>
        <v>0</v>
      </c>
      <c r="J144" s="2629">
        <f t="shared" si="114"/>
        <v>0</v>
      </c>
      <c r="K144" s="788">
        <f>K146+K145+K147</f>
        <v>0</v>
      </c>
      <c r="L144" s="788">
        <f>L146+L145+L147</f>
        <v>0</v>
      </c>
      <c r="M144" s="769">
        <f>+M146</f>
        <v>564846</v>
      </c>
      <c r="N144" s="4428"/>
    </row>
    <row r="145" spans="1:75" s="154" customFormat="1" ht="12">
      <c r="A145" s="4301"/>
      <c r="B145" s="1135" t="s">
        <v>29</v>
      </c>
      <c r="C145" s="3604" t="s">
        <v>21</v>
      </c>
      <c r="D145" s="766">
        <f>E145+L145+K145+F145+G145+H145+I145+J145</f>
        <v>12820</v>
      </c>
      <c r="E145" s="1136">
        <v>12820</v>
      </c>
      <c r="F145" s="2645">
        <v>0</v>
      </c>
      <c r="G145" s="2645">
        <v>0</v>
      </c>
      <c r="H145" s="2646">
        <v>0</v>
      </c>
      <c r="I145" s="2646">
        <v>0</v>
      </c>
      <c r="J145" s="2646">
        <v>0</v>
      </c>
      <c r="K145" s="1136">
        <v>0</v>
      </c>
      <c r="L145" s="1136"/>
      <c r="M145" s="280" t="s">
        <v>51</v>
      </c>
      <c r="N145" s="4428"/>
    </row>
    <row r="146" spans="1:75" s="154" customFormat="1" ht="12">
      <c r="A146" s="4301"/>
      <c r="B146" s="1137" t="s">
        <v>108</v>
      </c>
      <c r="C146" s="1675" t="s">
        <v>144</v>
      </c>
      <c r="D146" s="766">
        <f>E146+L146+K146+F146+G146+H146+I146+J146</f>
        <v>606910</v>
      </c>
      <c r="E146" s="1138">
        <v>42064</v>
      </c>
      <c r="F146" s="1138">
        <f>298311+92006+174529</f>
        <v>564846</v>
      </c>
      <c r="G146" s="2647">
        <v>0</v>
      </c>
      <c r="H146" s="2647">
        <v>0</v>
      </c>
      <c r="I146" s="2647">
        <v>0</v>
      </c>
      <c r="J146" s="2647">
        <v>0</v>
      </c>
      <c r="K146" s="1138"/>
      <c r="L146" s="1138">
        <v>0</v>
      </c>
      <c r="M146" s="269">
        <f>SUM(F146:J146)</f>
        <v>564846</v>
      </c>
      <c r="N146" s="4428"/>
    </row>
    <row r="147" spans="1:75" s="154" customFormat="1" ht="12.75" customHeight="1">
      <c r="A147" s="4301"/>
      <c r="B147" s="1137" t="s">
        <v>338</v>
      </c>
      <c r="C147" s="4414" t="s">
        <v>21</v>
      </c>
      <c r="D147" s="766">
        <f>E147+L147+K147+F147+G147+H147+I147+J147</f>
        <v>432583</v>
      </c>
      <c r="E147" s="1138">
        <f>4350+45268</f>
        <v>49618</v>
      </c>
      <c r="F147" s="1138">
        <f>205529+64948+112488</f>
        <v>382965</v>
      </c>
      <c r="G147" s="2647">
        <v>0</v>
      </c>
      <c r="H147" s="2647">
        <v>0</v>
      </c>
      <c r="I147" s="2647">
        <v>0</v>
      </c>
      <c r="J147" s="2659">
        <v>0</v>
      </c>
      <c r="K147" s="1138"/>
      <c r="L147" s="1138"/>
      <c r="M147" s="1129" t="str">
        <f t="shared" ref="E147:M148" si="115">+M148</f>
        <v>x</v>
      </c>
      <c r="N147" s="4428"/>
    </row>
    <row r="148" spans="1:75" s="154" customFormat="1" ht="13.5" customHeight="1">
      <c r="A148" s="4301"/>
      <c r="B148" s="1139" t="s">
        <v>17</v>
      </c>
      <c r="C148" s="4421"/>
      <c r="D148" s="839">
        <f>+D149</f>
        <v>2451306</v>
      </c>
      <c r="E148" s="839">
        <f t="shared" si="115"/>
        <v>281171</v>
      </c>
      <c r="F148" s="839">
        <f t="shared" si="115"/>
        <v>2170135</v>
      </c>
      <c r="G148" s="2660">
        <f t="shared" si="115"/>
        <v>0</v>
      </c>
      <c r="H148" s="2660">
        <f t="shared" si="115"/>
        <v>0</v>
      </c>
      <c r="I148" s="2660">
        <f t="shared" si="115"/>
        <v>0</v>
      </c>
      <c r="J148" s="2660">
        <f t="shared" si="115"/>
        <v>0</v>
      </c>
      <c r="K148" s="839">
        <f>+K149</f>
        <v>0</v>
      </c>
      <c r="L148" s="839">
        <f>+L149</f>
        <v>0</v>
      </c>
      <c r="M148" s="1129" t="str">
        <f t="shared" si="115"/>
        <v>x</v>
      </c>
      <c r="N148" s="4428"/>
    </row>
    <row r="149" spans="1:75" s="154" customFormat="1" ht="13.5" customHeight="1">
      <c r="A149" s="4301"/>
      <c r="B149" s="1137" t="s">
        <v>32</v>
      </c>
      <c r="C149" s="4423"/>
      <c r="D149" s="766">
        <f>E149+L149+K149+F149+G149+H149+I149+J149</f>
        <v>2451306</v>
      </c>
      <c r="E149" s="853">
        <f>24650+256521</f>
        <v>281171</v>
      </c>
      <c r="F149" s="853">
        <f>1164665+368039+637431</f>
        <v>2170135</v>
      </c>
      <c r="G149" s="2651">
        <v>0</v>
      </c>
      <c r="H149" s="2652">
        <v>0</v>
      </c>
      <c r="I149" s="2652">
        <v>0</v>
      </c>
      <c r="J149" s="2652">
        <v>0</v>
      </c>
      <c r="K149" s="853"/>
      <c r="L149" s="853"/>
      <c r="M149" s="1131" t="s">
        <v>51</v>
      </c>
      <c r="N149" s="4428"/>
    </row>
    <row r="150" spans="1:75" s="154" customFormat="1" ht="13.5" customHeight="1">
      <c r="A150" s="4301"/>
      <c r="B150" s="850" t="s">
        <v>20</v>
      </c>
      <c r="C150" s="1140"/>
      <c r="D150" s="790">
        <f>D154+D151</f>
        <v>3490799</v>
      </c>
      <c r="E150" s="790">
        <f t="shared" ref="E150" si="116">E154+E151</f>
        <v>270621</v>
      </c>
      <c r="F150" s="790">
        <f>F154+F151</f>
        <v>3220178</v>
      </c>
      <c r="G150" s="2657">
        <f>G154+G151</f>
        <v>0</v>
      </c>
      <c r="H150" s="2657">
        <f t="shared" ref="H150:J150" si="117">H154+H151</f>
        <v>0</v>
      </c>
      <c r="I150" s="2657">
        <f t="shared" si="117"/>
        <v>0</v>
      </c>
      <c r="J150" s="2657">
        <f t="shared" si="117"/>
        <v>0</v>
      </c>
      <c r="K150" s="790">
        <f t="shared" ref="K150" si="118">K154+K151</f>
        <v>0</v>
      </c>
      <c r="L150" s="790">
        <f>L154+L151</f>
        <v>0</v>
      </c>
      <c r="M150" s="4435" t="s">
        <v>51</v>
      </c>
      <c r="N150" s="4428"/>
    </row>
    <row r="151" spans="1:75" s="154" customFormat="1" ht="13.5" customHeight="1">
      <c r="A151" s="4301"/>
      <c r="B151" s="854" t="s">
        <v>22</v>
      </c>
      <c r="C151" s="4419" t="s">
        <v>144</v>
      </c>
      <c r="D151" s="845">
        <f>+D152+D153</f>
        <v>1039493</v>
      </c>
      <c r="E151" s="845">
        <f t="shared" ref="E151" si="119">+E152+E153</f>
        <v>65040</v>
      </c>
      <c r="F151" s="845">
        <f t="shared" ref="F151:I151" si="120">+F152+F153</f>
        <v>974453</v>
      </c>
      <c r="G151" s="2654">
        <f t="shared" si="120"/>
        <v>0</v>
      </c>
      <c r="H151" s="2654">
        <f t="shared" si="120"/>
        <v>0</v>
      </c>
      <c r="I151" s="2654">
        <f t="shared" si="120"/>
        <v>0</v>
      </c>
      <c r="J151" s="2654"/>
      <c r="K151" s="845">
        <f>+K152+K153</f>
        <v>0</v>
      </c>
      <c r="L151" s="845">
        <f>+L152+L153</f>
        <v>0</v>
      </c>
      <c r="M151" s="4432"/>
      <c r="N151" s="4428"/>
    </row>
    <row r="152" spans="1:75" s="154" customFormat="1" ht="12">
      <c r="A152" s="4301"/>
      <c r="B152" s="1137" t="s">
        <v>132</v>
      </c>
      <c r="C152" s="4441"/>
      <c r="D152" s="766">
        <f>E152+L152+K152+F152+G152+H152+I152+J152</f>
        <v>606910</v>
      </c>
      <c r="E152" s="1138">
        <f>308599-173062-115804+9028</f>
        <v>28761</v>
      </c>
      <c r="F152" s="1138">
        <f>298311+173062+115804-9028</f>
        <v>578149</v>
      </c>
      <c r="G152" s="2647">
        <v>0</v>
      </c>
      <c r="H152" s="2647">
        <v>0</v>
      </c>
      <c r="I152" s="2647">
        <v>0</v>
      </c>
      <c r="J152" s="2647">
        <v>0</v>
      </c>
      <c r="K152" s="1138"/>
      <c r="L152" s="1138"/>
      <c r="M152" s="4432"/>
      <c r="N152" s="4428"/>
    </row>
    <row r="153" spans="1:75" s="154" customFormat="1" ht="12">
      <c r="A153" s="4301"/>
      <c r="B153" s="1137" t="s">
        <v>338</v>
      </c>
      <c r="C153" s="4421" t="s">
        <v>21</v>
      </c>
      <c r="D153" s="766">
        <f>E153+L153+K153+F153+G153+H153+I153+J153</f>
        <v>432583</v>
      </c>
      <c r="E153" s="1138">
        <f>227054-70304-120471</f>
        <v>36279</v>
      </c>
      <c r="F153" s="1138">
        <f>205529+70304+120471</f>
        <v>396304</v>
      </c>
      <c r="G153" s="2647">
        <v>0</v>
      </c>
      <c r="H153" s="2647">
        <v>0</v>
      </c>
      <c r="I153" s="2647">
        <v>0</v>
      </c>
      <c r="J153" s="2647">
        <v>0</v>
      </c>
      <c r="K153" s="1138"/>
      <c r="L153" s="1138"/>
      <c r="M153" s="4432"/>
      <c r="N153" s="4428"/>
    </row>
    <row r="154" spans="1:75" ht="14.25" customHeight="1">
      <c r="A154" s="4301"/>
      <c r="B154" s="1139" t="s">
        <v>17</v>
      </c>
      <c r="C154" s="4421"/>
      <c r="D154" s="839">
        <f>+D155</f>
        <v>2451306</v>
      </c>
      <c r="E154" s="839">
        <f t="shared" ref="E154:J154" si="121">+E155</f>
        <v>205581</v>
      </c>
      <c r="F154" s="839">
        <f t="shared" si="121"/>
        <v>2245725</v>
      </c>
      <c r="G154" s="2660">
        <f t="shared" si="121"/>
        <v>0</v>
      </c>
      <c r="H154" s="2660">
        <f t="shared" si="121"/>
        <v>0</v>
      </c>
      <c r="I154" s="2660">
        <f t="shared" si="121"/>
        <v>0</v>
      </c>
      <c r="J154" s="2660">
        <f t="shared" si="121"/>
        <v>0</v>
      </c>
      <c r="K154" s="839">
        <f>+K155</f>
        <v>0</v>
      </c>
      <c r="L154" s="839">
        <f>+L155</f>
        <v>0</v>
      </c>
      <c r="M154" s="4432"/>
      <c r="N154" s="4428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4"/>
      <c r="BN154" s="154"/>
      <c r="BO154" s="154"/>
      <c r="BP154" s="154"/>
      <c r="BQ154" s="154"/>
      <c r="BR154" s="154"/>
      <c r="BS154" s="154"/>
      <c r="BT154" s="154"/>
      <c r="BU154" s="154"/>
      <c r="BV154" s="154"/>
      <c r="BW154" s="154"/>
    </row>
    <row r="155" spans="1:75" ht="13.5" customHeight="1" thickBot="1">
      <c r="A155" s="4302"/>
      <c r="B155" s="855" t="s">
        <v>32</v>
      </c>
      <c r="C155" s="4415"/>
      <c r="D155" s="1003">
        <f>E155+L155+K155+F155+G155+H155+I155+J155</f>
        <v>2451306</v>
      </c>
      <c r="E155" s="857">
        <f>1286641-398390-682670</f>
        <v>205581</v>
      </c>
      <c r="F155" s="857">
        <f>1164665+398390+682670</f>
        <v>2245725</v>
      </c>
      <c r="G155" s="2661">
        <v>0</v>
      </c>
      <c r="H155" s="2661">
        <v>0</v>
      </c>
      <c r="I155" s="2661">
        <v>0</v>
      </c>
      <c r="J155" s="2661">
        <v>0</v>
      </c>
      <c r="K155" s="857"/>
      <c r="L155" s="857">
        <v>0</v>
      </c>
      <c r="M155" s="4433"/>
      <c r="N155" s="4429"/>
    </row>
    <row r="156" spans="1:75" ht="28.5" customHeight="1">
      <c r="A156" s="4417" t="s">
        <v>79</v>
      </c>
      <c r="B156" s="279" t="s">
        <v>401</v>
      </c>
      <c r="C156" s="1480" t="s">
        <v>97</v>
      </c>
      <c r="D156" s="1481"/>
      <c r="E156" s="215"/>
      <c r="F156" s="215"/>
      <c r="G156" s="215"/>
      <c r="H156" s="215"/>
      <c r="I156" s="215"/>
      <c r="J156" s="762"/>
      <c r="K156" s="215"/>
      <c r="L156" s="215"/>
      <c r="M156" s="272"/>
      <c r="N156" s="4427" t="s">
        <v>143</v>
      </c>
    </row>
    <row r="157" spans="1:75" ht="14.25" customHeight="1">
      <c r="A157" s="4301"/>
      <c r="B157" s="850" t="s">
        <v>9</v>
      </c>
      <c r="C157" s="1133"/>
      <c r="D157" s="794">
        <f>+D158+D161</f>
        <v>5273902</v>
      </c>
      <c r="E157" s="794">
        <f t="shared" ref="E157" si="122">+E158+E161</f>
        <v>299444</v>
      </c>
      <c r="F157" s="794">
        <f>+F158+F161</f>
        <v>3767970</v>
      </c>
      <c r="G157" s="794">
        <f>+G158+G161</f>
        <v>1206488</v>
      </c>
      <c r="H157" s="2628">
        <f t="shared" ref="H157:I157" si="123">+H158+H161</f>
        <v>0</v>
      </c>
      <c r="I157" s="2628">
        <f t="shared" si="123"/>
        <v>0</v>
      </c>
      <c r="J157" s="2628">
        <f t="shared" ref="J157" si="124">+J158+J161</f>
        <v>0</v>
      </c>
      <c r="K157" s="794">
        <f>+K158+K161</f>
        <v>0</v>
      </c>
      <c r="L157" s="794">
        <f>+L158+L161</f>
        <v>0</v>
      </c>
      <c r="M157" s="851">
        <f>+M158</f>
        <v>1308068</v>
      </c>
      <c r="N157" s="4428"/>
    </row>
    <row r="158" spans="1:75" ht="12" customHeight="1">
      <c r="A158" s="4301"/>
      <c r="B158" s="1134" t="s">
        <v>22</v>
      </c>
      <c r="C158" s="1662"/>
      <c r="D158" s="788">
        <f>D160+D159</f>
        <v>1480405</v>
      </c>
      <c r="E158" s="788">
        <f t="shared" ref="E158:I158" si="125">E160+E159</f>
        <v>172337</v>
      </c>
      <c r="F158" s="788">
        <f t="shared" si="125"/>
        <v>983807</v>
      </c>
      <c r="G158" s="788">
        <f t="shared" si="125"/>
        <v>324261</v>
      </c>
      <c r="H158" s="2629">
        <f t="shared" si="125"/>
        <v>0</v>
      </c>
      <c r="I158" s="2629">
        <f t="shared" si="125"/>
        <v>0</v>
      </c>
      <c r="J158" s="2629">
        <f t="shared" ref="J158" si="126">J160+J159</f>
        <v>0</v>
      </c>
      <c r="K158" s="788">
        <f>K160+K159</f>
        <v>0</v>
      </c>
      <c r="L158" s="788">
        <f>L160+L159</f>
        <v>0</v>
      </c>
      <c r="M158" s="769">
        <f>+M160</f>
        <v>1308068</v>
      </c>
      <c r="N158" s="4428"/>
    </row>
    <row r="159" spans="1:75" ht="12" customHeight="1">
      <c r="A159" s="4301"/>
      <c r="B159" s="1135" t="s">
        <v>29</v>
      </c>
      <c r="C159" s="3605" t="s">
        <v>21</v>
      </c>
      <c r="D159" s="766">
        <f>E159+L159+K159+F159+G159+H159+I159+J159</f>
        <v>7255</v>
      </c>
      <c r="E159" s="780">
        <f>2279+3776+1200</f>
        <v>7255</v>
      </c>
      <c r="F159" s="2645">
        <v>0</v>
      </c>
      <c r="G159" s="2645">
        <v>0</v>
      </c>
      <c r="H159" s="2646">
        <v>0</v>
      </c>
      <c r="I159" s="2646">
        <v>0</v>
      </c>
      <c r="J159" s="2646">
        <v>0</v>
      </c>
      <c r="K159" s="1136">
        <v>0</v>
      </c>
      <c r="L159" s="1136">
        <v>0</v>
      </c>
      <c r="M159" s="280" t="s">
        <v>51</v>
      </c>
      <c r="N159" s="4428"/>
    </row>
    <row r="160" spans="1:75" ht="14.25" customHeight="1">
      <c r="A160" s="4301"/>
      <c r="B160" s="1137" t="s">
        <v>108</v>
      </c>
      <c r="C160" s="2393" t="s">
        <v>144</v>
      </c>
      <c r="D160" s="766">
        <f>E160+L160+K160+F160+G160+H160+I160+J160</f>
        <v>1473150</v>
      </c>
      <c r="E160" s="1138">
        <f>453927-83305-205540</f>
        <v>165082</v>
      </c>
      <c r="F160" s="1138">
        <f>614097+164170+205540</f>
        <v>983807</v>
      </c>
      <c r="G160" s="1138">
        <f>278912+45349</f>
        <v>324261</v>
      </c>
      <c r="H160" s="2647">
        <v>0</v>
      </c>
      <c r="I160" s="2647">
        <v>0</v>
      </c>
      <c r="J160" s="2647">
        <v>0</v>
      </c>
      <c r="K160" s="1138"/>
      <c r="L160" s="1138">
        <v>0</v>
      </c>
      <c r="M160" s="269">
        <f>SUM(F160:J160)</f>
        <v>1308068</v>
      </c>
      <c r="N160" s="4428"/>
    </row>
    <row r="161" spans="1:14" ht="12">
      <c r="A161" s="4301"/>
      <c r="B161" s="1139" t="s">
        <v>17</v>
      </c>
      <c r="C161" s="4414" t="s">
        <v>21</v>
      </c>
      <c r="D161" s="839">
        <f>+D162</f>
        <v>3793497</v>
      </c>
      <c r="E161" s="839">
        <f t="shared" ref="E161:M161" si="127">+E162</f>
        <v>127107</v>
      </c>
      <c r="F161" s="839">
        <f t="shared" si="127"/>
        <v>2784163</v>
      </c>
      <c r="G161" s="839">
        <f t="shared" si="127"/>
        <v>882227</v>
      </c>
      <c r="H161" s="2660">
        <f t="shared" si="127"/>
        <v>0</v>
      </c>
      <c r="I161" s="2660">
        <f t="shared" si="127"/>
        <v>0</v>
      </c>
      <c r="J161" s="2660">
        <f t="shared" si="127"/>
        <v>0</v>
      </c>
      <c r="K161" s="839">
        <f>+K162</f>
        <v>0</v>
      </c>
      <c r="L161" s="839">
        <f>+L162</f>
        <v>0</v>
      </c>
      <c r="M161" s="1129" t="str">
        <f t="shared" si="127"/>
        <v>x</v>
      </c>
      <c r="N161" s="4428"/>
    </row>
    <row r="162" spans="1:14" ht="12">
      <c r="A162" s="4301"/>
      <c r="B162" s="1137" t="s">
        <v>32</v>
      </c>
      <c r="C162" s="4423"/>
      <c r="D162" s="766">
        <f>E162+L162+K162+F162+G162+H162+I162+J162</f>
        <v>3793497</v>
      </c>
      <c r="E162" s="853">
        <f>1197070-178977-890986</f>
        <v>127107</v>
      </c>
      <c r="F162" s="853">
        <f>1496559+396618+890986</f>
        <v>2784163</v>
      </c>
      <c r="G162" s="853">
        <f>729656+152571</f>
        <v>882227</v>
      </c>
      <c r="H162" s="2652">
        <v>0</v>
      </c>
      <c r="I162" s="2652">
        <v>0</v>
      </c>
      <c r="J162" s="2652">
        <v>0</v>
      </c>
      <c r="K162" s="853"/>
      <c r="L162" s="853">
        <v>0</v>
      </c>
      <c r="M162" s="1131" t="s">
        <v>51</v>
      </c>
      <c r="N162" s="4428"/>
    </row>
    <row r="163" spans="1:14" ht="13.5" customHeight="1">
      <c r="A163" s="4301"/>
      <c r="B163" s="850" t="s">
        <v>20</v>
      </c>
      <c r="C163" s="1140"/>
      <c r="D163" s="790">
        <f>D166+D164</f>
        <v>4604546</v>
      </c>
      <c r="E163" s="790">
        <f t="shared" ref="E163" si="128">E166+E164</f>
        <v>126594</v>
      </c>
      <c r="F163" s="790">
        <f>F166+F164</f>
        <v>3092067</v>
      </c>
      <c r="G163" s="790">
        <f>G166+G164</f>
        <v>1385885</v>
      </c>
      <c r="H163" s="2657">
        <f t="shared" ref="H163:J163" si="129">H166+H164</f>
        <v>0</v>
      </c>
      <c r="I163" s="2657">
        <f t="shared" si="129"/>
        <v>0</v>
      </c>
      <c r="J163" s="2657">
        <f t="shared" si="129"/>
        <v>0</v>
      </c>
      <c r="K163" s="790">
        <f t="shared" ref="K163" si="130">K166+K164</f>
        <v>0</v>
      </c>
      <c r="L163" s="790">
        <f>L166+L164</f>
        <v>0</v>
      </c>
      <c r="M163" s="4435" t="s">
        <v>51</v>
      </c>
      <c r="N163" s="4428"/>
    </row>
    <row r="164" spans="1:14" ht="12">
      <c r="A164" s="4301"/>
      <c r="B164" s="854" t="s">
        <v>22</v>
      </c>
      <c r="C164" s="4419" t="s">
        <v>144</v>
      </c>
      <c r="D164" s="845">
        <f>+D165</f>
        <v>811049</v>
      </c>
      <c r="E164" s="2654">
        <f t="shared" ref="E164:J164" si="131">+E165</f>
        <v>0</v>
      </c>
      <c r="F164" s="845">
        <f t="shared" si="131"/>
        <v>577391</v>
      </c>
      <c r="G164" s="845">
        <f t="shared" si="131"/>
        <v>233658</v>
      </c>
      <c r="H164" s="2654">
        <f t="shared" si="131"/>
        <v>0</v>
      </c>
      <c r="I164" s="2654">
        <f t="shared" si="131"/>
        <v>0</v>
      </c>
      <c r="J164" s="2654">
        <f t="shared" si="131"/>
        <v>0</v>
      </c>
      <c r="K164" s="845">
        <f>+K165</f>
        <v>0</v>
      </c>
      <c r="L164" s="845">
        <f>+L165</f>
        <v>0</v>
      </c>
      <c r="M164" s="4432"/>
      <c r="N164" s="4428"/>
    </row>
    <row r="165" spans="1:14" ht="12">
      <c r="A165" s="4301"/>
      <c r="B165" s="1137" t="s">
        <v>132</v>
      </c>
      <c r="C165" s="4420"/>
      <c r="D165" s="766">
        <f>E165+L165+K165+F165+G165+H165+I165+J165</f>
        <v>811049</v>
      </c>
      <c r="E165" s="2647">
        <f>253104-99890-153214</f>
        <v>0</v>
      </c>
      <c r="F165" s="1138">
        <f>349998+74179+153214</f>
        <v>577391</v>
      </c>
      <c r="G165" s="1138">
        <f>147063+86595</f>
        <v>233658</v>
      </c>
      <c r="H165" s="2647">
        <v>0</v>
      </c>
      <c r="I165" s="2647">
        <v>0</v>
      </c>
      <c r="J165" s="2647">
        <v>0</v>
      </c>
      <c r="K165" s="1138">
        <f>253104-99890-153214</f>
        <v>0</v>
      </c>
      <c r="L165" s="1138"/>
      <c r="M165" s="4432"/>
      <c r="N165" s="4428"/>
    </row>
    <row r="166" spans="1:14" ht="12">
      <c r="A166" s="4301"/>
      <c r="B166" s="1139" t="s">
        <v>17</v>
      </c>
      <c r="C166" s="4414" t="s">
        <v>21</v>
      </c>
      <c r="D166" s="839">
        <f>+D167</f>
        <v>3793497</v>
      </c>
      <c r="E166" s="839">
        <f t="shared" ref="E166:J166" si="132">+E167</f>
        <v>126594</v>
      </c>
      <c r="F166" s="839">
        <f t="shared" si="132"/>
        <v>2514676</v>
      </c>
      <c r="G166" s="839">
        <f t="shared" si="132"/>
        <v>1152227</v>
      </c>
      <c r="H166" s="2660">
        <f t="shared" si="132"/>
        <v>0</v>
      </c>
      <c r="I166" s="2660">
        <f t="shared" si="132"/>
        <v>0</v>
      </c>
      <c r="J166" s="2660">
        <f t="shared" si="132"/>
        <v>0</v>
      </c>
      <c r="K166" s="839">
        <f>+K167</f>
        <v>0</v>
      </c>
      <c r="L166" s="839">
        <f>+L167</f>
        <v>0</v>
      </c>
      <c r="M166" s="4432"/>
      <c r="N166" s="4428"/>
    </row>
    <row r="167" spans="1:14" ht="12.75" thickBot="1">
      <c r="A167" s="4302"/>
      <c r="B167" s="855" t="s">
        <v>32</v>
      </c>
      <c r="C167" s="4415"/>
      <c r="D167" s="856">
        <f>E167+L167+K167+F167+G167+H167+I167+J167</f>
        <v>3793497</v>
      </c>
      <c r="E167" s="857">
        <f>1197070-328977-741499</f>
        <v>126594</v>
      </c>
      <c r="F167" s="857">
        <f>1496559+276618+741499</f>
        <v>2514676</v>
      </c>
      <c r="G167" s="857">
        <f>729656+422571</f>
        <v>1152227</v>
      </c>
      <c r="H167" s="2661">
        <v>0</v>
      </c>
      <c r="I167" s="2661">
        <v>0</v>
      </c>
      <c r="J167" s="2661">
        <v>0</v>
      </c>
      <c r="K167" s="857"/>
      <c r="L167" s="857">
        <v>0</v>
      </c>
      <c r="M167" s="4433"/>
      <c r="N167" s="4429"/>
    </row>
    <row r="168" spans="1:14" ht="29.25" customHeight="1">
      <c r="A168" s="4417" t="s">
        <v>80</v>
      </c>
      <c r="B168" s="279" t="s">
        <v>402</v>
      </c>
      <c r="C168" s="1480" t="s">
        <v>70</v>
      </c>
      <c r="D168" s="1481"/>
      <c r="E168" s="215"/>
      <c r="F168" s="215"/>
      <c r="G168" s="215"/>
      <c r="H168" s="215"/>
      <c r="I168" s="215"/>
      <c r="J168" s="762"/>
      <c r="K168" s="215"/>
      <c r="L168" s="215"/>
      <c r="M168" s="272"/>
      <c r="N168" s="4427" t="s">
        <v>341</v>
      </c>
    </row>
    <row r="169" spans="1:14" ht="14.25" customHeight="1">
      <c r="A169" s="4301"/>
      <c r="B169" s="252" t="s">
        <v>9</v>
      </c>
      <c r="C169" s="2371"/>
      <c r="D169" s="270">
        <f>+D170+D173</f>
        <v>2223195</v>
      </c>
      <c r="E169" s="270">
        <f t="shared" ref="E169" si="133">+E170+E173</f>
        <v>94066</v>
      </c>
      <c r="F169" s="270">
        <f>+F170+F173</f>
        <v>2129129</v>
      </c>
      <c r="G169" s="2624">
        <f>+G170+G173</f>
        <v>0</v>
      </c>
      <c r="H169" s="2624">
        <f t="shared" ref="H169:I169" si="134">+H170+H173</f>
        <v>0</v>
      </c>
      <c r="I169" s="2624">
        <f t="shared" si="134"/>
        <v>0</v>
      </c>
      <c r="J169" s="2624">
        <f t="shared" ref="J169" si="135">+J170+J173</f>
        <v>0</v>
      </c>
      <c r="K169" s="270">
        <f>+K170+K173</f>
        <v>0</v>
      </c>
      <c r="L169" s="270">
        <f>+L170+L173</f>
        <v>0</v>
      </c>
      <c r="M169" s="273">
        <f>+M170</f>
        <v>726397</v>
      </c>
      <c r="N169" s="4428"/>
    </row>
    <row r="170" spans="1:14" ht="12" customHeight="1">
      <c r="A170" s="4301"/>
      <c r="B170" s="2394" t="s">
        <v>22</v>
      </c>
      <c r="C170" s="1662"/>
      <c r="D170" s="250">
        <f>D172+D171</f>
        <v>785715</v>
      </c>
      <c r="E170" s="250">
        <f t="shared" ref="E170:I170" si="136">E172+E171</f>
        <v>59318</v>
      </c>
      <c r="F170" s="250">
        <f t="shared" si="136"/>
        <v>726397</v>
      </c>
      <c r="G170" s="2637">
        <f t="shared" si="136"/>
        <v>0</v>
      </c>
      <c r="H170" s="2637">
        <f t="shared" si="136"/>
        <v>0</v>
      </c>
      <c r="I170" s="2637">
        <f t="shared" si="136"/>
        <v>0</v>
      </c>
      <c r="J170" s="2637">
        <f t="shared" ref="J170" si="137">J172+J171</f>
        <v>0</v>
      </c>
      <c r="K170" s="250">
        <f>K172+K171</f>
        <v>0</v>
      </c>
      <c r="L170" s="250">
        <f>L172+L171</f>
        <v>0</v>
      </c>
      <c r="M170" s="274">
        <f>+M172</f>
        <v>726397</v>
      </c>
      <c r="N170" s="4428"/>
    </row>
    <row r="171" spans="1:14" ht="12">
      <c r="A171" s="4301"/>
      <c r="B171" s="2377" t="s">
        <v>29</v>
      </c>
      <c r="C171" s="3605" t="s">
        <v>21</v>
      </c>
      <c r="D171" s="124">
        <f>E171+L171+K171+F171+G171+H171+I171+J171</f>
        <v>6118</v>
      </c>
      <c r="E171" s="247">
        <v>6118</v>
      </c>
      <c r="F171" s="2641">
        <v>0</v>
      </c>
      <c r="G171" s="2641">
        <v>0</v>
      </c>
      <c r="H171" s="2646">
        <v>0</v>
      </c>
      <c r="I171" s="2646">
        <v>0</v>
      </c>
      <c r="J171" s="2646">
        <v>0</v>
      </c>
      <c r="K171" s="1536">
        <v>0</v>
      </c>
      <c r="L171" s="1536">
        <v>0</v>
      </c>
      <c r="M171" s="280" t="s">
        <v>51</v>
      </c>
      <c r="N171" s="4428"/>
    </row>
    <row r="172" spans="1:14" ht="13.5" customHeight="1">
      <c r="A172" s="4301"/>
      <c r="B172" s="2367" t="s">
        <v>108</v>
      </c>
      <c r="C172" s="2393" t="s">
        <v>144</v>
      </c>
      <c r="D172" s="124">
        <f>E172+L172+K172+F172+G172+H172+I172+J172</f>
        <v>779597</v>
      </c>
      <c r="E172" s="1537">
        <f>198520-121980-23340</f>
        <v>53200</v>
      </c>
      <c r="F172" s="1537">
        <f>594337-43525+152245+23340</f>
        <v>726397</v>
      </c>
      <c r="G172" s="2642">
        <v>0</v>
      </c>
      <c r="H172" s="2642">
        <v>0</v>
      </c>
      <c r="I172" s="2642">
        <v>0</v>
      </c>
      <c r="J172" s="2642">
        <v>0</v>
      </c>
      <c r="K172" s="1537"/>
      <c r="L172" s="1537"/>
      <c r="M172" s="269">
        <f>SUM(F172:J172)</f>
        <v>726397</v>
      </c>
      <c r="N172" s="4428"/>
    </row>
    <row r="173" spans="1:14" ht="12">
      <c r="A173" s="4301"/>
      <c r="B173" s="2395" t="s">
        <v>17</v>
      </c>
      <c r="C173" s="4430" t="s">
        <v>21</v>
      </c>
      <c r="D173" s="1538">
        <f>+D174</f>
        <v>1437480</v>
      </c>
      <c r="E173" s="1538">
        <f t="shared" ref="E173:M173" si="138">+E174</f>
        <v>34748</v>
      </c>
      <c r="F173" s="1538">
        <f t="shared" si="138"/>
        <v>1402732</v>
      </c>
      <c r="G173" s="2643">
        <f t="shared" si="138"/>
        <v>0</v>
      </c>
      <c r="H173" s="2643">
        <f t="shared" si="138"/>
        <v>0</v>
      </c>
      <c r="I173" s="2643">
        <f t="shared" si="138"/>
        <v>0</v>
      </c>
      <c r="J173" s="2643">
        <f t="shared" si="138"/>
        <v>0</v>
      </c>
      <c r="K173" s="1538">
        <f>+K174</f>
        <v>0</v>
      </c>
      <c r="L173" s="1538">
        <f>+L174</f>
        <v>0</v>
      </c>
      <c r="M173" s="1129" t="str">
        <f t="shared" si="138"/>
        <v>x</v>
      </c>
      <c r="N173" s="4428"/>
    </row>
    <row r="174" spans="1:14" ht="12">
      <c r="A174" s="4301"/>
      <c r="B174" s="2367" t="s">
        <v>32</v>
      </c>
      <c r="C174" s="4423"/>
      <c r="D174" s="124">
        <f>E174+L174+K174+F174+G174+H174+I174+J174</f>
        <v>1437480</v>
      </c>
      <c r="E174" s="249">
        <f>478253-272850-170655</f>
        <v>34748</v>
      </c>
      <c r="F174" s="249">
        <f>1329439-97362+170655</f>
        <v>1402732</v>
      </c>
      <c r="G174" s="2662">
        <v>0</v>
      </c>
      <c r="H174" s="2652">
        <v>0</v>
      </c>
      <c r="I174" s="2652">
        <v>0</v>
      </c>
      <c r="J174" s="2652">
        <v>0</v>
      </c>
      <c r="K174" s="249"/>
      <c r="L174" s="249">
        <v>0</v>
      </c>
      <c r="M174" s="1131" t="s">
        <v>51</v>
      </c>
      <c r="N174" s="4428"/>
    </row>
    <row r="175" spans="1:14" ht="13.5" customHeight="1">
      <c r="A175" s="4301"/>
      <c r="B175" s="252" t="s">
        <v>20</v>
      </c>
      <c r="C175" s="2396"/>
      <c r="D175" s="1540">
        <f>D178+D176</f>
        <v>1845661</v>
      </c>
      <c r="E175" s="1540">
        <f t="shared" ref="E175" si="139">E178+E176</f>
        <v>34748</v>
      </c>
      <c r="F175" s="1540">
        <f>F178+F176</f>
        <v>1394586</v>
      </c>
      <c r="G175" s="1540">
        <f>G178+G176</f>
        <v>416327</v>
      </c>
      <c r="H175" s="2663">
        <f t="shared" ref="H175:J175" si="140">H178+H176</f>
        <v>0</v>
      </c>
      <c r="I175" s="2663">
        <f t="shared" si="140"/>
        <v>0</v>
      </c>
      <c r="J175" s="2663">
        <f t="shared" si="140"/>
        <v>0</v>
      </c>
      <c r="K175" s="1540">
        <f t="shared" ref="K175" si="141">K178+K176</f>
        <v>0</v>
      </c>
      <c r="L175" s="1540">
        <f>L178+L176</f>
        <v>0</v>
      </c>
      <c r="M175" s="4431" t="s">
        <v>51</v>
      </c>
      <c r="N175" s="4428"/>
    </row>
    <row r="176" spans="1:14" ht="12" customHeight="1">
      <c r="A176" s="4301"/>
      <c r="B176" s="2366" t="s">
        <v>22</v>
      </c>
      <c r="C176" s="4434" t="s">
        <v>144</v>
      </c>
      <c r="D176" s="1541">
        <f>+D177</f>
        <v>408181</v>
      </c>
      <c r="E176" s="2664">
        <f t="shared" ref="E176:I176" si="142">+E177</f>
        <v>0</v>
      </c>
      <c r="F176" s="1541">
        <f t="shared" si="142"/>
        <v>341854</v>
      </c>
      <c r="G176" s="1541">
        <f t="shared" si="142"/>
        <v>66327</v>
      </c>
      <c r="H176" s="2664">
        <f t="shared" si="142"/>
        <v>0</v>
      </c>
      <c r="I176" s="2664">
        <f t="shared" si="142"/>
        <v>0</v>
      </c>
      <c r="J176" s="2664"/>
      <c r="K176" s="1541">
        <f>+K177</f>
        <v>0</v>
      </c>
      <c r="L176" s="1541">
        <f>+L177</f>
        <v>0</v>
      </c>
      <c r="M176" s="4432"/>
      <c r="N176" s="4428"/>
    </row>
    <row r="177" spans="1:14" ht="12">
      <c r="A177" s="4301"/>
      <c r="B177" s="2367" t="s">
        <v>132</v>
      </c>
      <c r="C177" s="4420"/>
      <c r="D177" s="124">
        <f>E177+L177+K177+F177+G177+H177+I177+J177</f>
        <v>408181</v>
      </c>
      <c r="E177" s="2642">
        <f>120157-93830-26327</f>
        <v>0</v>
      </c>
      <c r="F177" s="1537">
        <f>359731-46345+28468</f>
        <v>341854</v>
      </c>
      <c r="G177" s="1537">
        <f>40000+26327</f>
        <v>66327</v>
      </c>
      <c r="H177" s="2642">
        <v>0</v>
      </c>
      <c r="I177" s="2642">
        <v>0</v>
      </c>
      <c r="J177" s="2642">
        <v>0</v>
      </c>
      <c r="K177" s="1537">
        <f>120157-93830-26327</f>
        <v>0</v>
      </c>
      <c r="L177" s="1537"/>
      <c r="M177" s="4432"/>
      <c r="N177" s="4428"/>
    </row>
    <row r="178" spans="1:14" ht="12.75" thickBot="1">
      <c r="A178" s="4302"/>
      <c r="B178" s="2395" t="s">
        <v>17</v>
      </c>
      <c r="C178" s="4430" t="s">
        <v>21</v>
      </c>
      <c r="D178" s="1538">
        <f>+D179</f>
        <v>1437480</v>
      </c>
      <c r="E178" s="1538">
        <f t="shared" ref="E178:J178" si="143">+E179</f>
        <v>34748</v>
      </c>
      <c r="F178" s="1538">
        <f t="shared" si="143"/>
        <v>1052732</v>
      </c>
      <c r="G178" s="1538">
        <f t="shared" si="143"/>
        <v>350000</v>
      </c>
      <c r="H178" s="2643">
        <f t="shared" si="143"/>
        <v>0</v>
      </c>
      <c r="I178" s="2643">
        <f t="shared" si="143"/>
        <v>0</v>
      </c>
      <c r="J178" s="2643">
        <f t="shared" si="143"/>
        <v>0</v>
      </c>
      <c r="K178" s="1538">
        <f>+K179</f>
        <v>0</v>
      </c>
      <c r="L178" s="1538">
        <f>+L179</f>
        <v>0</v>
      </c>
      <c r="M178" s="4432"/>
      <c r="N178" s="4428"/>
    </row>
    <row r="179" spans="1:14" ht="12.75" thickBot="1">
      <c r="A179" s="4418"/>
      <c r="B179" s="2370" t="s">
        <v>32</v>
      </c>
      <c r="C179" s="4415"/>
      <c r="D179" s="1003">
        <f>E179+L179+K179+F179+G179+H179+I179+J179</f>
        <v>1437480</v>
      </c>
      <c r="E179" s="283">
        <f>478253-342850-35000-65655</f>
        <v>34748</v>
      </c>
      <c r="F179" s="283">
        <f>1329439-377362+35000+65655</f>
        <v>1052732</v>
      </c>
      <c r="G179" s="283">
        <v>350000</v>
      </c>
      <c r="H179" s="2665">
        <v>0</v>
      </c>
      <c r="I179" s="2665">
        <v>0</v>
      </c>
      <c r="J179" s="2665">
        <v>0</v>
      </c>
      <c r="K179" s="283"/>
      <c r="L179" s="283">
        <v>0</v>
      </c>
      <c r="M179" s="4433"/>
      <c r="N179" s="4429"/>
    </row>
    <row r="180" spans="1:14" ht="12" thickBot="1">
      <c r="A180" s="1351"/>
      <c r="N180" s="1686"/>
    </row>
    <row r="181" spans="1:14" ht="12" hidden="1" thickBot="1">
      <c r="A181" s="1351"/>
      <c r="N181" s="1686"/>
    </row>
    <row r="182" spans="1:14" ht="12" hidden="1" thickBot="1">
      <c r="A182" s="1351"/>
      <c r="N182" s="1686"/>
    </row>
    <row r="183" spans="1:14" ht="12" hidden="1" thickBot="1">
      <c r="A183" s="1351" t="s">
        <v>339</v>
      </c>
      <c r="N183" s="1686"/>
    </row>
    <row r="184" spans="1:14" ht="12" hidden="1" thickBot="1">
      <c r="A184" s="1351"/>
      <c r="N184" s="1686"/>
    </row>
    <row r="185" spans="1:14" ht="12" hidden="1" thickBot="1">
      <c r="A185" s="1351"/>
      <c r="D185" s="256"/>
      <c r="N185" s="1686"/>
    </row>
    <row r="186" spans="1:14" ht="12" hidden="1" thickBot="1">
      <c r="A186" s="1351"/>
      <c r="N186" s="1686"/>
    </row>
    <row r="187" spans="1:14" ht="12" hidden="1" thickBot="1">
      <c r="A187" s="1351"/>
      <c r="N187" s="1686"/>
    </row>
    <row r="188" spans="1:14" ht="12" hidden="1" thickBot="1">
      <c r="A188" s="1351"/>
      <c r="D188" s="256">
        <f>D172+D160+D146+D134+D122+D48+D35+D25</f>
        <v>55050917</v>
      </c>
      <c r="N188" s="1686"/>
    </row>
    <row r="189" spans="1:14" ht="12" hidden="1" thickBot="1">
      <c r="A189" s="1351"/>
      <c r="B189" s="296"/>
      <c r="D189" s="256">
        <f>D6-D188</f>
        <v>88473770</v>
      </c>
      <c r="N189" s="1686"/>
    </row>
    <row r="190" spans="1:14" ht="12" hidden="1" thickBot="1">
      <c r="A190" s="1351"/>
      <c r="B190" s="290"/>
      <c r="N190" s="1686"/>
    </row>
    <row r="191" spans="1:14" ht="12" hidden="1" thickBot="1">
      <c r="A191" s="1351"/>
      <c r="N191" s="1686"/>
    </row>
    <row r="192" spans="1:14" ht="12" hidden="1" thickBot="1">
      <c r="A192" s="1351"/>
      <c r="N192" s="1686"/>
    </row>
    <row r="193" spans="1:14" ht="12" hidden="1" thickBot="1">
      <c r="A193" s="1351"/>
      <c r="N193" s="1686"/>
    </row>
    <row r="194" spans="1:14" ht="12" hidden="1" thickBot="1">
      <c r="A194" s="1351"/>
      <c r="N194" s="1686"/>
    </row>
    <row r="195" spans="1:14" ht="12" hidden="1" thickBot="1">
      <c r="A195" s="1351"/>
      <c r="N195" s="1686"/>
    </row>
    <row r="196" spans="1:14" ht="12" hidden="1" thickBot="1">
      <c r="A196" s="1351"/>
      <c r="N196" s="1686"/>
    </row>
    <row r="197" spans="1:14" ht="12" hidden="1" thickBot="1">
      <c r="A197" s="1351"/>
      <c r="N197" s="1686"/>
    </row>
    <row r="198" spans="1:14" ht="12" hidden="1" thickBot="1">
      <c r="A198" s="1351"/>
      <c r="N198" s="1686"/>
    </row>
    <row r="199" spans="1:14" ht="12" hidden="1" thickBot="1">
      <c r="A199" s="1351"/>
      <c r="N199" s="1686"/>
    </row>
    <row r="200" spans="1:14" ht="12" hidden="1" thickBot="1">
      <c r="A200" s="1351"/>
      <c r="N200" s="1686"/>
    </row>
    <row r="201" spans="1:14" ht="12" hidden="1" thickBot="1">
      <c r="A201" s="1351"/>
      <c r="N201" s="1686"/>
    </row>
    <row r="202" spans="1:14" ht="12" hidden="1" thickBot="1">
      <c r="A202" s="1351"/>
      <c r="N202" s="1686"/>
    </row>
    <row r="203" spans="1:14" ht="12" hidden="1" thickBot="1">
      <c r="A203" s="1351"/>
      <c r="M203" s="296"/>
      <c r="N203" s="1322"/>
    </row>
    <row r="204" spans="1:14" ht="12" hidden="1" thickBot="1">
      <c r="A204" s="1351"/>
      <c r="C204" s="296"/>
      <c r="M204" s="1336"/>
      <c r="N204" s="1323"/>
    </row>
    <row r="205" spans="1:14" ht="12" hidden="1" thickBot="1">
      <c r="A205" s="1351"/>
      <c r="C205" s="1336"/>
      <c r="M205" s="1336"/>
      <c r="N205" s="1323"/>
    </row>
    <row r="206" spans="1:14" ht="12" hidden="1" thickBot="1">
      <c r="A206" s="1351"/>
      <c r="C206" s="1336"/>
      <c r="M206" s="1336"/>
      <c r="N206" s="1323"/>
    </row>
    <row r="207" spans="1:14" ht="12" hidden="1" thickBot="1">
      <c r="A207" s="1352"/>
      <c r="C207" s="1336"/>
      <c r="D207" s="296"/>
      <c r="E207" s="296"/>
      <c r="F207" s="296"/>
      <c r="G207" s="296"/>
      <c r="H207" s="296"/>
      <c r="I207" s="296"/>
      <c r="J207" s="296"/>
      <c r="K207" s="296"/>
      <c r="L207" s="296"/>
      <c r="M207" s="1336"/>
      <c r="N207" s="1323"/>
    </row>
    <row r="208" spans="1:14" ht="12" hidden="1" thickBot="1">
      <c r="C208" s="290"/>
      <c r="D208" s="290"/>
      <c r="E208" s="290"/>
      <c r="F208" s="290"/>
      <c r="G208" s="290"/>
      <c r="H208" s="290"/>
      <c r="I208" s="290"/>
      <c r="J208" s="290"/>
      <c r="K208" s="290"/>
      <c r="L208" s="290"/>
      <c r="M208" s="290"/>
      <c r="N208" s="1323"/>
    </row>
    <row r="209" spans="14:14" ht="12" hidden="1" thickBot="1">
      <c r="N209" s="1323"/>
    </row>
    <row r="210" spans="14:14" ht="12" hidden="1" thickBot="1">
      <c r="N210" s="1323"/>
    </row>
    <row r="211" spans="14:14" ht="12" hidden="1" thickBot="1">
      <c r="N211" s="1323"/>
    </row>
    <row r="212" spans="14:14" ht="12" thickBot="1">
      <c r="N212" s="1323"/>
    </row>
    <row r="213" spans="14:14" ht="12" thickBot="1">
      <c r="N213" s="1323"/>
    </row>
    <row r="214" spans="14:14" ht="12" thickBot="1">
      <c r="N214" s="1323"/>
    </row>
    <row r="215" spans="14:14" ht="12" thickBot="1">
      <c r="N215" s="1323"/>
    </row>
    <row r="216" spans="14:14" ht="12" thickBot="1">
      <c r="N216" s="1323"/>
    </row>
    <row r="217" spans="14:14">
      <c r="N217" s="1324"/>
    </row>
    <row r="218" spans="14:14">
      <c r="N218" s="1686"/>
    </row>
    <row r="219" spans="14:14">
      <c r="N219" s="1686"/>
    </row>
    <row r="220" spans="14:14">
      <c r="N220" s="1686"/>
    </row>
    <row r="221" spans="14:14">
      <c r="N221" s="1686"/>
    </row>
    <row r="222" spans="14:14">
      <c r="N222" s="1686"/>
    </row>
    <row r="223" spans="14:14">
      <c r="N223" s="1686"/>
    </row>
    <row r="224" spans="14:14">
      <c r="N224" s="1686"/>
    </row>
    <row r="225" spans="14:14">
      <c r="N225" s="1686"/>
    </row>
    <row r="226" spans="14:14">
      <c r="N226" s="1686"/>
    </row>
    <row r="227" spans="14:14">
      <c r="N227" s="1686"/>
    </row>
    <row r="228" spans="14:14">
      <c r="N228" s="1686"/>
    </row>
    <row r="229" spans="14:14">
      <c r="N229" s="1686"/>
    </row>
    <row r="230" spans="14:14">
      <c r="N230" s="1686"/>
    </row>
    <row r="231" spans="14:14">
      <c r="N231" s="1686"/>
    </row>
    <row r="232" spans="14:14">
      <c r="N232" s="1686"/>
    </row>
    <row r="233" spans="14:14">
      <c r="N233" s="1686"/>
    </row>
    <row r="234" spans="14:14">
      <c r="N234" s="1686"/>
    </row>
    <row r="235" spans="14:14">
      <c r="N235" s="1686"/>
    </row>
    <row r="236" spans="14:14">
      <c r="N236" s="1686"/>
    </row>
    <row r="237" spans="14:14">
      <c r="N237" s="1686"/>
    </row>
    <row r="238" spans="14:14">
      <c r="N238" s="1686"/>
    </row>
    <row r="239" spans="14:14">
      <c r="N239" s="1686"/>
    </row>
    <row r="240" spans="14:14">
      <c r="N240" s="1686"/>
    </row>
    <row r="241" spans="14:14">
      <c r="N241" s="1686"/>
    </row>
    <row r="242" spans="14:14">
      <c r="N242" s="1686"/>
    </row>
    <row r="243" spans="14:14">
      <c r="N243" s="1686"/>
    </row>
    <row r="244" spans="14:14">
      <c r="N244" s="1686"/>
    </row>
    <row r="245" spans="14:14">
      <c r="N245" s="1686"/>
    </row>
    <row r="246" spans="14:14">
      <c r="N246" s="1686"/>
    </row>
    <row r="247" spans="14:14">
      <c r="N247" s="1686"/>
    </row>
    <row r="248" spans="14:14">
      <c r="N248" s="1686"/>
    </row>
    <row r="249" spans="14:14">
      <c r="N249" s="1686"/>
    </row>
    <row r="250" spans="14:14">
      <c r="N250" s="1686"/>
    </row>
    <row r="251" spans="14:14" ht="12" thickBot="1">
      <c r="N251" s="1322"/>
    </row>
    <row r="252" spans="14:14" ht="12" thickBot="1">
      <c r="N252" s="1323"/>
    </row>
    <row r="253" spans="14:14" ht="12" thickBot="1">
      <c r="N253" s="1323"/>
    </row>
    <row r="254" spans="14:14" ht="12" thickBot="1">
      <c r="N254" s="1323"/>
    </row>
    <row r="255" spans="14:14" ht="12" thickBot="1">
      <c r="N255" s="1323"/>
    </row>
    <row r="256" spans="14:14" ht="12" thickBot="1">
      <c r="N256" s="1323"/>
    </row>
    <row r="257" spans="14:14" ht="12" thickBot="1">
      <c r="N257" s="1323"/>
    </row>
    <row r="258" spans="14:14" ht="12" thickBot="1">
      <c r="N258" s="1323"/>
    </row>
    <row r="259" spans="14:14" ht="12" thickBot="1">
      <c r="N259" s="1323"/>
    </row>
    <row r="260" spans="14:14" ht="12" thickBot="1">
      <c r="N260" s="1323"/>
    </row>
    <row r="261" spans="14:14" ht="12" thickBot="1">
      <c r="N261" s="1323"/>
    </row>
    <row r="262" spans="14:14" ht="12" thickBot="1">
      <c r="N262" s="1323"/>
    </row>
    <row r="263" spans="14:14" ht="12" thickBot="1">
      <c r="N263" s="1323"/>
    </row>
    <row r="264" spans="14:14" ht="12" thickBot="1">
      <c r="N264" s="1323"/>
    </row>
    <row r="265" spans="14:14">
      <c r="N265" s="1324"/>
    </row>
    <row r="266" spans="14:14">
      <c r="N266" s="1686"/>
    </row>
    <row r="267" spans="14:14">
      <c r="N267" s="1686"/>
    </row>
    <row r="268" spans="14:14">
      <c r="N268" s="1686"/>
    </row>
    <row r="269" spans="14:14">
      <c r="N269" s="1686"/>
    </row>
    <row r="270" spans="14:14">
      <c r="N270" s="1686"/>
    </row>
    <row r="271" spans="14:14">
      <c r="N271" s="1686"/>
    </row>
    <row r="272" spans="14:14">
      <c r="N272" s="1686"/>
    </row>
    <row r="273" spans="14:14">
      <c r="N273" s="1686"/>
    </row>
    <row r="274" spans="14:14">
      <c r="N274" s="1686"/>
    </row>
    <row r="275" spans="14:14">
      <c r="N275" s="1686"/>
    </row>
    <row r="276" spans="14:14">
      <c r="N276" s="1686"/>
    </row>
    <row r="277" spans="14:14">
      <c r="N277" s="1686"/>
    </row>
    <row r="278" spans="14:14">
      <c r="N278" s="1686"/>
    </row>
    <row r="279" spans="14:14">
      <c r="N279" s="1686"/>
    </row>
    <row r="280" spans="14:14">
      <c r="N280" s="1686"/>
    </row>
    <row r="281" spans="14:14">
      <c r="N281" s="1686"/>
    </row>
    <row r="282" spans="14:14">
      <c r="N282" s="1686"/>
    </row>
    <row r="283" spans="14:14">
      <c r="N283" s="1686"/>
    </row>
    <row r="284" spans="14:14">
      <c r="N284" s="1686"/>
    </row>
    <row r="285" spans="14:14">
      <c r="N285" s="1686"/>
    </row>
    <row r="286" spans="14:14">
      <c r="N286" s="1686"/>
    </row>
    <row r="287" spans="14:14">
      <c r="N287" s="1686"/>
    </row>
    <row r="288" spans="14:14">
      <c r="N288" s="1686"/>
    </row>
    <row r="289" spans="14:14">
      <c r="N289" s="1686"/>
    </row>
    <row r="290" spans="14:14">
      <c r="N290" s="1686"/>
    </row>
    <row r="291" spans="14:14">
      <c r="N291" s="1686"/>
    </row>
    <row r="292" spans="14:14">
      <c r="N292" s="1686"/>
    </row>
    <row r="293" spans="14:14">
      <c r="N293" s="1686"/>
    </row>
    <row r="294" spans="14:14">
      <c r="N294" s="1686"/>
    </row>
    <row r="295" spans="14:14">
      <c r="N295" s="1686"/>
    </row>
    <row r="296" spans="14:14">
      <c r="N296" s="1686"/>
    </row>
    <row r="297" spans="14:14">
      <c r="N297" s="1686"/>
    </row>
    <row r="298" spans="14:14">
      <c r="N298" s="1686"/>
    </row>
    <row r="299" spans="14:14">
      <c r="N299" s="1686"/>
    </row>
    <row r="300" spans="14:14">
      <c r="N300" s="1686"/>
    </row>
    <row r="301" spans="14:14">
      <c r="N301" s="1686"/>
    </row>
    <row r="302" spans="14:14">
      <c r="N302" s="1686"/>
    </row>
    <row r="303" spans="14:14">
      <c r="N303" s="1686"/>
    </row>
    <row r="304" spans="14:14">
      <c r="N304" s="1686"/>
    </row>
    <row r="305" spans="14:14">
      <c r="N305" s="1686"/>
    </row>
    <row r="404" spans="1:14" ht="12" thickBot="1">
      <c r="A404" s="1350"/>
    </row>
    <row r="405" spans="1:14" ht="12" thickBot="1">
      <c r="A405" s="1351"/>
    </row>
    <row r="406" spans="1:14" ht="12" thickBot="1">
      <c r="A406" s="1351"/>
    </row>
    <row r="407" spans="1:14" ht="12" thickBot="1">
      <c r="A407" s="1351"/>
    </row>
    <row r="408" spans="1:14" ht="12" thickBot="1">
      <c r="A408" s="1351"/>
    </row>
    <row r="409" spans="1:14" ht="12" thickBot="1">
      <c r="A409" s="1351"/>
    </row>
    <row r="410" spans="1:14" ht="12" thickBot="1">
      <c r="A410" s="1351"/>
      <c r="M410" s="296"/>
      <c r="N410" s="1169"/>
    </row>
    <row r="411" spans="1:14" ht="12" thickBot="1">
      <c r="A411" s="1351"/>
      <c r="C411" s="296"/>
      <c r="M411" s="1336"/>
      <c r="N411" s="1320"/>
    </row>
    <row r="412" spans="1:14" ht="12" thickBot="1">
      <c r="A412" s="1351"/>
      <c r="C412" s="1336"/>
      <c r="D412" s="296"/>
      <c r="E412" s="296"/>
      <c r="F412" s="296"/>
      <c r="G412" s="296"/>
      <c r="H412" s="296"/>
      <c r="I412" s="296"/>
      <c r="J412" s="296"/>
      <c r="K412" s="296"/>
      <c r="L412" s="296"/>
      <c r="M412" s="1336"/>
      <c r="N412" s="1320"/>
    </row>
    <row r="413" spans="1:14" ht="12" thickBot="1">
      <c r="A413" s="1351"/>
      <c r="C413" s="290"/>
      <c r="D413" s="290"/>
      <c r="E413" s="290"/>
      <c r="F413" s="290"/>
      <c r="G413" s="290"/>
      <c r="H413" s="290"/>
      <c r="I413" s="290"/>
      <c r="J413" s="290"/>
      <c r="K413" s="290"/>
      <c r="L413" s="290"/>
      <c r="M413" s="290"/>
      <c r="N413" s="1320"/>
    </row>
    <row r="414" spans="1:14" ht="12" thickBot="1">
      <c r="A414" s="1351"/>
      <c r="N414" s="1320"/>
    </row>
    <row r="415" spans="1:14" ht="12" thickBot="1">
      <c r="A415" s="1351"/>
      <c r="N415" s="1320"/>
    </row>
    <row r="416" spans="1:14" ht="12" thickBot="1">
      <c r="A416" s="1351"/>
      <c r="N416" s="1320"/>
    </row>
    <row r="417" spans="1:14" ht="12" thickBot="1">
      <c r="A417" s="1351"/>
      <c r="N417" s="1320"/>
    </row>
    <row r="418" spans="1:14" ht="12" thickBot="1">
      <c r="A418" s="1351"/>
      <c r="N418" s="1321"/>
    </row>
    <row r="419" spans="1:14" ht="12" thickBot="1">
      <c r="A419" s="1351"/>
    </row>
    <row r="420" spans="1:14" ht="12" thickBot="1">
      <c r="A420" s="1351"/>
    </row>
    <row r="421" spans="1:14">
      <c r="A421" s="1352"/>
    </row>
    <row r="510" spans="1:14" ht="12" thickBot="1"/>
    <row r="511" spans="1:14" ht="33.75">
      <c r="A511" s="289"/>
      <c r="B511" s="212" t="s">
        <v>59</v>
      </c>
      <c r="C511" s="212"/>
      <c r="D511" s="290"/>
      <c r="E511" s="291"/>
      <c r="F511" s="291"/>
      <c r="G511" s="291"/>
      <c r="H511" s="291"/>
      <c r="I511" s="291"/>
      <c r="J511" s="291"/>
      <c r="K511" s="291"/>
      <c r="L511" s="291"/>
      <c r="M511" s="291"/>
      <c r="N511" s="292"/>
    </row>
    <row r="512" spans="1:14">
      <c r="A512" s="293"/>
      <c r="E512" s="261"/>
      <c r="F512" s="261"/>
      <c r="G512" s="261"/>
      <c r="H512" s="261"/>
      <c r="I512" s="261"/>
      <c r="J512" s="261"/>
      <c r="K512" s="261"/>
      <c r="L512" s="261"/>
      <c r="M512" s="261"/>
      <c r="N512" s="294"/>
    </row>
    <row r="513" spans="1:14">
      <c r="A513" s="293"/>
      <c r="E513" s="261"/>
      <c r="F513" s="261"/>
      <c r="G513" s="261"/>
      <c r="H513" s="261"/>
      <c r="I513" s="261"/>
      <c r="J513" s="261"/>
      <c r="K513" s="261"/>
      <c r="L513" s="261"/>
      <c r="M513" s="261"/>
      <c r="N513" s="294"/>
    </row>
    <row r="514" spans="1:14">
      <c r="A514" s="293"/>
      <c r="E514" s="261"/>
      <c r="F514" s="261"/>
      <c r="G514" s="261"/>
      <c r="H514" s="261"/>
      <c r="I514" s="261"/>
      <c r="J514" s="261"/>
      <c r="K514" s="261"/>
      <c r="L514" s="261"/>
      <c r="M514" s="261"/>
      <c r="N514" s="294"/>
    </row>
    <row r="515" spans="1:14">
      <c r="A515" s="293"/>
      <c r="E515" s="261"/>
      <c r="F515" s="261"/>
      <c r="G515" s="261"/>
      <c r="H515" s="261"/>
      <c r="I515" s="261"/>
      <c r="J515" s="261"/>
      <c r="K515" s="261"/>
      <c r="L515" s="261"/>
      <c r="M515" s="261"/>
      <c r="N515" s="294"/>
    </row>
    <row r="516" spans="1:14">
      <c r="A516" s="293"/>
      <c r="E516" s="261"/>
      <c r="F516" s="261"/>
      <c r="G516" s="261"/>
      <c r="H516" s="261"/>
      <c r="I516" s="261"/>
      <c r="J516" s="261"/>
      <c r="K516" s="261"/>
      <c r="L516" s="261"/>
      <c r="M516" s="261"/>
      <c r="N516" s="294"/>
    </row>
    <row r="517" spans="1:14">
      <c r="A517" s="293"/>
      <c r="E517" s="261"/>
      <c r="F517" s="261"/>
      <c r="G517" s="261"/>
      <c r="H517" s="261"/>
      <c r="I517" s="261"/>
      <c r="J517" s="261"/>
      <c r="K517" s="261"/>
      <c r="L517" s="261"/>
      <c r="M517" s="261"/>
      <c r="N517" s="294"/>
    </row>
    <row r="518" spans="1:14">
      <c r="A518" s="293"/>
      <c r="E518" s="261"/>
      <c r="F518" s="261"/>
      <c r="G518" s="261"/>
      <c r="H518" s="261"/>
      <c r="I518" s="261"/>
      <c r="J518" s="261"/>
      <c r="K518" s="261"/>
      <c r="L518" s="261"/>
      <c r="M518" s="261"/>
      <c r="N518" s="294"/>
    </row>
    <row r="519" spans="1:14" ht="12" thickBot="1">
      <c r="A519" s="293"/>
      <c r="E519" s="261"/>
      <c r="F519" s="261"/>
      <c r="G519" s="261"/>
      <c r="H519" s="261"/>
      <c r="I519" s="261"/>
      <c r="J519" s="261"/>
      <c r="K519" s="261"/>
      <c r="L519" s="261"/>
      <c r="M519" s="261"/>
      <c r="N519" s="298"/>
    </row>
    <row r="520" spans="1:14" ht="12" thickBot="1">
      <c r="A520" s="293"/>
      <c r="E520" s="261"/>
      <c r="F520" s="261"/>
      <c r="G520" s="261"/>
      <c r="H520" s="261"/>
      <c r="I520" s="261"/>
      <c r="J520" s="261"/>
      <c r="K520" s="261"/>
      <c r="L520" s="261"/>
      <c r="M520" s="261"/>
      <c r="N520" s="1358"/>
    </row>
    <row r="521" spans="1:14" ht="12" thickBot="1">
      <c r="A521" s="293"/>
      <c r="E521" s="261"/>
      <c r="F521" s="261"/>
      <c r="G521" s="261"/>
      <c r="H521" s="261"/>
      <c r="I521" s="261"/>
      <c r="J521" s="261"/>
      <c r="K521" s="261"/>
      <c r="L521" s="261"/>
      <c r="M521" s="261"/>
      <c r="N521" s="1358"/>
    </row>
    <row r="522" spans="1:14" ht="12" thickBot="1">
      <c r="A522" s="295"/>
      <c r="B522" s="296"/>
      <c r="C522" s="296"/>
      <c r="D522" s="296"/>
      <c r="E522" s="297"/>
      <c r="F522" s="297"/>
      <c r="G522" s="297"/>
      <c r="H522" s="297"/>
      <c r="I522" s="297"/>
      <c r="J522" s="297"/>
      <c r="K522" s="297"/>
      <c r="L522" s="297"/>
      <c r="M522" s="297"/>
      <c r="N522" s="1358"/>
    </row>
    <row r="523" spans="1:14" ht="12" thickBot="1">
      <c r="M523" s="296"/>
      <c r="N523" s="1320"/>
    </row>
    <row r="524" spans="1:14" ht="12" thickBot="1">
      <c r="M524" s="1336"/>
      <c r="N524" s="1320"/>
    </row>
    <row r="525" spans="1:14" ht="12" thickBot="1">
      <c r="M525" s="1336"/>
      <c r="N525" s="1320"/>
    </row>
    <row r="526" spans="1:14" ht="12" thickBot="1">
      <c r="M526" s="1336"/>
      <c r="N526" s="1320"/>
    </row>
    <row r="527" spans="1:14" ht="12" thickBot="1">
      <c r="M527" s="1336"/>
      <c r="N527" s="1320"/>
    </row>
    <row r="528" spans="1:14" ht="12" thickBot="1">
      <c r="A528" s="1350"/>
      <c r="B528" s="296"/>
      <c r="C528" s="296"/>
      <c r="D528" s="296"/>
      <c r="E528" s="296"/>
      <c r="F528" s="296"/>
      <c r="G528" s="296"/>
      <c r="H528" s="296"/>
      <c r="I528" s="296"/>
      <c r="J528" s="296"/>
      <c r="K528" s="296"/>
      <c r="L528" s="296"/>
      <c r="M528" s="1336"/>
      <c r="N528" s="1320"/>
    </row>
    <row r="529" spans="1:14" ht="12" thickBot="1">
      <c r="A529" s="1351"/>
      <c r="B529" s="290"/>
      <c r="C529" s="290"/>
      <c r="D529" s="290"/>
      <c r="E529" s="290"/>
      <c r="F529" s="290"/>
      <c r="G529" s="290"/>
      <c r="H529" s="290"/>
      <c r="I529" s="290"/>
      <c r="J529" s="290"/>
      <c r="K529" s="290"/>
      <c r="L529" s="290"/>
      <c r="M529" s="290"/>
      <c r="N529" s="1320"/>
    </row>
    <row r="530" spans="1:14" ht="12" thickBot="1">
      <c r="A530" s="1351"/>
      <c r="N530" s="1320"/>
    </row>
    <row r="531" spans="1:14" ht="12" thickBot="1">
      <c r="A531" s="1351"/>
      <c r="N531" s="1320"/>
    </row>
    <row r="532" spans="1:14" ht="12" thickBot="1">
      <c r="A532" s="1351"/>
      <c r="N532" s="1320"/>
    </row>
    <row r="533" spans="1:14" ht="12" thickBot="1">
      <c r="A533" s="1351"/>
      <c r="N533" s="1320"/>
    </row>
    <row r="534" spans="1:14" ht="12" thickBot="1">
      <c r="A534" s="1351"/>
      <c r="N534" s="1320"/>
    </row>
    <row r="535" spans="1:14" ht="12" thickBot="1">
      <c r="A535" s="1351"/>
      <c r="N535" s="1320"/>
    </row>
    <row r="536" spans="1:14">
      <c r="A536" s="1352"/>
      <c r="N536" s="1321"/>
    </row>
  </sheetData>
  <mergeCells count="88">
    <mergeCell ref="N118:N129"/>
    <mergeCell ref="C123:C124"/>
    <mergeCell ref="M125:M129"/>
    <mergeCell ref="A92:A104"/>
    <mergeCell ref="C101:C104"/>
    <mergeCell ref="M100:M104"/>
    <mergeCell ref="N92:N104"/>
    <mergeCell ref="N106:N117"/>
    <mergeCell ref="C111:C112"/>
    <mergeCell ref="C114:C115"/>
    <mergeCell ref="C116:C117"/>
    <mergeCell ref="M113:M117"/>
    <mergeCell ref="C128:C129"/>
    <mergeCell ref="N22:N31"/>
    <mergeCell ref="A44:A55"/>
    <mergeCell ref="N44:N55"/>
    <mergeCell ref="M51:M55"/>
    <mergeCell ref="A22:A31"/>
    <mergeCell ref="M29:M31"/>
    <mergeCell ref="C24:C31"/>
    <mergeCell ref="N32:N41"/>
    <mergeCell ref="A32:A43"/>
    <mergeCell ref="C34:C43"/>
    <mergeCell ref="M39:M43"/>
    <mergeCell ref="A56:A67"/>
    <mergeCell ref="N56:N67"/>
    <mergeCell ref="C58:C59"/>
    <mergeCell ref="C72:C74"/>
    <mergeCell ref="B3:B4"/>
    <mergeCell ref="C3:C4"/>
    <mergeCell ref="D3:D4"/>
    <mergeCell ref="N3:N4"/>
    <mergeCell ref="N9:N21"/>
    <mergeCell ref="C10:C15"/>
    <mergeCell ref="C17:C21"/>
    <mergeCell ref="M3:M4"/>
    <mergeCell ref="M16:M21"/>
    <mergeCell ref="L3:L4"/>
    <mergeCell ref="F3:J3"/>
    <mergeCell ref="A68:A79"/>
    <mergeCell ref="N68:N79"/>
    <mergeCell ref="C70:C71"/>
    <mergeCell ref="C76:C77"/>
    <mergeCell ref="C78:C79"/>
    <mergeCell ref="M75:M79"/>
    <mergeCell ref="N80:N91"/>
    <mergeCell ref="C85:C86"/>
    <mergeCell ref="C147:C149"/>
    <mergeCell ref="C60:C62"/>
    <mergeCell ref="C64:C65"/>
    <mergeCell ref="C66:C67"/>
    <mergeCell ref="M63:M67"/>
    <mergeCell ref="N130:N141"/>
    <mergeCell ref="C132:C134"/>
    <mergeCell ref="C135:C136"/>
    <mergeCell ref="M137:M141"/>
    <mergeCell ref="C138:C139"/>
    <mergeCell ref="C140:C141"/>
    <mergeCell ref="N142:N155"/>
    <mergeCell ref="M150:M155"/>
    <mergeCell ref="C151:C152"/>
    <mergeCell ref="N156:N167"/>
    <mergeCell ref="C161:C162"/>
    <mergeCell ref="M163:M167"/>
    <mergeCell ref="C164:C165"/>
    <mergeCell ref="C166:C167"/>
    <mergeCell ref="N168:N179"/>
    <mergeCell ref="C173:C174"/>
    <mergeCell ref="M175:M179"/>
    <mergeCell ref="C176:C177"/>
    <mergeCell ref="C178:C179"/>
    <mergeCell ref="A168:A179"/>
    <mergeCell ref="A156:A167"/>
    <mergeCell ref="C126:C127"/>
    <mergeCell ref="A80:A91"/>
    <mergeCell ref="A142:A155"/>
    <mergeCell ref="C153:C155"/>
    <mergeCell ref="A130:A141"/>
    <mergeCell ref="C97:C99"/>
    <mergeCell ref="A106:A117"/>
    <mergeCell ref="A118:A129"/>
    <mergeCell ref="K3:K4"/>
    <mergeCell ref="C82:C84"/>
    <mergeCell ref="C88:C89"/>
    <mergeCell ref="C90:C91"/>
    <mergeCell ref="M87:M91"/>
    <mergeCell ref="C46:C50"/>
    <mergeCell ref="C52:C55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38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3" manualBreakCount="3">
    <brk id="43" max="13" man="1"/>
    <brk id="91" max="13" man="1"/>
    <brk id="155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739"/>
  <sheetViews>
    <sheetView showGridLines="0" view="pageBreakPreview" zoomScale="90" zoomScaleSheetLayoutView="90" workbookViewId="0">
      <pane ySplit="5" topLeftCell="A336" activePane="bottomLeft" state="frozen"/>
      <selection activeCell="F19" sqref="F19"/>
      <selection pane="bottomLeft" activeCell="G355" sqref="A355:N364"/>
    </sheetView>
  </sheetViews>
  <sheetFormatPr defaultColWidth="9.140625" defaultRowHeight="11.25"/>
  <cols>
    <col min="1" max="1" width="3.28515625" style="388" customWidth="1"/>
    <col min="2" max="2" width="61.5703125" style="100" customWidth="1"/>
    <col min="3" max="3" width="12" style="100" customWidth="1"/>
    <col min="4" max="4" width="15.140625" style="100" customWidth="1"/>
    <col min="5" max="5" width="13.85546875" style="100" customWidth="1"/>
    <col min="6" max="9" width="13.42578125" style="352" customWidth="1"/>
    <col min="10" max="10" width="12.28515625" style="352" customWidth="1"/>
    <col min="11" max="11" width="8.7109375" style="352" hidden="1" customWidth="1"/>
    <col min="12" max="12" width="11.28515625" style="352" hidden="1" customWidth="1"/>
    <col min="13" max="13" width="12.5703125" style="352" customWidth="1"/>
    <col min="14" max="14" width="16" style="411" customWidth="1"/>
    <col min="15" max="15" width="16.5703125" style="100" hidden="1" customWidth="1"/>
    <col min="16" max="17" width="0" style="100" hidden="1" customWidth="1"/>
    <col min="18" max="16384" width="9.140625" style="100"/>
  </cols>
  <sheetData>
    <row r="1" spans="1:16" ht="22.5" customHeight="1">
      <c r="F1" s="100"/>
      <c r="G1" s="3"/>
      <c r="H1" s="3"/>
      <c r="I1" s="126" t="s">
        <v>331</v>
      </c>
      <c r="J1" s="3"/>
      <c r="K1" s="3"/>
      <c r="L1" s="3"/>
      <c r="M1" s="3"/>
      <c r="N1" s="4"/>
    </row>
    <row r="2" spans="1:16" ht="19.5" thickBot="1"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4"/>
    </row>
    <row r="3" spans="1:16" ht="47.25" customHeight="1">
      <c r="A3" s="389"/>
      <c r="B3" s="4546" t="s">
        <v>64</v>
      </c>
      <c r="C3" s="3964" t="s">
        <v>60</v>
      </c>
      <c r="D3" s="4372" t="s">
        <v>104</v>
      </c>
      <c r="E3" s="1684" t="s">
        <v>208</v>
      </c>
      <c r="F3" s="3985" t="s">
        <v>447</v>
      </c>
      <c r="G3" s="3986"/>
      <c r="H3" s="3986"/>
      <c r="I3" s="3986"/>
      <c r="J3" s="3987"/>
      <c r="K3" s="4135">
        <v>2024</v>
      </c>
      <c r="L3" s="4135">
        <v>2025</v>
      </c>
      <c r="M3" s="3973" t="s">
        <v>456</v>
      </c>
      <c r="N3" s="4374" t="s">
        <v>62</v>
      </c>
    </row>
    <row r="4" spans="1:16" ht="28.5" customHeight="1">
      <c r="A4" s="390"/>
      <c r="B4" s="4547"/>
      <c r="C4" s="4548"/>
      <c r="D4" s="4549"/>
      <c r="E4" s="761" t="s">
        <v>517</v>
      </c>
      <c r="F4" s="1678" t="s">
        <v>163</v>
      </c>
      <c r="G4" s="1678" t="s">
        <v>164</v>
      </c>
      <c r="H4" s="1678" t="s">
        <v>202</v>
      </c>
      <c r="I4" s="1678" t="s">
        <v>203</v>
      </c>
      <c r="J4" s="1678" t="s">
        <v>201</v>
      </c>
      <c r="K4" s="4136"/>
      <c r="L4" s="4136"/>
      <c r="M4" s="4550"/>
      <c r="N4" s="4375"/>
      <c r="O4" s="101">
        <f>D6-D9</f>
        <v>0</v>
      </c>
    </row>
    <row r="5" spans="1:16" ht="15" customHeight="1">
      <c r="A5" s="2809">
        <v>1</v>
      </c>
      <c r="B5" s="2809">
        <v>2</v>
      </c>
      <c r="C5" s="2810" t="s">
        <v>105</v>
      </c>
      <c r="D5" s="765" t="s">
        <v>106</v>
      </c>
      <c r="E5" s="1663">
        <v>5</v>
      </c>
      <c r="F5" s="765">
        <v>6</v>
      </c>
      <c r="G5" s="765">
        <v>7</v>
      </c>
      <c r="H5" s="765">
        <v>8</v>
      </c>
      <c r="I5" s="765">
        <v>9</v>
      </c>
      <c r="J5" s="765">
        <v>10</v>
      </c>
      <c r="K5" s="765"/>
      <c r="L5" s="765"/>
      <c r="M5" s="828">
        <v>11</v>
      </c>
      <c r="N5" s="829">
        <v>12</v>
      </c>
    </row>
    <row r="6" spans="1:16" s="121" customFormat="1" ht="16.5" customHeight="1">
      <c r="A6" s="3611"/>
      <c r="B6" s="660" t="s">
        <v>65</v>
      </c>
      <c r="C6" s="661"/>
      <c r="D6" s="114">
        <f>+D7+D8</f>
        <v>113690958</v>
      </c>
      <c r="E6" s="114">
        <f t="shared" ref="E6:J6" si="0">+E7+E8</f>
        <v>13782745</v>
      </c>
      <c r="F6" s="114">
        <f t="shared" si="0"/>
        <v>40174450</v>
      </c>
      <c r="G6" s="114">
        <f t="shared" si="0"/>
        <v>51213088</v>
      </c>
      <c r="H6" s="114">
        <f t="shared" si="0"/>
        <v>8245503</v>
      </c>
      <c r="I6" s="114">
        <f t="shared" si="0"/>
        <v>275172</v>
      </c>
      <c r="J6" s="2732">
        <f t="shared" si="0"/>
        <v>0</v>
      </c>
      <c r="K6" s="114">
        <f t="shared" ref="K6" si="1">+K7+K8</f>
        <v>0</v>
      </c>
      <c r="L6" s="114">
        <f>+L7+L8</f>
        <v>0</v>
      </c>
      <c r="M6" s="52">
        <f>+M7+M8</f>
        <v>90298252</v>
      </c>
      <c r="N6" s="391"/>
      <c r="O6" s="236"/>
    </row>
    <row r="7" spans="1:16" s="121" customFormat="1" ht="13.5" customHeight="1">
      <c r="A7" s="3611"/>
      <c r="B7" s="662" t="s">
        <v>66</v>
      </c>
      <c r="C7" s="663"/>
      <c r="D7" s="108">
        <f>D149+D170+D192+D231+D253+D266+D287+D140+D205+D308</f>
        <v>4777828</v>
      </c>
      <c r="E7" s="108">
        <f t="shared" ref="E7:I7" si="2">E149+E170+E192+E231+E253+E266+E287+E140+E205+E308</f>
        <v>942855</v>
      </c>
      <c r="F7" s="108">
        <f t="shared" si="2"/>
        <v>2236071</v>
      </c>
      <c r="G7" s="108">
        <f t="shared" si="2"/>
        <v>815994</v>
      </c>
      <c r="H7" s="108">
        <f t="shared" si="2"/>
        <v>770308</v>
      </c>
      <c r="I7" s="108">
        <f t="shared" si="2"/>
        <v>12600</v>
      </c>
      <c r="J7" s="2615">
        <f t="shared" ref="J7:M7" si="3">J149+J170+J192+J231+J253+J266+J287+J140+J205</f>
        <v>0</v>
      </c>
      <c r="K7" s="108">
        <f t="shared" ref="K7" si="4">K149+K170+K192+K231+K253+K266+K287+K140+K205+K308</f>
        <v>0</v>
      </c>
      <c r="L7" s="108">
        <f t="shared" si="3"/>
        <v>0</v>
      </c>
      <c r="M7" s="1006">
        <f t="shared" si="3"/>
        <v>3378433</v>
      </c>
      <c r="N7" s="391"/>
      <c r="O7" s="236"/>
    </row>
    <row r="8" spans="1:16" s="121" customFormat="1" ht="15.75" customHeight="1" thickBot="1">
      <c r="A8" s="3611"/>
      <c r="B8" s="664" t="s">
        <v>8</v>
      </c>
      <c r="C8" s="665"/>
      <c r="D8" s="392">
        <f t="shared" ref="D8:I8" si="5">D25+D37+D51+D99+D108+D158+D183+D275+D296+D124+D75+D218+D63+D317+D87</f>
        <v>108913130</v>
      </c>
      <c r="E8" s="392">
        <f t="shared" si="5"/>
        <v>12839890</v>
      </c>
      <c r="F8" s="392">
        <f t="shared" si="5"/>
        <v>37938379</v>
      </c>
      <c r="G8" s="392">
        <f t="shared" si="5"/>
        <v>50397094</v>
      </c>
      <c r="H8" s="392">
        <f t="shared" si="5"/>
        <v>7475195</v>
      </c>
      <c r="I8" s="392">
        <f t="shared" si="5"/>
        <v>262572</v>
      </c>
      <c r="J8" s="2787">
        <f>J25+J37+J51+J99+J108+J158+J183+J275+J296+J124+J75+J218+J63+J87</f>
        <v>0</v>
      </c>
      <c r="K8" s="392">
        <f t="shared" ref="K8" si="6">K25+K37+K51+K99+K108+K158+K183+K275+K296+K124+K75+K218+K63+K317+K87</f>
        <v>0</v>
      </c>
      <c r="L8" s="392">
        <f>L25+L37+L51+L99+L108+L158+L183+L275+L296+L124+L75+L218</f>
        <v>0</v>
      </c>
      <c r="M8" s="14">
        <f>M25+M37+M51+M99+M108+M158+M183+M275+M296+M124+M75+M218+M63</f>
        <v>86919819</v>
      </c>
      <c r="N8" s="391"/>
      <c r="O8" s="236"/>
    </row>
    <row r="9" spans="1:16" ht="14.25" customHeight="1">
      <c r="A9" s="3611"/>
      <c r="B9" s="98" t="s">
        <v>9</v>
      </c>
      <c r="C9" s="40"/>
      <c r="D9" s="798">
        <f>D10+D14</f>
        <v>113690958</v>
      </c>
      <c r="E9" s="798">
        <f t="shared" ref="E9:J9" si="7">E10+E14</f>
        <v>13782745</v>
      </c>
      <c r="F9" s="798">
        <f t="shared" si="7"/>
        <v>40174450</v>
      </c>
      <c r="G9" s="798">
        <f t="shared" si="7"/>
        <v>51213088</v>
      </c>
      <c r="H9" s="798">
        <f t="shared" si="7"/>
        <v>8245503</v>
      </c>
      <c r="I9" s="798">
        <f t="shared" si="7"/>
        <v>275172</v>
      </c>
      <c r="J9" s="1046">
        <f t="shared" si="7"/>
        <v>0</v>
      </c>
      <c r="K9" s="798">
        <f t="shared" ref="K9" si="8">K10+K14</f>
        <v>0</v>
      </c>
      <c r="L9" s="798">
        <f>L10+L14</f>
        <v>0</v>
      </c>
      <c r="M9" s="1837">
        <f>M10+M14</f>
        <v>97091184</v>
      </c>
      <c r="N9" s="1835"/>
      <c r="O9" s="101"/>
      <c r="P9" s="101"/>
    </row>
    <row r="10" spans="1:16" ht="14.25" customHeight="1">
      <c r="A10" s="3611"/>
      <c r="B10" s="1664" t="s">
        <v>22</v>
      </c>
      <c r="C10" s="1665"/>
      <c r="D10" s="966">
        <f>D11+D12+D13</f>
        <v>20811131</v>
      </c>
      <c r="E10" s="966">
        <f>E11+E12+E13</f>
        <v>2572000</v>
      </c>
      <c r="F10" s="966">
        <f t="shared" ref="F10:I10" si="9">F11+F12+F13</f>
        <v>6049013</v>
      </c>
      <c r="G10" s="966">
        <f t="shared" si="9"/>
        <v>10911166</v>
      </c>
      <c r="H10" s="966">
        <f t="shared" si="9"/>
        <v>1237676</v>
      </c>
      <c r="I10" s="966">
        <f t="shared" si="9"/>
        <v>41276</v>
      </c>
      <c r="J10" s="2808">
        <f t="shared" ref="J10:K10" si="10">J11+J12+J13</f>
        <v>0</v>
      </c>
      <c r="K10" s="966">
        <f t="shared" si="10"/>
        <v>0</v>
      </c>
      <c r="L10" s="966">
        <f>L11+L12+L13</f>
        <v>0</v>
      </c>
      <c r="M10" s="841">
        <f>+M11+M12+M13</f>
        <v>15422102</v>
      </c>
      <c r="N10" s="1836"/>
    </row>
    <row r="11" spans="1:16" ht="14.25" customHeight="1">
      <c r="A11" s="3611"/>
      <c r="B11" s="1030" t="s">
        <v>11</v>
      </c>
      <c r="C11" s="1666"/>
      <c r="D11" s="1031">
        <f t="shared" ref="D11:I11" si="11">D27+D39+D53+D101+D110+D151+D160+D172+D185+D194+D207+D220+D233+D246+D255+D268+D277+D289+D298+D126+D142+D77+D65+D310+D319+D89</f>
        <v>19008096</v>
      </c>
      <c r="E11" s="1031">
        <f t="shared" si="11"/>
        <v>2102000</v>
      </c>
      <c r="F11" s="1031">
        <f t="shared" si="11"/>
        <v>4919546</v>
      </c>
      <c r="G11" s="1031">
        <f t="shared" si="11"/>
        <v>10707598</v>
      </c>
      <c r="H11" s="1031">
        <f t="shared" si="11"/>
        <v>1237676</v>
      </c>
      <c r="I11" s="1031">
        <f t="shared" si="11"/>
        <v>41276</v>
      </c>
      <c r="J11" s="2807">
        <f>J27+J39+J53+J101+J110+J151+J160+J172+J185+J194+J207+J220+J233+J246+J255+J268+J277+J289+J298+J126+J142+J77+J65+J89</f>
        <v>0</v>
      </c>
      <c r="K11" s="1031">
        <f t="shared" ref="K11" si="12">K27+K39+K53+K101+K110+K151+K160+K172+K185+K194+K207+K220+K233+K246+K255+K268+K277+K289+K298+K126+K142+K77+K65+K310+K319+K89</f>
        <v>0</v>
      </c>
      <c r="L11" s="1031">
        <f>L27+L39+L53+L101+L110+L151+L160+L172+L185+L194+L207+L220+L233+L246+L255+L268+L277+L289+L298+L126+L142+L77</f>
        <v>0</v>
      </c>
      <c r="M11" s="1021">
        <f>M27+M39+M53+M101+M110+M151+M160+M172+M185+M194+M207+M220+M233+M246+M255+M268+M277+M289+M298+M126+M142+M77+M65</f>
        <v>15422102</v>
      </c>
      <c r="N11" s="1836"/>
      <c r="O11" s="101"/>
    </row>
    <row r="12" spans="1:16" ht="14.25" customHeight="1">
      <c r="A12" s="3611"/>
      <c r="B12" s="1030" t="s">
        <v>52</v>
      </c>
      <c r="C12" s="1666"/>
      <c r="D12" s="1031">
        <f>+D161</f>
        <v>320000</v>
      </c>
      <c r="E12" s="1031">
        <f t="shared" ref="E12:I12" si="13">+E161</f>
        <v>320000</v>
      </c>
      <c r="F12" s="2807">
        <f t="shared" si="13"/>
        <v>0</v>
      </c>
      <c r="G12" s="2807">
        <f t="shared" si="13"/>
        <v>0</v>
      </c>
      <c r="H12" s="2807">
        <f t="shared" si="13"/>
        <v>0</v>
      </c>
      <c r="I12" s="2807">
        <f t="shared" si="13"/>
        <v>0</v>
      </c>
      <c r="J12" s="2807">
        <f t="shared" ref="J12:K12" si="14">+J161</f>
        <v>0</v>
      </c>
      <c r="K12" s="2807">
        <f t="shared" si="14"/>
        <v>0</v>
      </c>
      <c r="L12" s="1031">
        <f>+L161</f>
        <v>0</v>
      </c>
      <c r="M12" s="2796">
        <f>SUM(F12:J12)</f>
        <v>0</v>
      </c>
      <c r="N12" s="1836"/>
      <c r="O12" s="101"/>
    </row>
    <row r="13" spans="1:16" ht="14.25" customHeight="1">
      <c r="A13" s="3611"/>
      <c r="B13" s="1030" t="s">
        <v>14</v>
      </c>
      <c r="C13" s="1666"/>
      <c r="D13" s="1031">
        <f t="shared" ref="D13:J13" si="15">D278+D299+D28+D40+D54+D113+D129+D78</f>
        <v>1483035</v>
      </c>
      <c r="E13" s="1031">
        <f t="shared" si="15"/>
        <v>150000</v>
      </c>
      <c r="F13" s="1031">
        <f t="shared" si="15"/>
        <v>1129467</v>
      </c>
      <c r="G13" s="1031">
        <f>G278+G299+G28+G40+G54+G113+G129+G78</f>
        <v>203568</v>
      </c>
      <c r="H13" s="3493">
        <f t="shared" si="15"/>
        <v>0</v>
      </c>
      <c r="I13" s="3493">
        <f t="shared" si="15"/>
        <v>0</v>
      </c>
      <c r="J13" s="3493">
        <f t="shared" si="15"/>
        <v>0</v>
      </c>
      <c r="K13" s="3493">
        <f t="shared" ref="K13" si="16">K278+K299+K28+K40+K54+K113+K129+K78</f>
        <v>0</v>
      </c>
      <c r="L13" s="1031">
        <f>L278+L299+L28+L40+L54</f>
        <v>0</v>
      </c>
      <c r="M13" s="2796">
        <f>M278+M299+M28+M40+M54</f>
        <v>0</v>
      </c>
      <c r="N13" s="1836"/>
      <c r="O13" s="101"/>
    </row>
    <row r="14" spans="1:16" ht="14.25" customHeight="1">
      <c r="A14" s="3611"/>
      <c r="B14" s="1664" t="s">
        <v>17</v>
      </c>
      <c r="C14" s="1665"/>
      <c r="D14" s="966">
        <f>+D15+D16</f>
        <v>92879827</v>
      </c>
      <c r="E14" s="966">
        <f t="shared" ref="E14:I14" si="17">+E15+E16</f>
        <v>11210745</v>
      </c>
      <c r="F14" s="966">
        <f t="shared" si="17"/>
        <v>34125437</v>
      </c>
      <c r="G14" s="966">
        <f t="shared" si="17"/>
        <v>40301922</v>
      </c>
      <c r="H14" s="966">
        <f t="shared" si="17"/>
        <v>7007827</v>
      </c>
      <c r="I14" s="966">
        <f t="shared" si="17"/>
        <v>233896</v>
      </c>
      <c r="J14" s="2808">
        <f t="shared" ref="J14:K14" si="18">+J15+J16</f>
        <v>0</v>
      </c>
      <c r="K14" s="966">
        <f t="shared" si="18"/>
        <v>0</v>
      </c>
      <c r="L14" s="966">
        <f>+L15+L16</f>
        <v>0</v>
      </c>
      <c r="M14" s="841">
        <f>+M15</f>
        <v>81669082</v>
      </c>
      <c r="N14" s="1836"/>
    </row>
    <row r="15" spans="1:16" ht="15" customHeight="1">
      <c r="A15" s="3611"/>
      <c r="B15" s="1030" t="s">
        <v>19</v>
      </c>
      <c r="C15" s="1667"/>
      <c r="D15" s="1032">
        <f t="shared" ref="D15:I15" si="19">D30+D42+D56+D103+D115+D153+D163+D176+D187+D198+D237+D259+D270+D280+D291+D301+D131+D144+D80+D211+D224+D68+D312+D322+D92</f>
        <v>92879827</v>
      </c>
      <c r="E15" s="1032">
        <f t="shared" si="19"/>
        <v>11210745</v>
      </c>
      <c r="F15" s="1032">
        <f t="shared" si="19"/>
        <v>34125437</v>
      </c>
      <c r="G15" s="1032">
        <f t="shared" si="19"/>
        <v>40301922</v>
      </c>
      <c r="H15" s="1032">
        <f t="shared" si="19"/>
        <v>7007827</v>
      </c>
      <c r="I15" s="1032">
        <f t="shared" si="19"/>
        <v>233896</v>
      </c>
      <c r="J15" s="2806">
        <f>J30+J42+J56+J103+J115+J153+J163+J176+J187+J198+J237+J259+J270+J280+J291+J301+J131+J144+J80+J211+J224+J68+J92</f>
        <v>0</v>
      </c>
      <c r="K15" s="1032">
        <f t="shared" ref="K15" si="20">K30+K42+K56+K103+K115+K153+K163+K176+K187+K198+K237+K259+K270+K280+K291+K301+K131+K144+K80+K211+K224+K68+K312+K322+K92</f>
        <v>0</v>
      </c>
      <c r="L15" s="1032">
        <f>L30+L42+L56+L103+L115+L153+L163+L176+L187+L198+L237+L259+L270+L280+L291+L301+L131+L144+L80</f>
        <v>0</v>
      </c>
      <c r="M15" s="1021">
        <f>SUM(F15:J15)</f>
        <v>81669082</v>
      </c>
      <c r="N15" s="1836"/>
      <c r="O15" s="101"/>
    </row>
    <row r="16" spans="1:16" ht="13.5" hidden="1" customHeight="1">
      <c r="A16" s="3611"/>
      <c r="B16" s="1749" t="s">
        <v>18</v>
      </c>
      <c r="C16" s="1773"/>
      <c r="D16" s="1032"/>
      <c r="E16" s="1032"/>
      <c r="F16" s="1032"/>
      <c r="G16" s="1032"/>
      <c r="H16" s="1032"/>
      <c r="I16" s="2806"/>
      <c r="J16" s="2806"/>
      <c r="K16" s="2806"/>
      <c r="L16" s="1032"/>
      <c r="M16" s="1668"/>
      <c r="N16" s="1836"/>
    </row>
    <row r="17" spans="1:15" ht="14.25" customHeight="1">
      <c r="A17" s="3611"/>
      <c r="B17" s="98" t="s">
        <v>20</v>
      </c>
      <c r="C17" s="1419"/>
      <c r="D17" s="798">
        <f>D21+D18</f>
        <v>94682862</v>
      </c>
      <c r="E17" s="798">
        <f>E21+E18</f>
        <v>11157396</v>
      </c>
      <c r="F17" s="798">
        <f t="shared" ref="F17:J17" si="21">F21+F18</f>
        <v>25714770</v>
      </c>
      <c r="G17" s="798">
        <f t="shared" si="21"/>
        <v>41171822</v>
      </c>
      <c r="H17" s="798">
        <f t="shared" si="21"/>
        <v>9876593</v>
      </c>
      <c r="I17" s="798">
        <f t="shared" si="21"/>
        <v>6762281</v>
      </c>
      <c r="J17" s="1046">
        <f t="shared" si="21"/>
        <v>0</v>
      </c>
      <c r="K17" s="798">
        <f t="shared" ref="K17" si="22">K21+K18</f>
        <v>0</v>
      </c>
      <c r="L17" s="798">
        <f>L21+L18</f>
        <v>0</v>
      </c>
      <c r="M17" s="3883" t="s">
        <v>51</v>
      </c>
      <c r="N17" s="1836"/>
      <c r="O17" s="101"/>
    </row>
    <row r="18" spans="1:15" ht="14.25" customHeight="1">
      <c r="A18" s="3611"/>
      <c r="B18" s="1664" t="s">
        <v>10</v>
      </c>
      <c r="C18" s="1667"/>
      <c r="D18" s="1669">
        <f>D19+D20</f>
        <v>1803035</v>
      </c>
      <c r="E18" s="1669">
        <f t="shared" ref="E18:J18" si="23">E19+E20</f>
        <v>470000</v>
      </c>
      <c r="F18" s="1669">
        <f t="shared" si="23"/>
        <v>1129467</v>
      </c>
      <c r="G18" s="1669">
        <f t="shared" si="23"/>
        <v>203568</v>
      </c>
      <c r="H18" s="2805">
        <f t="shared" si="23"/>
        <v>0</v>
      </c>
      <c r="I18" s="2805">
        <f t="shared" si="23"/>
        <v>0</v>
      </c>
      <c r="J18" s="2805">
        <f t="shared" si="23"/>
        <v>0</v>
      </c>
      <c r="K18" s="2805">
        <f t="shared" ref="K18" si="24">K19+K20</f>
        <v>0</v>
      </c>
      <c r="L18" s="1669">
        <f>L19+L20</f>
        <v>0</v>
      </c>
      <c r="M18" s="3881"/>
      <c r="N18" s="1836"/>
      <c r="O18" s="101"/>
    </row>
    <row r="19" spans="1:15" ht="14.25" customHeight="1">
      <c r="A19" s="3611"/>
      <c r="B19" s="1030" t="s">
        <v>52</v>
      </c>
      <c r="C19" s="1667"/>
      <c r="D19" s="1032">
        <f>D166</f>
        <v>320000</v>
      </c>
      <c r="E19" s="1032">
        <f t="shared" ref="E19:J19" si="25">E166</f>
        <v>320000</v>
      </c>
      <c r="F19" s="2806">
        <f t="shared" si="25"/>
        <v>0</v>
      </c>
      <c r="G19" s="2806">
        <f t="shared" si="25"/>
        <v>0</v>
      </c>
      <c r="H19" s="2806">
        <f t="shared" si="25"/>
        <v>0</v>
      </c>
      <c r="I19" s="2806">
        <f t="shared" si="25"/>
        <v>0</v>
      </c>
      <c r="J19" s="2806">
        <f t="shared" si="25"/>
        <v>0</v>
      </c>
      <c r="K19" s="2806">
        <f t="shared" ref="K19" si="26">K166</f>
        <v>0</v>
      </c>
      <c r="L19" s="1032">
        <f>L166</f>
        <v>0</v>
      </c>
      <c r="M19" s="3881"/>
      <c r="N19" s="1836"/>
      <c r="O19" s="101"/>
    </row>
    <row r="20" spans="1:15" ht="14.25" customHeight="1">
      <c r="A20" s="3611"/>
      <c r="B20" s="1030" t="s">
        <v>14</v>
      </c>
      <c r="C20" s="1667"/>
      <c r="D20" s="1032">
        <f t="shared" ref="D20:J20" si="27">D283+D304+D33+D47+D59+D120+D136+D83</f>
        <v>1483035</v>
      </c>
      <c r="E20" s="1032">
        <f t="shared" si="27"/>
        <v>150000</v>
      </c>
      <c r="F20" s="1032">
        <f t="shared" si="27"/>
        <v>1129467</v>
      </c>
      <c r="G20" s="1032">
        <f t="shared" si="27"/>
        <v>203568</v>
      </c>
      <c r="H20" s="2818">
        <f t="shared" si="27"/>
        <v>0</v>
      </c>
      <c r="I20" s="2818">
        <f t="shared" si="27"/>
        <v>0</v>
      </c>
      <c r="J20" s="2818">
        <f t="shared" si="27"/>
        <v>0</v>
      </c>
      <c r="K20" s="2818">
        <f t="shared" ref="K20" si="28">K283+K304+K33+K47+K59+K120+K136+K83</f>
        <v>0</v>
      </c>
      <c r="L20" s="1032">
        <f>L283+L304+L33+L47+L59</f>
        <v>0</v>
      </c>
      <c r="M20" s="3881"/>
      <c r="N20" s="1836"/>
      <c r="O20" s="101"/>
    </row>
    <row r="21" spans="1:15" ht="14.25" customHeight="1">
      <c r="A21" s="3611"/>
      <c r="B21" s="1664" t="s">
        <v>17</v>
      </c>
      <c r="C21" s="1667"/>
      <c r="D21" s="1669">
        <f>+D22+D23</f>
        <v>92879827</v>
      </c>
      <c r="E21" s="1669">
        <f t="shared" ref="E21:J21" si="29">+E22+E23</f>
        <v>10687396</v>
      </c>
      <c r="F21" s="1669">
        <f t="shared" si="29"/>
        <v>24585303</v>
      </c>
      <c r="G21" s="1669">
        <f t="shared" si="29"/>
        <v>40968254</v>
      </c>
      <c r="H21" s="1669">
        <f t="shared" si="29"/>
        <v>9876593</v>
      </c>
      <c r="I21" s="1669">
        <f t="shared" si="29"/>
        <v>6762281</v>
      </c>
      <c r="J21" s="2805">
        <f t="shared" si="29"/>
        <v>0</v>
      </c>
      <c r="K21" s="1669">
        <f t="shared" ref="K21" si="30">+K22+K23</f>
        <v>0</v>
      </c>
      <c r="L21" s="1669">
        <f>+L22+L23</f>
        <v>0</v>
      </c>
      <c r="M21" s="3881"/>
      <c r="N21" s="1836"/>
    </row>
    <row r="22" spans="1:15" ht="14.25" customHeight="1" thickBot="1">
      <c r="A22" s="395"/>
      <c r="B22" s="1030" t="s">
        <v>19</v>
      </c>
      <c r="C22" s="1667"/>
      <c r="D22" s="1032">
        <f t="shared" ref="D22:I22" si="31">+D35+D49+D122+D156+D168+D106+D181+D190+D203+D216+D229+D61+D242+D251+D264+D272+D284+D294+D306+D138+D147+D85+D73+D315+D327+D97</f>
        <v>92879827</v>
      </c>
      <c r="E22" s="1032">
        <f t="shared" si="31"/>
        <v>10687396</v>
      </c>
      <c r="F22" s="1032">
        <f t="shared" si="31"/>
        <v>24585303</v>
      </c>
      <c r="G22" s="1032">
        <f t="shared" si="31"/>
        <v>40968254</v>
      </c>
      <c r="H22" s="1032">
        <f t="shared" si="31"/>
        <v>9876593</v>
      </c>
      <c r="I22" s="1032">
        <f t="shared" si="31"/>
        <v>6762281</v>
      </c>
      <c r="J22" s="2806">
        <f>+J35+J49+J122+J156+J168+J106+J181+J190+J203+J216+J229+J61+J242+J251+J264+J272+J284+J294+J306+J138+J147+J85+J73+J97</f>
        <v>0</v>
      </c>
      <c r="K22" s="1032">
        <f t="shared" ref="K22" si="32">+K35+K49+K122+K156+K168+K106+K181+K190+K203+K216+K229+K61+K242+K251+K264+K272+K284+K294+K306+K138+K147+K85+K73+K315+K327+K97</f>
        <v>0</v>
      </c>
      <c r="L22" s="1032">
        <f>+L35+L49+L122+L156+L168+L106+L181+L190+L203+L216+L229+L61+L242+L251+L264+L272+L284+L294+L306+L138+L147+L85</f>
        <v>0</v>
      </c>
      <c r="M22" s="3881"/>
      <c r="N22" s="1836"/>
      <c r="O22" s="101">
        <f>D22-D15</f>
        <v>0</v>
      </c>
    </row>
    <row r="23" spans="1:15" ht="13.5" hidden="1" customHeight="1" thickBot="1">
      <c r="A23" s="395"/>
      <c r="B23" s="1670" t="s">
        <v>18</v>
      </c>
      <c r="C23" s="1670"/>
      <c r="D23" s="1670"/>
      <c r="E23" s="1670"/>
      <c r="F23" s="1670"/>
      <c r="G23" s="1670"/>
      <c r="H23" s="1670"/>
      <c r="I23" s="1670"/>
      <c r="J23" s="1357"/>
      <c r="K23" s="1670"/>
      <c r="L23" s="1670"/>
      <c r="M23" s="3882"/>
      <c r="N23" s="1836"/>
    </row>
    <row r="24" spans="1:15" s="121" customFormat="1" ht="30" customHeight="1">
      <c r="A24" s="4518" t="s">
        <v>53</v>
      </c>
      <c r="B24" s="86" t="s">
        <v>532</v>
      </c>
      <c r="C24" s="1485" t="s">
        <v>70</v>
      </c>
      <c r="D24" s="397"/>
      <c r="E24" s="1150"/>
      <c r="F24" s="1486"/>
      <c r="G24" s="1150"/>
      <c r="H24" s="1150"/>
      <c r="I24" s="1150"/>
      <c r="J24" s="1487"/>
      <c r="K24" s="1486"/>
      <c r="L24" s="1486"/>
      <c r="M24" s="399"/>
      <c r="N24" s="4524" t="s">
        <v>75</v>
      </c>
    </row>
    <row r="25" spans="1:15" s="121" customFormat="1" ht="12.75">
      <c r="A25" s="4502"/>
      <c r="B25" s="796" t="s">
        <v>9</v>
      </c>
      <c r="C25" s="1419"/>
      <c r="D25" s="798">
        <f>D26+D29</f>
        <v>11295981</v>
      </c>
      <c r="E25" s="798">
        <f>+E26+E29</f>
        <v>85388</v>
      </c>
      <c r="F25" s="798">
        <f t="shared" ref="F25:G25" si="33">+F26+F29</f>
        <v>3979533</v>
      </c>
      <c r="G25" s="798">
        <f t="shared" si="33"/>
        <v>7231060</v>
      </c>
      <c r="H25" s="808">
        <f t="shared" ref="H25:J25" si="34">+H26+H29</f>
        <v>0</v>
      </c>
      <c r="I25" s="808">
        <f t="shared" si="34"/>
        <v>0</v>
      </c>
      <c r="J25" s="808">
        <f t="shared" si="34"/>
        <v>0</v>
      </c>
      <c r="K25" s="798">
        <f>+K26+K29</f>
        <v>0</v>
      </c>
      <c r="L25" s="798">
        <f>+L29+L26</f>
        <v>0</v>
      </c>
      <c r="M25" s="799">
        <f>+M29+M26</f>
        <v>11210593</v>
      </c>
      <c r="N25" s="4522"/>
    </row>
    <row r="26" spans="1:15" s="121" customFormat="1" ht="13.5" customHeight="1">
      <c r="A26" s="4502"/>
      <c r="B26" s="800" t="s">
        <v>22</v>
      </c>
      <c r="C26" s="3859" t="s">
        <v>153</v>
      </c>
      <c r="D26" s="801">
        <f>D27+D28</f>
        <v>1779397</v>
      </c>
      <c r="E26" s="1533">
        <f>E27+E28</f>
        <v>12808</v>
      </c>
      <c r="F26" s="806">
        <f t="shared" ref="F26:G26" si="35">F27+F28</f>
        <v>681930</v>
      </c>
      <c r="G26" s="806">
        <f t="shared" si="35"/>
        <v>1084659</v>
      </c>
      <c r="H26" s="1051">
        <f t="shared" ref="H26:J26" si="36">H27+H28</f>
        <v>0</v>
      </c>
      <c r="I26" s="1051">
        <f t="shared" si="36"/>
        <v>0</v>
      </c>
      <c r="J26" s="1051">
        <f t="shared" si="36"/>
        <v>0</v>
      </c>
      <c r="K26" s="806">
        <f>K27+K28</f>
        <v>0</v>
      </c>
      <c r="L26" s="1533">
        <f>L27+L28</f>
        <v>0</v>
      </c>
      <c r="M26" s="1013">
        <f>M27+M28</f>
        <v>1766589</v>
      </c>
      <c r="N26" s="4522"/>
    </row>
    <row r="27" spans="1:15" s="121" customFormat="1" ht="14.25" customHeight="1">
      <c r="A27" s="4502"/>
      <c r="B27" s="1774" t="s">
        <v>11</v>
      </c>
      <c r="C27" s="3908"/>
      <c r="D27" s="766">
        <f>E27+L27+K27+F27+G27+H27+I27+J27</f>
        <v>1779397</v>
      </c>
      <c r="E27" s="804">
        <f>27748-14940</f>
        <v>12808</v>
      </c>
      <c r="F27" s="804">
        <f>608500-13369+86799</f>
        <v>681930</v>
      </c>
      <c r="G27" s="804">
        <f>826755+257904</f>
        <v>1084659</v>
      </c>
      <c r="H27" s="1049">
        <v>0</v>
      </c>
      <c r="I27" s="1049">
        <v>0</v>
      </c>
      <c r="J27" s="1049">
        <v>0</v>
      </c>
      <c r="K27" s="804"/>
      <c r="L27" s="804"/>
      <c r="M27" s="1021">
        <f>SUM(F27:J27)</f>
        <v>1766589</v>
      </c>
      <c r="N27" s="4522"/>
    </row>
    <row r="28" spans="1:15" s="121" customFormat="1" ht="14.25" hidden="1" customHeight="1">
      <c r="A28" s="4502"/>
      <c r="B28" s="1774" t="s">
        <v>14</v>
      </c>
      <c r="C28" s="3908"/>
      <c r="D28" s="766">
        <f>E28+L28+K28+F28+G28+H28+I28+J28</f>
        <v>0</v>
      </c>
      <c r="E28" s="804"/>
      <c r="F28" s="804"/>
      <c r="G28" s="804"/>
      <c r="H28" s="1049"/>
      <c r="I28" s="1049"/>
      <c r="J28" s="1049"/>
      <c r="K28" s="804"/>
      <c r="L28" s="804">
        <v>0</v>
      </c>
      <c r="M28" s="1021">
        <f>SUM(F28:J28)</f>
        <v>0</v>
      </c>
      <c r="N28" s="4522"/>
    </row>
    <row r="29" spans="1:15" s="121" customFormat="1" ht="14.25" customHeight="1">
      <c r="A29" s="4502"/>
      <c r="B29" s="805" t="s">
        <v>17</v>
      </c>
      <c r="C29" s="3908"/>
      <c r="D29" s="801">
        <f>D30</f>
        <v>9516584</v>
      </c>
      <c r="E29" s="1533">
        <f>+E30</f>
        <v>72580</v>
      </c>
      <c r="F29" s="806">
        <f t="shared" ref="F29:J29" si="37">+F30</f>
        <v>3297603</v>
      </c>
      <c r="G29" s="806">
        <f t="shared" si="37"/>
        <v>6146401</v>
      </c>
      <c r="H29" s="1051">
        <f t="shared" si="37"/>
        <v>0</v>
      </c>
      <c r="I29" s="1051">
        <f t="shared" si="37"/>
        <v>0</v>
      </c>
      <c r="J29" s="1051">
        <f t="shared" si="37"/>
        <v>0</v>
      </c>
      <c r="K29" s="806">
        <f>+K30</f>
        <v>0</v>
      </c>
      <c r="L29" s="806">
        <f>+L30</f>
        <v>0</v>
      </c>
      <c r="M29" s="1013">
        <f>+M30</f>
        <v>9444004</v>
      </c>
      <c r="N29" s="4522"/>
    </row>
    <row r="30" spans="1:15" s="121" customFormat="1" ht="15" customHeight="1">
      <c r="A30" s="4502"/>
      <c r="B30" s="1749" t="s">
        <v>19</v>
      </c>
      <c r="C30" s="3920"/>
      <c r="D30" s="766">
        <f>E30+L30+K30+F30+G30+H30+I30+J30</f>
        <v>9516584</v>
      </c>
      <c r="E30" s="804">
        <f>157237-84657</f>
        <v>72580</v>
      </c>
      <c r="F30" s="804">
        <f>2881500-75756+491859</f>
        <v>3297603</v>
      </c>
      <c r="G30" s="804">
        <f>4684945+1461456</f>
        <v>6146401</v>
      </c>
      <c r="H30" s="1049">
        <v>0</v>
      </c>
      <c r="I30" s="1049">
        <v>0</v>
      </c>
      <c r="J30" s="1049">
        <v>0</v>
      </c>
      <c r="K30" s="804"/>
      <c r="L30" s="804"/>
      <c r="M30" s="1021">
        <f>SUM(F30:J30)</f>
        <v>9444004</v>
      </c>
      <c r="N30" s="4523"/>
    </row>
    <row r="31" spans="1:15" s="121" customFormat="1" ht="12.75">
      <c r="A31" s="4502"/>
      <c r="B31" s="1212" t="s">
        <v>20</v>
      </c>
      <c r="C31" s="1419"/>
      <c r="D31" s="798">
        <f>+D34+D32</f>
        <v>9516584</v>
      </c>
      <c r="E31" s="1046">
        <f>E34+E32</f>
        <v>0</v>
      </c>
      <c r="F31" s="798">
        <f>F34+F32</f>
        <v>3370183</v>
      </c>
      <c r="G31" s="798">
        <f>G34+G32</f>
        <v>6146401</v>
      </c>
      <c r="H31" s="808">
        <f t="shared" ref="H31:J31" si="38">H34+H32</f>
        <v>0</v>
      </c>
      <c r="I31" s="808">
        <f t="shared" si="38"/>
        <v>0</v>
      </c>
      <c r="J31" s="808">
        <f t="shared" si="38"/>
        <v>0</v>
      </c>
      <c r="K31" s="798">
        <f>K34+K32</f>
        <v>0</v>
      </c>
      <c r="L31" s="798">
        <f>L34</f>
        <v>0</v>
      </c>
      <c r="M31" s="3883" t="s">
        <v>51</v>
      </c>
      <c r="N31" s="4533" t="s">
        <v>90</v>
      </c>
      <c r="O31" s="236"/>
    </row>
    <row r="32" spans="1:15" s="121" customFormat="1" ht="12.75" hidden="1" customHeight="1">
      <c r="A32" s="4502"/>
      <c r="B32" s="1225" t="s">
        <v>340</v>
      </c>
      <c r="C32" s="3946" t="s">
        <v>153</v>
      </c>
      <c r="D32" s="807">
        <f t="shared" ref="D32:J32" si="39">D33</f>
        <v>0</v>
      </c>
      <c r="E32" s="1671">
        <f t="shared" si="39"/>
        <v>0</v>
      </c>
      <c r="F32" s="1036">
        <f t="shared" si="39"/>
        <v>0</v>
      </c>
      <c r="G32" s="1036">
        <f t="shared" si="39"/>
        <v>0</v>
      </c>
      <c r="H32" s="1050">
        <f t="shared" si="39"/>
        <v>0</v>
      </c>
      <c r="I32" s="1050">
        <f t="shared" si="39"/>
        <v>0</v>
      </c>
      <c r="J32" s="1050">
        <f t="shared" si="39"/>
        <v>0</v>
      </c>
      <c r="K32" s="806">
        <f>K33</f>
        <v>0</v>
      </c>
      <c r="L32" s="1497">
        <f>L33</f>
        <v>0</v>
      </c>
      <c r="M32" s="3881"/>
      <c r="N32" s="4533"/>
      <c r="O32" s="236"/>
    </row>
    <row r="33" spans="1:16" s="121" customFormat="1" ht="12.75" hidden="1" customHeight="1">
      <c r="A33" s="4502"/>
      <c r="B33" s="1774" t="s">
        <v>14</v>
      </c>
      <c r="C33" s="4553"/>
      <c r="D33" s="787">
        <f>E33+L33+K33+F33+G33+H33+I33+J33</f>
        <v>0</v>
      </c>
      <c r="E33" s="1672"/>
      <c r="F33" s="825">
        <v>0</v>
      </c>
      <c r="G33" s="825">
        <v>0</v>
      </c>
      <c r="H33" s="2804">
        <v>0</v>
      </c>
      <c r="I33" s="2804">
        <v>0</v>
      </c>
      <c r="J33" s="2804">
        <v>0</v>
      </c>
      <c r="K33" s="804"/>
      <c r="L33" s="1498">
        <v>0</v>
      </c>
      <c r="M33" s="3881"/>
      <c r="N33" s="4533"/>
      <c r="O33" s="236">
        <f>K33-'[3]Tab. 6H - Kultura fiz. i turyst'!$G$34</f>
        <v>-1146458</v>
      </c>
    </row>
    <row r="34" spans="1:16" s="121" customFormat="1" ht="14.25" customHeight="1">
      <c r="A34" s="4502"/>
      <c r="B34" s="1225" t="s">
        <v>17</v>
      </c>
      <c r="C34" s="3932" t="s">
        <v>174</v>
      </c>
      <c r="D34" s="801">
        <f>+D35</f>
        <v>9516584</v>
      </c>
      <c r="E34" s="1047">
        <f t="shared" ref="E34:J34" si="40">E35</f>
        <v>0</v>
      </c>
      <c r="F34" s="807">
        <f t="shared" si="40"/>
        <v>3370183</v>
      </c>
      <c r="G34" s="807">
        <f t="shared" si="40"/>
        <v>6146401</v>
      </c>
      <c r="H34" s="2447">
        <f t="shared" si="40"/>
        <v>0</v>
      </c>
      <c r="I34" s="2447">
        <f t="shared" si="40"/>
        <v>0</v>
      </c>
      <c r="J34" s="2447">
        <f t="shared" si="40"/>
        <v>0</v>
      </c>
      <c r="K34" s="807">
        <f>K35</f>
        <v>0</v>
      </c>
      <c r="L34" s="807">
        <f>L35</f>
        <v>0</v>
      </c>
      <c r="M34" s="3881"/>
      <c r="N34" s="4533"/>
    </row>
    <row r="35" spans="1:16" s="121" customFormat="1" ht="14.25" customHeight="1" thickBot="1">
      <c r="A35" s="4503"/>
      <c r="B35" s="1775" t="s">
        <v>19</v>
      </c>
      <c r="C35" s="4488"/>
      <c r="D35" s="1142">
        <f>E35+L35+K35+F35+G35+H35+I35+J35</f>
        <v>9516584</v>
      </c>
      <c r="E35" s="1048">
        <v>0</v>
      </c>
      <c r="F35" s="1014">
        <f>3038737-75756+407202</f>
        <v>3370183</v>
      </c>
      <c r="G35" s="1014">
        <f>4684945+1461456</f>
        <v>6146401</v>
      </c>
      <c r="H35" s="1055">
        <v>0</v>
      </c>
      <c r="I35" s="1055">
        <v>0</v>
      </c>
      <c r="J35" s="1055">
        <v>0</v>
      </c>
      <c r="K35" s="1014"/>
      <c r="L35" s="1014">
        <f>14000000-13175000-825000</f>
        <v>0</v>
      </c>
      <c r="M35" s="3882"/>
      <c r="N35" s="4534"/>
    </row>
    <row r="36" spans="1:16" ht="33" customHeight="1">
      <c r="A36" s="4518" t="s">
        <v>54</v>
      </c>
      <c r="B36" s="86" t="s">
        <v>530</v>
      </c>
      <c r="C36" s="1485" t="s">
        <v>70</v>
      </c>
      <c r="D36" s="721"/>
      <c r="E36" s="1499"/>
      <c r="F36" s="1500"/>
      <c r="G36" s="1490"/>
      <c r="H36" s="1490"/>
      <c r="I36" s="1490"/>
      <c r="J36" s="1491"/>
      <c r="K36" s="1500"/>
      <c r="L36" s="1500"/>
      <c r="M36" s="722"/>
      <c r="N36" s="4524" t="s">
        <v>544</v>
      </c>
    </row>
    <row r="37" spans="1:16" ht="15" customHeight="1">
      <c r="A37" s="4529"/>
      <c r="B37" s="796" t="s">
        <v>9</v>
      </c>
      <c r="C37" s="1614"/>
      <c r="D37" s="798">
        <f>+D38+D41</f>
        <v>15057925</v>
      </c>
      <c r="E37" s="798">
        <f t="shared" ref="E37" si="41">+E38+E41</f>
        <v>158640</v>
      </c>
      <c r="F37" s="798">
        <f t="shared" ref="F37:G37" si="42">+F38+F41</f>
        <v>1046813</v>
      </c>
      <c r="G37" s="798">
        <f t="shared" si="42"/>
        <v>13852472</v>
      </c>
      <c r="H37" s="808">
        <f t="shared" ref="H37:J37" si="43">+H38+H41</f>
        <v>0</v>
      </c>
      <c r="I37" s="808">
        <f t="shared" si="43"/>
        <v>0</v>
      </c>
      <c r="J37" s="808">
        <f t="shared" si="43"/>
        <v>0</v>
      </c>
      <c r="K37" s="798">
        <f>+K38+K41</f>
        <v>0</v>
      </c>
      <c r="L37" s="798">
        <f>+L38+L41</f>
        <v>0</v>
      </c>
      <c r="M37" s="799">
        <f>M38+M41</f>
        <v>14899285</v>
      </c>
      <c r="N37" s="4522"/>
      <c r="O37" s="101"/>
      <c r="P37" s="101"/>
    </row>
    <row r="38" spans="1:16" s="121" customFormat="1" ht="14.25" customHeight="1">
      <c r="A38" s="4529"/>
      <c r="B38" s="800" t="s">
        <v>22</v>
      </c>
      <c r="C38" s="3859" t="s">
        <v>153</v>
      </c>
      <c r="D38" s="801">
        <f>D39+D40</f>
        <v>5425019</v>
      </c>
      <c r="E38" s="801">
        <f t="shared" ref="E38" si="44">E39+E40</f>
        <v>63500</v>
      </c>
      <c r="F38" s="801">
        <f t="shared" ref="F38:G38" si="45">F39+F40</f>
        <v>170091</v>
      </c>
      <c r="G38" s="801">
        <f t="shared" si="45"/>
        <v>5191428</v>
      </c>
      <c r="H38" s="809">
        <f t="shared" ref="H38:J38" si="46">H39+H40</f>
        <v>0</v>
      </c>
      <c r="I38" s="809">
        <f t="shared" si="46"/>
        <v>0</v>
      </c>
      <c r="J38" s="809">
        <f t="shared" si="46"/>
        <v>0</v>
      </c>
      <c r="K38" s="801">
        <f>K39+K40</f>
        <v>0</v>
      </c>
      <c r="L38" s="801">
        <f>L39+L40</f>
        <v>0</v>
      </c>
      <c r="M38" s="1013">
        <f>M39+M40</f>
        <v>5361519</v>
      </c>
      <c r="N38" s="4522"/>
    </row>
    <row r="39" spans="1:16" s="121" customFormat="1" ht="12.75">
      <c r="A39" s="4529"/>
      <c r="B39" s="1774" t="s">
        <v>11</v>
      </c>
      <c r="C39" s="3908"/>
      <c r="D39" s="766">
        <f>E39+L39+K39+F39+G39+H39+I39+J39</f>
        <v>5425019</v>
      </c>
      <c r="E39" s="766">
        <f>46710+16790</f>
        <v>63500</v>
      </c>
      <c r="F39" s="804">
        <f>1150000-979909</f>
        <v>170091</v>
      </c>
      <c r="G39" s="804">
        <f>4833982+357446</f>
        <v>5191428</v>
      </c>
      <c r="H39" s="1049">
        <v>0</v>
      </c>
      <c r="I39" s="1049">
        <v>0</v>
      </c>
      <c r="J39" s="1049">
        <v>0</v>
      </c>
      <c r="K39" s="804"/>
      <c r="L39" s="804"/>
      <c r="M39" s="1021">
        <f>SUM(F39:J39)</f>
        <v>5361519</v>
      </c>
      <c r="N39" s="4522"/>
    </row>
    <row r="40" spans="1:16" s="121" customFormat="1" ht="12.75" hidden="1" customHeight="1">
      <c r="A40" s="4529"/>
      <c r="B40" s="1774" t="s">
        <v>14</v>
      </c>
      <c r="C40" s="3908"/>
      <c r="D40" s="766">
        <f>E40+L40+K40+F40+G40+H40+I40+J40</f>
        <v>0</v>
      </c>
      <c r="E40" s="804"/>
      <c r="F40" s="804"/>
      <c r="G40" s="804"/>
      <c r="H40" s="1049"/>
      <c r="I40" s="1049"/>
      <c r="J40" s="1049"/>
      <c r="K40" s="804"/>
      <c r="L40" s="804"/>
      <c r="M40" s="1021">
        <f>SUM(F40:J40)</f>
        <v>0</v>
      </c>
      <c r="N40" s="4522"/>
    </row>
    <row r="41" spans="1:16" ht="14.25" customHeight="1">
      <c r="A41" s="4529"/>
      <c r="B41" s="805" t="s">
        <v>17</v>
      </c>
      <c r="C41" s="3908"/>
      <c r="D41" s="801">
        <f>+D42</f>
        <v>9632906</v>
      </c>
      <c r="E41" s="1533">
        <f>E42</f>
        <v>95140</v>
      </c>
      <c r="F41" s="1533">
        <f t="shared" ref="F41:J41" si="47">F42</f>
        <v>876722</v>
      </c>
      <c r="G41" s="1533">
        <f t="shared" si="47"/>
        <v>8661044</v>
      </c>
      <c r="H41" s="2803">
        <f t="shared" si="47"/>
        <v>0</v>
      </c>
      <c r="I41" s="2803">
        <f t="shared" si="47"/>
        <v>0</v>
      </c>
      <c r="J41" s="2803">
        <f t="shared" si="47"/>
        <v>0</v>
      </c>
      <c r="K41" s="1533">
        <f>K42</f>
        <v>0</v>
      </c>
      <c r="L41" s="1533">
        <f>L42</f>
        <v>0</v>
      </c>
      <c r="M41" s="1147">
        <f>+M42</f>
        <v>9537766</v>
      </c>
      <c r="N41" s="4522"/>
    </row>
    <row r="42" spans="1:16" ht="12.75">
      <c r="A42" s="4529"/>
      <c r="B42" s="1749" t="s">
        <v>19</v>
      </c>
      <c r="C42" s="3920"/>
      <c r="D42" s="766">
        <f>E42+L42+K42+F42+G42+H42+I42+J42</f>
        <v>9632906</v>
      </c>
      <c r="E42" s="804">
        <v>95140</v>
      </c>
      <c r="F42" s="804">
        <f>3450000-2573278</f>
        <v>876722</v>
      </c>
      <c r="G42" s="804">
        <f>8007378+653666</f>
        <v>8661044</v>
      </c>
      <c r="H42" s="1049">
        <v>0</v>
      </c>
      <c r="I42" s="1049">
        <v>0</v>
      </c>
      <c r="J42" s="1049">
        <v>0</v>
      </c>
      <c r="K42" s="804"/>
      <c r="L42" s="804"/>
      <c r="M42" s="1021">
        <f>SUM(F42:J42)</f>
        <v>9537766</v>
      </c>
      <c r="N42" s="4523"/>
    </row>
    <row r="43" spans="1:16" ht="12" hidden="1">
      <c r="A43" s="4529"/>
      <c r="B43" s="3523" t="s">
        <v>542</v>
      </c>
      <c r="C43" s="3587"/>
      <c r="D43" s="2405"/>
      <c r="E43" s="2424"/>
      <c r="F43" s="2406">
        <v>876722</v>
      </c>
      <c r="G43" s="2415">
        <v>5686044</v>
      </c>
      <c r="H43" s="2415"/>
      <c r="I43" s="2791"/>
      <c r="J43" s="2791"/>
      <c r="K43" s="1613"/>
      <c r="L43" s="1613"/>
      <c r="M43" s="1021">
        <f t="shared" ref="M43:M44" si="48">SUM(F43:J43)</f>
        <v>6562766</v>
      </c>
      <c r="N43" s="3601"/>
    </row>
    <row r="44" spans="1:16" ht="12" hidden="1">
      <c r="A44" s="4529"/>
      <c r="B44" s="3524" t="s">
        <v>543</v>
      </c>
      <c r="C44" s="3587"/>
      <c r="D44" s="2417"/>
      <c r="E44" s="2426"/>
      <c r="F44" s="2418">
        <v>0</v>
      </c>
      <c r="G44" s="3525">
        <v>2975000</v>
      </c>
      <c r="H44" s="3525"/>
      <c r="I44" s="3526"/>
      <c r="J44" s="3526"/>
      <c r="K44" s="1613"/>
      <c r="L44" s="1613"/>
      <c r="M44" s="1021">
        <f t="shared" si="48"/>
        <v>2975000</v>
      </c>
      <c r="N44" s="3601"/>
    </row>
    <row r="45" spans="1:16" ht="12">
      <c r="A45" s="4529"/>
      <c r="B45" s="1212" t="s">
        <v>20</v>
      </c>
      <c r="C45" s="1419"/>
      <c r="D45" s="798">
        <f>+D48+D46</f>
        <v>9632906</v>
      </c>
      <c r="E45" s="1011">
        <f>E48+E46</f>
        <v>0</v>
      </c>
      <c r="F45" s="1011">
        <f t="shared" ref="F45:J45" si="49">F48+F46</f>
        <v>0</v>
      </c>
      <c r="G45" s="798">
        <f t="shared" si="49"/>
        <v>9632906</v>
      </c>
      <c r="H45" s="808">
        <f t="shared" si="49"/>
        <v>0</v>
      </c>
      <c r="I45" s="808">
        <f t="shared" si="49"/>
        <v>0</v>
      </c>
      <c r="J45" s="808">
        <f t="shared" si="49"/>
        <v>0</v>
      </c>
      <c r="K45" s="1011">
        <f>K48+K46</f>
        <v>0</v>
      </c>
      <c r="L45" s="798">
        <f>L48+L46</f>
        <v>0</v>
      </c>
      <c r="M45" s="4555"/>
      <c r="N45" s="4554" t="s">
        <v>90</v>
      </c>
    </row>
    <row r="46" spans="1:16" ht="12" hidden="1" customHeight="1">
      <c r="A46" s="4529"/>
      <c r="B46" s="1225" t="s">
        <v>340</v>
      </c>
      <c r="C46" s="4551" t="s">
        <v>153</v>
      </c>
      <c r="D46" s="807">
        <f t="shared" ref="D46:J46" si="50">D47</f>
        <v>0</v>
      </c>
      <c r="E46" s="1497">
        <f t="shared" si="50"/>
        <v>0</v>
      </c>
      <c r="F46" s="1036">
        <f t="shared" si="50"/>
        <v>0</v>
      </c>
      <c r="G46" s="1036">
        <f t="shared" si="50"/>
        <v>0</v>
      </c>
      <c r="H46" s="1050">
        <f t="shared" si="50"/>
        <v>0</v>
      </c>
      <c r="I46" s="1050">
        <f t="shared" si="50"/>
        <v>0</v>
      </c>
      <c r="J46" s="1050">
        <f t="shared" si="50"/>
        <v>0</v>
      </c>
      <c r="K46" s="1036">
        <f>K47</f>
        <v>0</v>
      </c>
      <c r="L46" s="1497">
        <f>L47</f>
        <v>0</v>
      </c>
      <c r="M46" s="4556"/>
      <c r="N46" s="4533"/>
    </row>
    <row r="47" spans="1:16" ht="12.75" hidden="1" customHeight="1">
      <c r="A47" s="4529"/>
      <c r="B47" s="1774" t="s">
        <v>14</v>
      </c>
      <c r="C47" s="4552"/>
      <c r="D47" s="787">
        <f>E47+L47+K47+F47+G47+H47+I47+J47</f>
        <v>0</v>
      </c>
      <c r="E47" s="1498"/>
      <c r="F47" s="825">
        <v>0</v>
      </c>
      <c r="G47" s="825">
        <v>0</v>
      </c>
      <c r="H47" s="2804">
        <v>0</v>
      </c>
      <c r="I47" s="2804">
        <v>0</v>
      </c>
      <c r="J47" s="2804">
        <v>0</v>
      </c>
      <c r="K47" s="1034"/>
      <c r="L47" s="1498"/>
      <c r="M47" s="4556"/>
      <c r="N47" s="4533"/>
      <c r="O47" s="101">
        <f>K47-'[3]Tab. 6H - Kultura fiz. i turyst'!$G$46</f>
        <v>-535390</v>
      </c>
    </row>
    <row r="48" spans="1:16" ht="12.75" customHeight="1">
      <c r="A48" s="4529"/>
      <c r="B48" s="1225" t="s">
        <v>17</v>
      </c>
      <c r="C48" s="3946" t="s">
        <v>174</v>
      </c>
      <c r="D48" s="801">
        <f>+D49</f>
        <v>9632906</v>
      </c>
      <c r="E48" s="833">
        <f t="shared" ref="E48" si="51">+E49</f>
        <v>0</v>
      </c>
      <c r="F48" s="833">
        <f t="shared" ref="F48:J48" si="52">F49</f>
        <v>0</v>
      </c>
      <c r="G48" s="807">
        <f t="shared" si="52"/>
        <v>9632906</v>
      </c>
      <c r="H48" s="2447">
        <f t="shared" si="52"/>
        <v>0</v>
      </c>
      <c r="I48" s="2447">
        <f t="shared" si="52"/>
        <v>0</v>
      </c>
      <c r="J48" s="2447">
        <f t="shared" si="52"/>
        <v>0</v>
      </c>
      <c r="K48" s="833">
        <f>K49</f>
        <v>0</v>
      </c>
      <c r="L48" s="833">
        <f>L49</f>
        <v>0</v>
      </c>
      <c r="M48" s="4556"/>
      <c r="N48" s="4533"/>
    </row>
    <row r="49" spans="1:16" ht="13.5" thickBot="1">
      <c r="A49" s="4530"/>
      <c r="B49" s="3588" t="s">
        <v>19</v>
      </c>
      <c r="C49" s="4488"/>
      <c r="D49" s="1142">
        <f>E49+L49+K49+F49+G49+H49+I49+J49</f>
        <v>9632906</v>
      </c>
      <c r="E49" s="1360">
        <v>0</v>
      </c>
      <c r="F49" s="1015">
        <f>3545140-3545140</f>
        <v>0</v>
      </c>
      <c r="G49" s="1014">
        <f>8007378+1625528</f>
        <v>9632906</v>
      </c>
      <c r="H49" s="1055">
        <v>0</v>
      </c>
      <c r="I49" s="1055">
        <v>0</v>
      </c>
      <c r="J49" s="1055">
        <v>0</v>
      </c>
      <c r="K49" s="1015">
        <v>0</v>
      </c>
      <c r="L49" s="1015">
        <f>5600000-135126-4889874-575000</f>
        <v>0</v>
      </c>
      <c r="M49" s="4557"/>
      <c r="N49" s="4534"/>
    </row>
    <row r="50" spans="1:16" ht="38.25" customHeight="1">
      <c r="A50" s="4518" t="s">
        <v>55</v>
      </c>
      <c r="B50" s="86" t="s">
        <v>577</v>
      </c>
      <c r="C50" s="1485" t="s">
        <v>70</v>
      </c>
      <c r="D50" s="721"/>
      <c r="E50" s="1499"/>
      <c r="F50" s="1500"/>
      <c r="G50" s="1490"/>
      <c r="H50" s="1490"/>
      <c r="I50" s="1490"/>
      <c r="J50" s="1491"/>
      <c r="K50" s="1500"/>
      <c r="L50" s="1500"/>
      <c r="M50" s="722"/>
      <c r="N50" s="4524" t="s">
        <v>75</v>
      </c>
    </row>
    <row r="51" spans="1:16" ht="12">
      <c r="A51" s="4529"/>
      <c r="B51" s="796" t="s">
        <v>9</v>
      </c>
      <c r="C51" s="1614"/>
      <c r="D51" s="798">
        <f>+D52+D55</f>
        <v>4944880</v>
      </c>
      <c r="E51" s="798">
        <f>+E52+E55</f>
        <v>181671</v>
      </c>
      <c r="F51" s="798">
        <f t="shared" ref="F51:G51" si="53">+F52+F55</f>
        <v>2506396</v>
      </c>
      <c r="G51" s="798">
        <f t="shared" si="53"/>
        <v>2256813</v>
      </c>
      <c r="H51" s="808">
        <f t="shared" ref="H51:J51" si="54">+H52+H55</f>
        <v>0</v>
      </c>
      <c r="I51" s="808">
        <f t="shared" si="54"/>
        <v>0</v>
      </c>
      <c r="J51" s="808">
        <f t="shared" si="54"/>
        <v>0</v>
      </c>
      <c r="K51" s="798">
        <f>+K52+K55</f>
        <v>0</v>
      </c>
      <c r="L51" s="798">
        <f>+L52+L55</f>
        <v>0</v>
      </c>
      <c r="M51" s="799">
        <f>M52+M55</f>
        <v>4763209</v>
      </c>
      <c r="N51" s="4522"/>
      <c r="O51" s="101"/>
      <c r="P51" s="101"/>
    </row>
    <row r="52" spans="1:16" s="121" customFormat="1" ht="14.25" customHeight="1">
      <c r="A52" s="4529"/>
      <c r="B52" s="800" t="s">
        <v>22</v>
      </c>
      <c r="C52" s="3859" t="s">
        <v>153</v>
      </c>
      <c r="D52" s="801">
        <f>D53+D54</f>
        <v>826732</v>
      </c>
      <c r="E52" s="801">
        <f t="shared" ref="E52" si="55">E53+E54</f>
        <v>27251</v>
      </c>
      <c r="F52" s="801">
        <f t="shared" ref="F52:G52" si="56">F53+F54</f>
        <v>381396</v>
      </c>
      <c r="G52" s="801">
        <f t="shared" si="56"/>
        <v>418085</v>
      </c>
      <c r="H52" s="809">
        <f t="shared" ref="H52:J52" si="57">H53+H54</f>
        <v>0</v>
      </c>
      <c r="I52" s="809">
        <f t="shared" si="57"/>
        <v>0</v>
      </c>
      <c r="J52" s="809">
        <f t="shared" si="57"/>
        <v>0</v>
      </c>
      <c r="K52" s="801">
        <f>K53+K54</f>
        <v>0</v>
      </c>
      <c r="L52" s="801">
        <f>L53+L54</f>
        <v>0</v>
      </c>
      <c r="M52" s="1013">
        <f>M53+M54</f>
        <v>799481</v>
      </c>
      <c r="N52" s="4522"/>
    </row>
    <row r="53" spans="1:16" s="121" customFormat="1" ht="12.75">
      <c r="A53" s="4529"/>
      <c r="B53" s="1774" t="s">
        <v>11</v>
      </c>
      <c r="C53" s="3908"/>
      <c r="D53" s="766">
        <f>E53+L53+K53+F53+G53+H53+I53+J53</f>
        <v>826732</v>
      </c>
      <c r="E53" s="804">
        <v>27251</v>
      </c>
      <c r="F53" s="804">
        <f>282312+99084</f>
        <v>381396</v>
      </c>
      <c r="G53" s="804">
        <f>696938-278853</f>
        <v>418085</v>
      </c>
      <c r="H53" s="1049">
        <v>0</v>
      </c>
      <c r="I53" s="1049">
        <v>0</v>
      </c>
      <c r="J53" s="1049">
        <v>0</v>
      </c>
      <c r="K53" s="804"/>
      <c r="L53" s="804"/>
      <c r="M53" s="1021">
        <f>SUM(F53:J53)</f>
        <v>799481</v>
      </c>
      <c r="N53" s="4522"/>
    </row>
    <row r="54" spans="1:16" s="121" customFormat="1" ht="12.75" hidden="1" customHeight="1">
      <c r="A54" s="4529"/>
      <c r="B54" s="1774" t="s">
        <v>14</v>
      </c>
      <c r="C54" s="3908"/>
      <c r="D54" s="766">
        <f>E54+L54+K54+F54+G54+H54+I54+J54</f>
        <v>0</v>
      </c>
      <c r="E54" s="804"/>
      <c r="F54" s="804"/>
      <c r="G54" s="804"/>
      <c r="H54" s="1049"/>
      <c r="I54" s="1049"/>
      <c r="J54" s="1049"/>
      <c r="K54" s="804"/>
      <c r="L54" s="804"/>
      <c r="M54" s="1021">
        <f>SUM(F54:J54)</f>
        <v>0</v>
      </c>
      <c r="N54" s="4522"/>
    </row>
    <row r="55" spans="1:16" ht="12">
      <c r="A55" s="4529"/>
      <c r="B55" s="805" t="s">
        <v>17</v>
      </c>
      <c r="C55" s="3908"/>
      <c r="D55" s="801">
        <f>+D56</f>
        <v>4118148</v>
      </c>
      <c r="E55" s="1533">
        <f>E56</f>
        <v>154420</v>
      </c>
      <c r="F55" s="1533">
        <f>F56</f>
        <v>2125000</v>
      </c>
      <c r="G55" s="1533">
        <f>G56</f>
        <v>1838728</v>
      </c>
      <c r="H55" s="2803">
        <f t="shared" ref="H55:J55" si="58">H56</f>
        <v>0</v>
      </c>
      <c r="I55" s="2803">
        <f t="shared" si="58"/>
        <v>0</v>
      </c>
      <c r="J55" s="2803">
        <f t="shared" si="58"/>
        <v>0</v>
      </c>
      <c r="K55" s="1533">
        <f>K56</f>
        <v>0</v>
      </c>
      <c r="L55" s="1533">
        <f>L56</f>
        <v>0</v>
      </c>
      <c r="M55" s="1147">
        <f>+M56</f>
        <v>3963728</v>
      </c>
      <c r="N55" s="4522"/>
    </row>
    <row r="56" spans="1:16" ht="12.75">
      <c r="A56" s="4529"/>
      <c r="B56" s="1749" t="s">
        <v>19</v>
      </c>
      <c r="C56" s="3920"/>
      <c r="D56" s="766">
        <f>E56+L56+K56+F56+G56+H56+I56+J56</f>
        <v>4118148</v>
      </c>
      <c r="E56" s="804">
        <v>154420</v>
      </c>
      <c r="F56" s="804">
        <f>1316438+808562</f>
        <v>2125000</v>
      </c>
      <c r="G56" s="804">
        <f>3949311-2110583</f>
        <v>1838728</v>
      </c>
      <c r="H56" s="1049">
        <v>0</v>
      </c>
      <c r="I56" s="1049">
        <v>0</v>
      </c>
      <c r="J56" s="1049">
        <v>0</v>
      </c>
      <c r="K56" s="804"/>
      <c r="L56" s="804"/>
      <c r="M56" s="1021">
        <f>SUM(F56:J56)</f>
        <v>3963728</v>
      </c>
      <c r="N56" s="4523"/>
    </row>
    <row r="57" spans="1:16" ht="12">
      <c r="A57" s="4529"/>
      <c r="B57" s="1212" t="s">
        <v>20</v>
      </c>
      <c r="C57" s="1419"/>
      <c r="D57" s="798">
        <f>+D60+D58</f>
        <v>4118148</v>
      </c>
      <c r="E57" s="1011">
        <f t="shared" ref="E57" si="59">+E60+E58</f>
        <v>0</v>
      </c>
      <c r="F57" s="798">
        <f t="shared" ref="F57:J57" si="60">+F60+F58</f>
        <v>2279420</v>
      </c>
      <c r="G57" s="798">
        <f t="shared" si="60"/>
        <v>1838728</v>
      </c>
      <c r="H57" s="808">
        <f t="shared" si="60"/>
        <v>0</v>
      </c>
      <c r="I57" s="808">
        <f t="shared" si="60"/>
        <v>0</v>
      </c>
      <c r="J57" s="808">
        <f t="shared" si="60"/>
        <v>0</v>
      </c>
      <c r="K57" s="1011">
        <f>+K60+K58</f>
        <v>0</v>
      </c>
      <c r="L57" s="798">
        <f>+L60+L58</f>
        <v>0</v>
      </c>
      <c r="M57" s="4519"/>
      <c r="N57" s="4533" t="s">
        <v>90</v>
      </c>
    </row>
    <row r="58" spans="1:16" ht="12" hidden="1" customHeight="1">
      <c r="A58" s="4529"/>
      <c r="B58" s="1225" t="s">
        <v>340</v>
      </c>
      <c r="C58" s="4551" t="s">
        <v>153</v>
      </c>
      <c r="D58" s="807">
        <f t="shared" ref="D58:G58" si="61">D59</f>
        <v>0</v>
      </c>
      <c r="E58" s="833">
        <f t="shared" si="61"/>
        <v>0</v>
      </c>
      <c r="F58" s="806">
        <f t="shared" si="61"/>
        <v>0</v>
      </c>
      <c r="G58" s="1533">
        <f t="shared" si="61"/>
        <v>0</v>
      </c>
      <c r="H58" s="1050"/>
      <c r="I58" s="1050"/>
      <c r="J58" s="1050"/>
      <c r="K58" s="1036">
        <f>K59</f>
        <v>0</v>
      </c>
      <c r="L58" s="1497">
        <f>L59</f>
        <v>0</v>
      </c>
      <c r="M58" s="4520"/>
      <c r="N58" s="4533"/>
    </row>
    <row r="59" spans="1:16" ht="12.75" hidden="1" customHeight="1">
      <c r="A59" s="4529"/>
      <c r="B59" s="1774" t="s">
        <v>14</v>
      </c>
      <c r="C59" s="4552"/>
      <c r="D59" s="787">
        <f>E59+L59+K59+F59+G59+H59+I59+J59</f>
        <v>0</v>
      </c>
      <c r="E59" s="1570"/>
      <c r="F59" s="825"/>
      <c r="G59" s="825"/>
      <c r="H59" s="2804"/>
      <c r="I59" s="2804"/>
      <c r="J59" s="2804"/>
      <c r="K59" s="1034"/>
      <c r="L59" s="1498"/>
      <c r="M59" s="4520"/>
      <c r="N59" s="4533"/>
      <c r="O59" s="101"/>
    </row>
    <row r="60" spans="1:16" ht="12.75" customHeight="1">
      <c r="A60" s="4529"/>
      <c r="B60" s="1225" t="s">
        <v>17</v>
      </c>
      <c r="C60" s="3946" t="s">
        <v>174</v>
      </c>
      <c r="D60" s="801">
        <f>+D61</f>
        <v>4118148</v>
      </c>
      <c r="E60" s="833">
        <f t="shared" ref="E60:J60" si="62">E61</f>
        <v>0</v>
      </c>
      <c r="F60" s="1533">
        <f t="shared" si="62"/>
        <v>2279420</v>
      </c>
      <c r="G60" s="1533">
        <f t="shared" si="62"/>
        <v>1838728</v>
      </c>
      <c r="H60" s="2803">
        <f t="shared" si="62"/>
        <v>0</v>
      </c>
      <c r="I60" s="2803">
        <f t="shared" si="62"/>
        <v>0</v>
      </c>
      <c r="J60" s="2803">
        <f t="shared" si="62"/>
        <v>0</v>
      </c>
      <c r="K60" s="833">
        <f>K61</f>
        <v>0</v>
      </c>
      <c r="L60" s="807">
        <f>L61</f>
        <v>0</v>
      </c>
      <c r="M60" s="4520"/>
      <c r="N60" s="4533"/>
    </row>
    <row r="61" spans="1:16" ht="13.5" thickBot="1">
      <c r="A61" s="4530"/>
      <c r="B61" s="1775" t="s">
        <v>19</v>
      </c>
      <c r="C61" s="3929"/>
      <c r="D61" s="1142">
        <f>E61+L61+K61+F61+G61+H61+I61+J61</f>
        <v>4118148</v>
      </c>
      <c r="E61" s="1015">
        <v>0</v>
      </c>
      <c r="F61" s="804">
        <f>1470858+808562</f>
        <v>2279420</v>
      </c>
      <c r="G61" s="1014">
        <f>3949311-2110583</f>
        <v>1838728</v>
      </c>
      <c r="H61" s="1055">
        <v>0</v>
      </c>
      <c r="I61" s="1055">
        <v>0</v>
      </c>
      <c r="J61" s="1055">
        <v>0</v>
      </c>
      <c r="K61" s="1015">
        <v>0</v>
      </c>
      <c r="L61" s="1014">
        <f>2890000-2040000-850000</f>
        <v>0</v>
      </c>
      <c r="M61" s="4521"/>
      <c r="N61" s="4534"/>
    </row>
    <row r="62" spans="1:16" ht="39" customHeight="1">
      <c r="A62" s="4518" t="s">
        <v>56</v>
      </c>
      <c r="B62" s="86" t="s">
        <v>493</v>
      </c>
      <c r="C62" s="1485" t="s">
        <v>70</v>
      </c>
      <c r="D62" s="721"/>
      <c r="E62" s="1499"/>
      <c r="F62" s="1500"/>
      <c r="G62" s="1490"/>
      <c r="H62" s="1490"/>
      <c r="I62" s="1490"/>
      <c r="J62" s="1491"/>
      <c r="K62" s="1500"/>
      <c r="L62" s="1500"/>
      <c r="M62" s="722"/>
      <c r="N62" s="4524" t="s">
        <v>75</v>
      </c>
    </row>
    <row r="63" spans="1:16" ht="12">
      <c r="A63" s="4529"/>
      <c r="B63" s="796" t="s">
        <v>9</v>
      </c>
      <c r="C63" s="1614"/>
      <c r="D63" s="798">
        <f>+D64+D67</f>
        <v>7084413</v>
      </c>
      <c r="E63" s="1011">
        <f>+E64+E67</f>
        <v>0</v>
      </c>
      <c r="F63" s="798">
        <f t="shared" ref="F63" si="63">+F64+F67</f>
        <v>2072710</v>
      </c>
      <c r="G63" s="798">
        <f t="shared" ref="G63:J63" si="64">+G64+G67</f>
        <v>5011703</v>
      </c>
      <c r="H63" s="808">
        <f t="shared" si="64"/>
        <v>0</v>
      </c>
      <c r="I63" s="808">
        <f t="shared" si="64"/>
        <v>0</v>
      </c>
      <c r="J63" s="808">
        <f t="shared" si="64"/>
        <v>0</v>
      </c>
      <c r="K63" s="1011">
        <f>+K64+K67</f>
        <v>0</v>
      </c>
      <c r="L63" s="798">
        <f>+L64+L67</f>
        <v>0</v>
      </c>
      <c r="M63" s="799">
        <f>M64+M67</f>
        <v>7084413</v>
      </c>
      <c r="N63" s="4522"/>
      <c r="O63" s="101"/>
      <c r="P63" s="101"/>
    </row>
    <row r="64" spans="1:16" s="121" customFormat="1" ht="14.25" customHeight="1">
      <c r="A64" s="4529"/>
      <c r="B64" s="800" t="s">
        <v>22</v>
      </c>
      <c r="C64" s="3859" t="s">
        <v>153</v>
      </c>
      <c r="D64" s="801">
        <f>D65+D66</f>
        <v>1105162</v>
      </c>
      <c r="E64" s="1010">
        <f t="shared" ref="E64:J64" si="65">E65+E66</f>
        <v>0</v>
      </c>
      <c r="F64" s="801">
        <f t="shared" si="65"/>
        <v>353406</v>
      </c>
      <c r="G64" s="801">
        <f t="shared" si="65"/>
        <v>751756</v>
      </c>
      <c r="H64" s="809">
        <f t="shared" si="65"/>
        <v>0</v>
      </c>
      <c r="I64" s="809">
        <f t="shared" si="65"/>
        <v>0</v>
      </c>
      <c r="J64" s="809">
        <f t="shared" si="65"/>
        <v>0</v>
      </c>
      <c r="K64" s="1010">
        <f>K65+K66</f>
        <v>0</v>
      </c>
      <c r="L64" s="801">
        <f>L65+L66</f>
        <v>0</v>
      </c>
      <c r="M64" s="1013">
        <f>M65+M66</f>
        <v>1105162</v>
      </c>
      <c r="N64" s="4522"/>
    </row>
    <row r="65" spans="1:15" s="121" customFormat="1" ht="12.75">
      <c r="A65" s="4529"/>
      <c r="B65" s="1774" t="s">
        <v>11</v>
      </c>
      <c r="C65" s="3908"/>
      <c r="D65" s="766">
        <f>E65+L65+K65+F65+G65+H65+I65+J65</f>
        <v>1105162</v>
      </c>
      <c r="E65" s="1034">
        <v>0</v>
      </c>
      <c r="F65" s="804">
        <f>366875-13469</f>
        <v>353406</v>
      </c>
      <c r="G65" s="804">
        <f>950625-198869</f>
        <v>751756</v>
      </c>
      <c r="H65" s="1049">
        <v>0</v>
      </c>
      <c r="I65" s="1049">
        <v>0</v>
      </c>
      <c r="J65" s="1049">
        <v>0</v>
      </c>
      <c r="K65" s="1034">
        <v>0</v>
      </c>
      <c r="L65" s="804"/>
      <c r="M65" s="1021">
        <f>SUM(F65:J65)</f>
        <v>1105162</v>
      </c>
      <c r="N65" s="4522"/>
    </row>
    <row r="66" spans="1:15" s="121" customFormat="1" ht="12.75" hidden="1" customHeight="1">
      <c r="A66" s="4529"/>
      <c r="B66" s="1774" t="s">
        <v>14</v>
      </c>
      <c r="C66" s="3908"/>
      <c r="D66" s="766">
        <f>E66+L66+K66+F66+G66+H66+I66+J66</f>
        <v>0</v>
      </c>
      <c r="E66" s="1034"/>
      <c r="F66" s="804"/>
      <c r="G66" s="804"/>
      <c r="H66" s="1049"/>
      <c r="I66" s="1049"/>
      <c r="J66" s="1049"/>
      <c r="K66" s="1034"/>
      <c r="L66" s="804"/>
      <c r="M66" s="1021">
        <f>SUM(F66:J66)</f>
        <v>0</v>
      </c>
      <c r="N66" s="4522"/>
    </row>
    <row r="67" spans="1:15" ht="12">
      <c r="A67" s="4529"/>
      <c r="B67" s="805" t="s">
        <v>17</v>
      </c>
      <c r="C67" s="3908"/>
      <c r="D67" s="801">
        <f>+D68</f>
        <v>5979251</v>
      </c>
      <c r="E67" s="1615">
        <f>E68</f>
        <v>0</v>
      </c>
      <c r="F67" s="1533">
        <f>F68</f>
        <v>1719304</v>
      </c>
      <c r="G67" s="1533">
        <f>G68</f>
        <v>4259947</v>
      </c>
      <c r="H67" s="2803">
        <f t="shared" ref="H67:J67" si="66">H68</f>
        <v>0</v>
      </c>
      <c r="I67" s="2803">
        <f t="shared" si="66"/>
        <v>0</v>
      </c>
      <c r="J67" s="2803">
        <f t="shared" si="66"/>
        <v>0</v>
      </c>
      <c r="K67" s="1615">
        <f>K68</f>
        <v>0</v>
      </c>
      <c r="L67" s="1533">
        <f>L68</f>
        <v>0</v>
      </c>
      <c r="M67" s="1147">
        <f>+M68</f>
        <v>5979251</v>
      </c>
      <c r="N67" s="4522"/>
    </row>
    <row r="68" spans="1:15" ht="12.75">
      <c r="A68" s="4529"/>
      <c r="B68" s="1749" t="s">
        <v>19</v>
      </c>
      <c r="C68" s="3920"/>
      <c r="D68" s="766">
        <f>E68+L68+K68+F68+G68+H68+I68+J68</f>
        <v>5979251</v>
      </c>
      <c r="E68" s="1034">
        <v>0</v>
      </c>
      <c r="F68" s="804">
        <f>1795625-76321</f>
        <v>1719304</v>
      </c>
      <c r="G68" s="804">
        <f>5386875-1126928</f>
        <v>4259947</v>
      </c>
      <c r="H68" s="1049">
        <v>0</v>
      </c>
      <c r="I68" s="1049">
        <v>0</v>
      </c>
      <c r="J68" s="1049">
        <v>0</v>
      </c>
      <c r="K68" s="1034">
        <v>0</v>
      </c>
      <c r="L68" s="804"/>
      <c r="M68" s="1021">
        <f>SUM(F68:J68)</f>
        <v>5979251</v>
      </c>
      <c r="N68" s="4523"/>
    </row>
    <row r="69" spans="1:15" ht="12">
      <c r="A69" s="4529"/>
      <c r="B69" s="1212" t="s">
        <v>20</v>
      </c>
      <c r="C69" s="1419"/>
      <c r="D69" s="798">
        <f>+D72+D70</f>
        <v>5979251</v>
      </c>
      <c r="E69" s="1011">
        <f t="shared" ref="E69:J69" si="67">+E72+E70</f>
        <v>0</v>
      </c>
      <c r="F69" s="798">
        <f t="shared" si="67"/>
        <v>1719304</v>
      </c>
      <c r="G69" s="798">
        <f t="shared" si="67"/>
        <v>4259947</v>
      </c>
      <c r="H69" s="808">
        <f t="shared" si="67"/>
        <v>0</v>
      </c>
      <c r="I69" s="808">
        <f t="shared" si="67"/>
        <v>0</v>
      </c>
      <c r="J69" s="808">
        <f t="shared" si="67"/>
        <v>0</v>
      </c>
      <c r="K69" s="1011">
        <f>+K72+K70</f>
        <v>0</v>
      </c>
      <c r="L69" s="798">
        <f>+L72+L70</f>
        <v>0</v>
      </c>
      <c r="M69" s="4519"/>
      <c r="N69" s="4533" t="s">
        <v>90</v>
      </c>
    </row>
    <row r="70" spans="1:15" ht="12" hidden="1" customHeight="1">
      <c r="A70" s="4529"/>
      <c r="B70" s="1225" t="s">
        <v>340</v>
      </c>
      <c r="C70" s="4551" t="s">
        <v>153</v>
      </c>
      <c r="D70" s="807">
        <f t="shared" ref="D70:G70" si="68">D71</f>
        <v>0</v>
      </c>
      <c r="E70" s="833">
        <f t="shared" si="68"/>
        <v>0</v>
      </c>
      <c r="F70" s="806">
        <f t="shared" si="68"/>
        <v>0</v>
      </c>
      <c r="G70" s="806">
        <f t="shared" si="68"/>
        <v>0</v>
      </c>
      <c r="H70" s="1050"/>
      <c r="I70" s="1050"/>
      <c r="J70" s="1050"/>
      <c r="K70" s="1036">
        <f>K71</f>
        <v>0</v>
      </c>
      <c r="L70" s="1497">
        <f>L71</f>
        <v>0</v>
      </c>
      <c r="M70" s="4520"/>
      <c r="N70" s="4533"/>
    </row>
    <row r="71" spans="1:15" ht="12.75" hidden="1" customHeight="1">
      <c r="A71" s="4529"/>
      <c r="B71" s="1774" t="s">
        <v>14</v>
      </c>
      <c r="C71" s="4552"/>
      <c r="D71" s="787">
        <f>E71+L71+K71+F71+G71+H71+I71+J71</f>
        <v>0</v>
      </c>
      <c r="E71" s="1570"/>
      <c r="F71" s="825"/>
      <c r="G71" s="825"/>
      <c r="H71" s="2804"/>
      <c r="I71" s="2804"/>
      <c r="J71" s="2804"/>
      <c r="K71" s="1034"/>
      <c r="L71" s="1498"/>
      <c r="M71" s="4520"/>
      <c r="N71" s="4533"/>
      <c r="O71" s="101"/>
    </row>
    <row r="72" spans="1:15" ht="12.75" customHeight="1">
      <c r="A72" s="4529"/>
      <c r="B72" s="1225" t="s">
        <v>17</v>
      </c>
      <c r="C72" s="3946" t="s">
        <v>174</v>
      </c>
      <c r="D72" s="801">
        <f>+D73</f>
        <v>5979251</v>
      </c>
      <c r="E72" s="833">
        <f t="shared" ref="E72:J72" si="69">E73</f>
        <v>0</v>
      </c>
      <c r="F72" s="1533">
        <f t="shared" si="69"/>
        <v>1719304</v>
      </c>
      <c r="G72" s="1533">
        <f t="shared" si="69"/>
        <v>4259947</v>
      </c>
      <c r="H72" s="2803">
        <f t="shared" si="69"/>
        <v>0</v>
      </c>
      <c r="I72" s="2803">
        <f t="shared" si="69"/>
        <v>0</v>
      </c>
      <c r="J72" s="2803">
        <f t="shared" si="69"/>
        <v>0</v>
      </c>
      <c r="K72" s="833">
        <f>K73</f>
        <v>0</v>
      </c>
      <c r="L72" s="807">
        <f>L73</f>
        <v>0</v>
      </c>
      <c r="M72" s="4520"/>
      <c r="N72" s="4533"/>
    </row>
    <row r="73" spans="1:15" ht="13.5" thickBot="1">
      <c r="A73" s="4530"/>
      <c r="B73" s="1775" t="s">
        <v>19</v>
      </c>
      <c r="C73" s="3929"/>
      <c r="D73" s="1142">
        <f>E73+L73+K73+F73+G73+H73+I73+J73</f>
        <v>5979251</v>
      </c>
      <c r="E73" s="1015">
        <v>0</v>
      </c>
      <c r="F73" s="804">
        <f>1795625-76321</f>
        <v>1719304</v>
      </c>
      <c r="G73" s="1014">
        <f>5386875-1126928</f>
        <v>4259947</v>
      </c>
      <c r="H73" s="1055">
        <v>0</v>
      </c>
      <c r="I73" s="1055">
        <v>0</v>
      </c>
      <c r="J73" s="1055">
        <v>0</v>
      </c>
      <c r="K73" s="1015">
        <v>0</v>
      </c>
      <c r="L73" s="1014">
        <f>2890000-2040000-850000</f>
        <v>0</v>
      </c>
      <c r="M73" s="4521"/>
      <c r="N73" s="4534"/>
    </row>
    <row r="74" spans="1:15" ht="27.75" customHeight="1">
      <c r="A74" s="4518" t="s">
        <v>57</v>
      </c>
      <c r="B74" s="86" t="s">
        <v>458</v>
      </c>
      <c r="C74" s="1485" t="s">
        <v>70</v>
      </c>
      <c r="D74" s="721"/>
      <c r="E74" s="1499"/>
      <c r="F74" s="1500"/>
      <c r="G74" s="1490"/>
      <c r="H74" s="1490"/>
      <c r="I74" s="1490"/>
      <c r="J74" s="1491"/>
      <c r="K74" s="1500"/>
      <c r="L74" s="1500"/>
      <c r="M74" s="722"/>
      <c r="N74" s="4524" t="s">
        <v>75</v>
      </c>
    </row>
    <row r="75" spans="1:15" ht="14.25" customHeight="1">
      <c r="A75" s="4529"/>
      <c r="B75" s="796" t="s">
        <v>9</v>
      </c>
      <c r="C75" s="1614"/>
      <c r="D75" s="798">
        <f>+D76+D79</f>
        <v>7320637</v>
      </c>
      <c r="E75" s="798">
        <f t="shared" ref="E75" si="70">+E76+E79</f>
        <v>136578</v>
      </c>
      <c r="F75" s="798">
        <f>+F76+F79</f>
        <v>7184059</v>
      </c>
      <c r="G75" s="808">
        <f t="shared" ref="G75:J75" si="71">+G76+G79</f>
        <v>0</v>
      </c>
      <c r="H75" s="808">
        <f t="shared" si="71"/>
        <v>0</v>
      </c>
      <c r="I75" s="808">
        <f t="shared" si="71"/>
        <v>0</v>
      </c>
      <c r="J75" s="808">
        <f t="shared" si="71"/>
        <v>0</v>
      </c>
      <c r="K75" s="798">
        <f>+K76+K79</f>
        <v>0</v>
      </c>
      <c r="L75" s="798">
        <f>+L76+L79</f>
        <v>0</v>
      </c>
      <c r="M75" s="799">
        <f>M76+M79</f>
        <v>7184059</v>
      </c>
      <c r="N75" s="4522"/>
    </row>
    <row r="76" spans="1:15" ht="14.25" customHeight="1">
      <c r="A76" s="4529"/>
      <c r="B76" s="800" t="s">
        <v>22</v>
      </c>
      <c r="C76" s="3859" t="s">
        <v>153</v>
      </c>
      <c r="D76" s="801">
        <f>D77+D78</f>
        <v>1194637</v>
      </c>
      <c r="E76" s="801">
        <f t="shared" ref="E76:J76" si="72">E77+E78</f>
        <v>32028</v>
      </c>
      <c r="F76" s="801">
        <f>F77+F78</f>
        <v>1162609</v>
      </c>
      <c r="G76" s="809">
        <f t="shared" si="72"/>
        <v>0</v>
      </c>
      <c r="H76" s="809">
        <f t="shared" si="72"/>
        <v>0</v>
      </c>
      <c r="I76" s="809">
        <f t="shared" si="72"/>
        <v>0</v>
      </c>
      <c r="J76" s="809">
        <f t="shared" si="72"/>
        <v>0</v>
      </c>
      <c r="K76" s="801">
        <f>K77+K78</f>
        <v>0</v>
      </c>
      <c r="L76" s="801">
        <f>L77+L78</f>
        <v>0</v>
      </c>
      <c r="M76" s="1013">
        <f>M77+M78</f>
        <v>1162609</v>
      </c>
      <c r="N76" s="4522"/>
    </row>
    <row r="77" spans="1:15" ht="14.25" customHeight="1">
      <c r="A77" s="4529"/>
      <c r="B77" s="2437" t="s">
        <v>11</v>
      </c>
      <c r="C77" s="3908"/>
      <c r="D77" s="766">
        <f>E77+L77+K77+F77+G77+H77+I77+J77</f>
        <v>664832</v>
      </c>
      <c r="E77" s="766">
        <f>13578+18450</f>
        <v>32028</v>
      </c>
      <c r="F77" s="804">
        <f>1215000+100000-152391-529805</f>
        <v>632804</v>
      </c>
      <c r="G77" s="1049">
        <v>0</v>
      </c>
      <c r="H77" s="1049">
        <v>0</v>
      </c>
      <c r="I77" s="1049">
        <v>0</v>
      </c>
      <c r="J77" s="1049">
        <v>0</v>
      </c>
      <c r="K77" s="804"/>
      <c r="L77" s="804"/>
      <c r="M77" s="1021">
        <f>SUM(F77:J77)</f>
        <v>632804</v>
      </c>
      <c r="N77" s="4522"/>
    </row>
    <row r="78" spans="1:15" ht="12.75" customHeight="1">
      <c r="A78" s="4529"/>
      <c r="B78" s="1774" t="s">
        <v>14</v>
      </c>
      <c r="C78" s="3908"/>
      <c r="D78" s="766">
        <f>E78+L78+K78+F78+G78+H78+I78+J78</f>
        <v>529805</v>
      </c>
      <c r="E78" s="1532">
        <v>0</v>
      </c>
      <c r="F78" s="804">
        <v>529805</v>
      </c>
      <c r="G78" s="1049"/>
      <c r="H78" s="1049"/>
      <c r="I78" s="1049"/>
      <c r="J78" s="1049"/>
      <c r="K78" s="804">
        <v>0</v>
      </c>
      <c r="L78" s="804"/>
      <c r="M78" s="1021">
        <f>SUM(F78:J78)</f>
        <v>529805</v>
      </c>
      <c r="N78" s="4522"/>
    </row>
    <row r="79" spans="1:15" ht="12">
      <c r="A79" s="4529"/>
      <c r="B79" s="805" t="s">
        <v>17</v>
      </c>
      <c r="C79" s="3908"/>
      <c r="D79" s="801">
        <f>+D80</f>
        <v>6126000</v>
      </c>
      <c r="E79" s="1533">
        <f>E80</f>
        <v>104550</v>
      </c>
      <c r="F79" s="1533">
        <f>F80</f>
        <v>6021450</v>
      </c>
      <c r="G79" s="2803">
        <f t="shared" ref="G79:J79" si="73">G80</f>
        <v>0</v>
      </c>
      <c r="H79" s="2803">
        <f t="shared" si="73"/>
        <v>0</v>
      </c>
      <c r="I79" s="2803">
        <f t="shared" si="73"/>
        <v>0</v>
      </c>
      <c r="J79" s="2803">
        <f t="shared" si="73"/>
        <v>0</v>
      </c>
      <c r="K79" s="1533">
        <f>K80</f>
        <v>0</v>
      </c>
      <c r="L79" s="1533">
        <f>L80</f>
        <v>0</v>
      </c>
      <c r="M79" s="1147">
        <f>+M80</f>
        <v>6021450</v>
      </c>
      <c r="N79" s="4522"/>
    </row>
    <row r="80" spans="1:15" ht="12.75">
      <c r="A80" s="4529"/>
      <c r="B80" s="1749" t="s">
        <v>19</v>
      </c>
      <c r="C80" s="3920"/>
      <c r="D80" s="766">
        <f>E80+L80+K80+F80+G80+H80+I80+J80</f>
        <v>6126000</v>
      </c>
      <c r="E80" s="804">
        <v>104550</v>
      </c>
      <c r="F80" s="804">
        <f>6885000-863550</f>
        <v>6021450</v>
      </c>
      <c r="G80" s="1049">
        <v>0</v>
      </c>
      <c r="H80" s="1049">
        <v>0</v>
      </c>
      <c r="I80" s="1049">
        <v>0</v>
      </c>
      <c r="J80" s="1049">
        <v>0</v>
      </c>
      <c r="K80" s="804"/>
      <c r="L80" s="804"/>
      <c r="M80" s="1021">
        <f>SUM(F80:J80)</f>
        <v>6021450</v>
      </c>
      <c r="N80" s="4523"/>
    </row>
    <row r="81" spans="1:14" ht="14.25" customHeight="1">
      <c r="A81" s="4529"/>
      <c r="B81" s="1212" t="s">
        <v>20</v>
      </c>
      <c r="C81" s="1419"/>
      <c r="D81" s="798">
        <f>+D84+D82</f>
        <v>6655805</v>
      </c>
      <c r="E81" s="1011">
        <f t="shared" ref="E81" si="74">+E84+E82</f>
        <v>0</v>
      </c>
      <c r="F81" s="798">
        <f>F84+F82</f>
        <v>6655805</v>
      </c>
      <c r="G81" s="808">
        <f t="shared" ref="G81:J81" si="75">G84</f>
        <v>0</v>
      </c>
      <c r="H81" s="808">
        <f t="shared" si="75"/>
        <v>0</v>
      </c>
      <c r="I81" s="808">
        <f t="shared" si="75"/>
        <v>0</v>
      </c>
      <c r="J81" s="808">
        <f t="shared" si="75"/>
        <v>0</v>
      </c>
      <c r="K81" s="1011">
        <f>+K84+K82</f>
        <v>0</v>
      </c>
      <c r="L81" s="798">
        <f>+L84+L82</f>
        <v>0</v>
      </c>
      <c r="M81" s="4519"/>
      <c r="N81" s="4533" t="s">
        <v>90</v>
      </c>
    </row>
    <row r="82" spans="1:14" ht="12" customHeight="1">
      <c r="A82" s="4529"/>
      <c r="B82" s="1225" t="s">
        <v>340</v>
      </c>
      <c r="C82" s="4551" t="s">
        <v>153</v>
      </c>
      <c r="D82" s="807">
        <f t="shared" ref="D82:J82" si="76">D83</f>
        <v>529805</v>
      </c>
      <c r="E82" s="1036">
        <f t="shared" ref="E82" si="77">+E83</f>
        <v>0</v>
      </c>
      <c r="F82" s="807">
        <f t="shared" si="76"/>
        <v>529805</v>
      </c>
      <c r="G82" s="1050">
        <f t="shared" si="76"/>
        <v>0</v>
      </c>
      <c r="H82" s="1050">
        <f t="shared" si="76"/>
        <v>0</v>
      </c>
      <c r="I82" s="1050">
        <f t="shared" si="76"/>
        <v>0</v>
      </c>
      <c r="J82" s="1050">
        <f t="shared" si="76"/>
        <v>0</v>
      </c>
      <c r="K82" s="1036">
        <f>K83</f>
        <v>0</v>
      </c>
      <c r="L82" s="1497">
        <f>L83</f>
        <v>0</v>
      </c>
      <c r="M82" s="4520"/>
      <c r="N82" s="4533"/>
    </row>
    <row r="83" spans="1:14" ht="12.75" customHeight="1">
      <c r="A83" s="4529"/>
      <c r="B83" s="1774" t="s">
        <v>14</v>
      </c>
      <c r="C83" s="4552"/>
      <c r="D83" s="787">
        <f>E83+L83+K83+F83+G83+H83+I83+J83</f>
        <v>529805</v>
      </c>
      <c r="E83" s="825">
        <v>0</v>
      </c>
      <c r="F83" s="787">
        <v>529805</v>
      </c>
      <c r="G83" s="2804">
        <v>0</v>
      </c>
      <c r="H83" s="2804">
        <v>0</v>
      </c>
      <c r="I83" s="2804">
        <v>0</v>
      </c>
      <c r="J83" s="2804">
        <v>0</v>
      </c>
      <c r="K83" s="1034">
        <v>0</v>
      </c>
      <c r="L83" s="1498"/>
      <c r="M83" s="4520"/>
      <c r="N83" s="4533"/>
    </row>
    <row r="84" spans="1:14" ht="12">
      <c r="A84" s="4529"/>
      <c r="B84" s="1225" t="s">
        <v>17</v>
      </c>
      <c r="C84" s="3946" t="s">
        <v>174</v>
      </c>
      <c r="D84" s="801">
        <f>+D85</f>
        <v>6126000</v>
      </c>
      <c r="E84" s="833">
        <f t="shared" ref="E84" si="78">+E85</f>
        <v>0</v>
      </c>
      <c r="F84" s="807">
        <f t="shared" ref="F84:J84" si="79">F85</f>
        <v>6126000</v>
      </c>
      <c r="G84" s="2447">
        <f t="shared" si="79"/>
        <v>0</v>
      </c>
      <c r="H84" s="2447">
        <f t="shared" si="79"/>
        <v>0</v>
      </c>
      <c r="I84" s="2447">
        <f t="shared" si="79"/>
        <v>0</v>
      </c>
      <c r="J84" s="2447">
        <f t="shared" si="79"/>
        <v>0</v>
      </c>
      <c r="K84" s="833">
        <f>K85</f>
        <v>0</v>
      </c>
      <c r="L84" s="807">
        <f>L85</f>
        <v>0</v>
      </c>
      <c r="M84" s="4520"/>
      <c r="N84" s="4533"/>
    </row>
    <row r="85" spans="1:14" ht="13.5" thickBot="1">
      <c r="A85" s="4530"/>
      <c r="B85" s="1775" t="s">
        <v>19</v>
      </c>
      <c r="C85" s="3929"/>
      <c r="D85" s="1142">
        <f>E85+L85+K85+F85+G85+H85+I85+J85</f>
        <v>6126000</v>
      </c>
      <c r="E85" s="1360">
        <v>0</v>
      </c>
      <c r="F85" s="1674">
        <f>6989550-863550</f>
        <v>6126000</v>
      </c>
      <c r="G85" s="1055">
        <v>0</v>
      </c>
      <c r="H85" s="1055">
        <v>0</v>
      </c>
      <c r="I85" s="1055">
        <v>0</v>
      </c>
      <c r="J85" s="1055">
        <v>0</v>
      </c>
      <c r="K85" s="1015">
        <v>0</v>
      </c>
      <c r="L85" s="1014">
        <f>2890000-2040000-850000</f>
        <v>0</v>
      </c>
      <c r="M85" s="4521"/>
      <c r="N85" s="4534"/>
    </row>
    <row r="86" spans="1:14" ht="38.25" customHeight="1">
      <c r="A86" s="4518" t="s">
        <v>103</v>
      </c>
      <c r="B86" s="86" t="s">
        <v>541</v>
      </c>
      <c r="C86" s="1485" t="s">
        <v>70</v>
      </c>
      <c r="D86" s="721"/>
      <c r="E86" s="1499"/>
      <c r="F86" s="1500"/>
      <c r="G86" s="1490"/>
      <c r="H86" s="1490"/>
      <c r="I86" s="1490"/>
      <c r="J86" s="1491"/>
      <c r="K86" s="1500"/>
      <c r="L86" s="1500"/>
      <c r="M86" s="722"/>
      <c r="N86" s="4524" t="s">
        <v>75</v>
      </c>
    </row>
    <row r="87" spans="1:14" ht="14.25" customHeight="1">
      <c r="A87" s="4529"/>
      <c r="B87" s="796" t="s">
        <v>9</v>
      </c>
      <c r="C87" s="1614"/>
      <c r="D87" s="798">
        <f>+D88+D91</f>
        <v>7286529</v>
      </c>
      <c r="E87" s="1011">
        <f t="shared" ref="E87" si="80">+E88+E91</f>
        <v>0</v>
      </c>
      <c r="F87" s="798">
        <f>+F88+F91</f>
        <v>446529</v>
      </c>
      <c r="G87" s="798">
        <f t="shared" ref="G87:J87" si="81">+G88+G91</f>
        <v>6840000</v>
      </c>
      <c r="H87" s="808">
        <f t="shared" si="81"/>
        <v>0</v>
      </c>
      <c r="I87" s="808">
        <f t="shared" si="81"/>
        <v>0</v>
      </c>
      <c r="J87" s="808">
        <f t="shared" si="81"/>
        <v>0</v>
      </c>
      <c r="K87" s="798">
        <f>+K88+K91</f>
        <v>0</v>
      </c>
      <c r="L87" s="798">
        <f>+L88+L91</f>
        <v>0</v>
      </c>
      <c r="M87" s="799">
        <f>M88+M91</f>
        <v>7286529</v>
      </c>
      <c r="N87" s="4522"/>
    </row>
    <row r="88" spans="1:14" ht="14.25" customHeight="1">
      <c r="A88" s="4529"/>
      <c r="B88" s="800" t="s">
        <v>22</v>
      </c>
      <c r="C88" s="3859" t="s">
        <v>153</v>
      </c>
      <c r="D88" s="801">
        <f>D89+D90</f>
        <v>1135479</v>
      </c>
      <c r="E88" s="1010">
        <f t="shared" ref="E88:J88" si="82">E89+E90</f>
        <v>0</v>
      </c>
      <c r="F88" s="801">
        <f t="shared" si="82"/>
        <v>75479</v>
      </c>
      <c r="G88" s="801">
        <f t="shared" si="82"/>
        <v>1060000</v>
      </c>
      <c r="H88" s="809">
        <f t="shared" si="82"/>
        <v>0</v>
      </c>
      <c r="I88" s="809">
        <f t="shared" si="82"/>
        <v>0</v>
      </c>
      <c r="J88" s="809">
        <f t="shared" si="82"/>
        <v>0</v>
      </c>
      <c r="K88" s="801">
        <f>K89+K90</f>
        <v>0</v>
      </c>
      <c r="L88" s="801">
        <f>L89+L90</f>
        <v>0</v>
      </c>
      <c r="M88" s="1013">
        <f>M89+M90</f>
        <v>1135479</v>
      </c>
      <c r="N88" s="4522"/>
    </row>
    <row r="89" spans="1:14" ht="14.25" customHeight="1">
      <c r="A89" s="4529"/>
      <c r="B89" s="1749" t="s">
        <v>11</v>
      </c>
      <c r="C89" s="3908"/>
      <c r="D89" s="766">
        <f>E89+L89+K89+F89+G89+H89+I89+J89</f>
        <v>1135479</v>
      </c>
      <c r="E89" s="1532">
        <v>0</v>
      </c>
      <c r="F89" s="804">
        <v>75479</v>
      </c>
      <c r="G89" s="804">
        <v>1060000</v>
      </c>
      <c r="H89" s="1049">
        <v>0</v>
      </c>
      <c r="I89" s="1049">
        <v>0</v>
      </c>
      <c r="J89" s="1049">
        <v>0</v>
      </c>
      <c r="K89" s="804"/>
      <c r="L89" s="804"/>
      <c r="M89" s="1021">
        <f>SUM(F89:J89)</f>
        <v>1135479</v>
      </c>
      <c r="N89" s="4522"/>
    </row>
    <row r="90" spans="1:14" ht="12.75" hidden="1" customHeight="1">
      <c r="A90" s="4529"/>
      <c r="B90" s="1774" t="s">
        <v>14</v>
      </c>
      <c r="C90" s="3908"/>
      <c r="D90" s="766">
        <f>E90+L90+K90+F90+G90+H90+I90+J90</f>
        <v>0</v>
      </c>
      <c r="E90" s="1532">
        <v>0</v>
      </c>
      <c r="F90" s="804">
        <v>0</v>
      </c>
      <c r="G90" s="804"/>
      <c r="H90" s="1049"/>
      <c r="I90" s="1049"/>
      <c r="J90" s="1049"/>
      <c r="K90" s="804">
        <v>0</v>
      </c>
      <c r="L90" s="804"/>
      <c r="M90" s="1021">
        <f>SUM(F90:J90)</f>
        <v>0</v>
      </c>
      <c r="N90" s="4522"/>
    </row>
    <row r="91" spans="1:14" ht="12">
      <c r="A91" s="4529"/>
      <c r="B91" s="805" t="s">
        <v>17</v>
      </c>
      <c r="C91" s="3908"/>
      <c r="D91" s="801">
        <f>+D92</f>
        <v>6151050</v>
      </c>
      <c r="E91" s="1615">
        <f>E92</f>
        <v>0</v>
      </c>
      <c r="F91" s="1533">
        <f>F92</f>
        <v>371050</v>
      </c>
      <c r="G91" s="1533">
        <f t="shared" ref="G91:J91" si="83">G92</f>
        <v>5780000</v>
      </c>
      <c r="H91" s="2803">
        <f t="shared" si="83"/>
        <v>0</v>
      </c>
      <c r="I91" s="2803">
        <f t="shared" si="83"/>
        <v>0</v>
      </c>
      <c r="J91" s="2803">
        <f t="shared" si="83"/>
        <v>0</v>
      </c>
      <c r="K91" s="1533">
        <f>K92</f>
        <v>0</v>
      </c>
      <c r="L91" s="1533">
        <f>L92</f>
        <v>0</v>
      </c>
      <c r="M91" s="1147">
        <f>+M92</f>
        <v>6151050</v>
      </c>
      <c r="N91" s="4522"/>
    </row>
    <row r="92" spans="1:14" ht="12.75">
      <c r="A92" s="4529"/>
      <c r="B92" s="1749" t="s">
        <v>19</v>
      </c>
      <c r="C92" s="3920"/>
      <c r="D92" s="766">
        <f>E92+L92+K92+F92+G92+H92+I92+J92</f>
        <v>6151050</v>
      </c>
      <c r="E92" s="1034">
        <v>0</v>
      </c>
      <c r="F92" s="804">
        <v>371050</v>
      </c>
      <c r="G92" s="804">
        <v>5780000</v>
      </c>
      <c r="H92" s="1049">
        <v>0</v>
      </c>
      <c r="I92" s="1049">
        <v>0</v>
      </c>
      <c r="J92" s="1049">
        <v>0</v>
      </c>
      <c r="K92" s="804"/>
      <c r="L92" s="804"/>
      <c r="M92" s="1021">
        <f>SUM(F92:J92)</f>
        <v>6151050</v>
      </c>
      <c r="N92" s="4523"/>
    </row>
    <row r="93" spans="1:14" ht="14.25" customHeight="1">
      <c r="A93" s="4529"/>
      <c r="B93" s="1212" t="s">
        <v>20</v>
      </c>
      <c r="C93" s="1419"/>
      <c r="D93" s="798">
        <f>+D96+D94</f>
        <v>6151050</v>
      </c>
      <c r="E93" s="1011">
        <f t="shared" ref="E93" si="84">+E96+E94</f>
        <v>0</v>
      </c>
      <c r="F93" s="1011">
        <f>F96</f>
        <v>0</v>
      </c>
      <c r="G93" s="798">
        <f t="shared" ref="G93:J93" si="85">G96</f>
        <v>6151050</v>
      </c>
      <c r="H93" s="808">
        <f t="shared" si="85"/>
        <v>0</v>
      </c>
      <c r="I93" s="808">
        <f t="shared" si="85"/>
        <v>0</v>
      </c>
      <c r="J93" s="808">
        <f t="shared" si="85"/>
        <v>0</v>
      </c>
      <c r="K93" s="1011">
        <f>+K96+K94</f>
        <v>0</v>
      </c>
      <c r="L93" s="798">
        <f>+L96+L94</f>
        <v>0</v>
      </c>
      <c r="M93" s="4519"/>
      <c r="N93" s="4533" t="s">
        <v>90</v>
      </c>
    </row>
    <row r="94" spans="1:14" ht="12" hidden="1" customHeight="1">
      <c r="A94" s="4529"/>
      <c r="B94" s="1225" t="s">
        <v>340</v>
      </c>
      <c r="C94" s="4551" t="s">
        <v>153</v>
      </c>
      <c r="D94" s="807">
        <f t="shared" ref="D94:J94" si="86">D95</f>
        <v>0</v>
      </c>
      <c r="E94" s="1036">
        <f t="shared" ref="E94" si="87">+E95</f>
        <v>0</v>
      </c>
      <c r="F94" s="1036">
        <f t="shared" si="86"/>
        <v>0</v>
      </c>
      <c r="G94" s="1036">
        <f t="shared" si="86"/>
        <v>0</v>
      </c>
      <c r="H94" s="1050">
        <f t="shared" si="86"/>
        <v>0</v>
      </c>
      <c r="I94" s="1050">
        <f t="shared" si="86"/>
        <v>0</v>
      </c>
      <c r="J94" s="1050">
        <f t="shared" si="86"/>
        <v>0</v>
      </c>
      <c r="K94" s="1036">
        <f>K95</f>
        <v>0</v>
      </c>
      <c r="L94" s="1497">
        <f>L95</f>
        <v>0</v>
      </c>
      <c r="M94" s="4520"/>
      <c r="N94" s="4533"/>
    </row>
    <row r="95" spans="1:14" ht="12.75" hidden="1" customHeight="1">
      <c r="A95" s="4529"/>
      <c r="B95" s="1774" t="s">
        <v>14</v>
      </c>
      <c r="C95" s="4552"/>
      <c r="D95" s="787">
        <f>E95+L95+K95+F95+G95+H95+I95+J95</f>
        <v>0</v>
      </c>
      <c r="E95" s="825">
        <v>0</v>
      </c>
      <c r="F95" s="825">
        <v>0</v>
      </c>
      <c r="G95" s="825">
        <v>0</v>
      </c>
      <c r="H95" s="2804">
        <v>0</v>
      </c>
      <c r="I95" s="2804">
        <v>0</v>
      </c>
      <c r="J95" s="2804">
        <v>0</v>
      </c>
      <c r="K95" s="1034">
        <v>0</v>
      </c>
      <c r="L95" s="1498"/>
      <c r="M95" s="4520"/>
      <c r="N95" s="4533"/>
    </row>
    <row r="96" spans="1:14" ht="12">
      <c r="A96" s="4529"/>
      <c r="B96" s="1225" t="s">
        <v>17</v>
      </c>
      <c r="C96" s="3946" t="s">
        <v>174</v>
      </c>
      <c r="D96" s="801">
        <f>+D97</f>
        <v>6151050</v>
      </c>
      <c r="E96" s="833">
        <f t="shared" ref="E96" si="88">+E97</f>
        <v>0</v>
      </c>
      <c r="F96" s="833">
        <f t="shared" ref="F96:J96" si="89">F97</f>
        <v>0</v>
      </c>
      <c r="G96" s="807">
        <f t="shared" si="89"/>
        <v>6151050</v>
      </c>
      <c r="H96" s="2447">
        <f t="shared" si="89"/>
        <v>0</v>
      </c>
      <c r="I96" s="2447">
        <f t="shared" si="89"/>
        <v>0</v>
      </c>
      <c r="J96" s="2447">
        <f t="shared" si="89"/>
        <v>0</v>
      </c>
      <c r="K96" s="833">
        <f>K97</f>
        <v>0</v>
      </c>
      <c r="L96" s="807">
        <f>L97</f>
        <v>0</v>
      </c>
      <c r="M96" s="4520"/>
      <c r="N96" s="4533"/>
    </row>
    <row r="97" spans="1:16" ht="13.5" thickBot="1">
      <c r="A97" s="4530"/>
      <c r="B97" s="1775" t="s">
        <v>19</v>
      </c>
      <c r="C97" s="3929"/>
      <c r="D97" s="1142">
        <f>E97+L97+K97+F97+G97+H97+I97+J97</f>
        <v>6151050</v>
      </c>
      <c r="E97" s="1360">
        <v>0</v>
      </c>
      <c r="F97" s="1309">
        <v>0</v>
      </c>
      <c r="G97" s="1674">
        <v>6151050</v>
      </c>
      <c r="H97" s="1055">
        <v>0</v>
      </c>
      <c r="I97" s="1055">
        <v>0</v>
      </c>
      <c r="J97" s="1055">
        <v>0</v>
      </c>
      <c r="K97" s="1015">
        <v>0</v>
      </c>
      <c r="L97" s="1014">
        <f>2890000-2040000-850000</f>
        <v>0</v>
      </c>
      <c r="M97" s="4521"/>
      <c r="N97" s="4534"/>
    </row>
    <row r="98" spans="1:16" ht="27" customHeight="1">
      <c r="A98" s="4518" t="s">
        <v>76</v>
      </c>
      <c r="B98" s="86" t="s">
        <v>441</v>
      </c>
      <c r="C98" s="1485" t="s">
        <v>70</v>
      </c>
      <c r="D98" s="721"/>
      <c r="E98" s="1499"/>
      <c r="F98" s="1500"/>
      <c r="G98" s="1490"/>
      <c r="H98" s="1490"/>
      <c r="I98" s="1490"/>
      <c r="J98" s="1491"/>
      <c r="K98" s="1500"/>
      <c r="L98" s="1500"/>
      <c r="M98" s="722"/>
      <c r="N98" s="4524" t="s">
        <v>75</v>
      </c>
      <c r="O98" s="101">
        <f>D99-'[2]Tab. 6H - Kultura fiz. i turyst'!$D$74</f>
        <v>-1231433</v>
      </c>
    </row>
    <row r="99" spans="1:16" ht="16.5" customHeight="1">
      <c r="A99" s="4529"/>
      <c r="B99" s="796" t="s">
        <v>9</v>
      </c>
      <c r="C99" s="1614"/>
      <c r="D99" s="798">
        <f>+D100+D102</f>
        <v>6268567</v>
      </c>
      <c r="E99" s="798">
        <f t="shared" ref="E99" si="90">+E100+E102</f>
        <v>99597</v>
      </c>
      <c r="F99" s="798">
        <f>+F100+F102</f>
        <v>4197556</v>
      </c>
      <c r="G99" s="798">
        <f>+G100+G102</f>
        <v>1971414</v>
      </c>
      <c r="H99" s="1046">
        <f t="shared" ref="H99:J99" si="91">+H100+H102</f>
        <v>0</v>
      </c>
      <c r="I99" s="1046">
        <f t="shared" si="91"/>
        <v>0</v>
      </c>
      <c r="J99" s="1046">
        <f t="shared" si="91"/>
        <v>0</v>
      </c>
      <c r="K99" s="1011">
        <f>+K100+K102</f>
        <v>0</v>
      </c>
      <c r="L99" s="1011">
        <f>+L100+L102</f>
        <v>0</v>
      </c>
      <c r="M99" s="799">
        <f>M100+M102</f>
        <v>6168970</v>
      </c>
      <c r="N99" s="4522"/>
      <c r="O99" s="101"/>
      <c r="P99" s="101"/>
    </row>
    <row r="100" spans="1:16" s="121" customFormat="1" ht="14.25" customHeight="1">
      <c r="A100" s="4529"/>
      <c r="B100" s="800" t="s">
        <v>22</v>
      </c>
      <c r="C100" s="3859" t="s">
        <v>153</v>
      </c>
      <c r="D100" s="801">
        <f>D101</f>
        <v>940287</v>
      </c>
      <c r="E100" s="801">
        <f t="shared" ref="E100:J100" si="92">E101</f>
        <v>14940</v>
      </c>
      <c r="F100" s="1533">
        <f t="shared" si="92"/>
        <v>629635</v>
      </c>
      <c r="G100" s="1533">
        <f t="shared" si="92"/>
        <v>295712</v>
      </c>
      <c r="H100" s="2801">
        <f t="shared" si="92"/>
        <v>0</v>
      </c>
      <c r="I100" s="2801">
        <f t="shared" si="92"/>
        <v>0</v>
      </c>
      <c r="J100" s="2801">
        <f t="shared" si="92"/>
        <v>0</v>
      </c>
      <c r="K100" s="1615">
        <f>K101</f>
        <v>0</v>
      </c>
      <c r="L100" s="1615">
        <f>L101</f>
        <v>0</v>
      </c>
      <c r="M100" s="1013">
        <f>M101</f>
        <v>925347</v>
      </c>
      <c r="N100" s="4522"/>
    </row>
    <row r="101" spans="1:16" s="121" customFormat="1" ht="14.25" customHeight="1">
      <c r="A101" s="4529"/>
      <c r="B101" s="803" t="s">
        <v>11</v>
      </c>
      <c r="C101" s="3908"/>
      <c r="D101" s="766">
        <f>E101+L101+K101+F101+G101+H101+I101+J101</f>
        <v>940287</v>
      </c>
      <c r="E101" s="766">
        <v>14940</v>
      </c>
      <c r="F101" s="804">
        <f>600000+157500-92387-13468-22010</f>
        <v>629635</v>
      </c>
      <c r="G101" s="804">
        <f>52500+243212</f>
        <v>295712</v>
      </c>
      <c r="H101" s="1672">
        <v>0</v>
      </c>
      <c r="I101" s="1672">
        <v>0</v>
      </c>
      <c r="J101" s="1672">
        <v>0</v>
      </c>
      <c r="K101" s="1034">
        <f>900000-375000-210000-287749-27251</f>
        <v>0</v>
      </c>
      <c r="L101" s="1034">
        <f>225000-225000</f>
        <v>0</v>
      </c>
      <c r="M101" s="1021">
        <f>SUM(F101:J101)</f>
        <v>925347</v>
      </c>
      <c r="N101" s="4522"/>
    </row>
    <row r="102" spans="1:16" ht="14.25" customHeight="1">
      <c r="A102" s="4529"/>
      <c r="B102" s="805" t="s">
        <v>17</v>
      </c>
      <c r="C102" s="3908"/>
      <c r="D102" s="801">
        <f>+D103</f>
        <v>5328280</v>
      </c>
      <c r="E102" s="801">
        <f t="shared" ref="E102" si="93">+E103</f>
        <v>84657</v>
      </c>
      <c r="F102" s="1533">
        <f>F103</f>
        <v>3567921</v>
      </c>
      <c r="G102" s="1533">
        <f>G103</f>
        <v>1675702</v>
      </c>
      <c r="H102" s="2801">
        <f t="shared" ref="H102:J102" si="94">H103</f>
        <v>0</v>
      </c>
      <c r="I102" s="2801">
        <f t="shared" si="94"/>
        <v>0</v>
      </c>
      <c r="J102" s="2801">
        <f t="shared" si="94"/>
        <v>0</v>
      </c>
      <c r="K102" s="1615">
        <f>K103</f>
        <v>0</v>
      </c>
      <c r="L102" s="1615">
        <f>L103</f>
        <v>0</v>
      </c>
      <c r="M102" s="1147">
        <f>+M103</f>
        <v>5243623</v>
      </c>
      <c r="N102" s="4522"/>
    </row>
    <row r="103" spans="1:16" ht="13.5" customHeight="1">
      <c r="A103" s="4529"/>
      <c r="B103" s="1749" t="s">
        <v>19</v>
      </c>
      <c r="C103" s="3920"/>
      <c r="D103" s="766">
        <f>E103+L103+K103+F103+G103+H103+I103+J103</f>
        <v>5328280</v>
      </c>
      <c r="E103" s="766">
        <v>84657</v>
      </c>
      <c r="F103" s="804">
        <f>3400000+892500-523528-76322-124729</f>
        <v>3567921</v>
      </c>
      <c r="G103" s="804">
        <f>297500+1378202</f>
        <v>1675702</v>
      </c>
      <c r="H103" s="1672">
        <v>0</v>
      </c>
      <c r="I103" s="1672">
        <v>0</v>
      </c>
      <c r="J103" s="1672">
        <v>0</v>
      </c>
      <c r="K103" s="1034">
        <f>5100000-2125000-1190000-1630580-154420</f>
        <v>0</v>
      </c>
      <c r="L103" s="1034">
        <f>1275000-1275000</f>
        <v>0</v>
      </c>
      <c r="M103" s="1021">
        <f>SUM(F103:J103)</f>
        <v>5243623</v>
      </c>
      <c r="N103" s="4523"/>
    </row>
    <row r="104" spans="1:16" ht="15.75" customHeight="1">
      <c r="A104" s="4529"/>
      <c r="B104" s="1212" t="s">
        <v>20</v>
      </c>
      <c r="C104" s="1419"/>
      <c r="D104" s="798">
        <f>+D105</f>
        <v>5328280</v>
      </c>
      <c r="E104" s="1011">
        <f t="shared" ref="E104" si="95">+E105</f>
        <v>0</v>
      </c>
      <c r="F104" s="1011">
        <f t="shared" ref="F104:L105" si="96">F105</f>
        <v>0</v>
      </c>
      <c r="G104" s="798">
        <f t="shared" si="96"/>
        <v>5328280</v>
      </c>
      <c r="H104" s="1046">
        <f t="shared" si="96"/>
        <v>0</v>
      </c>
      <c r="I104" s="1046">
        <f t="shared" si="96"/>
        <v>0</v>
      </c>
      <c r="J104" s="1046">
        <f t="shared" si="96"/>
        <v>0</v>
      </c>
      <c r="K104" s="798">
        <f t="shared" si="96"/>
        <v>0</v>
      </c>
      <c r="L104" s="798">
        <f t="shared" si="96"/>
        <v>0</v>
      </c>
      <c r="M104" s="4519"/>
      <c r="N104" s="4533" t="s">
        <v>90</v>
      </c>
    </row>
    <row r="105" spans="1:16" ht="15" customHeight="1">
      <c r="A105" s="4529"/>
      <c r="B105" s="1225" t="s">
        <v>17</v>
      </c>
      <c r="C105" s="3946" t="s">
        <v>174</v>
      </c>
      <c r="D105" s="801">
        <f>+D106</f>
        <v>5328280</v>
      </c>
      <c r="E105" s="833">
        <v>0</v>
      </c>
      <c r="F105" s="833">
        <f t="shared" si="96"/>
        <v>0</v>
      </c>
      <c r="G105" s="807">
        <f t="shared" si="96"/>
        <v>5328280</v>
      </c>
      <c r="H105" s="1047">
        <f t="shared" si="96"/>
        <v>0</v>
      </c>
      <c r="I105" s="1047">
        <f t="shared" si="96"/>
        <v>0</v>
      </c>
      <c r="J105" s="1047">
        <f t="shared" si="96"/>
        <v>0</v>
      </c>
      <c r="K105" s="833">
        <f>K106</f>
        <v>0</v>
      </c>
      <c r="L105" s="833">
        <f>L106</f>
        <v>0</v>
      </c>
      <c r="M105" s="4520"/>
      <c r="N105" s="4533"/>
    </row>
    <row r="106" spans="1:16" ht="15" customHeight="1" thickBot="1">
      <c r="A106" s="4530"/>
      <c r="B106" s="1775" t="s">
        <v>19</v>
      </c>
      <c r="C106" s="3929"/>
      <c r="D106" s="1142">
        <f>E106+L106+K106+F106+G106+H106+I106+J106</f>
        <v>5328280</v>
      </c>
      <c r="E106" s="1015">
        <v>0</v>
      </c>
      <c r="F106" s="1015">
        <f>4575000+1800000-3275000-775906-230742-2093352</f>
        <v>0</v>
      </c>
      <c r="G106" s="1014">
        <f>3275000+2053280</f>
        <v>5328280</v>
      </c>
      <c r="H106" s="1048">
        <v>0</v>
      </c>
      <c r="I106" s="1048">
        <v>0</v>
      </c>
      <c r="J106" s="1048">
        <v>0</v>
      </c>
      <c r="K106" s="1015">
        <f>1800000-1800000</f>
        <v>0</v>
      </c>
      <c r="L106" s="1015">
        <v>0</v>
      </c>
      <c r="M106" s="4521"/>
      <c r="N106" s="4534"/>
    </row>
    <row r="107" spans="1:16" s="121" customFormat="1" ht="36.75" customHeight="1">
      <c r="A107" s="4518" t="s">
        <v>77</v>
      </c>
      <c r="B107" s="86" t="s">
        <v>589</v>
      </c>
      <c r="C107" s="1485" t="s">
        <v>70</v>
      </c>
      <c r="D107" s="4561"/>
      <c r="E107" s="4562"/>
      <c r="F107" s="4562"/>
      <c r="G107" s="4562"/>
      <c r="H107" s="4562"/>
      <c r="I107" s="4562"/>
      <c r="J107" s="4563"/>
      <c r="K107" s="398"/>
      <c r="L107" s="398"/>
      <c r="M107" s="2470"/>
      <c r="N107" s="4059" t="s">
        <v>529</v>
      </c>
    </row>
    <row r="108" spans="1:16" s="121" customFormat="1" ht="12.75">
      <c r="A108" s="4502"/>
      <c r="B108" s="796" t="s">
        <v>9</v>
      </c>
      <c r="C108" s="1419"/>
      <c r="D108" s="798">
        <f>+D114+D109</f>
        <v>6938348</v>
      </c>
      <c r="E108" s="798">
        <f t="shared" ref="E108" si="97">+E114+E109</f>
        <v>2177664</v>
      </c>
      <c r="F108" s="798">
        <f t="shared" ref="F108:J108" si="98">+F114+F109</f>
        <v>2553976</v>
      </c>
      <c r="G108" s="798">
        <f t="shared" si="98"/>
        <v>2206708</v>
      </c>
      <c r="H108" s="1011">
        <f t="shared" si="98"/>
        <v>0</v>
      </c>
      <c r="I108" s="1011">
        <f t="shared" si="98"/>
        <v>0</v>
      </c>
      <c r="J108" s="1011">
        <f t="shared" si="98"/>
        <v>0</v>
      </c>
      <c r="K108" s="798">
        <f>+K114+K109</f>
        <v>0</v>
      </c>
      <c r="L108" s="798">
        <f>+L114+L109</f>
        <v>0</v>
      </c>
      <c r="M108" s="799">
        <f>+M114+M109</f>
        <v>4760684</v>
      </c>
      <c r="N108" s="4060"/>
    </row>
    <row r="109" spans="1:16" s="121" customFormat="1" ht="14.25" customHeight="1">
      <c r="A109" s="4502"/>
      <c r="B109" s="800" t="s">
        <v>22</v>
      </c>
      <c r="C109" s="3859" t="s">
        <v>153</v>
      </c>
      <c r="D109" s="801">
        <f>D110+D113</f>
        <v>1040753</v>
      </c>
      <c r="E109" s="806">
        <f>E110+E113</f>
        <v>326650</v>
      </c>
      <c r="F109" s="806">
        <f t="shared" ref="F109:J109" si="99">F110+F113</f>
        <v>383097</v>
      </c>
      <c r="G109" s="806">
        <f t="shared" si="99"/>
        <v>331006</v>
      </c>
      <c r="H109" s="1036">
        <f t="shared" si="99"/>
        <v>0</v>
      </c>
      <c r="I109" s="1036">
        <f t="shared" si="99"/>
        <v>0</v>
      </c>
      <c r="J109" s="1036">
        <f t="shared" si="99"/>
        <v>0</v>
      </c>
      <c r="K109" s="806">
        <f>K110+K113</f>
        <v>0</v>
      </c>
      <c r="L109" s="806">
        <f>L110</f>
        <v>0</v>
      </c>
      <c r="M109" s="1013">
        <f>M110+M113</f>
        <v>714103</v>
      </c>
      <c r="N109" s="4060"/>
    </row>
    <row r="110" spans="1:16" s="121" customFormat="1" ht="14.25" customHeight="1">
      <c r="A110" s="4502"/>
      <c r="B110" s="803" t="s">
        <v>11</v>
      </c>
      <c r="C110" s="3908"/>
      <c r="D110" s="1613">
        <f t="shared" ref="D110" si="100">D111+D112</f>
        <v>595191</v>
      </c>
      <c r="E110" s="1613">
        <f>E111+E112</f>
        <v>326650</v>
      </c>
      <c r="F110" s="1613">
        <f t="shared" ref="F110:J110" si="101">F111+F112</f>
        <v>141103</v>
      </c>
      <c r="G110" s="1613">
        <f t="shared" si="101"/>
        <v>127438</v>
      </c>
      <c r="H110" s="817">
        <f t="shared" si="101"/>
        <v>0</v>
      </c>
      <c r="I110" s="817">
        <f t="shared" si="101"/>
        <v>0</v>
      </c>
      <c r="J110" s="817">
        <f t="shared" si="101"/>
        <v>0</v>
      </c>
      <c r="K110" s="1613"/>
      <c r="L110" s="1613">
        <f>L111+L112</f>
        <v>0</v>
      </c>
      <c r="M110" s="1021">
        <f>SUM(F110:J110)</f>
        <v>268541</v>
      </c>
      <c r="N110" s="4060"/>
    </row>
    <row r="111" spans="1:16" s="121" customFormat="1" ht="14.25" hidden="1" customHeight="1">
      <c r="A111" s="4502"/>
      <c r="B111" s="2471" t="s">
        <v>407</v>
      </c>
      <c r="C111" s="3908"/>
      <c r="D111" s="2472">
        <f>E111+L111+K111+F111+G111+H111+I111+J111</f>
        <v>324805</v>
      </c>
      <c r="E111" s="2473">
        <v>324805</v>
      </c>
      <c r="F111" s="2507">
        <v>0</v>
      </c>
      <c r="G111" s="2507">
        <v>0</v>
      </c>
      <c r="H111" s="2507">
        <v>0</v>
      </c>
      <c r="I111" s="2507">
        <v>0</v>
      </c>
      <c r="J111" s="2507">
        <v>0</v>
      </c>
      <c r="K111" s="2473"/>
      <c r="L111" s="2473"/>
      <c r="M111" s="1021">
        <f>SUM(F111:J111)</f>
        <v>0</v>
      </c>
      <c r="N111" s="4060"/>
    </row>
    <row r="112" spans="1:16" s="121" customFormat="1" ht="14.25" hidden="1" customHeight="1">
      <c r="A112" s="4502"/>
      <c r="B112" s="2404" t="s">
        <v>177</v>
      </c>
      <c r="C112" s="3908"/>
      <c r="D112" s="2405">
        <f>E112+L112+K112+F112+G112+H112+I112+J112</f>
        <v>270386</v>
      </c>
      <c r="E112" s="2406">
        <f>5215-3370</f>
        <v>1845</v>
      </c>
      <c r="F112" s="2406">
        <f>576876-15773+997530-844530-445562-127438</f>
        <v>141103</v>
      </c>
      <c r="G112" s="2406">
        <v>127438</v>
      </c>
      <c r="H112" s="2424"/>
      <c r="I112" s="2424"/>
      <c r="J112" s="2424"/>
      <c r="K112" s="2406"/>
      <c r="L112" s="2406"/>
      <c r="M112" s="1021">
        <f>SUM(F112:J112)</f>
        <v>268541</v>
      </c>
      <c r="N112" s="4060"/>
    </row>
    <row r="113" spans="1:14" s="121" customFormat="1" ht="14.25" customHeight="1">
      <c r="A113" s="4502"/>
      <c r="B113" s="803" t="s">
        <v>14</v>
      </c>
      <c r="C113" s="3908"/>
      <c r="D113" s="1613">
        <f>E113+K113+F113+G113+H113+I113+J113</f>
        <v>445562</v>
      </c>
      <c r="E113" s="1985">
        <v>0</v>
      </c>
      <c r="F113" s="1613">
        <f>445562-203568</f>
        <v>241994</v>
      </c>
      <c r="G113" s="1613">
        <v>203568</v>
      </c>
      <c r="H113" s="817">
        <v>0</v>
      </c>
      <c r="I113" s="817">
        <v>0</v>
      </c>
      <c r="J113" s="817">
        <v>0</v>
      </c>
      <c r="K113" s="1613"/>
      <c r="L113" s="2406"/>
      <c r="M113" s="1021">
        <f>SUM(F113:J113)</f>
        <v>445562</v>
      </c>
      <c r="N113" s="4060"/>
    </row>
    <row r="114" spans="1:14" s="121" customFormat="1" ht="15" customHeight="1">
      <c r="A114" s="4502"/>
      <c r="B114" s="805" t="s">
        <v>17</v>
      </c>
      <c r="C114" s="3908"/>
      <c r="D114" s="801">
        <f>D115</f>
        <v>5897595</v>
      </c>
      <c r="E114" s="801">
        <f t="shared" ref="E114:J114" si="102">E115</f>
        <v>1851014</v>
      </c>
      <c r="F114" s="801">
        <f t="shared" si="102"/>
        <v>2170879</v>
      </c>
      <c r="G114" s="801">
        <f t="shared" si="102"/>
        <v>1875702</v>
      </c>
      <c r="H114" s="1010">
        <f t="shared" si="102"/>
        <v>0</v>
      </c>
      <c r="I114" s="1010">
        <f t="shared" si="102"/>
        <v>0</v>
      </c>
      <c r="J114" s="1010">
        <f t="shared" si="102"/>
        <v>0</v>
      </c>
      <c r="K114" s="801">
        <f>K115</f>
        <v>0</v>
      </c>
      <c r="L114" s="801">
        <f>L115</f>
        <v>0</v>
      </c>
      <c r="M114" s="1013">
        <f>+M115</f>
        <v>4046581</v>
      </c>
      <c r="N114" s="4060"/>
    </row>
    <row r="115" spans="1:14" s="121" customFormat="1" ht="15" customHeight="1">
      <c r="A115" s="4502"/>
      <c r="B115" s="1749" t="s">
        <v>19</v>
      </c>
      <c r="C115" s="3920"/>
      <c r="D115" s="1613">
        <f>D116+D117</f>
        <v>5897595</v>
      </c>
      <c r="E115" s="1613">
        <f>E116+E117</f>
        <v>1851014</v>
      </c>
      <c r="F115" s="1613">
        <f t="shared" ref="F115:G115" si="103">F116+F117</f>
        <v>2170879</v>
      </c>
      <c r="G115" s="1613">
        <f t="shared" si="103"/>
        <v>1875702</v>
      </c>
      <c r="H115" s="817">
        <f t="shared" ref="H115" si="104">H116+H117</f>
        <v>0</v>
      </c>
      <c r="I115" s="817">
        <f t="shared" ref="I115" si="105">I116+I117</f>
        <v>0</v>
      </c>
      <c r="J115" s="817">
        <f t="shared" ref="J115" si="106">J116+J117</f>
        <v>0</v>
      </c>
      <c r="K115" s="1613"/>
      <c r="L115" s="1613">
        <f t="shared" ref="L115" si="107">L116+L117</f>
        <v>0</v>
      </c>
      <c r="M115" s="1021">
        <f>SUM(F115:J115)</f>
        <v>4046581</v>
      </c>
      <c r="N115" s="4182"/>
    </row>
    <row r="116" spans="1:14" s="121" customFormat="1" ht="15" hidden="1" customHeight="1">
      <c r="A116" s="4502"/>
      <c r="B116" s="2471" t="s">
        <v>407</v>
      </c>
      <c r="C116" s="3587"/>
      <c r="D116" s="2472">
        <f>E116+L116+K116+F116+G116+H116+I116+J116</f>
        <v>1840559</v>
      </c>
      <c r="E116" s="2473">
        <v>1840559</v>
      </c>
      <c r="F116" s="2473">
        <v>0</v>
      </c>
      <c r="G116" s="2507">
        <v>0</v>
      </c>
      <c r="H116" s="2507">
        <v>0</v>
      </c>
      <c r="I116" s="2507">
        <v>0</v>
      </c>
      <c r="J116" s="2507">
        <v>0</v>
      </c>
      <c r="K116" s="2473"/>
      <c r="L116" s="2473"/>
      <c r="M116" s="1021">
        <f>SUM(F116:J116)</f>
        <v>0</v>
      </c>
      <c r="N116" s="3601"/>
    </row>
    <row r="117" spans="1:14" s="121" customFormat="1" ht="15" hidden="1" customHeight="1">
      <c r="A117" s="4502"/>
      <c r="B117" s="2404" t="s">
        <v>177</v>
      </c>
      <c r="C117" s="3587"/>
      <c r="D117" s="2405">
        <f>E117+L117+K117+F117+G117+H117+I117+J117</f>
        <v>4057036</v>
      </c>
      <c r="E117" s="2406">
        <f>29546-19091</f>
        <v>10455</v>
      </c>
      <c r="F117" s="2406">
        <f>3268970-89380+866991-1875702</f>
        <v>2170879</v>
      </c>
      <c r="G117" s="2406">
        <v>1875702</v>
      </c>
      <c r="H117" s="2424">
        <v>0</v>
      </c>
      <c r="I117" s="2424">
        <v>0</v>
      </c>
      <c r="J117" s="2424">
        <v>0</v>
      </c>
      <c r="K117" s="2406"/>
      <c r="L117" s="2406"/>
      <c r="M117" s="1021">
        <f>SUM(F117:J117)</f>
        <v>4046581</v>
      </c>
      <c r="N117" s="3601"/>
    </row>
    <row r="118" spans="1:14" s="121" customFormat="1" ht="12.75">
      <c r="A118" s="4502"/>
      <c r="B118" s="1212" t="s">
        <v>20</v>
      </c>
      <c r="C118" s="1419"/>
      <c r="D118" s="798">
        <f>D121+D119</f>
        <v>6343157</v>
      </c>
      <c r="E118" s="798">
        <f t="shared" ref="E118" si="108">E121+E119</f>
        <v>1840559</v>
      </c>
      <c r="F118" s="798">
        <f t="shared" ref="F118:J118" si="109">F121+F119</f>
        <v>2423328</v>
      </c>
      <c r="G118" s="798">
        <f t="shared" si="109"/>
        <v>2079270</v>
      </c>
      <c r="H118" s="1011">
        <f t="shared" si="109"/>
        <v>0</v>
      </c>
      <c r="I118" s="1011">
        <f t="shared" si="109"/>
        <v>0</v>
      </c>
      <c r="J118" s="1011">
        <f t="shared" si="109"/>
        <v>0</v>
      </c>
      <c r="K118" s="798">
        <f>K121+K119</f>
        <v>0</v>
      </c>
      <c r="L118" s="798">
        <f>L121</f>
        <v>0</v>
      </c>
      <c r="M118" s="3883" t="s">
        <v>51</v>
      </c>
      <c r="N118" s="4525" t="s">
        <v>529</v>
      </c>
    </row>
    <row r="119" spans="1:14" s="121" customFormat="1" ht="15.75" customHeight="1">
      <c r="A119" s="4502"/>
      <c r="B119" s="1225" t="s">
        <v>10</v>
      </c>
      <c r="C119" s="3946" t="s">
        <v>174</v>
      </c>
      <c r="D119" s="807">
        <f>D120</f>
        <v>445562</v>
      </c>
      <c r="E119" s="1985">
        <f t="shared" ref="E119:J119" si="110">E120</f>
        <v>0</v>
      </c>
      <c r="F119" s="807">
        <f t="shared" si="110"/>
        <v>241994</v>
      </c>
      <c r="G119" s="807">
        <f t="shared" si="110"/>
        <v>203568</v>
      </c>
      <c r="H119" s="833">
        <f t="shared" si="110"/>
        <v>0</v>
      </c>
      <c r="I119" s="833">
        <f t="shared" si="110"/>
        <v>0</v>
      </c>
      <c r="J119" s="833">
        <f t="shared" si="110"/>
        <v>0</v>
      </c>
      <c r="K119" s="1985">
        <f>K120</f>
        <v>0</v>
      </c>
      <c r="L119" s="798"/>
      <c r="M119" s="3881"/>
      <c r="N119" s="4526"/>
    </row>
    <row r="120" spans="1:14" s="121" customFormat="1" ht="14.25" customHeight="1">
      <c r="A120" s="4502"/>
      <c r="B120" s="2437" t="s">
        <v>14</v>
      </c>
      <c r="C120" s="3932"/>
      <c r="D120" s="789">
        <f>E120+K120+F120+G120+H120+I120+J120</f>
        <v>445562</v>
      </c>
      <c r="E120" s="1985">
        <v>0</v>
      </c>
      <c r="F120" s="810">
        <f>445562-203568</f>
        <v>241994</v>
      </c>
      <c r="G120" s="810">
        <v>203568</v>
      </c>
      <c r="H120" s="1570">
        <v>0</v>
      </c>
      <c r="I120" s="1570">
        <v>0</v>
      </c>
      <c r="J120" s="1570">
        <v>0</v>
      </c>
      <c r="K120" s="1985">
        <v>0</v>
      </c>
      <c r="L120" s="798"/>
      <c r="M120" s="3881"/>
      <c r="N120" s="4526"/>
    </row>
    <row r="121" spans="1:14" s="121" customFormat="1" ht="15" customHeight="1">
      <c r="A121" s="4502"/>
      <c r="B121" s="1470" t="s">
        <v>17</v>
      </c>
      <c r="C121" s="3932"/>
      <c r="D121" s="1037">
        <f t="shared" ref="D121:J121" si="111">D122</f>
        <v>5897595</v>
      </c>
      <c r="E121" s="1037">
        <f t="shared" si="111"/>
        <v>1840559</v>
      </c>
      <c r="F121" s="1037">
        <f t="shared" si="111"/>
        <v>2181334</v>
      </c>
      <c r="G121" s="1037">
        <f t="shared" si="111"/>
        <v>1875702</v>
      </c>
      <c r="H121" s="1471">
        <f t="shared" si="111"/>
        <v>0</v>
      </c>
      <c r="I121" s="1471">
        <f t="shared" si="111"/>
        <v>0</v>
      </c>
      <c r="J121" s="1471">
        <f t="shared" si="111"/>
        <v>0</v>
      </c>
      <c r="K121" s="1037">
        <f>K122</f>
        <v>0</v>
      </c>
      <c r="L121" s="807">
        <f>L122</f>
        <v>0</v>
      </c>
      <c r="M121" s="3881"/>
      <c r="N121" s="4526"/>
    </row>
    <row r="122" spans="1:14" s="121" customFormat="1" ht="15" customHeight="1" thickBot="1">
      <c r="A122" s="4503"/>
      <c r="B122" s="1775" t="s">
        <v>19</v>
      </c>
      <c r="C122" s="4488"/>
      <c r="D122" s="1142">
        <f>E122+L122+K122+F122+G122+H122+I122+J122</f>
        <v>5897595</v>
      </c>
      <c r="E122" s="1014">
        <v>1840559</v>
      </c>
      <c r="F122" s="1014">
        <f>5139075-89380-992659-1875702</f>
        <v>2181334</v>
      </c>
      <c r="G122" s="1014">
        <v>1875702</v>
      </c>
      <c r="H122" s="1015">
        <v>0</v>
      </c>
      <c r="I122" s="1015">
        <v>0</v>
      </c>
      <c r="J122" s="1015">
        <v>0</v>
      </c>
      <c r="K122" s="1014"/>
      <c r="L122" s="1014">
        <f>6462083-2818040-3644043</f>
        <v>0</v>
      </c>
      <c r="M122" s="3882"/>
      <c r="N122" s="4527"/>
    </row>
    <row r="123" spans="1:14" s="121" customFormat="1" ht="36" customHeight="1">
      <c r="A123" s="4518" t="s">
        <v>78</v>
      </c>
      <c r="B123" s="86" t="s">
        <v>425</v>
      </c>
      <c r="C123" s="1485" t="s">
        <v>70</v>
      </c>
      <c r="D123" s="4561"/>
      <c r="E123" s="4562"/>
      <c r="F123" s="4562"/>
      <c r="G123" s="4562"/>
      <c r="H123" s="4562"/>
      <c r="I123" s="4562"/>
      <c r="J123" s="4563"/>
      <c r="K123" s="398"/>
      <c r="L123" s="398"/>
      <c r="M123" s="2470"/>
      <c r="N123" s="446"/>
    </row>
    <row r="124" spans="1:14" s="121" customFormat="1" ht="14.25" customHeight="1">
      <c r="A124" s="4529"/>
      <c r="B124" s="796" t="s">
        <v>9</v>
      </c>
      <c r="C124" s="1419"/>
      <c r="D124" s="798">
        <f t="shared" ref="D124:M124" si="112">+D130+D125</f>
        <v>4768906</v>
      </c>
      <c r="E124" s="798">
        <f t="shared" ref="E124" si="113">+E130+E125</f>
        <v>2026773</v>
      </c>
      <c r="F124" s="798">
        <f t="shared" si="112"/>
        <v>2742133</v>
      </c>
      <c r="G124" s="1011">
        <f t="shared" si="112"/>
        <v>0</v>
      </c>
      <c r="H124" s="1011">
        <f t="shared" si="112"/>
        <v>0</v>
      </c>
      <c r="I124" s="1011">
        <f t="shared" si="112"/>
        <v>0</v>
      </c>
      <c r="J124" s="1011">
        <f t="shared" si="112"/>
        <v>0</v>
      </c>
      <c r="K124" s="798">
        <f>+K130+K125</f>
        <v>0</v>
      </c>
      <c r="L124" s="798">
        <f t="shared" si="112"/>
        <v>0</v>
      </c>
      <c r="M124" s="799">
        <f t="shared" si="112"/>
        <v>2742133</v>
      </c>
      <c r="N124" s="4522" t="s">
        <v>529</v>
      </c>
    </row>
    <row r="125" spans="1:14" s="121" customFormat="1" ht="15" customHeight="1">
      <c r="A125" s="4529"/>
      <c r="B125" s="800" t="s">
        <v>22</v>
      </c>
      <c r="C125" s="3859" t="s">
        <v>153</v>
      </c>
      <c r="D125" s="801">
        <f>D126+D129</f>
        <v>715336</v>
      </c>
      <c r="E125" s="801">
        <f t="shared" ref="E125" si="114">E126+E129</f>
        <v>304016</v>
      </c>
      <c r="F125" s="801">
        <f t="shared" ref="F125:J125" si="115">F126+F129</f>
        <v>411320</v>
      </c>
      <c r="G125" s="817">
        <f t="shared" si="115"/>
        <v>0</v>
      </c>
      <c r="H125" s="817">
        <f t="shared" si="115"/>
        <v>0</v>
      </c>
      <c r="I125" s="817">
        <f t="shared" si="115"/>
        <v>0</v>
      </c>
      <c r="J125" s="817">
        <f t="shared" si="115"/>
        <v>0</v>
      </c>
      <c r="K125" s="801">
        <f>K126+K129</f>
        <v>0</v>
      </c>
      <c r="L125" s="806">
        <f>L126</f>
        <v>0</v>
      </c>
      <c r="M125" s="1013">
        <f>M126+M129</f>
        <v>411320</v>
      </c>
      <c r="N125" s="4522"/>
    </row>
    <row r="126" spans="1:14" s="121" customFormat="1" ht="12.75">
      <c r="A126" s="4529"/>
      <c r="B126" s="803" t="s">
        <v>11</v>
      </c>
      <c r="C126" s="3908"/>
      <c r="D126" s="1613">
        <f t="shared" ref="D126" si="116">D127+D128</f>
        <v>357668</v>
      </c>
      <c r="E126" s="1613">
        <f>E127+E128</f>
        <v>304016</v>
      </c>
      <c r="F126" s="1613">
        <f t="shared" ref="F126" si="117">F127+F128</f>
        <v>53652</v>
      </c>
      <c r="G126" s="817">
        <f t="shared" ref="G126" si="118">G127+G128</f>
        <v>0</v>
      </c>
      <c r="H126" s="817">
        <f t="shared" ref="H126" si="119">H127+H128</f>
        <v>0</v>
      </c>
      <c r="I126" s="817">
        <f t="shared" ref="I126" si="120">I127+I128</f>
        <v>0</v>
      </c>
      <c r="J126" s="817">
        <f t="shared" ref="J126" si="121">J127+J128</f>
        <v>0</v>
      </c>
      <c r="K126" s="1613">
        <f>K127+K128</f>
        <v>0</v>
      </c>
      <c r="L126" s="1613">
        <f t="shared" ref="L126" si="122">L127+L128</f>
        <v>0</v>
      </c>
      <c r="M126" s="1021">
        <f>SUM(F126:J126)</f>
        <v>53652</v>
      </c>
      <c r="N126" s="4522"/>
    </row>
    <row r="127" spans="1:14" s="121" customFormat="1" ht="15" hidden="1" customHeight="1">
      <c r="A127" s="4529"/>
      <c r="B127" s="2471" t="s">
        <v>407</v>
      </c>
      <c r="C127" s="3908"/>
      <c r="D127" s="2472">
        <f>E127+L127+K127+F127+G127+H127+I127+J127</f>
        <v>302171</v>
      </c>
      <c r="E127" s="2473">
        <v>302171</v>
      </c>
      <c r="F127" s="2473">
        <v>0</v>
      </c>
      <c r="G127" s="2507">
        <v>0</v>
      </c>
      <c r="H127" s="2507">
        <v>0</v>
      </c>
      <c r="I127" s="2507">
        <v>0</v>
      </c>
      <c r="J127" s="2507">
        <v>0</v>
      </c>
      <c r="K127" s="2473"/>
      <c r="L127" s="2473"/>
      <c r="M127" s="1021">
        <f>SUM(F127:J127)</f>
        <v>0</v>
      </c>
      <c r="N127" s="4522"/>
    </row>
    <row r="128" spans="1:14" s="121" customFormat="1" ht="15" hidden="1" customHeight="1">
      <c r="A128" s="4529"/>
      <c r="B128" s="2404" t="s">
        <v>177</v>
      </c>
      <c r="C128" s="3908"/>
      <c r="D128" s="2405">
        <f>E128+L128+K128+F128+G128+H128+I128+J128</f>
        <v>55497</v>
      </c>
      <c r="E128" s="2406">
        <f>5215-3370</f>
        <v>1845</v>
      </c>
      <c r="F128" s="2406">
        <f>421828-13878+3370-357668</f>
        <v>53652</v>
      </c>
      <c r="G128" s="2424">
        <v>0</v>
      </c>
      <c r="H128" s="2424">
        <v>0</v>
      </c>
      <c r="I128" s="2424">
        <v>0</v>
      </c>
      <c r="J128" s="2424">
        <v>0</v>
      </c>
      <c r="K128" s="2406"/>
      <c r="L128" s="2406"/>
      <c r="M128" s="1021">
        <f>SUM(F128:J128)</f>
        <v>53652</v>
      </c>
      <c r="N128" s="4522"/>
    </row>
    <row r="129" spans="1:14" s="121" customFormat="1" ht="15" customHeight="1">
      <c r="A129" s="4529"/>
      <c r="B129" s="803" t="s">
        <v>14</v>
      </c>
      <c r="C129" s="3908"/>
      <c r="D129" s="1613">
        <f>E129+K129+F129+G129+H129+I129+J129</f>
        <v>357668</v>
      </c>
      <c r="E129" s="2802">
        <v>0</v>
      </c>
      <c r="F129" s="1613">
        <v>357668</v>
      </c>
      <c r="G129" s="817">
        <v>0</v>
      </c>
      <c r="H129" s="817">
        <v>0</v>
      </c>
      <c r="I129" s="817">
        <v>0</v>
      </c>
      <c r="J129" s="817">
        <v>0</v>
      </c>
      <c r="K129" s="1613"/>
      <c r="L129" s="2406"/>
      <c r="M129" s="1021">
        <f>SUM(F129:J129)</f>
        <v>357668</v>
      </c>
      <c r="N129" s="4522"/>
    </row>
    <row r="130" spans="1:14" s="121" customFormat="1" ht="12.75">
      <c r="A130" s="4560"/>
      <c r="B130" s="805" t="s">
        <v>17</v>
      </c>
      <c r="C130" s="3908"/>
      <c r="D130" s="801">
        <f>D131</f>
        <v>4053570</v>
      </c>
      <c r="E130" s="801">
        <f t="shared" ref="E130:J130" si="123">E131</f>
        <v>1722757</v>
      </c>
      <c r="F130" s="801">
        <f t="shared" si="123"/>
        <v>2330813</v>
      </c>
      <c r="G130" s="1010">
        <f t="shared" si="123"/>
        <v>0</v>
      </c>
      <c r="H130" s="1010">
        <f t="shared" si="123"/>
        <v>0</v>
      </c>
      <c r="I130" s="1010">
        <f t="shared" si="123"/>
        <v>0</v>
      </c>
      <c r="J130" s="1010">
        <f t="shared" si="123"/>
        <v>0</v>
      </c>
      <c r="K130" s="801">
        <f>K131</f>
        <v>0</v>
      </c>
      <c r="L130" s="801">
        <f>L131</f>
        <v>0</v>
      </c>
      <c r="M130" s="1013">
        <f>+M131</f>
        <v>2330813</v>
      </c>
      <c r="N130" s="4522"/>
    </row>
    <row r="131" spans="1:14" s="121" customFormat="1" ht="15" customHeight="1">
      <c r="A131" s="4502"/>
      <c r="B131" s="1749" t="s">
        <v>19</v>
      </c>
      <c r="C131" s="3920"/>
      <c r="D131" s="1613">
        <f t="shared" ref="D131" si="124">D132+D133</f>
        <v>4053570</v>
      </c>
      <c r="E131" s="1613">
        <f>E132+E133</f>
        <v>1722757</v>
      </c>
      <c r="F131" s="1613">
        <f t="shared" ref="F131" si="125">F132+F133</f>
        <v>2330813</v>
      </c>
      <c r="G131" s="817">
        <f t="shared" ref="G131" si="126">G132+G133</f>
        <v>0</v>
      </c>
      <c r="H131" s="817">
        <f t="shared" ref="H131" si="127">H132+H133</f>
        <v>0</v>
      </c>
      <c r="I131" s="817">
        <f t="shared" ref="I131" si="128">I132+I133</f>
        <v>0</v>
      </c>
      <c r="J131" s="817">
        <f t="shared" ref="J131" si="129">J132+J133</f>
        <v>0</v>
      </c>
      <c r="K131" s="1613">
        <f>K132+K133</f>
        <v>0</v>
      </c>
      <c r="L131" s="1613">
        <f t="shared" ref="L131" si="130">L132+L133</f>
        <v>0</v>
      </c>
      <c r="M131" s="1021">
        <f>SUM(F131:J131)</f>
        <v>2330813</v>
      </c>
      <c r="N131" s="4523"/>
    </row>
    <row r="132" spans="1:14" s="121" customFormat="1" ht="15" hidden="1" customHeight="1">
      <c r="A132" s="4502"/>
      <c r="B132" s="2471" t="s">
        <v>407</v>
      </c>
      <c r="C132" s="3587"/>
      <c r="D132" s="2472">
        <f>E132+L132+K132+F132+G132+H132+I132+J132</f>
        <v>1712302</v>
      </c>
      <c r="E132" s="2473">
        <v>1712302</v>
      </c>
      <c r="F132" s="2473">
        <v>0</v>
      </c>
      <c r="G132" s="2507">
        <v>0</v>
      </c>
      <c r="H132" s="2507">
        <v>0</v>
      </c>
      <c r="I132" s="2507">
        <v>0</v>
      </c>
      <c r="J132" s="2507">
        <v>0</v>
      </c>
      <c r="K132" s="2473"/>
      <c r="L132" s="2473"/>
      <c r="M132" s="1021">
        <f>SUM(F132:J132)</f>
        <v>0</v>
      </c>
      <c r="N132" s="2474"/>
    </row>
    <row r="133" spans="1:14" s="121" customFormat="1" ht="15" hidden="1" customHeight="1">
      <c r="A133" s="4502"/>
      <c r="B133" s="2404" t="s">
        <v>177</v>
      </c>
      <c r="C133" s="3587"/>
      <c r="D133" s="2405">
        <f>E133+L133+K133+F133+G133+H133+I133+J133</f>
        <v>2341268</v>
      </c>
      <c r="E133" s="2406">
        <f>29546-19091</f>
        <v>10455</v>
      </c>
      <c r="F133" s="2406">
        <f>2390362-78640+19091</f>
        <v>2330813</v>
      </c>
      <c r="G133" s="2424">
        <v>0</v>
      </c>
      <c r="H133" s="2424">
        <v>0</v>
      </c>
      <c r="I133" s="2424">
        <v>0</v>
      </c>
      <c r="J133" s="2424">
        <v>0</v>
      </c>
      <c r="K133" s="2406"/>
      <c r="L133" s="2406"/>
      <c r="M133" s="1021">
        <f>SUM(F133:J133)</f>
        <v>2330813</v>
      </c>
      <c r="N133" s="2475"/>
    </row>
    <row r="134" spans="1:14" s="121" customFormat="1" ht="15" customHeight="1">
      <c r="A134" s="4529"/>
      <c r="B134" s="1212" t="s">
        <v>20</v>
      </c>
      <c r="C134" s="1419"/>
      <c r="D134" s="798">
        <f>D137+D135</f>
        <v>4411238</v>
      </c>
      <c r="E134" s="798">
        <f t="shared" ref="E134" si="131">E137+E135</f>
        <v>1627275</v>
      </c>
      <c r="F134" s="798">
        <f t="shared" ref="F134:J134" si="132">F137+F135</f>
        <v>2783963</v>
      </c>
      <c r="G134" s="1011">
        <f t="shared" si="132"/>
        <v>0</v>
      </c>
      <c r="H134" s="1011">
        <f t="shared" si="132"/>
        <v>0</v>
      </c>
      <c r="I134" s="1011">
        <f t="shared" si="132"/>
        <v>0</v>
      </c>
      <c r="J134" s="1011">
        <f t="shared" si="132"/>
        <v>0</v>
      </c>
      <c r="K134" s="798">
        <f>K137+K135</f>
        <v>0</v>
      </c>
      <c r="L134" s="798">
        <f>L137</f>
        <v>0</v>
      </c>
      <c r="M134" s="4491" t="s">
        <v>51</v>
      </c>
      <c r="N134" s="3867" t="s">
        <v>529</v>
      </c>
    </row>
    <row r="135" spans="1:14" s="121" customFormat="1" ht="15" customHeight="1">
      <c r="A135" s="4529"/>
      <c r="B135" s="1225" t="s">
        <v>10</v>
      </c>
      <c r="C135" s="4517" t="s">
        <v>174</v>
      </c>
      <c r="D135" s="807">
        <f>D136</f>
        <v>357668</v>
      </c>
      <c r="E135" s="1047">
        <f t="shared" ref="E135:J135" si="133">E136</f>
        <v>0</v>
      </c>
      <c r="F135" s="807">
        <f t="shared" si="133"/>
        <v>357668</v>
      </c>
      <c r="G135" s="833">
        <f t="shared" si="133"/>
        <v>0</v>
      </c>
      <c r="H135" s="833">
        <f t="shared" si="133"/>
        <v>0</v>
      </c>
      <c r="I135" s="833">
        <f t="shared" si="133"/>
        <v>0</v>
      </c>
      <c r="J135" s="833">
        <f t="shared" si="133"/>
        <v>0</v>
      </c>
      <c r="K135" s="807">
        <f>K136</f>
        <v>0</v>
      </c>
      <c r="L135" s="798"/>
      <c r="M135" s="4492"/>
      <c r="N135" s="3868"/>
    </row>
    <row r="136" spans="1:14" s="121" customFormat="1" ht="15" customHeight="1">
      <c r="A136" s="4529"/>
      <c r="B136" s="2476" t="s">
        <v>14</v>
      </c>
      <c r="C136" s="4517"/>
      <c r="D136" s="787">
        <f>E136+K136+F136+G136+H136+I136+J136</f>
        <v>357668</v>
      </c>
      <c r="E136" s="1985">
        <v>0</v>
      </c>
      <c r="F136" s="810">
        <v>357668</v>
      </c>
      <c r="G136" s="1570">
        <v>0</v>
      </c>
      <c r="H136" s="1570">
        <v>0</v>
      </c>
      <c r="I136" s="1570">
        <v>0</v>
      </c>
      <c r="J136" s="1570">
        <v>0</v>
      </c>
      <c r="K136" s="1985">
        <v>0</v>
      </c>
      <c r="L136" s="798"/>
      <c r="M136" s="4492"/>
      <c r="N136" s="3868"/>
    </row>
    <row r="137" spans="1:14" s="121" customFormat="1" ht="15" customHeight="1">
      <c r="A137" s="4529"/>
      <c r="B137" s="1225" t="s">
        <v>17</v>
      </c>
      <c r="C137" s="4517"/>
      <c r="D137" s="807">
        <f t="shared" ref="D137:J137" si="134">D138</f>
        <v>4053570</v>
      </c>
      <c r="E137" s="807">
        <f t="shared" si="134"/>
        <v>1627275</v>
      </c>
      <c r="F137" s="807">
        <f t="shared" si="134"/>
        <v>2426295</v>
      </c>
      <c r="G137" s="833">
        <f t="shared" si="134"/>
        <v>0</v>
      </c>
      <c r="H137" s="833">
        <f t="shared" si="134"/>
        <v>0</v>
      </c>
      <c r="I137" s="833">
        <f t="shared" si="134"/>
        <v>0</v>
      </c>
      <c r="J137" s="833">
        <f t="shared" si="134"/>
        <v>0</v>
      </c>
      <c r="K137" s="807">
        <f>K138</f>
        <v>0</v>
      </c>
      <c r="L137" s="807">
        <f>L138</f>
        <v>0</v>
      </c>
      <c r="M137" s="4492"/>
      <c r="N137" s="3868"/>
    </row>
    <row r="138" spans="1:14" s="121" customFormat="1" ht="15" customHeight="1" thickBot="1">
      <c r="A138" s="4530"/>
      <c r="B138" s="1776" t="s">
        <v>19</v>
      </c>
      <c r="C138" s="4494"/>
      <c r="D138" s="1003">
        <f>E138+L138+K138+F138+G138+H138+I138+J138</f>
        <v>4053570</v>
      </c>
      <c r="E138" s="1014">
        <v>1627275</v>
      </c>
      <c r="F138" s="1014">
        <f>4132210-78640-1627275</f>
        <v>2426295</v>
      </c>
      <c r="G138" s="1015">
        <v>0</v>
      </c>
      <c r="H138" s="1015">
        <v>0</v>
      </c>
      <c r="I138" s="1015">
        <v>0</v>
      </c>
      <c r="J138" s="1015">
        <v>0</v>
      </c>
      <c r="K138" s="1014"/>
      <c r="L138" s="1014">
        <f>6462083-2818040-3644043</f>
        <v>0</v>
      </c>
      <c r="M138" s="4493"/>
      <c r="N138" s="3869"/>
    </row>
    <row r="139" spans="1:14" s="121" customFormat="1" ht="23.25" customHeight="1">
      <c r="A139" s="4529" t="s">
        <v>79</v>
      </c>
      <c r="B139" s="1148" t="s">
        <v>588</v>
      </c>
      <c r="C139" s="2407" t="s">
        <v>97</v>
      </c>
      <c r="D139" s="2408"/>
      <c r="E139" s="2409"/>
      <c r="F139" s="2410"/>
      <c r="G139" s="2411"/>
      <c r="H139" s="2411"/>
      <c r="I139" s="2411"/>
      <c r="J139" s="2412"/>
      <c r="K139" s="2410"/>
      <c r="L139" s="2410"/>
      <c r="M139" s="2413"/>
      <c r="N139" s="3868" t="s">
        <v>237</v>
      </c>
    </row>
    <row r="140" spans="1:14" s="121" customFormat="1" ht="15" customHeight="1">
      <c r="A140" s="4529"/>
      <c r="B140" s="796" t="s">
        <v>9</v>
      </c>
      <c r="C140" s="1614"/>
      <c r="D140" s="798">
        <f>+D141+D143</f>
        <v>215327</v>
      </c>
      <c r="E140" s="798">
        <f>+E141+E143</f>
        <v>75469</v>
      </c>
      <c r="F140" s="798">
        <f>+F141+F143</f>
        <v>101479</v>
      </c>
      <c r="G140" s="798">
        <f t="shared" ref="G140:J140" si="135">+G141+G143</f>
        <v>38379</v>
      </c>
      <c r="H140" s="1046">
        <f t="shared" si="135"/>
        <v>0</v>
      </c>
      <c r="I140" s="1046">
        <f t="shared" si="135"/>
        <v>0</v>
      </c>
      <c r="J140" s="1046">
        <f t="shared" si="135"/>
        <v>0</v>
      </c>
      <c r="K140" s="798">
        <f>+K141+K143</f>
        <v>0</v>
      </c>
      <c r="L140" s="1011">
        <f>+L141+L143</f>
        <v>0</v>
      </c>
      <c r="M140" s="799">
        <f>M141+M143</f>
        <v>139858</v>
      </c>
      <c r="N140" s="3868"/>
    </row>
    <row r="141" spans="1:14" s="121" customFormat="1" ht="12.75">
      <c r="A141" s="4529"/>
      <c r="B141" s="800" t="s">
        <v>22</v>
      </c>
      <c r="C141" s="3859" t="s">
        <v>134</v>
      </c>
      <c r="D141" s="801">
        <f>D142</f>
        <v>32300</v>
      </c>
      <c r="E141" s="1533">
        <f t="shared" ref="E141:J141" si="136">E142</f>
        <v>11322</v>
      </c>
      <c r="F141" s="1533">
        <f t="shared" si="136"/>
        <v>15221</v>
      </c>
      <c r="G141" s="1533">
        <f t="shared" si="136"/>
        <v>5757</v>
      </c>
      <c r="H141" s="2801">
        <f t="shared" si="136"/>
        <v>0</v>
      </c>
      <c r="I141" s="2801">
        <f t="shared" si="136"/>
        <v>0</v>
      </c>
      <c r="J141" s="2801">
        <f t="shared" si="136"/>
        <v>0</v>
      </c>
      <c r="K141" s="1533">
        <f>K142</f>
        <v>0</v>
      </c>
      <c r="L141" s="1615">
        <f>L142</f>
        <v>0</v>
      </c>
      <c r="M141" s="802">
        <f>M142</f>
        <v>20978</v>
      </c>
      <c r="N141" s="3868"/>
    </row>
    <row r="142" spans="1:14" s="121" customFormat="1" ht="12.75">
      <c r="A142" s="4529"/>
      <c r="B142" s="803" t="s">
        <v>11</v>
      </c>
      <c r="C142" s="3908"/>
      <c r="D142" s="766">
        <f>E142+L142+K142+F142+G142+H142+I142+J142</f>
        <v>32300</v>
      </c>
      <c r="E142" s="804">
        <f>11611-289</f>
        <v>11322</v>
      </c>
      <c r="F142" s="804">
        <f>18040+2938-5757</f>
        <v>15221</v>
      </c>
      <c r="G142" s="804">
        <v>5757</v>
      </c>
      <c r="H142" s="1672">
        <v>0</v>
      </c>
      <c r="I142" s="1672">
        <v>0</v>
      </c>
      <c r="J142" s="1672">
        <v>0</v>
      </c>
      <c r="K142" s="804"/>
      <c r="L142" s="1034">
        <f>225000-225000</f>
        <v>0</v>
      </c>
      <c r="M142" s="1021">
        <f>SUM(F142:J142)</f>
        <v>20978</v>
      </c>
      <c r="N142" s="3868"/>
    </row>
    <row r="143" spans="1:14" s="121" customFormat="1" ht="15" customHeight="1">
      <c r="A143" s="4529"/>
      <c r="B143" s="805" t="s">
        <v>17</v>
      </c>
      <c r="C143" s="3908"/>
      <c r="D143" s="801">
        <f>+D144</f>
        <v>183027</v>
      </c>
      <c r="E143" s="1533">
        <f>E144</f>
        <v>64147</v>
      </c>
      <c r="F143" s="1533">
        <f>F144</f>
        <v>86258</v>
      </c>
      <c r="G143" s="1533">
        <f t="shared" ref="G143:J143" si="137">G144</f>
        <v>32622</v>
      </c>
      <c r="H143" s="2801">
        <f t="shared" si="137"/>
        <v>0</v>
      </c>
      <c r="I143" s="2801">
        <f t="shared" si="137"/>
        <v>0</v>
      </c>
      <c r="J143" s="2801">
        <f t="shared" si="137"/>
        <v>0</v>
      </c>
      <c r="K143" s="1533">
        <f>K144</f>
        <v>0</v>
      </c>
      <c r="L143" s="1615">
        <f>L144</f>
        <v>0</v>
      </c>
      <c r="M143" s="1147">
        <f>+M144</f>
        <v>118880</v>
      </c>
      <c r="N143" s="3868"/>
    </row>
    <row r="144" spans="1:14" s="121" customFormat="1" ht="12.75">
      <c r="A144" s="4529"/>
      <c r="B144" s="1749" t="s">
        <v>19</v>
      </c>
      <c r="C144" s="3920"/>
      <c r="D144" s="766">
        <f>E144+L144+K144+F144+G144+H144+I144+J144</f>
        <v>183027</v>
      </c>
      <c r="E144" s="804">
        <f>65797-1650</f>
        <v>64147</v>
      </c>
      <c r="F144" s="804">
        <f>102223+16657-32622</f>
        <v>86258</v>
      </c>
      <c r="G144" s="804">
        <v>32622</v>
      </c>
      <c r="H144" s="1672">
        <v>0</v>
      </c>
      <c r="I144" s="1672">
        <v>0</v>
      </c>
      <c r="J144" s="1672">
        <v>0</v>
      </c>
      <c r="K144" s="804"/>
      <c r="L144" s="1034">
        <f>1275000-1275000</f>
        <v>0</v>
      </c>
      <c r="M144" s="1021">
        <f>SUM(F144:J144)</f>
        <v>118880</v>
      </c>
      <c r="N144" s="3902"/>
    </row>
    <row r="145" spans="1:15" s="121" customFormat="1" ht="12.75" customHeight="1">
      <c r="A145" s="4529"/>
      <c r="B145" s="1212" t="s">
        <v>20</v>
      </c>
      <c r="C145" s="1419"/>
      <c r="D145" s="798">
        <f>+D146</f>
        <v>183027</v>
      </c>
      <c r="E145" s="798">
        <f t="shared" ref="E145:J146" si="138">E146</f>
        <v>64147</v>
      </c>
      <c r="F145" s="798">
        <f t="shared" si="138"/>
        <v>86258</v>
      </c>
      <c r="G145" s="798">
        <f t="shared" si="138"/>
        <v>32622</v>
      </c>
      <c r="H145" s="1046">
        <f t="shared" si="138"/>
        <v>0</v>
      </c>
      <c r="I145" s="1046">
        <f t="shared" si="138"/>
        <v>0</v>
      </c>
      <c r="J145" s="1046">
        <f t="shared" si="138"/>
        <v>0</v>
      </c>
      <c r="K145" s="798">
        <f>K146</f>
        <v>0</v>
      </c>
      <c r="L145" s="1011">
        <f>L146</f>
        <v>0</v>
      </c>
      <c r="M145" s="4519"/>
      <c r="N145" s="3868" t="s">
        <v>495</v>
      </c>
    </row>
    <row r="146" spans="1:15" s="121" customFormat="1" ht="15" customHeight="1">
      <c r="A146" s="4529"/>
      <c r="B146" s="1225" t="s">
        <v>17</v>
      </c>
      <c r="C146" s="3946" t="s">
        <v>174</v>
      </c>
      <c r="D146" s="801">
        <f>+D147</f>
        <v>183027</v>
      </c>
      <c r="E146" s="807">
        <f t="shared" si="138"/>
        <v>64147</v>
      </c>
      <c r="F146" s="807">
        <f t="shared" si="138"/>
        <v>86258</v>
      </c>
      <c r="G146" s="807">
        <f t="shared" si="138"/>
        <v>32622</v>
      </c>
      <c r="H146" s="1047">
        <f t="shared" si="138"/>
        <v>0</v>
      </c>
      <c r="I146" s="1047">
        <f t="shared" si="138"/>
        <v>0</v>
      </c>
      <c r="J146" s="1047">
        <f t="shared" si="138"/>
        <v>0</v>
      </c>
      <c r="K146" s="807">
        <f>K147</f>
        <v>0</v>
      </c>
      <c r="L146" s="833">
        <f>L147</f>
        <v>0</v>
      </c>
      <c r="M146" s="4520"/>
      <c r="N146" s="3868"/>
    </row>
    <row r="147" spans="1:15" s="121" customFormat="1" ht="15" customHeight="1" thickBot="1">
      <c r="A147" s="4530"/>
      <c r="B147" s="1775" t="s">
        <v>19</v>
      </c>
      <c r="C147" s="3929"/>
      <c r="D147" s="1003">
        <f>E147+L147+K147+F147+G147+H147+I147+J147</f>
        <v>183027</v>
      </c>
      <c r="E147" s="1014">
        <v>64147</v>
      </c>
      <c r="F147" s="1014">
        <f>168020-49140-32622</f>
        <v>86258</v>
      </c>
      <c r="G147" s="1014">
        <v>32622</v>
      </c>
      <c r="H147" s="1048">
        <v>0</v>
      </c>
      <c r="I147" s="1048">
        <v>0</v>
      </c>
      <c r="J147" s="1048">
        <v>0</v>
      </c>
      <c r="K147" s="1014"/>
      <c r="L147" s="1015">
        <v>0</v>
      </c>
      <c r="M147" s="4521"/>
      <c r="N147" s="3869"/>
    </row>
    <row r="148" spans="1:15" s="121" customFormat="1" ht="36.75" thickBot="1">
      <c r="A148" s="4530" t="s">
        <v>80</v>
      </c>
      <c r="B148" s="1148" t="s">
        <v>454</v>
      </c>
      <c r="C148" s="1872" t="s">
        <v>154</v>
      </c>
      <c r="D148" s="407"/>
      <c r="E148" s="1873"/>
      <c r="F148" s="1874"/>
      <c r="G148" s="1875"/>
      <c r="H148" s="1875"/>
      <c r="I148" s="1875"/>
      <c r="J148" s="1876"/>
      <c r="K148" s="1874"/>
      <c r="L148" s="1874"/>
      <c r="M148" s="1877"/>
      <c r="N148" s="4059" t="s">
        <v>509</v>
      </c>
    </row>
    <row r="149" spans="1:15" s="121" customFormat="1" ht="15" customHeight="1" thickBot="1">
      <c r="A149" s="4500"/>
      <c r="B149" s="796" t="s">
        <v>9</v>
      </c>
      <c r="C149" s="1419"/>
      <c r="D149" s="798">
        <f>D150+D152</f>
        <v>119600</v>
      </c>
      <c r="E149" s="798">
        <f>E150+E154</f>
        <v>57309</v>
      </c>
      <c r="F149" s="798">
        <f>F150+F154</f>
        <v>62291</v>
      </c>
      <c r="G149" s="1046">
        <f t="shared" ref="G149:J149" si="139">+G152</f>
        <v>0</v>
      </c>
      <c r="H149" s="1046">
        <f t="shared" si="139"/>
        <v>0</v>
      </c>
      <c r="I149" s="1046">
        <f t="shared" si="139"/>
        <v>0</v>
      </c>
      <c r="J149" s="1046">
        <f t="shared" si="139"/>
        <v>0</v>
      </c>
      <c r="K149" s="798">
        <f>K150+K154</f>
        <v>0</v>
      </c>
      <c r="L149" s="1011">
        <f>+L152</f>
        <v>0</v>
      </c>
      <c r="M149" s="1441">
        <f>+M152+M150</f>
        <v>62291</v>
      </c>
      <c r="N149" s="4060"/>
    </row>
    <row r="150" spans="1:15" s="121" customFormat="1" ht="15" customHeight="1">
      <c r="A150" s="4539"/>
      <c r="B150" s="838" t="s">
        <v>22</v>
      </c>
      <c r="C150" s="3859" t="s">
        <v>171</v>
      </c>
      <c r="D150" s="801">
        <f>D151</f>
        <v>17940</v>
      </c>
      <c r="E150" s="806">
        <f>E151</f>
        <v>8596</v>
      </c>
      <c r="F150" s="806">
        <f>F151</f>
        <v>9344</v>
      </c>
      <c r="G150" s="1671">
        <v>0</v>
      </c>
      <c r="H150" s="1671">
        <v>0</v>
      </c>
      <c r="I150" s="1671">
        <v>0</v>
      </c>
      <c r="J150" s="1671">
        <v>0</v>
      </c>
      <c r="K150" s="806">
        <f>K151</f>
        <v>0</v>
      </c>
      <c r="L150" s="1036">
        <f>L151</f>
        <v>0</v>
      </c>
      <c r="M150" s="29">
        <f>M151</f>
        <v>9344</v>
      </c>
      <c r="N150" s="4060"/>
    </row>
    <row r="151" spans="1:15" s="121" customFormat="1" ht="15" customHeight="1" thickBot="1">
      <c r="A151" s="4503"/>
      <c r="B151" s="1878" t="s">
        <v>11</v>
      </c>
      <c r="C151" s="3908"/>
      <c r="D151" s="766">
        <f>E151+L151+K151+F151+G151+H151+I151+J151</f>
        <v>17940</v>
      </c>
      <c r="E151" s="804">
        <f>17940-9344</f>
        <v>8596</v>
      </c>
      <c r="F151" s="804">
        <f>9344</f>
        <v>9344</v>
      </c>
      <c r="G151" s="1672">
        <v>0</v>
      </c>
      <c r="H151" s="1672">
        <v>0</v>
      </c>
      <c r="I151" s="1672">
        <v>0</v>
      </c>
      <c r="J151" s="1672">
        <v>0</v>
      </c>
      <c r="K151" s="804"/>
      <c r="L151" s="1034">
        <v>0</v>
      </c>
      <c r="M151" s="1021">
        <f>SUM(F151:J151)</f>
        <v>9344</v>
      </c>
      <c r="N151" s="4060"/>
    </row>
    <row r="152" spans="1:15" s="121" customFormat="1" ht="15" customHeight="1" thickBot="1">
      <c r="A152" s="4500"/>
      <c r="B152" s="1225" t="s">
        <v>17</v>
      </c>
      <c r="C152" s="3909"/>
      <c r="D152" s="801">
        <f>D153</f>
        <v>101660</v>
      </c>
      <c r="E152" s="811">
        <f>E153</f>
        <v>48713</v>
      </c>
      <c r="F152" s="811">
        <f>F153</f>
        <v>52947</v>
      </c>
      <c r="G152" s="2792">
        <v>0</v>
      </c>
      <c r="H152" s="2792">
        <v>0</v>
      </c>
      <c r="I152" s="2792">
        <v>0</v>
      </c>
      <c r="J152" s="2792">
        <v>0</v>
      </c>
      <c r="K152" s="811">
        <f>K153</f>
        <v>0</v>
      </c>
      <c r="L152" s="1009">
        <v>0</v>
      </c>
      <c r="M152" s="1442">
        <f t="shared" ref="M152" si="140">+M153</f>
        <v>52947</v>
      </c>
      <c r="N152" s="4060"/>
    </row>
    <row r="153" spans="1:15" s="121" customFormat="1" ht="13.5" customHeight="1" thickBot="1">
      <c r="A153" s="4500"/>
      <c r="B153" s="1774" t="s">
        <v>19</v>
      </c>
      <c r="C153" s="4543"/>
      <c r="D153" s="484">
        <f>E153+L153+K153+F153+G153+H153+I153+J153</f>
        <v>101660</v>
      </c>
      <c r="E153" s="477">
        <f>101660-52947</f>
        <v>48713</v>
      </c>
      <c r="F153" s="477">
        <f>52947</f>
        <v>52947</v>
      </c>
      <c r="G153" s="2797">
        <v>0</v>
      </c>
      <c r="H153" s="2797">
        <v>0</v>
      </c>
      <c r="I153" s="2797">
        <v>0</v>
      </c>
      <c r="J153" s="2797">
        <v>0</v>
      </c>
      <c r="K153" s="477"/>
      <c r="L153" s="1879">
        <v>0</v>
      </c>
      <c r="M153" s="1021">
        <f>SUM(F153:J153)</f>
        <v>52947</v>
      </c>
      <c r="N153" s="4060"/>
    </row>
    <row r="154" spans="1:15" s="121" customFormat="1" ht="15" customHeight="1">
      <c r="A154" s="4502"/>
      <c r="B154" s="1212" t="s">
        <v>20</v>
      </c>
      <c r="C154" s="2800"/>
      <c r="D154" s="1880">
        <f t="shared" ref="D154:J155" si="141">D155</f>
        <v>101660</v>
      </c>
      <c r="E154" s="704">
        <f t="shared" si="141"/>
        <v>48713</v>
      </c>
      <c r="F154" s="704">
        <f t="shared" si="141"/>
        <v>52947</v>
      </c>
      <c r="G154" s="2798">
        <f t="shared" si="141"/>
        <v>0</v>
      </c>
      <c r="H154" s="2798">
        <f t="shared" si="141"/>
        <v>0</v>
      </c>
      <c r="I154" s="2798">
        <f t="shared" si="141"/>
        <v>0</v>
      </c>
      <c r="J154" s="2798">
        <f t="shared" si="141"/>
        <v>0</v>
      </c>
      <c r="K154" s="704">
        <f>K155</f>
        <v>0</v>
      </c>
      <c r="L154" s="1141">
        <v>0</v>
      </c>
      <c r="M154" s="4491" t="s">
        <v>51</v>
      </c>
      <c r="N154" s="4486" t="s">
        <v>249</v>
      </c>
    </row>
    <row r="155" spans="1:15" s="121" customFormat="1" ht="15" customHeight="1">
      <c r="A155" s="4502"/>
      <c r="B155" s="1470" t="s">
        <v>17</v>
      </c>
      <c r="C155" s="4541" t="s">
        <v>174</v>
      </c>
      <c r="D155" s="1881">
        <f t="shared" si="141"/>
        <v>101660</v>
      </c>
      <c r="E155" s="1037">
        <f t="shared" si="141"/>
        <v>48713</v>
      </c>
      <c r="F155" s="1037">
        <f t="shared" si="141"/>
        <v>52947</v>
      </c>
      <c r="G155" s="2799">
        <f t="shared" si="141"/>
        <v>0</v>
      </c>
      <c r="H155" s="2799">
        <f t="shared" si="141"/>
        <v>0</v>
      </c>
      <c r="I155" s="2799">
        <f t="shared" si="141"/>
        <v>0</v>
      </c>
      <c r="J155" s="2799">
        <f t="shared" si="141"/>
        <v>0</v>
      </c>
      <c r="K155" s="1037">
        <f>K156</f>
        <v>0</v>
      </c>
      <c r="L155" s="1471">
        <f>L156</f>
        <v>0</v>
      </c>
      <c r="M155" s="4162"/>
      <c r="N155" s="4060"/>
    </row>
    <row r="156" spans="1:15" s="121" customFormat="1" ht="13.5" customHeight="1" thickBot="1">
      <c r="A156" s="4502"/>
      <c r="B156" s="1776" t="s">
        <v>19</v>
      </c>
      <c r="C156" s="4542"/>
      <c r="D156" s="1882">
        <f>E156+L156+K156+F156+G156+H156+I156+J156</f>
        <v>101660</v>
      </c>
      <c r="E156" s="1014">
        <f>101660-52947</f>
        <v>48713</v>
      </c>
      <c r="F156" s="1014">
        <f>52947</f>
        <v>52947</v>
      </c>
      <c r="G156" s="1048">
        <v>0</v>
      </c>
      <c r="H156" s="1048">
        <v>0</v>
      </c>
      <c r="I156" s="1048">
        <v>0</v>
      </c>
      <c r="J156" s="1048">
        <v>0</v>
      </c>
      <c r="K156" s="1014"/>
      <c r="L156" s="1015">
        <v>0</v>
      </c>
      <c r="M156" s="4540"/>
      <c r="N156" s="4061"/>
    </row>
    <row r="157" spans="1:15" s="121" customFormat="1" ht="39.75" customHeight="1">
      <c r="A157" s="4529" t="s">
        <v>81</v>
      </c>
      <c r="B157" s="86" t="s">
        <v>455</v>
      </c>
      <c r="C157" s="1883" t="s">
        <v>70</v>
      </c>
      <c r="D157" s="397"/>
      <c r="E157" s="1492"/>
      <c r="F157" s="1486"/>
      <c r="G157" s="1150"/>
      <c r="H157" s="1150"/>
      <c r="I157" s="1150"/>
      <c r="J157" s="1150"/>
      <c r="K157" s="1486"/>
      <c r="L157" s="1486"/>
      <c r="M157" s="1884"/>
      <c r="N157" s="4060" t="s">
        <v>509</v>
      </c>
    </row>
    <row r="158" spans="1:15" s="121" customFormat="1" ht="15" customHeight="1" thickBot="1">
      <c r="A158" s="4503"/>
      <c r="B158" s="37" t="s">
        <v>9</v>
      </c>
      <c r="C158" s="90"/>
      <c r="D158" s="42">
        <f t="shared" ref="D158" si="142">D159+D162</f>
        <v>11493367</v>
      </c>
      <c r="E158" s="42">
        <f t="shared" ref="E158" si="143">E159+E162</f>
        <v>7219455</v>
      </c>
      <c r="F158" s="42">
        <f>F159+F162</f>
        <v>4273912</v>
      </c>
      <c r="G158" s="2788">
        <f>+G162</f>
        <v>0</v>
      </c>
      <c r="H158" s="2788">
        <f>+H162</f>
        <v>0</v>
      </c>
      <c r="I158" s="2788">
        <f>+I162</f>
        <v>0</v>
      </c>
      <c r="J158" s="2788">
        <f>+J162</f>
        <v>0</v>
      </c>
      <c r="K158" s="42">
        <f>K159+K162</f>
        <v>0</v>
      </c>
      <c r="L158" s="42">
        <f>L159+L162</f>
        <v>0</v>
      </c>
      <c r="M158" s="1885">
        <f>M159+M162</f>
        <v>4273912</v>
      </c>
      <c r="N158" s="4061"/>
    </row>
    <row r="159" spans="1:15" s="121" customFormat="1" ht="15" customHeight="1" thickBot="1">
      <c r="A159" s="4500"/>
      <c r="B159" s="1225" t="s">
        <v>22</v>
      </c>
      <c r="C159" s="4483" t="s">
        <v>171</v>
      </c>
      <c r="D159" s="801">
        <f>D160+D161</f>
        <v>1724005</v>
      </c>
      <c r="E159" s="801">
        <f t="shared" ref="E159" si="144">E160+E161</f>
        <v>1303603</v>
      </c>
      <c r="F159" s="801">
        <f t="shared" ref="F159:J159" si="145">F160+F161</f>
        <v>420402</v>
      </c>
      <c r="G159" s="2795">
        <f t="shared" si="145"/>
        <v>0</v>
      </c>
      <c r="H159" s="2795">
        <f t="shared" si="145"/>
        <v>0</v>
      </c>
      <c r="I159" s="2795">
        <f t="shared" si="145"/>
        <v>0</v>
      </c>
      <c r="J159" s="2795">
        <f t="shared" si="145"/>
        <v>0</v>
      </c>
      <c r="K159" s="801">
        <f>K160+K161</f>
        <v>0</v>
      </c>
      <c r="L159" s="801">
        <f>L160+L161</f>
        <v>0</v>
      </c>
      <c r="M159" s="1440">
        <f>M160+M161</f>
        <v>420402</v>
      </c>
      <c r="N159" s="4489"/>
    </row>
    <row r="160" spans="1:15" s="121" customFormat="1" ht="15" customHeight="1" thickBot="1">
      <c r="A160" s="4500"/>
      <c r="B160" s="1530" t="s">
        <v>11</v>
      </c>
      <c r="C160" s="4528"/>
      <c r="D160" s="766">
        <f>E160+L160+K160+F160+G160+H160+I160+J160</f>
        <v>1404005</v>
      </c>
      <c r="E160" s="766">
        <f>250844-213217+17067+928909</f>
        <v>983603</v>
      </c>
      <c r="F160" s="804">
        <f>420402</f>
        <v>420402</v>
      </c>
      <c r="G160" s="1672">
        <v>0</v>
      </c>
      <c r="H160" s="1672">
        <v>0</v>
      </c>
      <c r="I160" s="1672">
        <v>0</v>
      </c>
      <c r="J160" s="1672">
        <v>0</v>
      </c>
      <c r="K160" s="804"/>
      <c r="L160" s="804"/>
      <c r="M160" s="1021">
        <f>SUM(F160:J160)</f>
        <v>420402</v>
      </c>
      <c r="N160" s="4489"/>
      <c r="O160" s="707"/>
    </row>
    <row r="161" spans="1:15" s="121" customFormat="1" ht="15" customHeight="1" thickBot="1">
      <c r="A161" s="4500"/>
      <c r="B161" s="1530" t="s">
        <v>52</v>
      </c>
      <c r="C161" s="4528"/>
      <c r="D161" s="766">
        <f>E161+L161+K161+F161+G161+H161+I161+J161</f>
        <v>320000</v>
      </c>
      <c r="E161" s="766">
        <v>320000</v>
      </c>
      <c r="F161" s="1672">
        <v>0</v>
      </c>
      <c r="G161" s="1672">
        <v>0</v>
      </c>
      <c r="H161" s="1672">
        <v>0</v>
      </c>
      <c r="I161" s="1672">
        <v>0</v>
      </c>
      <c r="J161" s="1672">
        <v>0</v>
      </c>
      <c r="K161" s="804"/>
      <c r="L161" s="804">
        <f>100000-100000</f>
        <v>0</v>
      </c>
      <c r="M161" s="2796">
        <f>SUM(F161:J161)</f>
        <v>0</v>
      </c>
      <c r="N161" s="4489"/>
      <c r="O161" s="707"/>
    </row>
    <row r="162" spans="1:15" s="121" customFormat="1" ht="15" customHeight="1" thickBot="1">
      <c r="A162" s="4500"/>
      <c r="B162" s="1225" t="s">
        <v>17</v>
      </c>
      <c r="C162" s="4528"/>
      <c r="D162" s="801">
        <f>D163</f>
        <v>9769362</v>
      </c>
      <c r="E162" s="1033">
        <f t="shared" ref="E162:M162" si="146">+E163</f>
        <v>5915852</v>
      </c>
      <c r="F162" s="806">
        <f>F163</f>
        <v>3853510</v>
      </c>
      <c r="G162" s="1671">
        <v>0</v>
      </c>
      <c r="H162" s="1671">
        <v>0</v>
      </c>
      <c r="I162" s="1671">
        <v>0</v>
      </c>
      <c r="J162" s="1671">
        <v>0</v>
      </c>
      <c r="K162" s="806">
        <f>K163</f>
        <v>0</v>
      </c>
      <c r="L162" s="806">
        <f>L163</f>
        <v>0</v>
      </c>
      <c r="M162" s="1440">
        <f t="shared" si="146"/>
        <v>3853510</v>
      </c>
      <c r="N162" s="4489"/>
    </row>
    <row r="163" spans="1:15" s="121" customFormat="1" ht="13.5" customHeight="1" thickBot="1">
      <c r="A163" s="4500"/>
      <c r="B163" s="1753" t="s">
        <v>19</v>
      </c>
      <c r="C163" s="4484"/>
      <c r="D163" s="766">
        <f>E163+L163+K163+F163+G163+H163+I163+J163</f>
        <v>9769362</v>
      </c>
      <c r="E163" s="766">
        <f>213217+96713+5605922</f>
        <v>5915852</v>
      </c>
      <c r="F163" s="804">
        <f>3853510</f>
        <v>3853510</v>
      </c>
      <c r="G163" s="1672">
        <v>0</v>
      </c>
      <c r="H163" s="1672">
        <v>0</v>
      </c>
      <c r="I163" s="1672">
        <v>0</v>
      </c>
      <c r="J163" s="1672">
        <v>0</v>
      </c>
      <c r="K163" s="804"/>
      <c r="L163" s="804"/>
      <c r="M163" s="1021">
        <f>SUM(F163:J163)</f>
        <v>3853510</v>
      </c>
      <c r="N163" s="4490"/>
    </row>
    <row r="164" spans="1:15" s="121" customFormat="1" ht="15" customHeight="1" thickBot="1">
      <c r="A164" s="4500"/>
      <c r="B164" s="1212" t="s">
        <v>20</v>
      </c>
      <c r="C164" s="1886"/>
      <c r="D164" s="798">
        <f>D167+D165</f>
        <v>10089362</v>
      </c>
      <c r="E164" s="798">
        <f>E167+E165</f>
        <v>7262781</v>
      </c>
      <c r="F164" s="798">
        <f>F167+F165</f>
        <v>2826581</v>
      </c>
      <c r="G164" s="1046">
        <f>G167</f>
        <v>0</v>
      </c>
      <c r="H164" s="1046">
        <f>H167</f>
        <v>0</v>
      </c>
      <c r="I164" s="1046">
        <f>I167</f>
        <v>0</v>
      </c>
      <c r="J164" s="1046">
        <f>J167</f>
        <v>0</v>
      </c>
      <c r="K164" s="798">
        <f>K167+K165</f>
        <v>0</v>
      </c>
      <c r="L164" s="798">
        <f>L167+L165</f>
        <v>0</v>
      </c>
      <c r="M164" s="4491" t="s">
        <v>51</v>
      </c>
      <c r="N164" s="4061" t="s">
        <v>249</v>
      </c>
    </row>
    <row r="165" spans="1:15" s="121" customFormat="1" ht="15" customHeight="1" thickBot="1">
      <c r="A165" s="4500"/>
      <c r="B165" s="1225" t="s">
        <v>10</v>
      </c>
      <c r="C165" s="4495" t="s">
        <v>171</v>
      </c>
      <c r="D165" s="1887">
        <f>SUM(E165:J165)</f>
        <v>320000</v>
      </c>
      <c r="E165" s="1887">
        <f>E166</f>
        <v>320000</v>
      </c>
      <c r="F165" s="2794">
        <f>F166</f>
        <v>0</v>
      </c>
      <c r="G165" s="2794">
        <f t="shared" ref="G165:J165" si="147">G166</f>
        <v>0</v>
      </c>
      <c r="H165" s="2794">
        <f t="shared" si="147"/>
        <v>0</v>
      </c>
      <c r="I165" s="2794">
        <f t="shared" si="147"/>
        <v>0</v>
      </c>
      <c r="J165" s="2794">
        <f t="shared" si="147"/>
        <v>0</v>
      </c>
      <c r="K165" s="1887">
        <f>K166</f>
        <v>0</v>
      </c>
      <c r="L165" s="1887">
        <f>L166</f>
        <v>0</v>
      </c>
      <c r="M165" s="4492"/>
      <c r="N165" s="4489"/>
    </row>
    <row r="166" spans="1:15" s="121" customFormat="1" ht="15" customHeight="1">
      <c r="A166" s="4539"/>
      <c r="B166" s="1888" t="s">
        <v>52</v>
      </c>
      <c r="C166" s="4496"/>
      <c r="D166" s="766">
        <f>E166+L166+K166+F166+G166+H166+I166+J166</f>
        <v>320000</v>
      </c>
      <c r="E166" s="1889">
        <f>900000-580000</f>
        <v>320000</v>
      </c>
      <c r="F166" s="2794">
        <v>0</v>
      </c>
      <c r="G166" s="2794">
        <v>0</v>
      </c>
      <c r="H166" s="2794">
        <v>0</v>
      </c>
      <c r="I166" s="2794">
        <v>0</v>
      </c>
      <c r="J166" s="2794">
        <v>0</v>
      </c>
      <c r="K166" s="1889"/>
      <c r="L166" s="1889">
        <f>100000-100000</f>
        <v>0</v>
      </c>
      <c r="M166" s="4492"/>
      <c r="N166" s="4059"/>
    </row>
    <row r="167" spans="1:15" s="121" customFormat="1" ht="15" customHeight="1">
      <c r="A167" s="4502"/>
      <c r="B167" s="1225" t="s">
        <v>17</v>
      </c>
      <c r="C167" s="4497" t="s">
        <v>174</v>
      </c>
      <c r="D167" s="807">
        <f t="shared" ref="D167:J167" si="148">D168</f>
        <v>9769362</v>
      </c>
      <c r="E167" s="807">
        <f t="shared" si="148"/>
        <v>6942781</v>
      </c>
      <c r="F167" s="807">
        <f t="shared" si="148"/>
        <v>2826581</v>
      </c>
      <c r="G167" s="1047">
        <f t="shared" si="148"/>
        <v>0</v>
      </c>
      <c r="H167" s="1047">
        <f t="shared" si="148"/>
        <v>0</v>
      </c>
      <c r="I167" s="1047">
        <f t="shared" si="148"/>
        <v>0</v>
      </c>
      <c r="J167" s="1047">
        <f t="shared" si="148"/>
        <v>0</v>
      </c>
      <c r="K167" s="807">
        <f>K168</f>
        <v>0</v>
      </c>
      <c r="L167" s="807">
        <f>L168</f>
        <v>0</v>
      </c>
      <c r="M167" s="4492"/>
      <c r="N167" s="4060"/>
    </row>
    <row r="168" spans="1:15" s="121" customFormat="1" ht="13.5" customHeight="1" thickBot="1">
      <c r="A168" s="4503"/>
      <c r="B168" s="1776" t="s">
        <v>19</v>
      </c>
      <c r="C168" s="4498"/>
      <c r="D168" s="1142">
        <f>E168+L168+K168+F168+G168+H168+I168+J168</f>
        <v>9769362</v>
      </c>
      <c r="E168" s="1014">
        <f>8889087+212812+2760304-2081128-2838294</f>
        <v>6942781</v>
      </c>
      <c r="F168" s="1014">
        <v>2826581</v>
      </c>
      <c r="G168" s="1048">
        <v>0</v>
      </c>
      <c r="H168" s="1048">
        <v>0</v>
      </c>
      <c r="I168" s="1048">
        <v>0</v>
      </c>
      <c r="J168" s="1048">
        <v>0</v>
      </c>
      <c r="K168" s="1014"/>
      <c r="L168" s="1014">
        <f>2437304+323000-2760304</f>
        <v>0</v>
      </c>
      <c r="M168" s="4493"/>
      <c r="N168" s="4061"/>
    </row>
    <row r="169" spans="1:15" s="121" customFormat="1" ht="40.5" customHeight="1">
      <c r="A169" s="4518" t="s">
        <v>82</v>
      </c>
      <c r="B169" s="86" t="s">
        <v>397</v>
      </c>
      <c r="C169" s="819" t="s">
        <v>154</v>
      </c>
      <c r="D169" s="397"/>
      <c r="E169" s="1492"/>
      <c r="F169" s="1486"/>
      <c r="G169" s="1150"/>
      <c r="H169" s="1150"/>
      <c r="I169" s="1150"/>
      <c r="J169" s="1150"/>
      <c r="K169" s="1486"/>
      <c r="L169" s="1486"/>
      <c r="M169" s="1884"/>
      <c r="N169" s="2508"/>
      <c r="O169" s="100" t="s">
        <v>459</v>
      </c>
    </row>
    <row r="170" spans="1:15" s="121" customFormat="1" ht="15" customHeight="1">
      <c r="A170" s="4502"/>
      <c r="B170" s="796" t="s">
        <v>9</v>
      </c>
      <c r="C170" s="1419"/>
      <c r="D170" s="798">
        <f>D171+D175</f>
        <v>265794</v>
      </c>
      <c r="E170" s="798">
        <f>E171+E175</f>
        <v>101086</v>
      </c>
      <c r="F170" s="798">
        <f>F171+F175</f>
        <v>164708</v>
      </c>
      <c r="G170" s="1046">
        <f>+G175</f>
        <v>0</v>
      </c>
      <c r="H170" s="1046">
        <f>+H175</f>
        <v>0</v>
      </c>
      <c r="I170" s="1046">
        <f>+I175</f>
        <v>0</v>
      </c>
      <c r="J170" s="1046">
        <f>+J175</f>
        <v>0</v>
      </c>
      <c r="K170" s="798">
        <f>K171+K175</f>
        <v>0</v>
      </c>
      <c r="L170" s="798">
        <f>L171+L175</f>
        <v>0</v>
      </c>
      <c r="M170" s="799">
        <f>M171+M175</f>
        <v>164708</v>
      </c>
      <c r="N170" s="4060" t="s">
        <v>528</v>
      </c>
    </row>
    <row r="171" spans="1:15" s="121" customFormat="1" ht="15" customHeight="1">
      <c r="A171" s="4502"/>
      <c r="B171" s="800" t="s">
        <v>22</v>
      </c>
      <c r="C171" s="3859" t="s">
        <v>277</v>
      </c>
      <c r="D171" s="801">
        <f>D172</f>
        <v>39869</v>
      </c>
      <c r="E171" s="806">
        <f t="shared" ref="E171:F171" si="149">E172</f>
        <v>15163</v>
      </c>
      <c r="F171" s="806">
        <f t="shared" si="149"/>
        <v>24706</v>
      </c>
      <c r="G171" s="1671">
        <v>0</v>
      </c>
      <c r="H171" s="1671">
        <v>0</v>
      </c>
      <c r="I171" s="1671">
        <v>0</v>
      </c>
      <c r="J171" s="1671">
        <v>0</v>
      </c>
      <c r="K171" s="806">
        <f>K172</f>
        <v>0</v>
      </c>
      <c r="L171" s="806">
        <f>L172</f>
        <v>0</v>
      </c>
      <c r="M171" s="802">
        <f>M172</f>
        <v>24706</v>
      </c>
      <c r="N171" s="4060"/>
    </row>
    <row r="172" spans="1:15" s="121" customFormat="1" ht="13.5" customHeight="1">
      <c r="A172" s="4502"/>
      <c r="B172" s="803" t="s">
        <v>11</v>
      </c>
      <c r="C172" s="3908"/>
      <c r="D172" s="766">
        <f>E172+L172+K172+F172+G172+H172+I172+J172</f>
        <v>39869</v>
      </c>
      <c r="E172" s="804">
        <f>SUM(E173:E174)</f>
        <v>15163</v>
      </c>
      <c r="F172" s="804">
        <f t="shared" ref="F172" si="150">SUM(F173:F174)</f>
        <v>24706</v>
      </c>
      <c r="G172" s="1672">
        <v>0</v>
      </c>
      <c r="H172" s="1672">
        <v>0</v>
      </c>
      <c r="I172" s="1672">
        <v>0</v>
      </c>
      <c r="J172" s="1672">
        <v>0</v>
      </c>
      <c r="K172" s="804">
        <f>SUM(K173:K174)</f>
        <v>0</v>
      </c>
      <c r="L172" s="804">
        <f>SUM(L173:L174)</f>
        <v>0</v>
      </c>
      <c r="M172" s="1021">
        <f>SUM(F172:J172)</f>
        <v>24706</v>
      </c>
      <c r="N172" s="4060"/>
    </row>
    <row r="173" spans="1:15" s="121" customFormat="1" ht="15" hidden="1" customHeight="1">
      <c r="A173" s="4502"/>
      <c r="B173" s="2414" t="s">
        <v>506</v>
      </c>
      <c r="C173" s="3908"/>
      <c r="D173" s="2405">
        <f>E173+L173+K173+F173+G173+H173+I173+J173</f>
        <v>35111</v>
      </c>
      <c r="E173" s="2406">
        <f>3347-1656+10530</f>
        <v>12221</v>
      </c>
      <c r="F173" s="2406">
        <f>34839-10400+4336-5885</f>
        <v>22890</v>
      </c>
      <c r="G173" s="2791"/>
      <c r="H173" s="2791"/>
      <c r="I173" s="2791"/>
      <c r="J173" s="2791"/>
      <c r="K173" s="2406"/>
      <c r="L173" s="2406"/>
      <c r="M173" s="1021">
        <f>SUM(F173:J173)</f>
        <v>22890</v>
      </c>
      <c r="N173" s="4060"/>
    </row>
    <row r="174" spans="1:15" s="121" customFormat="1" ht="15" hidden="1" customHeight="1">
      <c r="A174" s="4502"/>
      <c r="B174" s="2416" t="s">
        <v>282</v>
      </c>
      <c r="C174" s="3908"/>
      <c r="D174" s="2417">
        <f>E174+L174+K174+F174+G174+H174+I174+J174</f>
        <v>4758</v>
      </c>
      <c r="E174" s="2418">
        <f>1514-6+1434</f>
        <v>2942</v>
      </c>
      <c r="F174" s="2418">
        <v>1816</v>
      </c>
      <c r="G174" s="2790"/>
      <c r="H174" s="2790"/>
      <c r="I174" s="2790"/>
      <c r="J174" s="2790"/>
      <c r="K174" s="2418"/>
      <c r="L174" s="2418"/>
      <c r="M174" s="1021">
        <f>SUM(F174:J174)</f>
        <v>1816</v>
      </c>
      <c r="N174" s="4060"/>
    </row>
    <row r="175" spans="1:15" s="121" customFormat="1" ht="15" customHeight="1">
      <c r="A175" s="4502"/>
      <c r="B175" s="805" t="s">
        <v>17</v>
      </c>
      <c r="C175" s="3908"/>
      <c r="D175" s="801">
        <f>D176</f>
        <v>225925</v>
      </c>
      <c r="E175" s="806">
        <f t="shared" ref="E175:F175" si="151">E176</f>
        <v>85923</v>
      </c>
      <c r="F175" s="806">
        <f t="shared" si="151"/>
        <v>140002</v>
      </c>
      <c r="G175" s="1671">
        <v>0</v>
      </c>
      <c r="H175" s="1671">
        <v>0</v>
      </c>
      <c r="I175" s="1671">
        <v>0</v>
      </c>
      <c r="J175" s="1671">
        <v>0</v>
      </c>
      <c r="K175" s="806">
        <f>K176</f>
        <v>0</v>
      </c>
      <c r="L175" s="806">
        <f>L176</f>
        <v>0</v>
      </c>
      <c r="M175" s="802">
        <f t="shared" ref="M175" si="152">+M176</f>
        <v>140002</v>
      </c>
      <c r="N175" s="4060"/>
    </row>
    <row r="176" spans="1:15" s="121" customFormat="1" ht="15.75" customHeight="1">
      <c r="A176" s="4502"/>
      <c r="B176" s="1749" t="s">
        <v>19</v>
      </c>
      <c r="C176" s="3908"/>
      <c r="D176" s="766">
        <f>E176+L176+K176+F176+G176+H176+I176+J176</f>
        <v>225925</v>
      </c>
      <c r="E176" s="804">
        <f>SUM(E177:E178)</f>
        <v>85923</v>
      </c>
      <c r="F176" s="804">
        <f t="shared" ref="F176" si="153">SUM(F177:F178)</f>
        <v>140002</v>
      </c>
      <c r="G176" s="1672">
        <v>0</v>
      </c>
      <c r="H176" s="1672">
        <v>0</v>
      </c>
      <c r="I176" s="1672">
        <v>0</v>
      </c>
      <c r="J176" s="1672">
        <v>0</v>
      </c>
      <c r="K176" s="804">
        <f>SUM(K177:K178)</f>
        <v>0</v>
      </c>
      <c r="L176" s="804">
        <f>SUM(L177:L178)</f>
        <v>0</v>
      </c>
      <c r="M176" s="1021">
        <f>SUM(F176:J176)</f>
        <v>140002</v>
      </c>
      <c r="N176" s="4060"/>
    </row>
    <row r="177" spans="1:15" s="121" customFormat="1" ht="15" hidden="1" customHeight="1">
      <c r="A177" s="4502"/>
      <c r="B177" s="2414" t="s">
        <v>507</v>
      </c>
      <c r="C177" s="3908"/>
      <c r="D177" s="2405">
        <f>E177+L177+K177+F177+G177+H177+I177+J177</f>
        <v>198963</v>
      </c>
      <c r="E177" s="2406">
        <f>18973-9391+59671</f>
        <v>69253</v>
      </c>
      <c r="F177" s="2406">
        <f>197415-58934+24575-33346</f>
        <v>129710</v>
      </c>
      <c r="G177" s="2415"/>
      <c r="H177" s="2415"/>
      <c r="I177" s="2415"/>
      <c r="J177" s="2415"/>
      <c r="K177" s="2406"/>
      <c r="L177" s="2406"/>
      <c r="M177" s="1021">
        <f>SUM(F177:J177)</f>
        <v>129710</v>
      </c>
      <c r="N177" s="2509"/>
    </row>
    <row r="178" spans="1:15" s="121" customFormat="1" ht="15" hidden="1" customHeight="1">
      <c r="A178" s="4502"/>
      <c r="B178" s="2416" t="s">
        <v>283</v>
      </c>
      <c r="C178" s="3920"/>
      <c r="D178" s="2417">
        <f>E178+L178+K178+F178+G178+H178+I178+J178</f>
        <v>26962</v>
      </c>
      <c r="E178" s="2418">
        <f>8576-35+8129</f>
        <v>16670</v>
      </c>
      <c r="F178" s="2418">
        <v>10292</v>
      </c>
      <c r="G178" s="2419"/>
      <c r="H178" s="2419"/>
      <c r="I178" s="2419"/>
      <c r="J178" s="2419"/>
      <c r="K178" s="2418"/>
      <c r="L178" s="2418"/>
      <c r="M178" s="1021">
        <f>SUM(F178:J178)</f>
        <v>10292</v>
      </c>
      <c r="N178" s="2509"/>
    </row>
    <row r="179" spans="1:15" s="121" customFormat="1" ht="12.75">
      <c r="A179" s="4502"/>
      <c r="B179" s="1212" t="s">
        <v>20</v>
      </c>
      <c r="C179" s="1419"/>
      <c r="D179" s="798">
        <f t="shared" ref="D179:J180" si="154">D180</f>
        <v>225925</v>
      </c>
      <c r="E179" s="798">
        <f t="shared" si="154"/>
        <v>21046</v>
      </c>
      <c r="F179" s="798">
        <f t="shared" si="154"/>
        <v>52880</v>
      </c>
      <c r="G179" s="798">
        <f t="shared" si="154"/>
        <v>151999</v>
      </c>
      <c r="H179" s="1046">
        <f t="shared" si="154"/>
        <v>0</v>
      </c>
      <c r="I179" s="1046">
        <f t="shared" si="154"/>
        <v>0</v>
      </c>
      <c r="J179" s="1046">
        <f t="shared" si="154"/>
        <v>0</v>
      </c>
      <c r="K179" s="798">
        <f>K180</f>
        <v>0</v>
      </c>
      <c r="L179" s="798">
        <f>L180</f>
        <v>0</v>
      </c>
      <c r="M179" s="3883" t="s">
        <v>51</v>
      </c>
      <c r="N179" s="4486" t="s">
        <v>523</v>
      </c>
    </row>
    <row r="180" spans="1:15" s="121" customFormat="1" ht="12.75">
      <c r="A180" s="4502"/>
      <c r="B180" s="1225" t="s">
        <v>17</v>
      </c>
      <c r="C180" s="3946" t="s">
        <v>153</v>
      </c>
      <c r="D180" s="807">
        <f t="shared" si="154"/>
        <v>225925</v>
      </c>
      <c r="E180" s="807">
        <f t="shared" si="154"/>
        <v>21046</v>
      </c>
      <c r="F180" s="807">
        <f t="shared" si="154"/>
        <v>52880</v>
      </c>
      <c r="G180" s="807">
        <f t="shared" si="154"/>
        <v>151999</v>
      </c>
      <c r="H180" s="1047">
        <f t="shared" si="154"/>
        <v>0</v>
      </c>
      <c r="I180" s="1047">
        <f t="shared" si="154"/>
        <v>0</v>
      </c>
      <c r="J180" s="1047">
        <f t="shared" si="154"/>
        <v>0</v>
      </c>
      <c r="K180" s="807">
        <f>K181</f>
        <v>0</v>
      </c>
      <c r="L180" s="807">
        <f>L181</f>
        <v>0</v>
      </c>
      <c r="M180" s="3881"/>
      <c r="N180" s="4060"/>
    </row>
    <row r="181" spans="1:15" s="121" customFormat="1" ht="12.75">
      <c r="A181" s="4531"/>
      <c r="B181" s="1774" t="s">
        <v>19</v>
      </c>
      <c r="C181" s="3922"/>
      <c r="D181" s="787">
        <f>E181+L181+K181+F181+G181+H181+I181+J181</f>
        <v>225925</v>
      </c>
      <c r="E181" s="810">
        <f>2133-1156+20069</f>
        <v>21046</v>
      </c>
      <c r="F181" s="810">
        <f>148930-34993-90000+28943</f>
        <v>52880</v>
      </c>
      <c r="G181" s="810">
        <f>101087+60388+64019-73495</f>
        <v>151999</v>
      </c>
      <c r="H181" s="2708">
        <v>0</v>
      </c>
      <c r="I181" s="2708">
        <v>0</v>
      </c>
      <c r="J181" s="2708">
        <v>0</v>
      </c>
      <c r="K181" s="810"/>
      <c r="L181" s="810"/>
      <c r="M181" s="4532"/>
      <c r="N181" s="4182"/>
    </row>
    <row r="182" spans="1:15" s="121" customFormat="1" ht="48.75" customHeight="1" thickBot="1">
      <c r="A182" s="4538" t="s">
        <v>83</v>
      </c>
      <c r="B182" s="2495" t="s">
        <v>396</v>
      </c>
      <c r="C182" s="2496" t="s">
        <v>70</v>
      </c>
      <c r="D182" s="2497"/>
      <c r="E182" s="2498"/>
      <c r="F182" s="2499"/>
      <c r="G182" s="2500"/>
      <c r="H182" s="2500"/>
      <c r="I182" s="2500"/>
      <c r="J182" s="2501"/>
      <c r="K182" s="2499"/>
      <c r="L182" s="2499"/>
      <c r="M182" s="843"/>
      <c r="N182" s="2510"/>
      <c r="O182" s="100" t="s">
        <v>459</v>
      </c>
    </row>
    <row r="183" spans="1:15" s="121" customFormat="1" ht="13.5" customHeight="1" thickBot="1">
      <c r="A183" s="4500"/>
      <c r="B183" s="796" t="s">
        <v>9</v>
      </c>
      <c r="C183" s="1419"/>
      <c r="D183" s="798">
        <f>D184+D186</f>
        <v>406207</v>
      </c>
      <c r="E183" s="798">
        <f>E184+E186</f>
        <v>134168</v>
      </c>
      <c r="F183" s="798">
        <f>F184+F186</f>
        <v>272039</v>
      </c>
      <c r="G183" s="1046">
        <f>+G186</f>
        <v>0</v>
      </c>
      <c r="H183" s="1046">
        <f>+H186</f>
        <v>0</v>
      </c>
      <c r="I183" s="1046">
        <f>+I186</f>
        <v>0</v>
      </c>
      <c r="J183" s="1046">
        <f>+J186</f>
        <v>0</v>
      </c>
      <c r="K183" s="798">
        <f>K184+K186</f>
        <v>0</v>
      </c>
      <c r="L183" s="798">
        <f>L184+L186</f>
        <v>0</v>
      </c>
      <c r="M183" s="799">
        <f>M184+M186</f>
        <v>272039</v>
      </c>
      <c r="N183" s="4558" t="s">
        <v>495</v>
      </c>
    </row>
    <row r="184" spans="1:15" s="121" customFormat="1" ht="13.5" thickBot="1">
      <c r="A184" s="4500"/>
      <c r="B184" s="800" t="s">
        <v>22</v>
      </c>
      <c r="C184" s="3859" t="s">
        <v>153</v>
      </c>
      <c r="D184" s="801">
        <f>D185</f>
        <v>60932</v>
      </c>
      <c r="E184" s="806">
        <f t="shared" ref="E184:J184" si="155">E185</f>
        <v>20125</v>
      </c>
      <c r="F184" s="806">
        <f t="shared" si="155"/>
        <v>40807</v>
      </c>
      <c r="G184" s="1671">
        <f t="shared" si="155"/>
        <v>0</v>
      </c>
      <c r="H184" s="1671">
        <f t="shared" si="155"/>
        <v>0</v>
      </c>
      <c r="I184" s="1671">
        <f t="shared" si="155"/>
        <v>0</v>
      </c>
      <c r="J184" s="1671">
        <f t="shared" si="155"/>
        <v>0</v>
      </c>
      <c r="K184" s="806">
        <f>K185</f>
        <v>0</v>
      </c>
      <c r="L184" s="806">
        <f>L185</f>
        <v>0</v>
      </c>
      <c r="M184" s="802">
        <f>M185</f>
        <v>40807</v>
      </c>
      <c r="N184" s="4558"/>
    </row>
    <row r="185" spans="1:15" s="121" customFormat="1" ht="13.5" thickBot="1">
      <c r="A185" s="4500"/>
      <c r="B185" s="803" t="s">
        <v>11</v>
      </c>
      <c r="C185" s="3908"/>
      <c r="D185" s="766">
        <f>E185+L185+K185+F185+G185+H185+I185+J185</f>
        <v>60932</v>
      </c>
      <c r="E185" s="804">
        <f>8310-391+12206</f>
        <v>20125</v>
      </c>
      <c r="F185" s="804">
        <f>4050-4050+32884+7923</f>
        <v>40807</v>
      </c>
      <c r="G185" s="1672">
        <v>0</v>
      </c>
      <c r="H185" s="1672">
        <v>0</v>
      </c>
      <c r="I185" s="1672">
        <v>0</v>
      </c>
      <c r="J185" s="1672">
        <v>0</v>
      </c>
      <c r="K185" s="804"/>
      <c r="L185" s="804"/>
      <c r="M185" s="1021">
        <f>SUM(F185:J185)</f>
        <v>40807</v>
      </c>
      <c r="N185" s="4558"/>
    </row>
    <row r="186" spans="1:15" s="121" customFormat="1" ht="13.5" thickBot="1">
      <c r="A186" s="4500"/>
      <c r="B186" s="805" t="s">
        <v>17</v>
      </c>
      <c r="C186" s="3908"/>
      <c r="D186" s="801">
        <f>D187</f>
        <v>345275</v>
      </c>
      <c r="E186" s="806">
        <f t="shared" ref="E186:F186" si="156">E187</f>
        <v>114043</v>
      </c>
      <c r="F186" s="806">
        <f t="shared" si="156"/>
        <v>231232</v>
      </c>
      <c r="G186" s="1671">
        <f t="shared" ref="G186:J186" si="157">G187</f>
        <v>0</v>
      </c>
      <c r="H186" s="1671">
        <f t="shared" si="157"/>
        <v>0</v>
      </c>
      <c r="I186" s="1671">
        <f t="shared" si="157"/>
        <v>0</v>
      </c>
      <c r="J186" s="1671">
        <f t="shared" si="157"/>
        <v>0</v>
      </c>
      <c r="K186" s="806">
        <f>K187</f>
        <v>0</v>
      </c>
      <c r="L186" s="806">
        <f>L187</f>
        <v>0</v>
      </c>
      <c r="M186" s="802">
        <f t="shared" ref="M186" si="158">+M187</f>
        <v>231232</v>
      </c>
      <c r="N186" s="4558"/>
    </row>
    <row r="187" spans="1:15" s="121" customFormat="1" ht="13.5" thickBot="1">
      <c r="A187" s="4500"/>
      <c r="B187" s="1749" t="s">
        <v>19</v>
      </c>
      <c r="C187" s="3920"/>
      <c r="D187" s="766">
        <f>E187+L187+K187+F187+G187+H187+I187+J187</f>
        <v>345275</v>
      </c>
      <c r="E187" s="804">
        <f>47090-2217+69170</f>
        <v>114043</v>
      </c>
      <c r="F187" s="804">
        <f>22950-22950+186342+44890</f>
        <v>231232</v>
      </c>
      <c r="G187" s="1672">
        <v>0</v>
      </c>
      <c r="H187" s="1672">
        <v>0</v>
      </c>
      <c r="I187" s="1672">
        <v>0</v>
      </c>
      <c r="J187" s="1672">
        <v>0</v>
      </c>
      <c r="K187" s="804"/>
      <c r="L187" s="804"/>
      <c r="M187" s="1021">
        <f>SUM(F187:J187)</f>
        <v>231232</v>
      </c>
      <c r="N187" s="4558"/>
    </row>
    <row r="188" spans="1:15" s="121" customFormat="1" ht="13.5" thickBot="1">
      <c r="A188" s="4500"/>
      <c r="B188" s="1212" t="s">
        <v>20</v>
      </c>
      <c r="C188" s="1419"/>
      <c r="D188" s="798">
        <f t="shared" ref="D188:J189" si="159">D189</f>
        <v>345275</v>
      </c>
      <c r="E188" s="798">
        <f t="shared" si="159"/>
        <v>42826</v>
      </c>
      <c r="F188" s="798">
        <f t="shared" si="159"/>
        <v>104710</v>
      </c>
      <c r="G188" s="798">
        <f t="shared" si="159"/>
        <v>197739</v>
      </c>
      <c r="H188" s="1046">
        <f t="shared" si="159"/>
        <v>0</v>
      </c>
      <c r="I188" s="1046">
        <f t="shared" si="159"/>
        <v>0</v>
      </c>
      <c r="J188" s="1046">
        <f t="shared" si="159"/>
        <v>0</v>
      </c>
      <c r="K188" s="798">
        <f>K189</f>
        <v>0</v>
      </c>
      <c r="L188" s="798">
        <f>L189</f>
        <v>0</v>
      </c>
      <c r="M188" s="4032" t="s">
        <v>51</v>
      </c>
      <c r="N188" s="4558"/>
    </row>
    <row r="189" spans="1:15" s="121" customFormat="1" ht="13.5" thickBot="1">
      <c r="A189" s="4500"/>
      <c r="B189" s="1225" t="s">
        <v>17</v>
      </c>
      <c r="C189" s="4494" t="s">
        <v>153</v>
      </c>
      <c r="D189" s="807">
        <f t="shared" si="159"/>
        <v>345275</v>
      </c>
      <c r="E189" s="807">
        <f t="shared" si="159"/>
        <v>42826</v>
      </c>
      <c r="F189" s="807">
        <f t="shared" si="159"/>
        <v>104710</v>
      </c>
      <c r="G189" s="807">
        <f t="shared" si="159"/>
        <v>197739</v>
      </c>
      <c r="H189" s="1047">
        <f t="shared" si="159"/>
        <v>0</v>
      </c>
      <c r="I189" s="1047">
        <f t="shared" si="159"/>
        <v>0</v>
      </c>
      <c r="J189" s="1047">
        <f t="shared" si="159"/>
        <v>0</v>
      </c>
      <c r="K189" s="807">
        <f>K190</f>
        <v>0</v>
      </c>
      <c r="L189" s="807">
        <f>L190</f>
        <v>0</v>
      </c>
      <c r="M189" s="3990"/>
      <c r="N189" s="4558"/>
    </row>
    <row r="190" spans="1:15" s="121" customFormat="1" ht="13.5" thickBot="1">
      <c r="A190" s="4500"/>
      <c r="B190" s="1775" t="s">
        <v>19</v>
      </c>
      <c r="C190" s="3894"/>
      <c r="D190" s="1003">
        <f>E190+L190+K190+F190+G190+H190+I190+J190</f>
        <v>345275</v>
      </c>
      <c r="E190" s="1014">
        <f>73100-26460-3814</f>
        <v>42826</v>
      </c>
      <c r="F190" s="1014">
        <f>183855-5285-178570+104710</f>
        <v>104710</v>
      </c>
      <c r="G190" s="1014">
        <f>22950+31745+203202-60158</f>
        <v>197739</v>
      </c>
      <c r="H190" s="1048">
        <v>0</v>
      </c>
      <c r="I190" s="1048">
        <v>0</v>
      </c>
      <c r="J190" s="1048">
        <v>0</v>
      </c>
      <c r="K190" s="1014"/>
      <c r="L190" s="1014"/>
      <c r="M190" s="3990"/>
      <c r="N190" s="4559"/>
    </row>
    <row r="191" spans="1:15" s="121" customFormat="1" ht="39" customHeight="1" thickBot="1">
      <c r="A191" s="4499" t="s">
        <v>84</v>
      </c>
      <c r="B191" s="86" t="s">
        <v>395</v>
      </c>
      <c r="C191" s="1149" t="s">
        <v>154</v>
      </c>
      <c r="D191" s="406"/>
      <c r="E191" s="2450"/>
      <c r="F191" s="1874"/>
      <c r="G191" s="1875"/>
      <c r="H191" s="1875"/>
      <c r="I191" s="1875"/>
      <c r="J191" s="1876"/>
      <c r="K191" s="1874"/>
      <c r="L191" s="1874"/>
      <c r="M191" s="408"/>
      <c r="N191" s="2508"/>
      <c r="O191" s="100" t="s">
        <v>459</v>
      </c>
    </row>
    <row r="192" spans="1:15" s="121" customFormat="1" ht="15" customHeight="1" thickBot="1">
      <c r="A192" s="4500"/>
      <c r="B192" s="796" t="s">
        <v>9</v>
      </c>
      <c r="C192" s="1419"/>
      <c r="D192" s="798">
        <f>D193+D197</f>
        <v>607961</v>
      </c>
      <c r="E192" s="798">
        <f>E193+E197</f>
        <v>281316</v>
      </c>
      <c r="F192" s="798">
        <f>F193+F197</f>
        <v>326645</v>
      </c>
      <c r="G192" s="1046">
        <f>+G197</f>
        <v>0</v>
      </c>
      <c r="H192" s="1046">
        <f>+H197</f>
        <v>0</v>
      </c>
      <c r="I192" s="1046">
        <f>+I197</f>
        <v>0</v>
      </c>
      <c r="J192" s="1046">
        <f>+J197</f>
        <v>0</v>
      </c>
      <c r="K192" s="798">
        <f>K193+K197</f>
        <v>0</v>
      </c>
      <c r="L192" s="798">
        <f>L193+L197</f>
        <v>0</v>
      </c>
      <c r="M192" s="799">
        <f>M193+M197</f>
        <v>326645</v>
      </c>
      <c r="N192" s="4060" t="s">
        <v>499</v>
      </c>
    </row>
    <row r="193" spans="1:14" s="121" customFormat="1" ht="13.5" thickBot="1">
      <c r="A193" s="4500"/>
      <c r="B193" s="1225" t="s">
        <v>22</v>
      </c>
      <c r="C193" s="3893" t="s">
        <v>277</v>
      </c>
      <c r="D193" s="807">
        <f>D194</f>
        <v>106504</v>
      </c>
      <c r="E193" s="811">
        <f t="shared" ref="E193:F193" si="160">E194</f>
        <v>56795</v>
      </c>
      <c r="F193" s="811">
        <f t="shared" si="160"/>
        <v>49709</v>
      </c>
      <c r="G193" s="2792">
        <v>0</v>
      </c>
      <c r="H193" s="2792">
        <v>0</v>
      </c>
      <c r="I193" s="2792">
        <v>0</v>
      </c>
      <c r="J193" s="2792">
        <v>0</v>
      </c>
      <c r="K193" s="811">
        <f>K194</f>
        <v>0</v>
      </c>
      <c r="L193" s="811">
        <f>L194</f>
        <v>0</v>
      </c>
      <c r="M193" s="802">
        <f>M194</f>
        <v>49709</v>
      </c>
      <c r="N193" s="4060"/>
    </row>
    <row r="194" spans="1:14" s="121" customFormat="1" ht="14.25" customHeight="1" thickBot="1">
      <c r="A194" s="4500"/>
      <c r="B194" s="2420" t="s">
        <v>11</v>
      </c>
      <c r="C194" s="3908"/>
      <c r="D194" s="483">
        <f>E194+L194+K194+F194+G194+H194+I194+J194</f>
        <v>106504</v>
      </c>
      <c r="E194" s="2421">
        <f>E195+E196</f>
        <v>56795</v>
      </c>
      <c r="F194" s="2421">
        <f>F195+F196</f>
        <v>49709</v>
      </c>
      <c r="G194" s="2793">
        <v>0</v>
      </c>
      <c r="H194" s="2793">
        <v>0</v>
      </c>
      <c r="I194" s="2793">
        <v>0</v>
      </c>
      <c r="J194" s="2793">
        <v>0</v>
      </c>
      <c r="K194" s="2421">
        <f>K195+K196</f>
        <v>0</v>
      </c>
      <c r="L194" s="2421">
        <f>L195+L196</f>
        <v>0</v>
      </c>
      <c r="M194" s="1021">
        <f>SUM(F194:J194)</f>
        <v>49709</v>
      </c>
      <c r="N194" s="4060"/>
    </row>
    <row r="195" spans="1:14" s="121" customFormat="1" ht="15" hidden="1" customHeight="1" thickBot="1">
      <c r="A195" s="4500"/>
      <c r="B195" s="2416" t="s">
        <v>282</v>
      </c>
      <c r="C195" s="3908"/>
      <c r="D195" s="2417">
        <f>E195+L195+K195+F195+G195+H195+I195+J195</f>
        <v>6116</v>
      </c>
      <c r="E195" s="2418">
        <f>1500+258+37-148+2261</f>
        <v>3908</v>
      </c>
      <c r="F195" s="2418">
        <f>1500+258+37-115+9+519</f>
        <v>2208</v>
      </c>
      <c r="G195" s="2790"/>
      <c r="H195" s="2790"/>
      <c r="I195" s="2790"/>
      <c r="J195" s="2790"/>
      <c r="K195" s="2418"/>
      <c r="L195" s="2418"/>
      <c r="M195" s="2422">
        <f>SUM(F195:J195)</f>
        <v>2208</v>
      </c>
      <c r="N195" s="4060"/>
    </row>
    <row r="196" spans="1:14" s="121" customFormat="1" ht="15" hidden="1" customHeight="1" thickBot="1">
      <c r="A196" s="4500"/>
      <c r="B196" s="2414" t="s">
        <v>506</v>
      </c>
      <c r="C196" s="3908"/>
      <c r="D196" s="2405">
        <f>E196+L196+K196+F196+G196+H196+I196+J196</f>
        <v>100388</v>
      </c>
      <c r="E196" s="2406">
        <f>29862+1010+900-17345-750-10467+49677</f>
        <v>52887</v>
      </c>
      <c r="F196" s="2406">
        <f>36006+900+2700-1+21173-13277</f>
        <v>47501</v>
      </c>
      <c r="G196" s="2791"/>
      <c r="H196" s="2791"/>
      <c r="I196" s="2791"/>
      <c r="J196" s="2791"/>
      <c r="K196" s="2406"/>
      <c r="L196" s="2406"/>
      <c r="M196" s="2422">
        <f>SUM(F196:J196)</f>
        <v>47501</v>
      </c>
      <c r="N196" s="4060"/>
    </row>
    <row r="197" spans="1:14" s="121" customFormat="1" ht="13.5" thickBot="1">
      <c r="A197" s="4500"/>
      <c r="B197" s="805" t="s">
        <v>17</v>
      </c>
      <c r="C197" s="3908"/>
      <c r="D197" s="801">
        <f>D198</f>
        <v>501457</v>
      </c>
      <c r="E197" s="806">
        <f t="shared" ref="E197:F197" si="161">E198</f>
        <v>224521</v>
      </c>
      <c r="F197" s="806">
        <f t="shared" si="161"/>
        <v>276936</v>
      </c>
      <c r="G197" s="1671">
        <v>0</v>
      </c>
      <c r="H197" s="1671">
        <v>0</v>
      </c>
      <c r="I197" s="1671">
        <v>0</v>
      </c>
      <c r="J197" s="1671">
        <v>0</v>
      </c>
      <c r="K197" s="806">
        <f>K198</f>
        <v>0</v>
      </c>
      <c r="L197" s="806">
        <f>L198</f>
        <v>0</v>
      </c>
      <c r="M197" s="802">
        <f t="shared" ref="M197" si="162">+M198</f>
        <v>276936</v>
      </c>
      <c r="N197" s="4060"/>
    </row>
    <row r="198" spans="1:14" s="121" customFormat="1" ht="13.5" thickBot="1">
      <c r="A198" s="4500"/>
      <c r="B198" s="1749" t="s">
        <v>19</v>
      </c>
      <c r="C198" s="3920"/>
      <c r="D198" s="766">
        <f>E198+L198+K198+F198+G198+H198+I198+J198</f>
        <v>501457</v>
      </c>
      <c r="E198" s="804">
        <f>E199+E200</f>
        <v>224521</v>
      </c>
      <c r="F198" s="804">
        <f>F199+F200</f>
        <v>276936</v>
      </c>
      <c r="G198" s="1672">
        <v>0</v>
      </c>
      <c r="H198" s="1672">
        <v>0</v>
      </c>
      <c r="I198" s="1672">
        <v>0</v>
      </c>
      <c r="J198" s="1672">
        <v>0</v>
      </c>
      <c r="K198" s="804">
        <f>K199+K200</f>
        <v>0</v>
      </c>
      <c r="L198" s="804"/>
      <c r="M198" s="1021">
        <f>SUM(F198:J198)</f>
        <v>276936</v>
      </c>
      <c r="N198" s="4060"/>
    </row>
    <row r="199" spans="1:14" s="121" customFormat="1" ht="15" hidden="1" customHeight="1" thickBot="1">
      <c r="A199" s="4500"/>
      <c r="B199" s="2416" t="s">
        <v>283</v>
      </c>
      <c r="C199" s="3587"/>
      <c r="D199" s="2417">
        <f>E199+L199+K199+F199+G199+H199+I199+J199</f>
        <v>34642</v>
      </c>
      <c r="E199" s="2418">
        <f>8496+1459+208-829+12817</f>
        <v>22151</v>
      </c>
      <c r="F199" s="2418">
        <f>8496+1459+208-652+39+2941</f>
        <v>12491</v>
      </c>
      <c r="G199" s="2419"/>
      <c r="H199" s="2419"/>
      <c r="I199" s="2419"/>
      <c r="J199" s="2419"/>
      <c r="K199" s="2418"/>
      <c r="L199" s="2418"/>
      <c r="M199" s="2422">
        <f>SUM(F199:J199)</f>
        <v>12491</v>
      </c>
      <c r="N199" s="2509"/>
    </row>
    <row r="200" spans="1:14" s="121" customFormat="1" ht="15" hidden="1" customHeight="1" thickBot="1">
      <c r="A200" s="4500"/>
      <c r="B200" s="2414" t="s">
        <v>507</v>
      </c>
      <c r="C200" s="3587"/>
      <c r="D200" s="2405">
        <f>E200+L200+K200+F200+G200+H200+I200+J200</f>
        <v>466815</v>
      </c>
      <c r="E200" s="2406">
        <f>129026-98286-4250-8303+184183</f>
        <v>202370</v>
      </c>
      <c r="F200" s="2406">
        <f>204036+5100+15300+1+115242-75234</f>
        <v>264445</v>
      </c>
      <c r="G200" s="2415"/>
      <c r="H200" s="2415"/>
      <c r="I200" s="2415"/>
      <c r="J200" s="2415"/>
      <c r="K200" s="2406"/>
      <c r="L200" s="2406"/>
      <c r="M200" s="2422">
        <f>SUM(F200:J200)</f>
        <v>264445</v>
      </c>
      <c r="N200" s="2509"/>
    </row>
    <row r="201" spans="1:14" s="121" customFormat="1" ht="13.5" thickBot="1">
      <c r="A201" s="4500"/>
      <c r="B201" s="1212" t="s">
        <v>20</v>
      </c>
      <c r="C201" s="1419"/>
      <c r="D201" s="798">
        <f t="shared" ref="D201:J202" si="163">D202</f>
        <v>501457</v>
      </c>
      <c r="E201" s="798">
        <f t="shared" si="163"/>
        <v>28285</v>
      </c>
      <c r="F201" s="798">
        <f t="shared" si="163"/>
        <v>386490</v>
      </c>
      <c r="G201" s="798">
        <f t="shared" si="163"/>
        <v>86682</v>
      </c>
      <c r="H201" s="1046">
        <f t="shared" si="163"/>
        <v>0</v>
      </c>
      <c r="I201" s="1046">
        <f t="shared" si="163"/>
        <v>0</v>
      </c>
      <c r="J201" s="1046">
        <f t="shared" si="163"/>
        <v>0</v>
      </c>
      <c r="K201" s="798">
        <f>K202</f>
        <v>0</v>
      </c>
      <c r="L201" s="798">
        <f>L202</f>
        <v>0</v>
      </c>
      <c r="M201" s="3883" t="s">
        <v>51</v>
      </c>
      <c r="N201" s="4486" t="s">
        <v>523</v>
      </c>
    </row>
    <row r="202" spans="1:14" s="121" customFormat="1" ht="13.5" thickBot="1">
      <c r="A202" s="4500"/>
      <c r="B202" s="1225" t="s">
        <v>17</v>
      </c>
      <c r="C202" s="3946" t="s">
        <v>153</v>
      </c>
      <c r="D202" s="807">
        <f t="shared" si="163"/>
        <v>501457</v>
      </c>
      <c r="E202" s="807">
        <f t="shared" si="163"/>
        <v>28285</v>
      </c>
      <c r="F202" s="807">
        <f t="shared" si="163"/>
        <v>386490</v>
      </c>
      <c r="G202" s="807">
        <f t="shared" si="163"/>
        <v>86682</v>
      </c>
      <c r="H202" s="1047">
        <f t="shared" si="163"/>
        <v>0</v>
      </c>
      <c r="I202" s="1047">
        <f t="shared" si="163"/>
        <v>0</v>
      </c>
      <c r="J202" s="1047">
        <f t="shared" si="163"/>
        <v>0</v>
      </c>
      <c r="K202" s="807">
        <f>K203</f>
        <v>0</v>
      </c>
      <c r="L202" s="807">
        <f>L203</f>
        <v>0</v>
      </c>
      <c r="M202" s="3881"/>
      <c r="N202" s="4060"/>
    </row>
    <row r="203" spans="1:14" s="121" customFormat="1" ht="13.5" thickBot="1">
      <c r="A203" s="4500"/>
      <c r="B203" s="1775" t="s">
        <v>19</v>
      </c>
      <c r="C203" s="3929"/>
      <c r="D203" s="1142">
        <f>E203+L203+K203+F203+G203+H203+I203+J203</f>
        <v>501457</v>
      </c>
      <c r="E203" s="1014">
        <f>130050+48432-150197</f>
        <v>28285</v>
      </c>
      <c r="F203" s="1014">
        <f>308586+150197-72293</f>
        <v>386490</v>
      </c>
      <c r="G203" s="1014">
        <v>86682</v>
      </c>
      <c r="H203" s="1048">
        <v>0</v>
      </c>
      <c r="I203" s="1048">
        <v>0</v>
      </c>
      <c r="J203" s="1048">
        <v>0</v>
      </c>
      <c r="K203" s="1014"/>
      <c r="L203" s="1014">
        <f>48432-48432</f>
        <v>0</v>
      </c>
      <c r="M203" s="3882"/>
      <c r="N203" s="4061"/>
    </row>
    <row r="204" spans="1:14" s="121" customFormat="1" ht="24">
      <c r="A204" s="4518" t="s">
        <v>85</v>
      </c>
      <c r="B204" s="86" t="s">
        <v>471</v>
      </c>
      <c r="C204" s="819" t="s">
        <v>154</v>
      </c>
      <c r="D204" s="406"/>
      <c r="E204" s="2450"/>
      <c r="F204" s="1874"/>
      <c r="G204" s="1875"/>
      <c r="H204" s="1875"/>
      <c r="I204" s="1875"/>
      <c r="J204" s="1876"/>
      <c r="K204" s="1874"/>
      <c r="L204" s="1874"/>
      <c r="M204" s="408"/>
      <c r="N204" s="4059" t="s">
        <v>481</v>
      </c>
    </row>
    <row r="205" spans="1:14" s="121" customFormat="1" ht="15" customHeight="1">
      <c r="A205" s="4502"/>
      <c r="B205" s="796" t="s">
        <v>9</v>
      </c>
      <c r="C205" s="1419"/>
      <c r="D205" s="798">
        <f t="shared" ref="D205:H205" si="164">+D206+D210</f>
        <v>796208</v>
      </c>
      <c r="E205" s="1011">
        <f t="shared" si="164"/>
        <v>0</v>
      </c>
      <c r="F205" s="798">
        <f t="shared" si="164"/>
        <v>257579</v>
      </c>
      <c r="G205" s="798">
        <f t="shared" si="164"/>
        <v>326619</v>
      </c>
      <c r="H205" s="798">
        <f t="shared" si="164"/>
        <v>212010</v>
      </c>
      <c r="I205" s="1046">
        <v>0</v>
      </c>
      <c r="J205" s="1046">
        <v>0</v>
      </c>
      <c r="K205" s="1011">
        <f>+K206+K210</f>
        <v>0</v>
      </c>
      <c r="L205" s="798">
        <f>+L206+L210</f>
        <v>0</v>
      </c>
      <c r="M205" s="799">
        <f>+M206+M210</f>
        <v>796208</v>
      </c>
      <c r="N205" s="4060"/>
    </row>
    <row r="206" spans="1:14" s="121" customFormat="1" ht="15" customHeight="1">
      <c r="A206" s="4502"/>
      <c r="B206" s="805" t="s">
        <v>22</v>
      </c>
      <c r="C206" s="4483" t="s">
        <v>482</v>
      </c>
      <c r="D206" s="801">
        <f>+D207</f>
        <v>119431</v>
      </c>
      <c r="E206" s="1036">
        <f>+E207</f>
        <v>0</v>
      </c>
      <c r="F206" s="806">
        <f t="shared" ref="F206:H206" si="165">+F207</f>
        <v>38637</v>
      </c>
      <c r="G206" s="806">
        <f t="shared" si="165"/>
        <v>48993</v>
      </c>
      <c r="H206" s="806">
        <f t="shared" si="165"/>
        <v>31801</v>
      </c>
      <c r="I206" s="1047">
        <v>0</v>
      </c>
      <c r="J206" s="1047">
        <v>0</v>
      </c>
      <c r="K206" s="1036">
        <f>+K207</f>
        <v>0</v>
      </c>
      <c r="L206" s="806">
        <f>+L207</f>
        <v>0</v>
      </c>
      <c r="M206" s="802">
        <f>+M207</f>
        <v>119431</v>
      </c>
      <c r="N206" s="4060"/>
    </row>
    <row r="207" spans="1:14" s="121" customFormat="1" ht="15" customHeight="1">
      <c r="A207" s="4502"/>
      <c r="B207" s="1530" t="s">
        <v>11</v>
      </c>
      <c r="C207" s="4528"/>
      <c r="D207" s="766">
        <f>+D208+D209</f>
        <v>119431</v>
      </c>
      <c r="E207" s="1532">
        <v>0</v>
      </c>
      <c r="F207" s="804">
        <f>+F208+F209</f>
        <v>38637</v>
      </c>
      <c r="G207" s="804">
        <f>+G208+G209</f>
        <v>48993</v>
      </c>
      <c r="H207" s="804">
        <f>+H208+H209</f>
        <v>31801</v>
      </c>
      <c r="I207" s="1047">
        <v>0</v>
      </c>
      <c r="J207" s="1047">
        <v>0</v>
      </c>
      <c r="K207" s="1034">
        <v>0</v>
      </c>
      <c r="L207" s="804"/>
      <c r="M207" s="1021">
        <f>SUM(F207:J207)</f>
        <v>119431</v>
      </c>
      <c r="N207" s="4060"/>
    </row>
    <row r="208" spans="1:14" s="121" customFormat="1" ht="15" hidden="1" customHeight="1">
      <c r="A208" s="4502"/>
      <c r="B208" s="2423" t="s">
        <v>467</v>
      </c>
      <c r="C208" s="4528"/>
      <c r="D208" s="2405">
        <f>+E208+K208+F208+G208+H208+I208+J208</f>
        <v>97696</v>
      </c>
      <c r="E208" s="2424"/>
      <c r="F208" s="2406">
        <v>31392</v>
      </c>
      <c r="G208" s="2415">
        <v>40299</v>
      </c>
      <c r="H208" s="2415">
        <v>26005</v>
      </c>
      <c r="I208" s="2791"/>
      <c r="J208" s="2791"/>
      <c r="K208" s="2424"/>
      <c r="L208" s="804"/>
      <c r="M208" s="1021">
        <f>SUM(F208:J208)</f>
        <v>97696</v>
      </c>
      <c r="N208" s="4060"/>
    </row>
    <row r="209" spans="1:14" s="121" customFormat="1" ht="15" hidden="1" customHeight="1">
      <c r="A209" s="4502"/>
      <c r="B209" s="2425" t="s">
        <v>282</v>
      </c>
      <c r="C209" s="4528"/>
      <c r="D209" s="2417">
        <f>+E209+K209+F209+G209+H209+I209+J209</f>
        <v>21735</v>
      </c>
      <c r="E209" s="2426"/>
      <c r="F209" s="2418">
        <v>7245</v>
      </c>
      <c r="G209" s="2419">
        <v>8694</v>
      </c>
      <c r="H209" s="2419">
        <v>5796</v>
      </c>
      <c r="I209" s="2790"/>
      <c r="J209" s="2790"/>
      <c r="K209" s="2426"/>
      <c r="L209" s="804"/>
      <c r="M209" s="1021">
        <f>SUM(F209:J209)</f>
        <v>21735</v>
      </c>
      <c r="N209" s="4060"/>
    </row>
    <row r="210" spans="1:14" s="121" customFormat="1" ht="15" customHeight="1">
      <c r="A210" s="4502"/>
      <c r="B210" s="1225" t="s">
        <v>17</v>
      </c>
      <c r="C210" s="4528"/>
      <c r="D210" s="801">
        <f>+D211</f>
        <v>676777</v>
      </c>
      <c r="E210" s="1036">
        <f>+E211</f>
        <v>0</v>
      </c>
      <c r="F210" s="806">
        <f t="shared" ref="F210:J210" si="166">+F211</f>
        <v>218942</v>
      </c>
      <c r="G210" s="806">
        <f t="shared" si="166"/>
        <v>277626</v>
      </c>
      <c r="H210" s="806">
        <f t="shared" si="166"/>
        <v>180209</v>
      </c>
      <c r="I210" s="1671">
        <f t="shared" si="166"/>
        <v>0</v>
      </c>
      <c r="J210" s="1671">
        <f t="shared" si="166"/>
        <v>0</v>
      </c>
      <c r="K210" s="1036">
        <f>+K211</f>
        <v>0</v>
      </c>
      <c r="L210" s="806">
        <f>+L211</f>
        <v>0</v>
      </c>
      <c r="M210" s="802">
        <f>+M211</f>
        <v>676777</v>
      </c>
      <c r="N210" s="4060"/>
    </row>
    <row r="211" spans="1:14" s="121" customFormat="1" ht="17.25" customHeight="1">
      <c r="A211" s="4502"/>
      <c r="B211" s="1753" t="s">
        <v>19</v>
      </c>
      <c r="C211" s="4528"/>
      <c r="D211" s="766">
        <f>+D212+D213</f>
        <v>676777</v>
      </c>
      <c r="E211" s="1532">
        <f t="shared" ref="E211:J211" si="167">+E212+E213</f>
        <v>0</v>
      </c>
      <c r="F211" s="766">
        <f>+F212+F213</f>
        <v>218942</v>
      </c>
      <c r="G211" s="766">
        <f t="shared" si="167"/>
        <v>277626</v>
      </c>
      <c r="H211" s="766">
        <f t="shared" si="167"/>
        <v>180209</v>
      </c>
      <c r="I211" s="2789">
        <f t="shared" si="167"/>
        <v>0</v>
      </c>
      <c r="J211" s="2789">
        <f t="shared" si="167"/>
        <v>0</v>
      </c>
      <c r="K211" s="1532">
        <f>+K212+K213</f>
        <v>0</v>
      </c>
      <c r="L211" s="804"/>
      <c r="M211" s="1021">
        <f>SUM(F211:J211)</f>
        <v>676777</v>
      </c>
      <c r="N211" s="4182"/>
    </row>
    <row r="212" spans="1:14" s="121" customFormat="1" ht="12.75" hidden="1">
      <c r="A212" s="4502"/>
      <c r="B212" s="2423" t="s">
        <v>468</v>
      </c>
      <c r="C212" s="4484"/>
      <c r="D212" s="2405">
        <f>+E212+K212+F212+G212+H212+I212+J212</f>
        <v>553612</v>
      </c>
      <c r="E212" s="2424"/>
      <c r="F212" s="2406">
        <v>177887</v>
      </c>
      <c r="G212" s="2415">
        <v>228360</v>
      </c>
      <c r="H212" s="2415">
        <v>147365</v>
      </c>
      <c r="I212" s="2791"/>
      <c r="J212" s="2791"/>
      <c r="K212" s="2424"/>
      <c r="L212" s="804"/>
      <c r="M212" s="1021">
        <f>SUM(F212:J212)</f>
        <v>553612</v>
      </c>
      <c r="N212" s="3592"/>
    </row>
    <row r="213" spans="1:14" s="121" customFormat="1" ht="17.25" hidden="1" customHeight="1">
      <c r="A213" s="4502"/>
      <c r="B213" s="2425" t="s">
        <v>283</v>
      </c>
      <c r="C213" s="3607"/>
      <c r="D213" s="2417">
        <f>+E213+K213+F213+G213+H213+I213+J213</f>
        <v>123165</v>
      </c>
      <c r="E213" s="2426"/>
      <c r="F213" s="2418">
        <v>41055</v>
      </c>
      <c r="G213" s="2419">
        <v>49266</v>
      </c>
      <c r="H213" s="2419">
        <v>32844</v>
      </c>
      <c r="I213" s="2790"/>
      <c r="J213" s="2790"/>
      <c r="K213" s="2426"/>
      <c r="L213" s="804"/>
      <c r="M213" s="1021">
        <f>SUM(F213:J213)</f>
        <v>123165</v>
      </c>
      <c r="N213" s="3592"/>
    </row>
    <row r="214" spans="1:14" s="121" customFormat="1" ht="17.25" customHeight="1">
      <c r="A214" s="4502"/>
      <c r="B214" s="1212" t="s">
        <v>20</v>
      </c>
      <c r="C214" s="1886"/>
      <c r="D214" s="798">
        <f t="shared" ref="D214:J215" si="168">+D215</f>
        <v>676777</v>
      </c>
      <c r="E214" s="1011">
        <f t="shared" si="168"/>
        <v>0</v>
      </c>
      <c r="F214" s="1046">
        <f t="shared" si="168"/>
        <v>0</v>
      </c>
      <c r="G214" s="798">
        <f t="shared" si="168"/>
        <v>218942</v>
      </c>
      <c r="H214" s="798">
        <f t="shared" si="168"/>
        <v>457835</v>
      </c>
      <c r="I214" s="1046">
        <f t="shared" si="168"/>
        <v>0</v>
      </c>
      <c r="J214" s="1046">
        <f t="shared" si="168"/>
        <v>0</v>
      </c>
      <c r="K214" s="1011">
        <f>+K215</f>
        <v>0</v>
      </c>
      <c r="L214" s="798">
        <f>+L215</f>
        <v>0</v>
      </c>
      <c r="M214" s="3883"/>
      <c r="N214" s="4060" t="s">
        <v>292</v>
      </c>
    </row>
    <row r="215" spans="1:14" s="121" customFormat="1" ht="15" customHeight="1">
      <c r="A215" s="4502"/>
      <c r="B215" s="1225" t="s">
        <v>17</v>
      </c>
      <c r="C215" s="4544" t="s">
        <v>153</v>
      </c>
      <c r="D215" s="801">
        <f t="shared" si="168"/>
        <v>676777</v>
      </c>
      <c r="E215" s="833">
        <f t="shared" si="168"/>
        <v>0</v>
      </c>
      <c r="F215" s="1047">
        <f t="shared" si="168"/>
        <v>0</v>
      </c>
      <c r="G215" s="807">
        <f t="shared" si="168"/>
        <v>218942</v>
      </c>
      <c r="H215" s="807">
        <f t="shared" si="168"/>
        <v>457835</v>
      </c>
      <c r="I215" s="1047">
        <f t="shared" si="168"/>
        <v>0</v>
      </c>
      <c r="J215" s="1047">
        <f t="shared" si="168"/>
        <v>0</v>
      </c>
      <c r="K215" s="833">
        <f>+K216</f>
        <v>0</v>
      </c>
      <c r="L215" s="807">
        <f>+L216</f>
        <v>0</v>
      </c>
      <c r="M215" s="3881"/>
      <c r="N215" s="4060"/>
    </row>
    <row r="216" spans="1:14" s="121" customFormat="1" ht="15" customHeight="1" thickBot="1">
      <c r="A216" s="4503"/>
      <c r="B216" s="3588" t="s">
        <v>19</v>
      </c>
      <c r="C216" s="4545"/>
      <c r="D216" s="1142">
        <f>E216+L216+K216+F216+G216+H216+I216+J216</f>
        <v>676777</v>
      </c>
      <c r="E216" s="1360">
        <v>0</v>
      </c>
      <c r="F216" s="1048">
        <v>0</v>
      </c>
      <c r="G216" s="1014">
        <v>218942</v>
      </c>
      <c r="H216" s="1014">
        <v>457835</v>
      </c>
      <c r="I216" s="1048">
        <v>0</v>
      </c>
      <c r="J216" s="1048">
        <v>0</v>
      </c>
      <c r="K216" s="1015">
        <v>0</v>
      </c>
      <c r="L216" s="1014"/>
      <c r="M216" s="3882"/>
      <c r="N216" s="4061"/>
    </row>
    <row r="217" spans="1:14" s="121" customFormat="1" ht="24">
      <c r="A217" s="4518" t="s">
        <v>86</v>
      </c>
      <c r="B217" s="86" t="s">
        <v>472</v>
      </c>
      <c r="C217" s="2427" t="s">
        <v>70</v>
      </c>
      <c r="D217" s="406"/>
      <c r="E217" s="2450"/>
      <c r="F217" s="1874"/>
      <c r="G217" s="1875"/>
      <c r="H217" s="1875"/>
      <c r="I217" s="1875"/>
      <c r="J217" s="1876"/>
      <c r="K217" s="1874"/>
      <c r="L217" s="1874"/>
      <c r="M217" s="408"/>
      <c r="N217" s="4059" t="s">
        <v>480</v>
      </c>
    </row>
    <row r="218" spans="1:14" s="121" customFormat="1" ht="15" customHeight="1">
      <c r="A218" s="4502"/>
      <c r="B218" s="796" t="s">
        <v>9</v>
      </c>
      <c r="C218" s="1886"/>
      <c r="D218" s="798">
        <f>+D219+D223</f>
        <v>4205069</v>
      </c>
      <c r="E218" s="1011">
        <f>+E219+E223</f>
        <v>0</v>
      </c>
      <c r="F218" s="798">
        <f t="shared" ref="F218:G218" si="169">+F219+F223</f>
        <v>2140795</v>
      </c>
      <c r="G218" s="798">
        <f t="shared" si="169"/>
        <v>2064274</v>
      </c>
      <c r="H218" s="1046">
        <v>0</v>
      </c>
      <c r="I218" s="1046">
        <v>0</v>
      </c>
      <c r="J218" s="1046">
        <v>0</v>
      </c>
      <c r="K218" s="1011">
        <f>+K219+K223</f>
        <v>0</v>
      </c>
      <c r="L218" s="798">
        <f>+L219+L223</f>
        <v>0</v>
      </c>
      <c r="M218" s="799">
        <f>+M219+M223</f>
        <v>4205069</v>
      </c>
      <c r="N218" s="4060"/>
    </row>
    <row r="219" spans="1:14" s="121" customFormat="1" ht="15" customHeight="1">
      <c r="A219" s="4502"/>
      <c r="B219" s="805" t="s">
        <v>22</v>
      </c>
      <c r="C219" s="4483" t="s">
        <v>483</v>
      </c>
      <c r="D219" s="801">
        <f>+D220</f>
        <v>630761</v>
      </c>
      <c r="E219" s="1036">
        <f>+E220</f>
        <v>0</v>
      </c>
      <c r="F219" s="806">
        <f t="shared" ref="F219:J219" si="170">+F220</f>
        <v>321120</v>
      </c>
      <c r="G219" s="806">
        <f t="shared" si="170"/>
        <v>309641</v>
      </c>
      <c r="H219" s="1671">
        <f t="shared" si="170"/>
        <v>0</v>
      </c>
      <c r="I219" s="1671">
        <f t="shared" si="170"/>
        <v>0</v>
      </c>
      <c r="J219" s="1671">
        <f t="shared" si="170"/>
        <v>0</v>
      </c>
      <c r="K219" s="1036">
        <f>+K220</f>
        <v>0</v>
      </c>
      <c r="L219" s="806">
        <f>+L220</f>
        <v>0</v>
      </c>
      <c r="M219" s="802">
        <f>+M220</f>
        <v>630761</v>
      </c>
      <c r="N219" s="4060"/>
    </row>
    <row r="220" spans="1:14" s="121" customFormat="1" ht="15" customHeight="1">
      <c r="A220" s="4502"/>
      <c r="B220" s="818" t="s">
        <v>11</v>
      </c>
      <c r="C220" s="4528"/>
      <c r="D220" s="766">
        <f>+D221+D222</f>
        <v>630761</v>
      </c>
      <c r="E220" s="1532">
        <f t="shared" ref="E220:J220" si="171">+E221+E222</f>
        <v>0</v>
      </c>
      <c r="F220" s="766">
        <f t="shared" si="171"/>
        <v>321120</v>
      </c>
      <c r="G220" s="766">
        <v>309641</v>
      </c>
      <c r="H220" s="2789">
        <f t="shared" si="171"/>
        <v>0</v>
      </c>
      <c r="I220" s="2789">
        <f t="shared" si="171"/>
        <v>0</v>
      </c>
      <c r="J220" s="2789">
        <f t="shared" si="171"/>
        <v>0</v>
      </c>
      <c r="K220" s="1532">
        <f>+K221+K222</f>
        <v>0</v>
      </c>
      <c r="L220" s="804"/>
      <c r="M220" s="1021">
        <f>SUM(F220:J220)</f>
        <v>630761</v>
      </c>
      <c r="N220" s="4060"/>
    </row>
    <row r="221" spans="1:14" s="121" customFormat="1" ht="15" hidden="1" customHeight="1">
      <c r="A221" s="4502"/>
      <c r="B221" s="2416" t="s">
        <v>469</v>
      </c>
      <c r="C221" s="4528"/>
      <c r="D221" s="2417">
        <f>+E221+K221+F221+G221+H221+I221+J221</f>
        <v>619282</v>
      </c>
      <c r="E221" s="2426"/>
      <c r="F221" s="2418">
        <v>309641</v>
      </c>
      <c r="G221" s="2419">
        <v>309641</v>
      </c>
      <c r="H221" s="2790"/>
      <c r="I221" s="2790"/>
      <c r="J221" s="2790"/>
      <c r="K221" s="2426"/>
      <c r="L221" s="804"/>
      <c r="M221" s="2422"/>
      <c r="N221" s="4060"/>
    </row>
    <row r="222" spans="1:14" s="121" customFormat="1" ht="15" hidden="1" customHeight="1">
      <c r="A222" s="4502"/>
      <c r="B222" s="2414" t="s">
        <v>467</v>
      </c>
      <c r="C222" s="4528"/>
      <c r="D222" s="2405">
        <f>+E222+K222+F222+G222+H222+I222+J222</f>
        <v>11479</v>
      </c>
      <c r="E222" s="2424"/>
      <c r="F222" s="2406">
        <v>11479</v>
      </c>
      <c r="G222" s="2415"/>
      <c r="H222" s="2791"/>
      <c r="I222" s="2791"/>
      <c r="J222" s="2791"/>
      <c r="K222" s="2424"/>
      <c r="L222" s="804"/>
      <c r="M222" s="2422"/>
      <c r="N222" s="4060"/>
    </row>
    <row r="223" spans="1:14" s="121" customFormat="1" ht="15" customHeight="1">
      <c r="A223" s="4502"/>
      <c r="B223" s="805" t="s">
        <v>17</v>
      </c>
      <c r="C223" s="4528"/>
      <c r="D223" s="801">
        <f>+D224</f>
        <v>3574308</v>
      </c>
      <c r="E223" s="1036">
        <f>+E224</f>
        <v>0</v>
      </c>
      <c r="F223" s="806">
        <f t="shared" ref="F223:G223" si="172">+F224</f>
        <v>1819675</v>
      </c>
      <c r="G223" s="806">
        <f t="shared" si="172"/>
        <v>1754633</v>
      </c>
      <c r="H223" s="1047">
        <v>0</v>
      </c>
      <c r="I223" s="1047">
        <v>0</v>
      </c>
      <c r="J223" s="1047">
        <v>0</v>
      </c>
      <c r="K223" s="1036">
        <f>+K224</f>
        <v>0</v>
      </c>
      <c r="L223" s="806">
        <f>+L224</f>
        <v>0</v>
      </c>
      <c r="M223" s="802">
        <f>+M224</f>
        <v>3574308</v>
      </c>
      <c r="N223" s="4060"/>
    </row>
    <row r="224" spans="1:14" s="121" customFormat="1" ht="15" customHeight="1">
      <c r="A224" s="4502"/>
      <c r="B224" s="2428" t="s">
        <v>19</v>
      </c>
      <c r="C224" s="4528"/>
      <c r="D224" s="766">
        <f>+D225+D226</f>
        <v>3574308</v>
      </c>
      <c r="E224" s="1532">
        <f t="shared" ref="E224:J224" si="173">+E225+E226</f>
        <v>0</v>
      </c>
      <c r="F224" s="766">
        <f t="shared" si="173"/>
        <v>1819675</v>
      </c>
      <c r="G224" s="766">
        <f t="shared" si="173"/>
        <v>1754633</v>
      </c>
      <c r="H224" s="2789">
        <f t="shared" si="173"/>
        <v>0</v>
      </c>
      <c r="I224" s="2789">
        <f t="shared" si="173"/>
        <v>0</v>
      </c>
      <c r="J224" s="2789">
        <f t="shared" si="173"/>
        <v>0</v>
      </c>
      <c r="K224" s="1532">
        <f>+K225+K226</f>
        <v>0</v>
      </c>
      <c r="L224" s="810"/>
      <c r="M224" s="1021">
        <f>SUM(F224:J224)</f>
        <v>3574308</v>
      </c>
      <c r="N224" s="4182"/>
    </row>
    <row r="225" spans="1:15" s="121" customFormat="1" ht="15" hidden="1" customHeight="1">
      <c r="A225" s="4537"/>
      <c r="B225" s="2416" t="s">
        <v>470</v>
      </c>
      <c r="C225" s="4528"/>
      <c r="D225" s="2417">
        <f>+E225+K225+F225+G225+H225+I225+J225</f>
        <v>3509263</v>
      </c>
      <c r="E225" s="2426"/>
      <c r="F225" s="2418">
        <v>1754630</v>
      </c>
      <c r="G225" s="2419">
        <v>1754633</v>
      </c>
      <c r="H225" s="2419"/>
      <c r="I225" s="2419"/>
      <c r="J225" s="2419"/>
      <c r="K225" s="2426"/>
      <c r="L225" s="477"/>
      <c r="M225" s="2429"/>
      <c r="N225" s="3592"/>
    </row>
    <row r="226" spans="1:15" s="121" customFormat="1" ht="15" hidden="1" customHeight="1">
      <c r="A226" s="4502"/>
      <c r="B226" s="2414" t="s">
        <v>468</v>
      </c>
      <c r="C226" s="4484"/>
      <c r="D226" s="2405">
        <f>+E226+K226+F226+G226+H226+I226+J226</f>
        <v>65045</v>
      </c>
      <c r="E226" s="1991"/>
      <c r="F226" s="2172">
        <v>65045</v>
      </c>
      <c r="G226" s="2430">
        <v>0</v>
      </c>
      <c r="H226" s="2430"/>
      <c r="I226" s="2415"/>
      <c r="J226" s="2415"/>
      <c r="K226" s="1991"/>
      <c r="L226" s="477"/>
      <c r="M226" s="2429"/>
      <c r="N226" s="3592"/>
    </row>
    <row r="227" spans="1:15" s="121" customFormat="1" ht="15" customHeight="1">
      <c r="A227" s="4502"/>
      <c r="B227" s="1212" t="s">
        <v>20</v>
      </c>
      <c r="C227" s="1886"/>
      <c r="D227" s="798">
        <f t="shared" ref="D227:E228" si="174">+D228</f>
        <v>3574308</v>
      </c>
      <c r="E227" s="1716">
        <f t="shared" si="174"/>
        <v>0</v>
      </c>
      <c r="F227" s="2788">
        <f t="shared" ref="F227:H227" si="175">+F228</f>
        <v>0</v>
      </c>
      <c r="G227" s="42">
        <f t="shared" si="175"/>
        <v>1819675</v>
      </c>
      <c r="H227" s="42">
        <f t="shared" si="175"/>
        <v>1754633</v>
      </c>
      <c r="I227" s="1046">
        <v>0</v>
      </c>
      <c r="J227" s="1046">
        <v>0</v>
      </c>
      <c r="K227" s="1716">
        <f>+K228</f>
        <v>0</v>
      </c>
      <c r="L227" s="42">
        <f>+L228</f>
        <v>0</v>
      </c>
      <c r="M227" s="3883"/>
      <c r="N227" s="4060" t="s">
        <v>292</v>
      </c>
    </row>
    <row r="228" spans="1:15" s="121" customFormat="1" ht="15" customHeight="1">
      <c r="A228" s="4502"/>
      <c r="B228" s="1225" t="s">
        <v>17</v>
      </c>
      <c r="C228" s="3946" t="s">
        <v>153</v>
      </c>
      <c r="D228" s="801">
        <f t="shared" si="174"/>
        <v>3574308</v>
      </c>
      <c r="E228" s="833">
        <f t="shared" si="174"/>
        <v>0</v>
      </c>
      <c r="F228" s="1047">
        <f t="shared" ref="F228:H228" si="176">+F229</f>
        <v>0</v>
      </c>
      <c r="G228" s="807">
        <f t="shared" si="176"/>
        <v>1819675</v>
      </c>
      <c r="H228" s="807">
        <f t="shared" si="176"/>
        <v>1754633</v>
      </c>
      <c r="I228" s="1047">
        <v>0</v>
      </c>
      <c r="J228" s="1047">
        <v>0</v>
      </c>
      <c r="K228" s="833">
        <f>+K229</f>
        <v>0</v>
      </c>
      <c r="L228" s="807">
        <f>+L229</f>
        <v>0</v>
      </c>
      <c r="M228" s="3881"/>
      <c r="N228" s="4060"/>
    </row>
    <row r="229" spans="1:15" s="121" customFormat="1" ht="15" customHeight="1">
      <c r="A229" s="4531"/>
      <c r="B229" s="1774" t="s">
        <v>19</v>
      </c>
      <c r="C229" s="3922"/>
      <c r="D229" s="787">
        <f>+E229+K229+F229+G229+H229+I229+J229</f>
        <v>3574308</v>
      </c>
      <c r="E229" s="1985">
        <v>0</v>
      </c>
      <c r="F229" s="2708">
        <v>0</v>
      </c>
      <c r="G229" s="810">
        <v>1819675</v>
      </c>
      <c r="H229" s="810">
        <v>1754633</v>
      </c>
      <c r="I229" s="2708">
        <v>0</v>
      </c>
      <c r="J229" s="2708">
        <v>0</v>
      </c>
      <c r="K229" s="1570"/>
      <c r="L229" s="810"/>
      <c r="M229" s="4532"/>
      <c r="N229" s="4182"/>
    </row>
    <row r="230" spans="1:15" s="121" customFormat="1" ht="25.5" customHeight="1">
      <c r="A230" s="4501" t="s">
        <v>88</v>
      </c>
      <c r="B230" s="2495" t="s">
        <v>393</v>
      </c>
      <c r="C230" s="2502" t="s">
        <v>97</v>
      </c>
      <c r="D230" s="2497"/>
      <c r="E230" s="2498"/>
      <c r="F230" s="2499"/>
      <c r="G230" s="2500"/>
      <c r="H230" s="2500"/>
      <c r="I230" s="2500"/>
      <c r="J230" s="2501"/>
      <c r="K230" s="2499"/>
      <c r="L230" s="2499"/>
      <c r="M230" s="843"/>
      <c r="N230" s="4486" t="s">
        <v>499</v>
      </c>
    </row>
    <row r="231" spans="1:15" s="121" customFormat="1" ht="12.75">
      <c r="A231" s="4502"/>
      <c r="B231" s="796" t="s">
        <v>9</v>
      </c>
      <c r="C231" s="1419"/>
      <c r="D231" s="798">
        <f>+D232+D236</f>
        <v>653000</v>
      </c>
      <c r="E231" s="798">
        <f t="shared" ref="E231" si="177">+E232+E236</f>
        <v>67701</v>
      </c>
      <c r="F231" s="798">
        <f t="shared" ref="F231:J231" si="178">+F232+F236</f>
        <v>437520</v>
      </c>
      <c r="G231" s="798">
        <f t="shared" si="178"/>
        <v>147779</v>
      </c>
      <c r="H231" s="808">
        <f t="shared" si="178"/>
        <v>0</v>
      </c>
      <c r="I231" s="808">
        <f t="shared" si="178"/>
        <v>0</v>
      </c>
      <c r="J231" s="808">
        <f t="shared" si="178"/>
        <v>0</v>
      </c>
      <c r="K231" s="798">
        <f>+K232+K236</f>
        <v>0</v>
      </c>
      <c r="L231" s="798">
        <f>+L232+L236</f>
        <v>0</v>
      </c>
      <c r="M231" s="799">
        <f>+M232+M236</f>
        <v>585299</v>
      </c>
      <c r="N231" s="4060"/>
      <c r="O231" s="121" t="s">
        <v>313</v>
      </c>
    </row>
    <row r="232" spans="1:15" s="121" customFormat="1" ht="15" customHeight="1">
      <c r="A232" s="4502"/>
      <c r="B232" s="800" t="s">
        <v>22</v>
      </c>
      <c r="C232" s="3859" t="s">
        <v>311</v>
      </c>
      <c r="D232" s="801">
        <f>SUM(D233)</f>
        <v>98843</v>
      </c>
      <c r="E232" s="801">
        <f t="shared" ref="E232:J232" si="179">SUM(E233)</f>
        <v>10221</v>
      </c>
      <c r="F232" s="801">
        <f t="shared" si="179"/>
        <v>66157</v>
      </c>
      <c r="G232" s="801">
        <f t="shared" si="179"/>
        <v>22465</v>
      </c>
      <c r="H232" s="809">
        <f t="shared" si="179"/>
        <v>0</v>
      </c>
      <c r="I232" s="809">
        <f t="shared" si="179"/>
        <v>0</v>
      </c>
      <c r="J232" s="809">
        <f t="shared" si="179"/>
        <v>0</v>
      </c>
      <c r="K232" s="801">
        <f>SUM(K233)</f>
        <v>0</v>
      </c>
      <c r="L232" s="801">
        <f>SUM(L233)</f>
        <v>0</v>
      </c>
      <c r="M232" s="802">
        <f>+M233</f>
        <v>88622</v>
      </c>
      <c r="N232" s="4060"/>
    </row>
    <row r="233" spans="1:15" s="121" customFormat="1" ht="13.5" thickBot="1">
      <c r="A233" s="4502"/>
      <c r="B233" s="803" t="s">
        <v>11</v>
      </c>
      <c r="C233" s="3908"/>
      <c r="D233" s="766">
        <f>E233+L233+K233+F233+G233+H233+I233+J233</f>
        <v>98843</v>
      </c>
      <c r="E233" s="766">
        <f>SUM(E234:E235)</f>
        <v>10221</v>
      </c>
      <c r="F233" s="766">
        <f t="shared" ref="F233:J233" si="180">SUM(F234:F235)</f>
        <v>66157</v>
      </c>
      <c r="G233" s="766">
        <f t="shared" si="180"/>
        <v>22465</v>
      </c>
      <c r="H233" s="2431">
        <f t="shared" si="180"/>
        <v>0</v>
      </c>
      <c r="I233" s="2431">
        <f t="shared" si="180"/>
        <v>0</v>
      </c>
      <c r="J233" s="2431">
        <f t="shared" si="180"/>
        <v>0</v>
      </c>
      <c r="K233" s="766">
        <f>SUM(K234:K235)</f>
        <v>0</v>
      </c>
      <c r="L233" s="766">
        <f>SUM(L234:L235)</f>
        <v>0</v>
      </c>
      <c r="M233" s="1021">
        <f>SUM(F233:J233)</f>
        <v>88622</v>
      </c>
      <c r="N233" s="4060"/>
      <c r="O233" s="100" t="s">
        <v>459</v>
      </c>
    </row>
    <row r="234" spans="1:15" s="121" customFormat="1" ht="15" hidden="1" customHeight="1">
      <c r="A234" s="4502"/>
      <c r="B234" s="2404" t="s">
        <v>495</v>
      </c>
      <c r="C234" s="3908"/>
      <c r="D234" s="2405">
        <f>SUM(E234:J234)</f>
        <v>80558</v>
      </c>
      <c r="E234" s="2432">
        <f>2151-2014+8986</f>
        <v>9123</v>
      </c>
      <c r="F234" s="2432">
        <f>45779+8214+1716</f>
        <v>55709</v>
      </c>
      <c r="G234" s="2432">
        <f>8226+7500</f>
        <v>15726</v>
      </c>
      <c r="H234" s="2433">
        <v>0</v>
      </c>
      <c r="I234" s="2433">
        <v>0</v>
      </c>
      <c r="J234" s="2433">
        <v>0</v>
      </c>
      <c r="K234" s="2432"/>
      <c r="L234" s="2432"/>
      <c r="M234" s="1021">
        <f>SUM(F234:J234)</f>
        <v>71435</v>
      </c>
      <c r="N234" s="4060"/>
    </row>
    <row r="235" spans="1:15" s="121" customFormat="1" ht="15" hidden="1" customHeight="1" thickBot="1">
      <c r="A235" s="4503"/>
      <c r="B235" s="2434" t="s">
        <v>237</v>
      </c>
      <c r="C235" s="3908"/>
      <c r="D235" s="2417">
        <f>SUM(E235:J235)</f>
        <v>18285</v>
      </c>
      <c r="E235" s="2419">
        <f>6027-4928-1</f>
        <v>1098</v>
      </c>
      <c r="F235" s="2419">
        <v>10448</v>
      </c>
      <c r="G235" s="2419">
        <f>1811+4928</f>
        <v>6739</v>
      </c>
      <c r="H235" s="2436">
        <v>0</v>
      </c>
      <c r="I235" s="2436">
        <v>0</v>
      </c>
      <c r="J235" s="2436">
        <v>0</v>
      </c>
      <c r="K235" s="2419"/>
      <c r="L235" s="2435">
        <v>0</v>
      </c>
      <c r="M235" s="1021">
        <f>SUM(F235:J235)</f>
        <v>17187</v>
      </c>
      <c r="N235" s="4060"/>
    </row>
    <row r="236" spans="1:15" s="121" customFormat="1" ht="13.5" thickBot="1">
      <c r="A236" s="4500"/>
      <c r="B236" s="805" t="s">
        <v>17</v>
      </c>
      <c r="C236" s="3908"/>
      <c r="D236" s="801">
        <f>SUM(E236:J236)</f>
        <v>554157</v>
      </c>
      <c r="E236" s="801">
        <f t="shared" ref="E236:J236" si="181">SUM(E237)</f>
        <v>57480</v>
      </c>
      <c r="F236" s="801">
        <f t="shared" si="181"/>
        <v>371363</v>
      </c>
      <c r="G236" s="801">
        <f t="shared" si="181"/>
        <v>125314</v>
      </c>
      <c r="H236" s="809">
        <f t="shared" si="181"/>
        <v>0</v>
      </c>
      <c r="I236" s="809">
        <f t="shared" si="181"/>
        <v>0</v>
      </c>
      <c r="J236" s="809">
        <f t="shared" si="181"/>
        <v>0</v>
      </c>
      <c r="K236" s="801">
        <f>SUM(K237)</f>
        <v>0</v>
      </c>
      <c r="L236" s="801">
        <f>SUM(L237)</f>
        <v>0</v>
      </c>
      <c r="M236" s="802">
        <f>+M237</f>
        <v>496677</v>
      </c>
      <c r="N236" s="4060"/>
    </row>
    <row r="237" spans="1:15" s="121" customFormat="1" ht="13.5" thickBot="1">
      <c r="A237" s="4500"/>
      <c r="B237" s="2437" t="s">
        <v>19</v>
      </c>
      <c r="C237" s="3908"/>
      <c r="D237" s="766">
        <f>E237+L237+K237+F237+G237+H237+I237+J237</f>
        <v>554157</v>
      </c>
      <c r="E237" s="2438">
        <f t="shared" ref="E237" si="182">SUM(E238:E239)</f>
        <v>57480</v>
      </c>
      <c r="F237" s="2438">
        <f t="shared" ref="F237:J237" si="183">SUM(F238:F239)</f>
        <v>371363</v>
      </c>
      <c r="G237" s="2438">
        <f t="shared" si="183"/>
        <v>125314</v>
      </c>
      <c r="H237" s="2439">
        <f t="shared" si="183"/>
        <v>0</v>
      </c>
      <c r="I237" s="2439">
        <f t="shared" si="183"/>
        <v>0</v>
      </c>
      <c r="J237" s="2439">
        <f t="shared" si="183"/>
        <v>0</v>
      </c>
      <c r="K237" s="2438">
        <f>SUM(K238:K239)</f>
        <v>0</v>
      </c>
      <c r="L237" s="2438">
        <f>SUM(L238:L239)</f>
        <v>0</v>
      </c>
      <c r="M237" s="1021">
        <f>SUM(F237:J237)</f>
        <v>496677</v>
      </c>
      <c r="N237" s="4060"/>
    </row>
    <row r="238" spans="1:15" s="121" customFormat="1" ht="15" hidden="1" customHeight="1" thickBot="1">
      <c r="A238" s="4500"/>
      <c r="B238" s="2440" t="s">
        <v>495</v>
      </c>
      <c r="C238" s="4528"/>
      <c r="D238" s="2415">
        <f>SUM(E238:J238)</f>
        <v>450536</v>
      </c>
      <c r="E238" s="2415">
        <f>12189-11411+50479</f>
        <v>51257</v>
      </c>
      <c r="F238" s="2415">
        <f>257431+46545+8178</f>
        <v>312154</v>
      </c>
      <c r="G238" s="2415">
        <f>44625+42500</f>
        <v>87125</v>
      </c>
      <c r="H238" s="2441">
        <v>0</v>
      </c>
      <c r="I238" s="2441">
        <v>0</v>
      </c>
      <c r="J238" s="2441">
        <v>0</v>
      </c>
      <c r="K238" s="2415"/>
      <c r="L238" s="2415"/>
      <c r="M238" s="1021">
        <f>SUM(F238:J238)</f>
        <v>399279</v>
      </c>
      <c r="N238" s="4060"/>
    </row>
    <row r="239" spans="1:15" s="121" customFormat="1" ht="15" hidden="1" customHeight="1" thickBot="1">
      <c r="A239" s="4500"/>
      <c r="B239" s="2442" t="s">
        <v>237</v>
      </c>
      <c r="C239" s="4484"/>
      <c r="D239" s="2417">
        <f>SUM(E239:J239)</f>
        <v>103621</v>
      </c>
      <c r="E239" s="2159">
        <f>34150-27925-2</f>
        <v>6223</v>
      </c>
      <c r="F239" s="2159">
        <v>59209</v>
      </c>
      <c r="G239" s="2159">
        <f>10264+27925</f>
        <v>38189</v>
      </c>
      <c r="H239" s="2443">
        <v>0</v>
      </c>
      <c r="I239" s="2443">
        <v>0</v>
      </c>
      <c r="J239" s="2443">
        <v>0</v>
      </c>
      <c r="K239" s="2159"/>
      <c r="L239" s="2444">
        <v>0</v>
      </c>
      <c r="M239" s="1021">
        <f>SUM(F239:J239)</f>
        <v>97398</v>
      </c>
      <c r="N239" s="4182"/>
    </row>
    <row r="240" spans="1:15" s="121" customFormat="1" ht="13.5" customHeight="1" thickBot="1">
      <c r="A240" s="4500"/>
      <c r="B240" s="37" t="s">
        <v>20</v>
      </c>
      <c r="C240" s="1419"/>
      <c r="D240" s="798">
        <f>SUM(E240:J240)</f>
        <v>554157</v>
      </c>
      <c r="E240" s="798">
        <f t="shared" ref="E240:J240" si="184">+E241</f>
        <v>787</v>
      </c>
      <c r="F240" s="798">
        <f t="shared" si="184"/>
        <v>367384</v>
      </c>
      <c r="G240" s="798">
        <f t="shared" si="184"/>
        <v>185986</v>
      </c>
      <c r="H240" s="808">
        <f t="shared" si="184"/>
        <v>0</v>
      </c>
      <c r="I240" s="808">
        <f t="shared" si="184"/>
        <v>0</v>
      </c>
      <c r="J240" s="808">
        <f t="shared" si="184"/>
        <v>0</v>
      </c>
      <c r="K240" s="798">
        <f>+K241</f>
        <v>0</v>
      </c>
      <c r="L240" s="808">
        <f>+L241</f>
        <v>0</v>
      </c>
      <c r="M240" s="3883"/>
      <c r="N240" s="4486" t="s">
        <v>495</v>
      </c>
    </row>
    <row r="241" spans="1:15" s="121" customFormat="1" ht="15" customHeight="1" thickBot="1">
      <c r="A241" s="4500"/>
      <c r="B241" s="1225" t="s">
        <v>17</v>
      </c>
      <c r="C241" s="3946" t="s">
        <v>153</v>
      </c>
      <c r="D241" s="801">
        <f>SUM(E241:J241)</f>
        <v>554157</v>
      </c>
      <c r="E241" s="801">
        <f t="shared" ref="E241:J241" si="185">SUM(E242)</f>
        <v>787</v>
      </c>
      <c r="F241" s="801">
        <f t="shared" si="185"/>
        <v>367384</v>
      </c>
      <c r="G241" s="801">
        <f t="shared" si="185"/>
        <v>185986</v>
      </c>
      <c r="H241" s="809">
        <f t="shared" si="185"/>
        <v>0</v>
      </c>
      <c r="I241" s="809">
        <f t="shared" si="185"/>
        <v>0</v>
      </c>
      <c r="J241" s="809">
        <f t="shared" si="185"/>
        <v>0</v>
      </c>
      <c r="K241" s="801">
        <f>SUM(K242)</f>
        <v>0</v>
      </c>
      <c r="L241" s="809">
        <f>SUM(L242)</f>
        <v>0</v>
      </c>
      <c r="M241" s="3881"/>
      <c r="N241" s="4060"/>
    </row>
    <row r="242" spans="1:15" s="121" customFormat="1" ht="13.5" thickBot="1">
      <c r="A242" s="4500"/>
      <c r="B242" s="1775" t="s">
        <v>19</v>
      </c>
      <c r="C242" s="3929"/>
      <c r="D242" s="1142">
        <f>E242+L242+K242+F242+G242+H242+I242+J242</f>
        <v>554157</v>
      </c>
      <c r="E242" s="1014">
        <f>69700-32580-36333</f>
        <v>787</v>
      </c>
      <c r="F242" s="1014">
        <f>353818+13566</f>
        <v>367384</v>
      </c>
      <c r="G242" s="1014">
        <f>117073+32580+36333</f>
        <v>185986</v>
      </c>
      <c r="H242" s="1055">
        <v>0</v>
      </c>
      <c r="I242" s="1055">
        <v>0</v>
      </c>
      <c r="J242" s="1055">
        <v>0</v>
      </c>
      <c r="K242" s="1014"/>
      <c r="L242" s="1055">
        <v>0</v>
      </c>
      <c r="M242" s="3882"/>
      <c r="N242" s="4061"/>
    </row>
    <row r="243" spans="1:15" s="121" customFormat="1" ht="24" hidden="1" customHeight="1" thickBot="1">
      <c r="A243" s="4499" t="s">
        <v>81</v>
      </c>
      <c r="B243" s="86" t="s">
        <v>315</v>
      </c>
      <c r="C243" s="819" t="s">
        <v>70</v>
      </c>
      <c r="D243" s="396"/>
      <c r="E243" s="764"/>
      <c r="F243" s="398"/>
      <c r="G243" s="397"/>
      <c r="H243" s="397"/>
      <c r="I243" s="397"/>
      <c r="J243" s="397"/>
      <c r="K243" s="398"/>
      <c r="L243" s="398"/>
      <c r="M243" s="399"/>
      <c r="N243" s="4059" t="s">
        <v>177</v>
      </c>
      <c r="O243" s="121" t="s">
        <v>313</v>
      </c>
    </row>
    <row r="244" spans="1:15" s="121" customFormat="1" ht="13.5" hidden="1" customHeight="1" thickBot="1">
      <c r="A244" s="4500"/>
      <c r="B244" s="796" t="s">
        <v>9</v>
      </c>
      <c r="C244" s="1419"/>
      <c r="D244" s="798">
        <f>SUM(E244:J244)</f>
        <v>0</v>
      </c>
      <c r="E244" s="1151">
        <f>SUM(E245,E247)</f>
        <v>0</v>
      </c>
      <c r="F244" s="1011">
        <f t="shared" ref="F244:J244" si="186">F245+F247</f>
        <v>0</v>
      </c>
      <c r="G244" s="1011">
        <f t="shared" si="186"/>
        <v>0</v>
      </c>
      <c r="H244" s="1011">
        <f t="shared" si="186"/>
        <v>0</v>
      </c>
      <c r="I244" s="1011">
        <f t="shared" si="186"/>
        <v>0</v>
      </c>
      <c r="J244" s="1011">
        <f t="shared" si="186"/>
        <v>0</v>
      </c>
      <c r="K244" s="1151">
        <f>SUM(K245,K247)</f>
        <v>0</v>
      </c>
      <c r="L244" s="1011">
        <f>L245+L247</f>
        <v>0</v>
      </c>
      <c r="M244" s="799">
        <f>+M245+M247</f>
        <v>0</v>
      </c>
      <c r="N244" s="4060"/>
    </row>
    <row r="245" spans="1:15" s="121" customFormat="1" ht="15" hidden="1" customHeight="1" thickBot="1">
      <c r="A245" s="4500"/>
      <c r="B245" s="800" t="s">
        <v>22</v>
      </c>
      <c r="C245" s="3859" t="s">
        <v>153</v>
      </c>
      <c r="D245" s="801">
        <f>SUM(E245:J245)</f>
        <v>0</v>
      </c>
      <c r="E245" s="1152">
        <f t="shared" ref="E245:J245" si="187">E246</f>
        <v>0</v>
      </c>
      <c r="F245" s="1153">
        <f t="shared" si="187"/>
        <v>0</v>
      </c>
      <c r="G245" s="1153">
        <f t="shared" si="187"/>
        <v>0</v>
      </c>
      <c r="H245" s="1153">
        <f t="shared" si="187"/>
        <v>0</v>
      </c>
      <c r="I245" s="1153">
        <f t="shared" si="187"/>
        <v>0</v>
      </c>
      <c r="J245" s="1153">
        <f t="shared" si="187"/>
        <v>0</v>
      </c>
      <c r="K245" s="1152">
        <f>K246</f>
        <v>0</v>
      </c>
      <c r="L245" s="1153">
        <f>L246</f>
        <v>0</v>
      </c>
      <c r="M245" s="802">
        <f>+M246</f>
        <v>0</v>
      </c>
      <c r="N245" s="4060"/>
    </row>
    <row r="246" spans="1:15" s="121" customFormat="1" ht="11.25" hidden="1" customHeight="1" thickBot="1">
      <c r="A246" s="4500"/>
      <c r="B246" s="1287" t="s">
        <v>11</v>
      </c>
      <c r="C246" s="3908"/>
      <c r="D246" s="766">
        <f>E246+L246+K246+F246+G246+H246+I246+J246</f>
        <v>0</v>
      </c>
      <c r="E246" s="766">
        <v>0</v>
      </c>
      <c r="F246" s="1154">
        <v>0</v>
      </c>
      <c r="G246" s="1154">
        <v>0</v>
      </c>
      <c r="H246" s="1154">
        <v>0</v>
      </c>
      <c r="I246" s="1154">
        <v>0</v>
      </c>
      <c r="J246" s="1154">
        <v>0</v>
      </c>
      <c r="K246" s="3527">
        <f>2394-2394</f>
        <v>0</v>
      </c>
      <c r="L246" s="1154">
        <v>0</v>
      </c>
      <c r="M246" s="1021">
        <f>SUM(F246:J246)</f>
        <v>0</v>
      </c>
      <c r="N246" s="4060"/>
    </row>
    <row r="247" spans="1:15" s="121" customFormat="1" ht="12.75" hidden="1" customHeight="1" thickBot="1">
      <c r="A247" s="4500"/>
      <c r="B247" s="1359" t="s">
        <v>17</v>
      </c>
      <c r="C247" s="3908"/>
      <c r="D247" s="801">
        <f>SUM(E247:J247)</f>
        <v>0</v>
      </c>
      <c r="E247" s="1152">
        <f>E248</f>
        <v>0</v>
      </c>
      <c r="F247" s="1153">
        <v>0</v>
      </c>
      <c r="G247" s="1153">
        <v>0</v>
      </c>
      <c r="H247" s="1153">
        <v>0</v>
      </c>
      <c r="I247" s="1153">
        <v>0</v>
      </c>
      <c r="J247" s="1153">
        <v>0</v>
      </c>
      <c r="K247" s="1152">
        <f>K248</f>
        <v>0</v>
      </c>
      <c r="L247" s="1153">
        <v>0</v>
      </c>
      <c r="M247" s="802">
        <f>+M248</f>
        <v>0</v>
      </c>
      <c r="N247" s="4060"/>
    </row>
    <row r="248" spans="1:15" s="121" customFormat="1" ht="13.5" hidden="1" customHeight="1" thickBot="1">
      <c r="A248" s="4500"/>
      <c r="B248" s="1749" t="s">
        <v>19</v>
      </c>
      <c r="C248" s="3920"/>
      <c r="D248" s="766">
        <f>E248+L248+K248+F248+G248+H248+I248+J248</f>
        <v>0</v>
      </c>
      <c r="E248" s="766">
        <v>0</v>
      </c>
      <c r="F248" s="1154">
        <v>0</v>
      </c>
      <c r="G248" s="1154">
        <v>0</v>
      </c>
      <c r="H248" s="1154">
        <v>0</v>
      </c>
      <c r="I248" s="1154">
        <v>0</v>
      </c>
      <c r="J248" s="1154">
        <v>0</v>
      </c>
      <c r="K248" s="3527">
        <f>13566-13566</f>
        <v>0</v>
      </c>
      <c r="L248" s="1154">
        <v>0</v>
      </c>
      <c r="M248" s="1021">
        <f>SUM(F248:J248)</f>
        <v>0</v>
      </c>
      <c r="N248" s="4182"/>
    </row>
    <row r="249" spans="1:15" s="121" customFormat="1" ht="13.5" hidden="1" customHeight="1" thickBot="1">
      <c r="A249" s="4500"/>
      <c r="B249" s="1212" t="s">
        <v>20</v>
      </c>
      <c r="C249" s="1419"/>
      <c r="D249" s="798">
        <f>SUM(E249:J249)</f>
        <v>0</v>
      </c>
      <c r="E249" s="1151">
        <f t="shared" ref="E249:J250" si="188">E250</f>
        <v>0</v>
      </c>
      <c r="F249" s="1011">
        <f t="shared" si="188"/>
        <v>0</v>
      </c>
      <c r="G249" s="1011">
        <f t="shared" si="188"/>
        <v>0</v>
      </c>
      <c r="H249" s="1011">
        <f t="shared" si="188"/>
        <v>0</v>
      </c>
      <c r="I249" s="1011">
        <f t="shared" si="188"/>
        <v>0</v>
      </c>
      <c r="J249" s="1011">
        <f t="shared" si="188"/>
        <v>0</v>
      </c>
      <c r="K249" s="1151">
        <f>K250</f>
        <v>0</v>
      </c>
      <c r="L249" s="1011">
        <f>L250</f>
        <v>0</v>
      </c>
      <c r="M249" s="3883"/>
      <c r="N249" s="4060" t="s">
        <v>177</v>
      </c>
    </row>
    <row r="250" spans="1:15" s="121" customFormat="1" ht="12.75" hidden="1" customHeight="1" thickBot="1">
      <c r="A250" s="4500"/>
      <c r="B250" s="1225" t="s">
        <v>17</v>
      </c>
      <c r="C250" s="3946" t="s">
        <v>153</v>
      </c>
      <c r="D250" s="801">
        <f>SUM(E250:J250)</f>
        <v>0</v>
      </c>
      <c r="E250" s="1155">
        <f t="shared" si="188"/>
        <v>0</v>
      </c>
      <c r="F250" s="833">
        <f t="shared" si="188"/>
        <v>0</v>
      </c>
      <c r="G250" s="833">
        <f t="shared" si="188"/>
        <v>0</v>
      </c>
      <c r="H250" s="833">
        <f t="shared" si="188"/>
        <v>0</v>
      </c>
      <c r="I250" s="833">
        <f t="shared" si="188"/>
        <v>0</v>
      </c>
      <c r="J250" s="833">
        <f t="shared" si="188"/>
        <v>0</v>
      </c>
      <c r="K250" s="1155">
        <f>K251</f>
        <v>0</v>
      </c>
      <c r="L250" s="833">
        <f>L251</f>
        <v>0</v>
      </c>
      <c r="M250" s="3881"/>
      <c r="N250" s="4060"/>
    </row>
    <row r="251" spans="1:15" s="121" customFormat="1" ht="12" hidden="1" customHeight="1" thickBot="1">
      <c r="A251" s="4500"/>
      <c r="B251" s="1775" t="s">
        <v>19</v>
      </c>
      <c r="C251" s="3929"/>
      <c r="D251" s="1142">
        <f>E251+L251+K251+F251+G251+H251+I251+J251</f>
        <v>0</v>
      </c>
      <c r="E251" s="1142">
        <v>0</v>
      </c>
      <c r="F251" s="1143">
        <v>0</v>
      </c>
      <c r="G251" s="1143">
        <v>0</v>
      </c>
      <c r="H251" s="1143">
        <v>0</v>
      </c>
      <c r="I251" s="1143">
        <v>0</v>
      </c>
      <c r="J251" s="1143">
        <v>0</v>
      </c>
      <c r="K251" s="3528">
        <f>13566-13566</f>
        <v>0</v>
      </c>
      <c r="L251" s="1143">
        <v>0</v>
      </c>
      <c r="M251" s="3882"/>
      <c r="N251" s="4061"/>
    </row>
    <row r="252" spans="1:15" s="121" customFormat="1" ht="40.5" customHeight="1" thickBot="1">
      <c r="A252" s="4499" t="s">
        <v>235</v>
      </c>
      <c r="B252" s="86" t="s">
        <v>394</v>
      </c>
      <c r="C252" s="819" t="s">
        <v>97</v>
      </c>
      <c r="D252" s="398"/>
      <c r="E252" s="1492"/>
      <c r="F252" s="1486"/>
      <c r="G252" s="1150"/>
      <c r="H252" s="1150"/>
      <c r="I252" s="1150"/>
      <c r="J252" s="1487"/>
      <c r="K252" s="1486"/>
      <c r="L252" s="1486"/>
      <c r="M252" s="399"/>
      <c r="N252" s="4059" t="s">
        <v>499</v>
      </c>
      <c r="O252" s="100" t="s">
        <v>459</v>
      </c>
    </row>
    <row r="253" spans="1:15" s="121" customFormat="1" ht="15" customHeight="1" thickBot="1">
      <c r="A253" s="4500"/>
      <c r="B253" s="1212" t="s">
        <v>9</v>
      </c>
      <c r="C253" s="1419"/>
      <c r="D253" s="798">
        <f>+D254+D258</f>
        <v>1276500</v>
      </c>
      <c r="E253" s="798">
        <f>+E254+E258</f>
        <v>359974</v>
      </c>
      <c r="F253" s="798">
        <f t="shared" ref="F253:J253" si="189">+F254+F258</f>
        <v>882849</v>
      </c>
      <c r="G253" s="798">
        <f t="shared" si="189"/>
        <v>33677</v>
      </c>
      <c r="H253" s="808">
        <f t="shared" si="189"/>
        <v>0</v>
      </c>
      <c r="I253" s="808">
        <f t="shared" si="189"/>
        <v>0</v>
      </c>
      <c r="J253" s="808">
        <f t="shared" si="189"/>
        <v>0</v>
      </c>
      <c r="K253" s="798">
        <f>+K254+K258</f>
        <v>0</v>
      </c>
      <c r="L253" s="798">
        <f>+L254+L258</f>
        <v>0</v>
      </c>
      <c r="M253" s="799">
        <f>+M254+M258</f>
        <v>916526</v>
      </c>
      <c r="N253" s="4060"/>
    </row>
    <row r="254" spans="1:15" s="121" customFormat="1" ht="15" customHeight="1" thickBot="1">
      <c r="A254" s="4500"/>
      <c r="B254" s="838" t="s">
        <v>22</v>
      </c>
      <c r="C254" s="3859" t="s">
        <v>311</v>
      </c>
      <c r="D254" s="801">
        <f>SUM(D255)</f>
        <v>191898</v>
      </c>
      <c r="E254" s="801">
        <f t="shared" ref="E254:J254" si="190">SUM(E255)</f>
        <v>54104</v>
      </c>
      <c r="F254" s="801">
        <f t="shared" si="190"/>
        <v>132659</v>
      </c>
      <c r="G254" s="801">
        <f t="shared" si="190"/>
        <v>5135</v>
      </c>
      <c r="H254" s="809">
        <f t="shared" si="190"/>
        <v>0</v>
      </c>
      <c r="I254" s="809">
        <f t="shared" si="190"/>
        <v>0</v>
      </c>
      <c r="J254" s="809">
        <f t="shared" si="190"/>
        <v>0</v>
      </c>
      <c r="K254" s="801">
        <f>SUM(K255)</f>
        <v>0</v>
      </c>
      <c r="L254" s="801">
        <f>SUM(L255)</f>
        <v>0</v>
      </c>
      <c r="M254" s="802">
        <f>+M255</f>
        <v>137794</v>
      </c>
      <c r="N254" s="4060"/>
    </row>
    <row r="255" spans="1:15" s="121" customFormat="1" ht="12" customHeight="1" thickBot="1">
      <c r="A255" s="4500"/>
      <c r="B255" s="1878" t="s">
        <v>11</v>
      </c>
      <c r="C255" s="3908"/>
      <c r="D255" s="766">
        <f>E255+L255+K255+F255+G255+H255+I255+J255</f>
        <v>191898</v>
      </c>
      <c r="E255" s="766">
        <f t="shared" ref="E255" si="191">SUM(E256:E257)</f>
        <v>54104</v>
      </c>
      <c r="F255" s="766">
        <f t="shared" ref="F255:J255" si="192">SUM(F256:F257)</f>
        <v>132659</v>
      </c>
      <c r="G255" s="766">
        <f t="shared" si="192"/>
        <v>5135</v>
      </c>
      <c r="H255" s="2431">
        <f t="shared" si="192"/>
        <v>0</v>
      </c>
      <c r="I255" s="2431">
        <f t="shared" si="192"/>
        <v>0</v>
      </c>
      <c r="J255" s="2431">
        <f t="shared" si="192"/>
        <v>0</v>
      </c>
      <c r="K255" s="766">
        <f>SUM(K256:K257)</f>
        <v>0</v>
      </c>
      <c r="L255" s="766">
        <f>SUM(L256:L257)</f>
        <v>0</v>
      </c>
      <c r="M255" s="1021">
        <f>SUM(F255:J255)</f>
        <v>137794</v>
      </c>
      <c r="N255" s="4060"/>
    </row>
    <row r="256" spans="1:15" s="121" customFormat="1" ht="15" hidden="1" customHeight="1" thickBot="1">
      <c r="A256" s="4500"/>
      <c r="B256" s="2440" t="s">
        <v>495</v>
      </c>
      <c r="C256" s="3908"/>
      <c r="D256" s="2415">
        <f>SUM(E256:J256)</f>
        <v>156108</v>
      </c>
      <c r="E256" s="2415">
        <f>3150-50+41113</f>
        <v>44213</v>
      </c>
      <c r="F256" s="2415">
        <f>82100+25602</f>
        <v>107702</v>
      </c>
      <c r="G256" s="2415">
        <v>4193</v>
      </c>
      <c r="H256" s="2441">
        <v>0</v>
      </c>
      <c r="I256" s="2441">
        <v>0</v>
      </c>
      <c r="J256" s="2441">
        <v>0</v>
      </c>
      <c r="K256" s="2415"/>
      <c r="L256" s="2113"/>
      <c r="M256" s="1021">
        <f>SUM(F256:J256)</f>
        <v>111895</v>
      </c>
      <c r="N256" s="4060"/>
    </row>
    <row r="257" spans="1:15" s="121" customFormat="1" ht="15" hidden="1" customHeight="1" thickBot="1">
      <c r="A257" s="4500"/>
      <c r="B257" s="2442" t="s">
        <v>237</v>
      </c>
      <c r="C257" s="3908"/>
      <c r="D257" s="2417">
        <f>SUM(E257:J257)</f>
        <v>35790</v>
      </c>
      <c r="E257" s="2417">
        <f>724-11+9178</f>
        <v>9891</v>
      </c>
      <c r="F257" s="2417">
        <f>18837+6120</f>
        <v>24957</v>
      </c>
      <c r="G257" s="2417">
        <v>942</v>
      </c>
      <c r="H257" s="2436">
        <v>0</v>
      </c>
      <c r="I257" s="2436">
        <v>0</v>
      </c>
      <c r="J257" s="2436">
        <v>0</v>
      </c>
      <c r="K257" s="2417"/>
      <c r="L257" s="2113"/>
      <c r="M257" s="1021">
        <f>SUM(F257:J257)</f>
        <v>25899</v>
      </c>
      <c r="N257" s="4060"/>
    </row>
    <row r="258" spans="1:15" s="121" customFormat="1" ht="13.5" customHeight="1" thickBot="1">
      <c r="A258" s="4500"/>
      <c r="B258" s="1225" t="s">
        <v>17</v>
      </c>
      <c r="C258" s="3908"/>
      <c r="D258" s="801">
        <f>SUM(E258:J258)</f>
        <v>1084602</v>
      </c>
      <c r="E258" s="801">
        <f t="shared" ref="E258:J258" si="193">SUM(E259)</f>
        <v>305870</v>
      </c>
      <c r="F258" s="801">
        <f t="shared" si="193"/>
        <v>750190</v>
      </c>
      <c r="G258" s="801">
        <f t="shared" si="193"/>
        <v>28542</v>
      </c>
      <c r="H258" s="809">
        <f t="shared" si="193"/>
        <v>0</v>
      </c>
      <c r="I258" s="809">
        <f t="shared" si="193"/>
        <v>0</v>
      </c>
      <c r="J258" s="809">
        <f t="shared" si="193"/>
        <v>0</v>
      </c>
      <c r="K258" s="801">
        <f>SUM(K259)</f>
        <v>0</v>
      </c>
      <c r="L258" s="801">
        <f>SUM(L259)</f>
        <v>0</v>
      </c>
      <c r="M258" s="802">
        <f>+M259</f>
        <v>778732</v>
      </c>
      <c r="N258" s="4060"/>
    </row>
    <row r="259" spans="1:15" s="121" customFormat="1" ht="13.5" customHeight="1" thickBot="1">
      <c r="A259" s="4500"/>
      <c r="B259" s="2437" t="s">
        <v>19</v>
      </c>
      <c r="C259" s="3908"/>
      <c r="D259" s="789">
        <f>E259+L259+K259+F259+G259+H259+I259+J259</f>
        <v>1084602</v>
      </c>
      <c r="E259" s="2783">
        <f t="shared" ref="E259" si="194">SUM(E260:E261)</f>
        <v>305870</v>
      </c>
      <c r="F259" s="2783">
        <f t="shared" ref="F259:J259" si="195">SUM(F260:F261)</f>
        <v>750190</v>
      </c>
      <c r="G259" s="2783">
        <f t="shared" si="195"/>
        <v>28542</v>
      </c>
      <c r="H259" s="2784">
        <f t="shared" si="195"/>
        <v>0</v>
      </c>
      <c r="I259" s="2784">
        <f t="shared" si="195"/>
        <v>0</v>
      </c>
      <c r="J259" s="809">
        <f t="shared" si="195"/>
        <v>0</v>
      </c>
      <c r="K259" s="2438">
        <f>SUM(K260:K261)</f>
        <v>0</v>
      </c>
      <c r="L259" s="2438">
        <f>SUM(L260:L261)</f>
        <v>0</v>
      </c>
      <c r="M259" s="1021">
        <f>SUM(F259:J259)</f>
        <v>778732</v>
      </c>
      <c r="N259" s="4060"/>
    </row>
    <row r="260" spans="1:15" s="121" customFormat="1" ht="15" hidden="1" customHeight="1" thickBot="1">
      <c r="A260" s="4514"/>
      <c r="B260" s="2440" t="s">
        <v>495</v>
      </c>
      <c r="C260" s="3908"/>
      <c r="D260" s="2415">
        <f>SUM(E260:J260)</f>
        <v>881790</v>
      </c>
      <c r="E260" s="2415">
        <f>17850-282+232244</f>
        <v>249812</v>
      </c>
      <c r="F260" s="2415">
        <f>464100+144673</f>
        <v>608773</v>
      </c>
      <c r="G260" s="2415">
        <v>23205</v>
      </c>
      <c r="H260" s="2441">
        <v>0</v>
      </c>
      <c r="I260" s="2441">
        <v>0</v>
      </c>
      <c r="J260" s="2441">
        <v>0</v>
      </c>
      <c r="K260" s="2415"/>
      <c r="L260" s="2445"/>
      <c r="M260" s="1091">
        <f>SUM(F260:J260)</f>
        <v>631978</v>
      </c>
      <c r="N260" s="4061"/>
    </row>
    <row r="261" spans="1:15" s="121" customFormat="1" ht="15" hidden="1" customHeight="1" thickBot="1">
      <c r="A261" s="4514"/>
      <c r="B261" s="2779" t="s">
        <v>237</v>
      </c>
      <c r="C261" s="3920"/>
      <c r="D261" s="2780">
        <f>SUM(E261:J261)</f>
        <v>202812</v>
      </c>
      <c r="E261" s="2780">
        <f>4106-65+52017</f>
        <v>56058</v>
      </c>
      <c r="F261" s="2780">
        <f>106743+34674</f>
        <v>141417</v>
      </c>
      <c r="G261" s="2780">
        <v>5337</v>
      </c>
      <c r="H261" s="2781">
        <v>0</v>
      </c>
      <c r="I261" s="2781">
        <v>0</v>
      </c>
      <c r="J261" s="2781">
        <v>0</v>
      </c>
      <c r="K261" s="2780"/>
      <c r="L261" s="2782"/>
      <c r="M261" s="2446">
        <f>SUM(F261:J261)</f>
        <v>146754</v>
      </c>
      <c r="N261" s="4059"/>
    </row>
    <row r="262" spans="1:15" s="121" customFormat="1" ht="15" customHeight="1" thickBot="1">
      <c r="A262" s="4500"/>
      <c r="B262" s="37" t="s">
        <v>20</v>
      </c>
      <c r="C262" s="1419"/>
      <c r="D262" s="42">
        <f>SUM(E262:J262)</f>
        <v>1084602</v>
      </c>
      <c r="E262" s="42">
        <f t="shared" ref="E262:J262" si="196">+E263</f>
        <v>70977</v>
      </c>
      <c r="F262" s="42">
        <f t="shared" si="196"/>
        <v>699661</v>
      </c>
      <c r="G262" s="42">
        <f t="shared" si="196"/>
        <v>313964</v>
      </c>
      <c r="H262" s="2778">
        <f t="shared" si="196"/>
        <v>0</v>
      </c>
      <c r="I262" s="2778">
        <f t="shared" si="196"/>
        <v>0</v>
      </c>
      <c r="J262" s="2778">
        <f t="shared" si="196"/>
        <v>0</v>
      </c>
      <c r="K262" s="42">
        <f>+K263</f>
        <v>0</v>
      </c>
      <c r="L262" s="2778">
        <f>+L263</f>
        <v>0</v>
      </c>
      <c r="M262" s="3882"/>
      <c r="N262" s="4515" t="s">
        <v>523</v>
      </c>
    </row>
    <row r="263" spans="1:15" s="121" customFormat="1" ht="15" customHeight="1" thickBot="1">
      <c r="A263" s="4500"/>
      <c r="B263" s="1225" t="s">
        <v>17</v>
      </c>
      <c r="C263" s="4488" t="s">
        <v>153</v>
      </c>
      <c r="D263" s="801">
        <f>SUM(E263:J263)</f>
        <v>1084602</v>
      </c>
      <c r="E263" s="801">
        <f t="shared" ref="E263:J263" si="197">SUM(E264)</f>
        <v>70977</v>
      </c>
      <c r="F263" s="801">
        <f t="shared" si="197"/>
        <v>699661</v>
      </c>
      <c r="G263" s="801">
        <f t="shared" si="197"/>
        <v>313964</v>
      </c>
      <c r="H263" s="809">
        <f t="shared" si="197"/>
        <v>0</v>
      </c>
      <c r="I263" s="809">
        <f t="shared" si="197"/>
        <v>0</v>
      </c>
      <c r="J263" s="809">
        <f t="shared" si="197"/>
        <v>0</v>
      </c>
      <c r="K263" s="801">
        <f>SUM(K264)</f>
        <v>0</v>
      </c>
      <c r="L263" s="809">
        <f>SUM(L264)</f>
        <v>0</v>
      </c>
      <c r="M263" s="3990"/>
      <c r="N263" s="4489"/>
    </row>
    <row r="264" spans="1:15" s="121" customFormat="1" ht="15" customHeight="1" thickBot="1">
      <c r="A264" s="4500"/>
      <c r="B264" s="1775" t="s">
        <v>19</v>
      </c>
      <c r="C264" s="3894"/>
      <c r="D264" s="1142">
        <f>E264+L264+K264+F264+G264+H264+I264+J264</f>
        <v>1084602</v>
      </c>
      <c r="E264" s="1014">
        <f>253586-182609</f>
        <v>70977</v>
      </c>
      <c r="F264" s="1014">
        <f>517052+182609</f>
        <v>699661</v>
      </c>
      <c r="G264" s="1014">
        <v>313964</v>
      </c>
      <c r="H264" s="1055">
        <v>0</v>
      </c>
      <c r="I264" s="1055">
        <v>0</v>
      </c>
      <c r="J264" s="1055">
        <v>0</v>
      </c>
      <c r="K264" s="1014"/>
      <c r="L264" s="1055">
        <v>0</v>
      </c>
      <c r="M264" s="3990"/>
      <c r="N264" s="4489"/>
    </row>
    <row r="265" spans="1:15" s="121" customFormat="1" ht="27.75" customHeight="1" thickBot="1">
      <c r="A265" s="4499" t="s">
        <v>92</v>
      </c>
      <c r="B265" s="86" t="s">
        <v>392</v>
      </c>
      <c r="C265" s="819" t="s">
        <v>154</v>
      </c>
      <c r="D265" s="397"/>
      <c r="E265" s="1492"/>
      <c r="F265" s="1486"/>
      <c r="G265" s="1150"/>
      <c r="H265" s="1150"/>
      <c r="I265" s="1150"/>
      <c r="J265" s="1487"/>
      <c r="K265" s="1486"/>
      <c r="L265" s="1486"/>
      <c r="M265" s="399"/>
      <c r="N265" s="4059" t="s">
        <v>509</v>
      </c>
    </row>
    <row r="266" spans="1:15" s="121" customFormat="1" ht="15" customHeight="1" thickBot="1">
      <c r="A266" s="4500"/>
      <c r="B266" s="796" t="s">
        <v>9</v>
      </c>
      <c r="C266" s="1419"/>
      <c r="D266" s="798">
        <f>D267+D269</f>
        <v>225600</v>
      </c>
      <c r="E266" s="1011">
        <f t="shared" ref="E266" si="198">E267+E269</f>
        <v>0</v>
      </c>
      <c r="F266" s="798">
        <f t="shared" ref="F266:J266" si="199">F267+F271</f>
        <v>2000</v>
      </c>
      <c r="G266" s="798">
        <f>G267+G269</f>
        <v>223600</v>
      </c>
      <c r="H266" s="1011">
        <f>H267+H269</f>
        <v>0</v>
      </c>
      <c r="I266" s="1011">
        <f t="shared" si="199"/>
        <v>0</v>
      </c>
      <c r="J266" s="1011">
        <f t="shared" si="199"/>
        <v>0</v>
      </c>
      <c r="K266" s="808">
        <f>K267+K271</f>
        <v>0</v>
      </c>
      <c r="L266" s="1011">
        <f t="shared" ref="L266" si="200">+L269</f>
        <v>0</v>
      </c>
      <c r="M266" s="799">
        <f>+M269+M267</f>
        <v>225600</v>
      </c>
      <c r="N266" s="4060"/>
    </row>
    <row r="267" spans="1:15" s="121" customFormat="1" ht="15" customHeight="1" thickBot="1">
      <c r="A267" s="4500"/>
      <c r="B267" s="800" t="s">
        <v>22</v>
      </c>
      <c r="C267" s="3859" t="s">
        <v>171</v>
      </c>
      <c r="D267" s="801">
        <f>D268</f>
        <v>36390</v>
      </c>
      <c r="E267" s="1036">
        <f t="shared" ref="E267" si="201">E268</f>
        <v>0</v>
      </c>
      <c r="F267" s="806">
        <f>F268</f>
        <v>2000</v>
      </c>
      <c r="G267" s="806">
        <f t="shared" ref="G267:J267" si="202">G268</f>
        <v>34390</v>
      </c>
      <c r="H267" s="833">
        <f t="shared" si="202"/>
        <v>0</v>
      </c>
      <c r="I267" s="833">
        <f t="shared" si="202"/>
        <v>0</v>
      </c>
      <c r="J267" s="833">
        <f t="shared" si="202"/>
        <v>0</v>
      </c>
      <c r="K267" s="1051">
        <f>K268</f>
        <v>0</v>
      </c>
      <c r="L267" s="1036">
        <f>L268</f>
        <v>0</v>
      </c>
      <c r="M267" s="802">
        <f>M268</f>
        <v>36390</v>
      </c>
      <c r="N267" s="4060"/>
    </row>
    <row r="268" spans="1:15" s="121" customFormat="1" ht="15" customHeight="1" thickBot="1">
      <c r="A268" s="4500"/>
      <c r="B268" s="803" t="s">
        <v>11</v>
      </c>
      <c r="C268" s="3908"/>
      <c r="D268" s="766">
        <f>E268+L268+K268+F268+G268+H268+I268+J268</f>
        <v>36390</v>
      </c>
      <c r="E268" s="1034">
        <v>0</v>
      </c>
      <c r="F268" s="804">
        <f>1000+1000</f>
        <v>2000</v>
      </c>
      <c r="G268" s="804">
        <v>34390</v>
      </c>
      <c r="H268" s="833">
        <v>0</v>
      </c>
      <c r="I268" s="1034">
        <v>0</v>
      </c>
      <c r="J268" s="1034">
        <v>0</v>
      </c>
      <c r="K268" s="1049">
        <f>1000-1000</f>
        <v>0</v>
      </c>
      <c r="L268" s="1034">
        <v>0</v>
      </c>
      <c r="M268" s="1021">
        <f>SUM(F268:J268)</f>
        <v>36390</v>
      </c>
      <c r="N268" s="4060"/>
      <c r="O268" s="100"/>
    </row>
    <row r="269" spans="1:15" s="121" customFormat="1" ht="15" customHeight="1" thickBot="1">
      <c r="A269" s="4500"/>
      <c r="B269" s="805" t="s">
        <v>17</v>
      </c>
      <c r="C269" s="3908"/>
      <c r="D269" s="801">
        <f>D270</f>
        <v>189210</v>
      </c>
      <c r="E269" s="1036">
        <f t="shared" ref="E269:M269" si="203">+E270</f>
        <v>0</v>
      </c>
      <c r="F269" s="1051">
        <v>0</v>
      </c>
      <c r="G269" s="806">
        <f>G270</f>
        <v>189210</v>
      </c>
      <c r="H269" s="833">
        <v>0</v>
      </c>
      <c r="I269" s="833">
        <v>0</v>
      </c>
      <c r="J269" s="833">
        <v>0</v>
      </c>
      <c r="K269" s="1051">
        <f>K270</f>
        <v>0</v>
      </c>
      <c r="L269" s="1036">
        <v>0</v>
      </c>
      <c r="M269" s="802">
        <f t="shared" si="203"/>
        <v>189210</v>
      </c>
      <c r="N269" s="4060"/>
    </row>
    <row r="270" spans="1:15" s="121" customFormat="1" ht="15" customHeight="1" thickBot="1">
      <c r="A270" s="4500"/>
      <c r="B270" s="1749" t="s">
        <v>19</v>
      </c>
      <c r="C270" s="3920"/>
      <c r="D270" s="766">
        <f>E270+L270+K270+F270+G270+H270+I270+J270</f>
        <v>189210</v>
      </c>
      <c r="E270" s="1034">
        <v>0</v>
      </c>
      <c r="F270" s="1049">
        <v>0</v>
      </c>
      <c r="G270" s="804">
        <v>189210</v>
      </c>
      <c r="H270" s="1034">
        <v>0</v>
      </c>
      <c r="I270" s="1034">
        <v>0</v>
      </c>
      <c r="J270" s="1034">
        <v>0</v>
      </c>
      <c r="K270" s="1049">
        <v>0</v>
      </c>
      <c r="L270" s="1034">
        <v>0</v>
      </c>
      <c r="M270" s="1021">
        <f>SUM(F270:J270)</f>
        <v>189210</v>
      </c>
      <c r="N270" s="4060"/>
    </row>
    <row r="271" spans="1:15" s="121" customFormat="1" ht="15" customHeight="1" thickBot="1">
      <c r="A271" s="4500"/>
      <c r="B271" s="1212" t="s">
        <v>20</v>
      </c>
      <c r="C271" s="1419"/>
      <c r="D271" s="798">
        <f t="shared" ref="D271:J272" si="204">D272</f>
        <v>189210</v>
      </c>
      <c r="E271" s="1011">
        <f t="shared" ref="E271" si="205">+E274</f>
        <v>0</v>
      </c>
      <c r="F271" s="808">
        <f t="shared" si="204"/>
        <v>0</v>
      </c>
      <c r="G271" s="808">
        <f t="shared" si="204"/>
        <v>0</v>
      </c>
      <c r="H271" s="798">
        <f t="shared" si="204"/>
        <v>189210</v>
      </c>
      <c r="I271" s="1011">
        <f t="shared" si="204"/>
        <v>0</v>
      </c>
      <c r="J271" s="1011">
        <f t="shared" si="204"/>
        <v>0</v>
      </c>
      <c r="K271" s="808">
        <f>K272</f>
        <v>0</v>
      </c>
      <c r="L271" s="1011">
        <f>L272</f>
        <v>0</v>
      </c>
      <c r="M271" s="4032" t="s">
        <v>51</v>
      </c>
      <c r="N271" s="4489" t="s">
        <v>249</v>
      </c>
    </row>
    <row r="272" spans="1:15" s="121" customFormat="1" ht="15" customHeight="1" thickBot="1">
      <c r="A272" s="4500"/>
      <c r="B272" s="1225" t="s">
        <v>17</v>
      </c>
      <c r="C272" s="4494" t="s">
        <v>171</v>
      </c>
      <c r="D272" s="807">
        <f t="shared" si="204"/>
        <v>189210</v>
      </c>
      <c r="E272" s="1036">
        <f t="shared" si="204"/>
        <v>0</v>
      </c>
      <c r="F272" s="2447">
        <f t="shared" si="204"/>
        <v>0</v>
      </c>
      <c r="G272" s="2447">
        <f t="shared" si="204"/>
        <v>0</v>
      </c>
      <c r="H272" s="807">
        <f t="shared" si="204"/>
        <v>189210</v>
      </c>
      <c r="I272" s="833">
        <f t="shared" si="204"/>
        <v>0</v>
      </c>
      <c r="J272" s="833">
        <f t="shared" si="204"/>
        <v>0</v>
      </c>
      <c r="K272" s="2447">
        <f>K273</f>
        <v>0</v>
      </c>
      <c r="L272" s="833">
        <f>L273</f>
        <v>0</v>
      </c>
      <c r="M272" s="3990"/>
      <c r="N272" s="4489"/>
    </row>
    <row r="273" spans="1:15" s="121" customFormat="1" ht="15" customHeight="1" thickBot="1">
      <c r="A273" s="4500"/>
      <c r="B273" s="1775" t="s">
        <v>19</v>
      </c>
      <c r="C273" s="3894"/>
      <c r="D273" s="1003">
        <f>E273+L273+K273+F273+G273+H273+I273+J273</f>
        <v>189210</v>
      </c>
      <c r="E273" s="1309">
        <v>0</v>
      </c>
      <c r="F273" s="1055">
        <v>0</v>
      </c>
      <c r="G273" s="1055">
        <v>0</v>
      </c>
      <c r="H273" s="1014">
        <v>189210</v>
      </c>
      <c r="I273" s="1309">
        <v>0</v>
      </c>
      <c r="J273" s="1309">
        <v>0</v>
      </c>
      <c r="K273" s="1055">
        <v>0</v>
      </c>
      <c r="L273" s="1015">
        <v>0</v>
      </c>
      <c r="M273" s="3990"/>
      <c r="N273" s="4489"/>
    </row>
    <row r="274" spans="1:15" s="121" customFormat="1" ht="25.5" customHeight="1" thickBot="1">
      <c r="A274" s="4499" t="s">
        <v>236</v>
      </c>
      <c r="B274" s="86" t="s">
        <v>391</v>
      </c>
      <c r="C274" s="1149" t="s">
        <v>70</v>
      </c>
      <c r="D274" s="397"/>
      <c r="E274" s="1492"/>
      <c r="F274" s="1486"/>
      <c r="G274" s="1150"/>
      <c r="H274" s="1150"/>
      <c r="I274" s="1150"/>
      <c r="J274" s="1487"/>
      <c r="K274" s="1486"/>
      <c r="L274" s="1486"/>
      <c r="M274" s="399"/>
      <c r="N274" s="4489" t="s">
        <v>509</v>
      </c>
    </row>
    <row r="275" spans="1:15" s="121" customFormat="1" ht="15" customHeight="1" thickBot="1">
      <c r="A275" s="4500"/>
      <c r="B275" s="796" t="s">
        <v>9</v>
      </c>
      <c r="C275" s="1419"/>
      <c r="D275" s="798">
        <f>D276+D279</f>
        <v>6246481</v>
      </c>
      <c r="E275" s="798">
        <f t="shared" ref="E275" si="206">E276+E279</f>
        <v>400076</v>
      </c>
      <c r="F275" s="798">
        <f>+F279+F276</f>
        <v>3702087</v>
      </c>
      <c r="G275" s="798">
        <f t="shared" ref="G275:J275" si="207">+G279+G276</f>
        <v>2144318</v>
      </c>
      <c r="H275" s="1011">
        <f t="shared" si="207"/>
        <v>0</v>
      </c>
      <c r="I275" s="1011">
        <f t="shared" si="207"/>
        <v>0</v>
      </c>
      <c r="J275" s="1011">
        <f t="shared" si="207"/>
        <v>0</v>
      </c>
      <c r="K275" s="798">
        <f>+K279+K276</f>
        <v>0</v>
      </c>
      <c r="L275" s="2448">
        <f>L276</f>
        <v>0</v>
      </c>
      <c r="M275" s="799">
        <f>+M279+M276</f>
        <v>5846405</v>
      </c>
      <c r="N275" s="4489"/>
    </row>
    <row r="276" spans="1:15" s="121" customFormat="1" ht="15" customHeight="1" thickBot="1">
      <c r="A276" s="4500"/>
      <c r="B276" s="800" t="s">
        <v>22</v>
      </c>
      <c r="C276" s="3859" t="s">
        <v>171</v>
      </c>
      <c r="D276" s="801">
        <f>D277+D278</f>
        <v>1034156</v>
      </c>
      <c r="E276" s="801">
        <f>E277+E278</f>
        <v>157196</v>
      </c>
      <c r="F276" s="801">
        <f t="shared" ref="F276:G276" si="208">F277+F278</f>
        <v>555312</v>
      </c>
      <c r="G276" s="801">
        <f t="shared" si="208"/>
        <v>321648</v>
      </c>
      <c r="H276" s="1034">
        <f t="shared" ref="H276:J276" si="209">H277+H278</f>
        <v>0</v>
      </c>
      <c r="I276" s="1034">
        <f t="shared" si="209"/>
        <v>0</v>
      </c>
      <c r="J276" s="1034">
        <f t="shared" si="209"/>
        <v>0</v>
      </c>
      <c r="K276" s="801">
        <f>K277+K278</f>
        <v>0</v>
      </c>
      <c r="L276" s="801">
        <f>L277+L278</f>
        <v>0</v>
      </c>
      <c r="M276" s="802">
        <f>M277</f>
        <v>876960</v>
      </c>
      <c r="N276" s="4489"/>
    </row>
    <row r="277" spans="1:15" s="121" customFormat="1" ht="15" customHeight="1" thickBot="1">
      <c r="A277" s="4500"/>
      <c r="B277" s="803" t="s">
        <v>11</v>
      </c>
      <c r="C277" s="3908"/>
      <c r="D277" s="766">
        <f>E277+L277+K277+F277+G277+H277+I277+J277</f>
        <v>1004156</v>
      </c>
      <c r="E277" s="766">
        <f>114331+12865</f>
        <v>127196</v>
      </c>
      <c r="F277" s="804">
        <f>297451+255438+2423</f>
        <v>555312</v>
      </c>
      <c r="G277" s="804">
        <v>321648</v>
      </c>
      <c r="H277" s="1034">
        <v>0</v>
      </c>
      <c r="I277" s="1034">
        <v>0</v>
      </c>
      <c r="J277" s="1034">
        <v>0</v>
      </c>
      <c r="K277" s="804"/>
      <c r="L277" s="1034">
        <v>0</v>
      </c>
      <c r="M277" s="1021">
        <f>SUM(F277:J277)</f>
        <v>876960</v>
      </c>
      <c r="N277" s="4489"/>
      <c r="O277" s="100"/>
    </row>
    <row r="278" spans="1:15" s="121" customFormat="1" ht="15" customHeight="1" thickBot="1">
      <c r="A278" s="4500"/>
      <c r="B278" s="803" t="s">
        <v>14</v>
      </c>
      <c r="C278" s="3908"/>
      <c r="D278" s="766">
        <f>E278+L278+K278+F278+G278+H278+I278+J278</f>
        <v>30000</v>
      </c>
      <c r="E278" s="2449">
        <v>30000</v>
      </c>
      <c r="F278" s="1035">
        <v>0</v>
      </c>
      <c r="G278" s="1035">
        <v>0</v>
      </c>
      <c r="H278" s="1035">
        <v>0</v>
      </c>
      <c r="I278" s="1035">
        <v>0</v>
      </c>
      <c r="J278" s="1035">
        <v>0</v>
      </c>
      <c r="K278" s="1035">
        <v>0</v>
      </c>
      <c r="L278" s="2449"/>
      <c r="M278" s="1021">
        <f>SUM(F278:J278)</f>
        <v>0</v>
      </c>
      <c r="N278" s="4489"/>
    </row>
    <row r="279" spans="1:15" s="121" customFormat="1" ht="15" customHeight="1" thickBot="1">
      <c r="A279" s="4500"/>
      <c r="B279" s="805" t="s">
        <v>17</v>
      </c>
      <c r="C279" s="3908"/>
      <c r="D279" s="801">
        <f>D280</f>
        <v>5212325</v>
      </c>
      <c r="E279" s="1033">
        <f t="shared" ref="E279:M279" si="210">+E280</f>
        <v>242880</v>
      </c>
      <c r="F279" s="806">
        <f t="shared" ref="F279:J279" si="211">F280</f>
        <v>3146775</v>
      </c>
      <c r="G279" s="806">
        <f t="shared" si="211"/>
        <v>1822670</v>
      </c>
      <c r="H279" s="1036">
        <f t="shared" si="211"/>
        <v>0</v>
      </c>
      <c r="I279" s="1036">
        <f t="shared" si="211"/>
        <v>0</v>
      </c>
      <c r="J279" s="1036">
        <f t="shared" si="211"/>
        <v>0</v>
      </c>
      <c r="K279" s="806">
        <f>K280</f>
        <v>0</v>
      </c>
      <c r="L279" s="1036">
        <v>0</v>
      </c>
      <c r="M279" s="802">
        <f t="shared" si="210"/>
        <v>4969445</v>
      </c>
      <c r="N279" s="4489"/>
    </row>
    <row r="280" spans="1:15" s="121" customFormat="1" ht="15" customHeight="1" thickBot="1">
      <c r="A280" s="4500"/>
      <c r="B280" s="1749" t="s">
        <v>19</v>
      </c>
      <c r="C280" s="3920"/>
      <c r="D280" s="766">
        <f>E280+L280+K280+F280+G280+H280+I280+J280</f>
        <v>5212325</v>
      </c>
      <c r="E280" s="766">
        <f>169983+72897</f>
        <v>242880</v>
      </c>
      <c r="F280" s="804">
        <f>1685556+1447485+13734</f>
        <v>3146775</v>
      </c>
      <c r="G280" s="804">
        <v>1822670</v>
      </c>
      <c r="H280" s="1035">
        <v>0</v>
      </c>
      <c r="I280" s="1035">
        <v>0</v>
      </c>
      <c r="J280" s="1035">
        <v>0</v>
      </c>
      <c r="K280" s="804"/>
      <c r="L280" s="1034">
        <v>0</v>
      </c>
      <c r="M280" s="1021">
        <f>SUM(F280:J280)</f>
        <v>4969445</v>
      </c>
      <c r="N280" s="4490"/>
    </row>
    <row r="281" spans="1:15" s="121" customFormat="1" ht="15" customHeight="1" thickBot="1">
      <c r="A281" s="4500"/>
      <c r="B281" s="1212" t="s">
        <v>20</v>
      </c>
      <c r="C281" s="1419"/>
      <c r="D281" s="798">
        <f>D284+D282</f>
        <v>5242325</v>
      </c>
      <c r="E281" s="798">
        <f t="shared" ref="E281" si="212">E284+E282</f>
        <v>30000</v>
      </c>
      <c r="F281" s="798">
        <f t="shared" ref="F281:J281" si="213">F284+F282</f>
        <v>1780856</v>
      </c>
      <c r="G281" s="798">
        <f t="shared" si="213"/>
        <v>1671276</v>
      </c>
      <c r="H281" s="798">
        <f t="shared" si="213"/>
        <v>1760193</v>
      </c>
      <c r="I281" s="1011">
        <f t="shared" si="213"/>
        <v>0</v>
      </c>
      <c r="J281" s="1011">
        <f t="shared" si="213"/>
        <v>0</v>
      </c>
      <c r="K281" s="798">
        <f>K284+K282</f>
        <v>0</v>
      </c>
      <c r="L281" s="798">
        <f>L284+L282</f>
        <v>0</v>
      </c>
      <c r="M281" s="3883" t="s">
        <v>51</v>
      </c>
      <c r="N281" s="4060" t="s">
        <v>249</v>
      </c>
    </row>
    <row r="282" spans="1:15" s="121" customFormat="1" ht="14.25" customHeight="1" thickBot="1">
      <c r="A282" s="4500"/>
      <c r="B282" s="1225" t="s">
        <v>340</v>
      </c>
      <c r="C282" s="3946" t="s">
        <v>171</v>
      </c>
      <c r="D282" s="807">
        <f t="shared" ref="D282:J284" si="214">D283</f>
        <v>30000</v>
      </c>
      <c r="E282" s="1497">
        <f t="shared" si="214"/>
        <v>30000</v>
      </c>
      <c r="F282" s="1036">
        <f t="shared" si="214"/>
        <v>0</v>
      </c>
      <c r="G282" s="1036">
        <f t="shared" si="214"/>
        <v>0</v>
      </c>
      <c r="H282" s="1036">
        <f t="shared" si="214"/>
        <v>0</v>
      </c>
      <c r="I282" s="1036">
        <f t="shared" si="214"/>
        <v>0</v>
      </c>
      <c r="J282" s="1036">
        <f t="shared" si="214"/>
        <v>0</v>
      </c>
      <c r="K282" s="1036">
        <f>K283</f>
        <v>0</v>
      </c>
      <c r="L282" s="1497">
        <f>L283</f>
        <v>0</v>
      </c>
      <c r="M282" s="3881"/>
      <c r="N282" s="4060"/>
    </row>
    <row r="283" spans="1:15" s="121" customFormat="1" ht="14.25" customHeight="1" thickBot="1">
      <c r="A283" s="4500"/>
      <c r="B283" s="1774" t="s">
        <v>14</v>
      </c>
      <c r="C283" s="3932"/>
      <c r="D283" s="787">
        <f>E283+L283+K283+F283+G283+H283+I283+J283</f>
        <v>30000</v>
      </c>
      <c r="E283" s="1498">
        <v>30000</v>
      </c>
      <c r="F283" s="825">
        <v>0</v>
      </c>
      <c r="G283" s="825">
        <v>0</v>
      </c>
      <c r="H283" s="825">
        <v>0</v>
      </c>
      <c r="I283" s="825">
        <v>0</v>
      </c>
      <c r="J283" s="825">
        <v>0</v>
      </c>
      <c r="K283" s="825">
        <v>0</v>
      </c>
      <c r="L283" s="1498"/>
      <c r="M283" s="3881"/>
      <c r="N283" s="4060"/>
    </row>
    <row r="284" spans="1:15" s="121" customFormat="1" ht="15" customHeight="1" thickBot="1">
      <c r="A284" s="4500"/>
      <c r="B284" s="1470" t="s">
        <v>17</v>
      </c>
      <c r="C284" s="3932"/>
      <c r="D284" s="1037">
        <f t="shared" si="214"/>
        <v>5212325</v>
      </c>
      <c r="E284" s="1038">
        <f t="shared" ref="E284" si="215">+E285</f>
        <v>0</v>
      </c>
      <c r="F284" s="1037">
        <f t="shared" si="214"/>
        <v>1780856</v>
      </c>
      <c r="G284" s="1037">
        <f t="shared" si="214"/>
        <v>1671276</v>
      </c>
      <c r="H284" s="1037">
        <f t="shared" si="214"/>
        <v>1760193</v>
      </c>
      <c r="I284" s="1038">
        <f t="shared" si="214"/>
        <v>0</v>
      </c>
      <c r="J284" s="1038">
        <f t="shared" si="214"/>
        <v>0</v>
      </c>
      <c r="K284" s="1036">
        <f>K285</f>
        <v>0</v>
      </c>
      <c r="L284" s="1471">
        <f>L285</f>
        <v>0</v>
      </c>
      <c r="M284" s="3881"/>
      <c r="N284" s="4060"/>
    </row>
    <row r="285" spans="1:15" s="121" customFormat="1" ht="15" customHeight="1" thickBot="1">
      <c r="A285" s="4500"/>
      <c r="B285" s="1775" t="s">
        <v>19</v>
      </c>
      <c r="C285" s="4488"/>
      <c r="D285" s="1003">
        <f>E285+L285+K285+F285+G285+H285+I285+J285</f>
        <v>5212325</v>
      </c>
      <c r="E285" s="1309">
        <v>0</v>
      </c>
      <c r="F285" s="1014">
        <f>1561453+219403</f>
        <v>1780856</v>
      </c>
      <c r="G285" s="1014">
        <v>1671276</v>
      </c>
      <c r="H285" s="1014">
        <v>1760193</v>
      </c>
      <c r="I285" s="1309">
        <v>0</v>
      </c>
      <c r="J285" s="1309">
        <v>0</v>
      </c>
      <c r="K285" s="1309">
        <f>219403-219403</f>
        <v>0</v>
      </c>
      <c r="L285" s="1015">
        <v>0</v>
      </c>
      <c r="M285" s="3882"/>
      <c r="N285" s="4061"/>
    </row>
    <row r="286" spans="1:15" s="121" customFormat="1" ht="27" customHeight="1">
      <c r="A286" s="4504" t="s">
        <v>175</v>
      </c>
      <c r="B286" s="1007" t="s">
        <v>531</v>
      </c>
      <c r="C286" s="819" t="s">
        <v>154</v>
      </c>
      <c r="D286" s="3529"/>
      <c r="E286" s="3530"/>
      <c r="F286" s="3531"/>
      <c r="G286" s="3532"/>
      <c r="H286" s="1150"/>
      <c r="I286" s="1150"/>
      <c r="J286" s="1487"/>
      <c r="K286" s="3531"/>
      <c r="L286" s="1486"/>
      <c r="M286" s="399"/>
      <c r="N286" s="4059" t="s">
        <v>509</v>
      </c>
    </row>
    <row r="287" spans="1:15" s="121" customFormat="1" ht="15" customHeight="1">
      <c r="A287" s="4505"/>
      <c r="B287" s="796" t="s">
        <v>9</v>
      </c>
      <c r="C287" s="1419"/>
      <c r="D287" s="798">
        <f>D288+D290</f>
        <v>161298</v>
      </c>
      <c r="E287" s="1011">
        <f t="shared" ref="E287" si="216">E288+E290</f>
        <v>0</v>
      </c>
      <c r="F287" s="798">
        <f t="shared" ref="F287" si="217">F288+F292</f>
        <v>1000</v>
      </c>
      <c r="G287" s="798">
        <f>G288+G290</f>
        <v>1000</v>
      </c>
      <c r="H287" s="798">
        <f>H288+H290</f>
        <v>159298</v>
      </c>
      <c r="I287" s="1011">
        <f>I288+I290</f>
        <v>0</v>
      </c>
      <c r="J287" s="1011">
        <f t="shared" ref="J287" si="218">J288+J292</f>
        <v>0</v>
      </c>
      <c r="K287" s="808">
        <f>K288+K292</f>
        <v>0</v>
      </c>
      <c r="L287" s="1011">
        <f t="shared" ref="L287" si="219">+L290</f>
        <v>0</v>
      </c>
      <c r="M287" s="799">
        <f>+M290+M288</f>
        <v>161298</v>
      </c>
      <c r="N287" s="4060"/>
    </row>
    <row r="288" spans="1:15" s="121" customFormat="1" ht="15" customHeight="1">
      <c r="A288" s="4505"/>
      <c r="B288" s="800" t="s">
        <v>22</v>
      </c>
      <c r="C288" s="3859" t="s">
        <v>171</v>
      </c>
      <c r="D288" s="801">
        <f>D289</f>
        <v>26745</v>
      </c>
      <c r="E288" s="1036">
        <f t="shared" ref="E288" si="220">E289</f>
        <v>0</v>
      </c>
      <c r="F288" s="806">
        <f>F289</f>
        <v>1000</v>
      </c>
      <c r="G288" s="806">
        <f t="shared" ref="G288:J288" si="221">G289</f>
        <v>1000</v>
      </c>
      <c r="H288" s="806">
        <f t="shared" si="221"/>
        <v>24745</v>
      </c>
      <c r="I288" s="833">
        <f t="shared" si="221"/>
        <v>0</v>
      </c>
      <c r="J288" s="833">
        <f t="shared" si="221"/>
        <v>0</v>
      </c>
      <c r="K288" s="1051">
        <f>K289</f>
        <v>0</v>
      </c>
      <c r="L288" s="1036">
        <f>L289</f>
        <v>0</v>
      </c>
      <c r="M288" s="802">
        <f>M289</f>
        <v>26745</v>
      </c>
      <c r="N288" s="4060"/>
    </row>
    <row r="289" spans="1:15" s="121" customFormat="1" ht="15" customHeight="1">
      <c r="A289" s="4505"/>
      <c r="B289" s="803" t="s">
        <v>11</v>
      </c>
      <c r="C289" s="3908"/>
      <c r="D289" s="766">
        <f>E289+L289+K289+F289+G289+H289+I289+J289</f>
        <v>26745</v>
      </c>
      <c r="E289" s="1034">
        <v>0</v>
      </c>
      <c r="F289" s="804">
        <f>1500-500</f>
        <v>1000</v>
      </c>
      <c r="G289" s="804">
        <f>25245-24245</f>
        <v>1000</v>
      </c>
      <c r="H289" s="804">
        <v>24745</v>
      </c>
      <c r="I289" s="1034">
        <v>0</v>
      </c>
      <c r="J289" s="1034">
        <v>0</v>
      </c>
      <c r="K289" s="1049">
        <v>0</v>
      </c>
      <c r="L289" s="1034">
        <v>0</v>
      </c>
      <c r="M289" s="1021">
        <f>SUM(F289:J289)</f>
        <v>26745</v>
      </c>
      <c r="N289" s="4060"/>
    </row>
    <row r="290" spans="1:15" s="121" customFormat="1" ht="15" customHeight="1">
      <c r="A290" s="4505"/>
      <c r="B290" s="805" t="s">
        <v>17</v>
      </c>
      <c r="C290" s="3908"/>
      <c r="D290" s="801">
        <f>D291</f>
        <v>134553</v>
      </c>
      <c r="E290" s="1036">
        <f t="shared" ref="E290:M290" si="222">+E291</f>
        <v>0</v>
      </c>
      <c r="F290" s="1671">
        <v>0</v>
      </c>
      <c r="G290" s="1036">
        <f>G291</f>
        <v>0</v>
      </c>
      <c r="H290" s="806">
        <f>H291</f>
        <v>134553</v>
      </c>
      <c r="I290" s="833">
        <v>0</v>
      </c>
      <c r="J290" s="833">
        <v>0</v>
      </c>
      <c r="K290" s="1671">
        <f>K291</f>
        <v>0</v>
      </c>
      <c r="L290" s="1036">
        <v>0</v>
      </c>
      <c r="M290" s="802">
        <f t="shared" si="222"/>
        <v>134553</v>
      </c>
      <c r="N290" s="4060"/>
      <c r="O290" s="100" t="s">
        <v>313</v>
      </c>
    </row>
    <row r="291" spans="1:15" s="121" customFormat="1" ht="15" customHeight="1">
      <c r="A291" s="4505"/>
      <c r="B291" s="1749" t="s">
        <v>19</v>
      </c>
      <c r="C291" s="3920"/>
      <c r="D291" s="766">
        <f>E291+L291+K291+F291+G291+H291+I291+J291</f>
        <v>134553</v>
      </c>
      <c r="E291" s="1034">
        <v>0</v>
      </c>
      <c r="F291" s="1672">
        <v>0</v>
      </c>
      <c r="G291" s="1034">
        <f>134553-134553</f>
        <v>0</v>
      </c>
      <c r="H291" s="1613">
        <v>134553</v>
      </c>
      <c r="I291" s="1034">
        <v>0</v>
      </c>
      <c r="J291" s="1034">
        <v>0</v>
      </c>
      <c r="K291" s="1672">
        <v>0</v>
      </c>
      <c r="L291" s="1034">
        <v>0</v>
      </c>
      <c r="M291" s="1021">
        <f>SUM(F291:J291)</f>
        <v>134553</v>
      </c>
      <c r="N291" s="4060"/>
    </row>
    <row r="292" spans="1:15" s="121" customFormat="1" ht="15" customHeight="1">
      <c r="A292" s="4505"/>
      <c r="B292" s="796" t="s">
        <v>20</v>
      </c>
      <c r="C292" s="1419"/>
      <c r="D292" s="798">
        <f t="shared" ref="D292:J293" si="223">D293</f>
        <v>134553</v>
      </c>
      <c r="E292" s="1011">
        <f t="shared" ref="E292" si="224">+E295</f>
        <v>0</v>
      </c>
      <c r="F292" s="1046">
        <f t="shared" si="223"/>
        <v>0</v>
      </c>
      <c r="G292" s="1046">
        <f t="shared" si="223"/>
        <v>0</v>
      </c>
      <c r="H292" s="1011">
        <f t="shared" si="223"/>
        <v>0</v>
      </c>
      <c r="I292" s="798">
        <f t="shared" si="223"/>
        <v>134553</v>
      </c>
      <c r="J292" s="1011">
        <f t="shared" si="223"/>
        <v>0</v>
      </c>
      <c r="K292" s="1046">
        <f>K293</f>
        <v>0</v>
      </c>
      <c r="L292" s="1011">
        <f>L293</f>
        <v>0</v>
      </c>
      <c r="M292" s="3883" t="s">
        <v>51</v>
      </c>
      <c r="N292" s="4486" t="s">
        <v>249</v>
      </c>
    </row>
    <row r="293" spans="1:15" s="121" customFormat="1" ht="15" customHeight="1">
      <c r="A293" s="4505"/>
      <c r="B293" s="805" t="s">
        <v>17</v>
      </c>
      <c r="C293" s="3946" t="s">
        <v>171</v>
      </c>
      <c r="D293" s="807">
        <f t="shared" si="223"/>
        <v>134553</v>
      </c>
      <c r="E293" s="1036">
        <f t="shared" si="223"/>
        <v>0</v>
      </c>
      <c r="F293" s="1047">
        <f t="shared" si="223"/>
        <v>0</v>
      </c>
      <c r="G293" s="1047">
        <f t="shared" si="223"/>
        <v>0</v>
      </c>
      <c r="H293" s="833">
        <f t="shared" si="223"/>
        <v>0</v>
      </c>
      <c r="I293" s="807">
        <f t="shared" si="223"/>
        <v>134553</v>
      </c>
      <c r="J293" s="833">
        <f t="shared" si="223"/>
        <v>0</v>
      </c>
      <c r="K293" s="1047">
        <f>K294</f>
        <v>0</v>
      </c>
      <c r="L293" s="833">
        <f>L294</f>
        <v>0</v>
      </c>
      <c r="M293" s="3881"/>
      <c r="N293" s="4060"/>
    </row>
    <row r="294" spans="1:15" s="121" customFormat="1" ht="15" customHeight="1" thickBot="1">
      <c r="A294" s="4506"/>
      <c r="B294" s="1715" t="s">
        <v>19</v>
      </c>
      <c r="C294" s="3929"/>
      <c r="D294" s="1142">
        <f>E294+L294+K294+F294+G294+H294+I294+J294</f>
        <v>134553</v>
      </c>
      <c r="E294" s="1309">
        <v>0</v>
      </c>
      <c r="F294" s="1048">
        <v>0</v>
      </c>
      <c r="G294" s="1048">
        <v>0</v>
      </c>
      <c r="H294" s="1015">
        <f>134553-134553</f>
        <v>0</v>
      </c>
      <c r="I294" s="1014">
        <v>134553</v>
      </c>
      <c r="J294" s="1309">
        <v>0</v>
      </c>
      <c r="K294" s="1048">
        <v>0</v>
      </c>
      <c r="L294" s="1015">
        <v>0</v>
      </c>
      <c r="M294" s="3882"/>
      <c r="N294" s="4061"/>
    </row>
    <row r="295" spans="1:15" s="121" customFormat="1" ht="39" customHeight="1">
      <c r="A295" s="4487" t="s">
        <v>176</v>
      </c>
      <c r="B295" s="1007" t="s">
        <v>549</v>
      </c>
      <c r="C295" s="819" t="s">
        <v>70</v>
      </c>
      <c r="D295" s="397"/>
      <c r="E295" s="1492"/>
      <c r="F295" s="1486"/>
      <c r="G295" s="1150"/>
      <c r="H295" s="1150"/>
      <c r="I295" s="1150"/>
      <c r="J295" s="1487"/>
      <c r="K295" s="1486"/>
      <c r="L295" s="1486"/>
      <c r="M295" s="399"/>
      <c r="N295" s="4059" t="s">
        <v>509</v>
      </c>
    </row>
    <row r="296" spans="1:15" s="121" customFormat="1" ht="15" customHeight="1">
      <c r="A296" s="3955"/>
      <c r="B296" s="796" t="s">
        <v>9</v>
      </c>
      <c r="C296" s="1419"/>
      <c r="D296" s="798">
        <f>D297+D300</f>
        <v>13728928</v>
      </c>
      <c r="E296" s="798">
        <f t="shared" ref="E296" si="225">E297+E300</f>
        <v>219880</v>
      </c>
      <c r="F296" s="798">
        <f>+F300+F297</f>
        <v>819841</v>
      </c>
      <c r="G296" s="798">
        <f t="shared" ref="G296:J296" si="226">+G300+G297</f>
        <v>5772572</v>
      </c>
      <c r="H296" s="798">
        <f t="shared" si="226"/>
        <v>6916635</v>
      </c>
      <c r="I296" s="1011">
        <f t="shared" si="226"/>
        <v>0</v>
      </c>
      <c r="J296" s="1011">
        <f t="shared" si="226"/>
        <v>0</v>
      </c>
      <c r="K296" s="808">
        <f>+K300+K297</f>
        <v>0</v>
      </c>
      <c r="L296" s="3533">
        <f>L297</f>
        <v>0</v>
      </c>
      <c r="M296" s="799">
        <f>+M300+M297</f>
        <v>13509048</v>
      </c>
      <c r="N296" s="4060"/>
    </row>
    <row r="297" spans="1:15" s="121" customFormat="1" ht="15" customHeight="1">
      <c r="A297" s="3955"/>
      <c r="B297" s="800" t="s">
        <v>22</v>
      </c>
      <c r="C297" s="3859" t="s">
        <v>171</v>
      </c>
      <c r="D297" s="801">
        <f>D298+D299</f>
        <v>2180040</v>
      </c>
      <c r="E297" s="801">
        <f t="shared" ref="E297:J297" si="227">E298+E299</f>
        <v>153682</v>
      </c>
      <c r="F297" s="801">
        <f t="shared" si="227"/>
        <v>122976</v>
      </c>
      <c r="G297" s="801">
        <f t="shared" si="227"/>
        <v>865886</v>
      </c>
      <c r="H297" s="801">
        <f t="shared" si="227"/>
        <v>1037496</v>
      </c>
      <c r="I297" s="1034">
        <f t="shared" si="227"/>
        <v>0</v>
      </c>
      <c r="J297" s="1034">
        <f t="shared" si="227"/>
        <v>0</v>
      </c>
      <c r="K297" s="809">
        <f>K298+K299</f>
        <v>0</v>
      </c>
      <c r="L297" s="809">
        <f>L298+L299</f>
        <v>0</v>
      </c>
      <c r="M297" s="802">
        <f>M298</f>
        <v>2026358</v>
      </c>
      <c r="N297" s="4060"/>
    </row>
    <row r="298" spans="1:15" s="121" customFormat="1" ht="15" customHeight="1">
      <c r="A298" s="3955"/>
      <c r="B298" s="803" t="s">
        <v>11</v>
      </c>
      <c r="C298" s="3908"/>
      <c r="D298" s="766">
        <f>E298+L298+K298+F298+G298+H298+I298+J298</f>
        <v>2060040</v>
      </c>
      <c r="E298" s="766">
        <f>29497+4185</f>
        <v>33682</v>
      </c>
      <c r="F298" s="804">
        <f>662126-539150</f>
        <v>122976</v>
      </c>
      <c r="G298" s="804">
        <f>391777+24109+450000</f>
        <v>865886</v>
      </c>
      <c r="H298" s="804">
        <f>510856+526640</f>
        <v>1037496</v>
      </c>
      <c r="I298" s="1034">
        <v>0</v>
      </c>
      <c r="J298" s="1034">
        <v>0</v>
      </c>
      <c r="K298" s="1049">
        <v>0</v>
      </c>
      <c r="L298" s="1035">
        <v>0</v>
      </c>
      <c r="M298" s="1021">
        <f>SUM(F298:J298)</f>
        <v>2026358</v>
      </c>
      <c r="N298" s="4060"/>
    </row>
    <row r="299" spans="1:15" s="121" customFormat="1" ht="15" customHeight="1">
      <c r="A299" s="3955"/>
      <c r="B299" s="803" t="s">
        <v>14</v>
      </c>
      <c r="C299" s="3908"/>
      <c r="D299" s="3534">
        <f>E299+L299+K299+F299+G299+H299+I299+J299</f>
        <v>120000</v>
      </c>
      <c r="E299" s="3535">
        <v>120000</v>
      </c>
      <c r="F299" s="1035">
        <v>0</v>
      </c>
      <c r="G299" s="1035">
        <v>0</v>
      </c>
      <c r="H299" s="1035">
        <v>0</v>
      </c>
      <c r="I299" s="1035">
        <v>0</v>
      </c>
      <c r="J299" s="1035">
        <v>0</v>
      </c>
      <c r="K299" s="1035">
        <v>0</v>
      </c>
      <c r="L299" s="1035">
        <v>0</v>
      </c>
      <c r="M299" s="1021">
        <f>SUM(F299:J299)</f>
        <v>0</v>
      </c>
      <c r="N299" s="4060"/>
      <c r="O299" s="100" t="s">
        <v>313</v>
      </c>
    </row>
    <row r="300" spans="1:15" s="121" customFormat="1" ht="15" customHeight="1">
      <c r="A300" s="3955"/>
      <c r="B300" s="805" t="s">
        <v>17</v>
      </c>
      <c r="C300" s="3908"/>
      <c r="D300" s="801">
        <f>D301</f>
        <v>11548888</v>
      </c>
      <c r="E300" s="1033">
        <f t="shared" ref="E300:M300" si="228">+E301</f>
        <v>66198</v>
      </c>
      <c r="F300" s="806">
        <f t="shared" ref="F300:J300" si="229">F301</f>
        <v>696865</v>
      </c>
      <c r="G300" s="806">
        <f t="shared" si="229"/>
        <v>4906686</v>
      </c>
      <c r="H300" s="806">
        <f t="shared" si="229"/>
        <v>5879139</v>
      </c>
      <c r="I300" s="1036">
        <f t="shared" si="229"/>
        <v>0</v>
      </c>
      <c r="J300" s="1036">
        <f t="shared" si="229"/>
        <v>0</v>
      </c>
      <c r="K300" s="1051">
        <f>K301</f>
        <v>0</v>
      </c>
      <c r="L300" s="1050">
        <v>0</v>
      </c>
      <c r="M300" s="802">
        <f t="shared" si="228"/>
        <v>11482690</v>
      </c>
      <c r="N300" s="4060"/>
    </row>
    <row r="301" spans="1:15" s="121" customFormat="1" ht="15" customHeight="1">
      <c r="A301" s="3955"/>
      <c r="B301" s="1749" t="s">
        <v>19</v>
      </c>
      <c r="C301" s="3920"/>
      <c r="D301" s="766">
        <f>SUM(E301:J301)</f>
        <v>11548888</v>
      </c>
      <c r="E301" s="766">
        <f>42483+23715</f>
        <v>66198</v>
      </c>
      <c r="F301" s="804">
        <f>3752046-3055181</f>
        <v>696865</v>
      </c>
      <c r="G301" s="804">
        <f>2220068+136618+2550000</f>
        <v>4906686</v>
      </c>
      <c r="H301" s="804">
        <f>2894848+2984291</f>
        <v>5879139</v>
      </c>
      <c r="I301" s="1035">
        <v>0</v>
      </c>
      <c r="J301" s="1035">
        <v>0</v>
      </c>
      <c r="K301" s="1049">
        <v>0</v>
      </c>
      <c r="L301" s="1035">
        <v>0</v>
      </c>
      <c r="M301" s="1021">
        <f>SUM(F301:J301)</f>
        <v>11482690</v>
      </c>
      <c r="N301" s="4182"/>
    </row>
    <row r="302" spans="1:15" s="121" customFormat="1" ht="15" customHeight="1">
      <c r="A302" s="3955"/>
      <c r="B302" s="796" t="s">
        <v>20</v>
      </c>
      <c r="C302" s="1419"/>
      <c r="D302" s="798">
        <f>D305+D303</f>
        <v>11668888</v>
      </c>
      <c r="E302" s="3536">
        <f t="shared" ref="E302:J302" si="230">E305+E303</f>
        <v>120000</v>
      </c>
      <c r="F302" s="798">
        <f t="shared" si="230"/>
        <v>125000</v>
      </c>
      <c r="G302" s="798">
        <f t="shared" si="230"/>
        <v>720000</v>
      </c>
      <c r="H302" s="798">
        <f t="shared" si="230"/>
        <v>4704446</v>
      </c>
      <c r="I302" s="798">
        <f t="shared" si="230"/>
        <v>5999442</v>
      </c>
      <c r="J302" s="1011">
        <f t="shared" si="230"/>
        <v>0</v>
      </c>
      <c r="K302" s="808">
        <f>K305+K303</f>
        <v>0</v>
      </c>
      <c r="L302" s="808">
        <f>L305+L303</f>
        <v>0</v>
      </c>
      <c r="M302" s="3883" t="s">
        <v>51</v>
      </c>
      <c r="N302" s="4060" t="s">
        <v>249</v>
      </c>
    </row>
    <row r="303" spans="1:15" s="121" customFormat="1" ht="15" customHeight="1">
      <c r="A303" s="3955"/>
      <c r="B303" s="805" t="s">
        <v>340</v>
      </c>
      <c r="C303" s="3946" t="s">
        <v>171</v>
      </c>
      <c r="D303" s="807">
        <f t="shared" ref="D303:J305" si="231">D304</f>
        <v>120000</v>
      </c>
      <c r="E303" s="3537">
        <f t="shared" ref="E303:E305" si="232">+E304</f>
        <v>120000</v>
      </c>
      <c r="F303" s="1036">
        <f t="shared" si="231"/>
        <v>0</v>
      </c>
      <c r="G303" s="1036">
        <f t="shared" si="231"/>
        <v>0</v>
      </c>
      <c r="H303" s="1036">
        <f t="shared" si="231"/>
        <v>0</v>
      </c>
      <c r="I303" s="1036">
        <f t="shared" si="231"/>
        <v>0</v>
      </c>
      <c r="J303" s="1036">
        <f t="shared" si="231"/>
        <v>0</v>
      </c>
      <c r="K303" s="1050">
        <f>K304</f>
        <v>0</v>
      </c>
      <c r="L303" s="1052">
        <f>L304</f>
        <v>0</v>
      </c>
      <c r="M303" s="3881"/>
      <c r="N303" s="4060"/>
    </row>
    <row r="304" spans="1:15" s="121" customFormat="1" ht="15" customHeight="1">
      <c r="A304" s="3955"/>
      <c r="B304" s="1771" t="s">
        <v>14</v>
      </c>
      <c r="C304" s="3932"/>
      <c r="D304" s="787">
        <f>E304+L304+K304+F304+G304+H304+I304+J304</f>
        <v>120000</v>
      </c>
      <c r="E304" s="3538">
        <v>120000</v>
      </c>
      <c r="F304" s="825">
        <v>0</v>
      </c>
      <c r="G304" s="825">
        <v>0</v>
      </c>
      <c r="H304" s="825">
        <v>0</v>
      </c>
      <c r="I304" s="825">
        <v>0</v>
      </c>
      <c r="J304" s="825">
        <v>0</v>
      </c>
      <c r="K304" s="2804">
        <v>0</v>
      </c>
      <c r="L304" s="1053">
        <v>0</v>
      </c>
      <c r="M304" s="3881"/>
      <c r="N304" s="4060"/>
    </row>
    <row r="305" spans="1:15" s="121" customFormat="1" ht="15" customHeight="1">
      <c r="A305" s="3955"/>
      <c r="B305" s="3539" t="s">
        <v>17</v>
      </c>
      <c r="C305" s="3932"/>
      <c r="D305" s="1037">
        <f t="shared" si="231"/>
        <v>11548888</v>
      </c>
      <c r="E305" s="1038">
        <f t="shared" si="232"/>
        <v>0</v>
      </c>
      <c r="F305" s="1037">
        <f t="shared" si="231"/>
        <v>125000</v>
      </c>
      <c r="G305" s="1037">
        <f t="shared" si="231"/>
        <v>720000</v>
      </c>
      <c r="H305" s="1037">
        <f t="shared" si="231"/>
        <v>4704446</v>
      </c>
      <c r="I305" s="1037">
        <f t="shared" si="231"/>
        <v>5999442</v>
      </c>
      <c r="J305" s="1038">
        <f t="shared" si="231"/>
        <v>0</v>
      </c>
      <c r="K305" s="3540">
        <f>K306</f>
        <v>0</v>
      </c>
      <c r="L305" s="3541">
        <f>L306</f>
        <v>0</v>
      </c>
      <c r="M305" s="3881"/>
      <c r="N305" s="4060"/>
    </row>
    <row r="306" spans="1:15" s="121" customFormat="1" ht="15" customHeight="1" thickBot="1">
      <c r="A306" s="3954"/>
      <c r="B306" s="1715" t="s">
        <v>19</v>
      </c>
      <c r="C306" s="4488"/>
      <c r="D306" s="1142">
        <f>E306+L306+K306+F306+G306+H306+I306+J306</f>
        <v>11548888</v>
      </c>
      <c r="E306" s="1309">
        <v>0</v>
      </c>
      <c r="F306" s="1014">
        <f>237555-112555</f>
        <v>125000</v>
      </c>
      <c r="G306" s="1014">
        <f>4513210-3793210</f>
        <v>720000</v>
      </c>
      <c r="H306" s="1014">
        <f>1263832+890614+2550000</f>
        <v>4704446</v>
      </c>
      <c r="I306" s="1014">
        <f>3015151+2984291</f>
        <v>5999442</v>
      </c>
      <c r="J306" s="1309">
        <v>0</v>
      </c>
      <c r="K306" s="1055">
        <v>0</v>
      </c>
      <c r="L306" s="1054">
        <v>0</v>
      </c>
      <c r="M306" s="3882"/>
      <c r="N306" s="4061"/>
    </row>
    <row r="307" spans="1:15" s="121" customFormat="1" ht="27" customHeight="1">
      <c r="A307" s="4487" t="s">
        <v>229</v>
      </c>
      <c r="B307" s="1007" t="s">
        <v>533</v>
      </c>
      <c r="C307" s="819" t="s">
        <v>154</v>
      </c>
      <c r="D307" s="3529"/>
      <c r="E307" s="3530"/>
      <c r="F307" s="3531"/>
      <c r="G307" s="3532"/>
      <c r="H307" s="1150"/>
      <c r="I307" s="1150"/>
      <c r="J307" s="1487"/>
      <c r="K307" s="3531"/>
      <c r="L307" s="1486"/>
      <c r="M307" s="399"/>
      <c r="N307" s="4059" t="s">
        <v>509</v>
      </c>
    </row>
    <row r="308" spans="1:15" s="121" customFormat="1" ht="15" customHeight="1">
      <c r="A308" s="3955"/>
      <c r="B308" s="796" t="s">
        <v>9</v>
      </c>
      <c r="C308" s="1419"/>
      <c r="D308" s="798">
        <f>D309+D311</f>
        <v>456540</v>
      </c>
      <c r="E308" s="1011">
        <f t="shared" ref="E308" si="233">E309+E311</f>
        <v>0</v>
      </c>
      <c r="F308" s="1011">
        <f t="shared" ref="F308" si="234">F309+F313</f>
        <v>0</v>
      </c>
      <c r="G308" s="798">
        <f>G309+G311</f>
        <v>44940</v>
      </c>
      <c r="H308" s="798">
        <f>H309+H311</f>
        <v>399000</v>
      </c>
      <c r="I308" s="798">
        <f>I309+I311</f>
        <v>12600</v>
      </c>
      <c r="J308" s="1011">
        <f t="shared" ref="J308" si="235">J309+J313</f>
        <v>0</v>
      </c>
      <c r="K308" s="808">
        <f>K309+K313</f>
        <v>0</v>
      </c>
      <c r="L308" s="1011">
        <f t="shared" ref="L308" si="236">+L311</f>
        <v>0</v>
      </c>
      <c r="M308" s="799">
        <f>+M311+M309</f>
        <v>456540</v>
      </c>
      <c r="N308" s="4060"/>
      <c r="O308" s="236">
        <f>D308+D317</f>
        <v>2323432</v>
      </c>
    </row>
    <row r="309" spans="1:15" s="121" customFormat="1" ht="15" customHeight="1">
      <c r="A309" s="3955"/>
      <c r="B309" s="800" t="s">
        <v>22</v>
      </c>
      <c r="C309" s="3859" t="s">
        <v>171</v>
      </c>
      <c r="D309" s="801">
        <f>D310</f>
        <v>68481</v>
      </c>
      <c r="E309" s="1036">
        <f t="shared" ref="E309" si="237">E310</f>
        <v>0</v>
      </c>
      <c r="F309" s="1036">
        <f>F310</f>
        <v>0</v>
      </c>
      <c r="G309" s="806">
        <f t="shared" ref="G309:J309" si="238">G310</f>
        <v>6741</v>
      </c>
      <c r="H309" s="806">
        <f t="shared" si="238"/>
        <v>59850</v>
      </c>
      <c r="I309" s="806">
        <f t="shared" si="238"/>
        <v>1890</v>
      </c>
      <c r="J309" s="833">
        <f t="shared" si="238"/>
        <v>0</v>
      </c>
      <c r="K309" s="1051">
        <f>K310</f>
        <v>0</v>
      </c>
      <c r="L309" s="1036">
        <f>L310</f>
        <v>0</v>
      </c>
      <c r="M309" s="802">
        <f>M310</f>
        <v>68481</v>
      </c>
      <c r="N309" s="4060"/>
    </row>
    <row r="310" spans="1:15" s="121" customFormat="1" ht="15" customHeight="1">
      <c r="A310" s="3955"/>
      <c r="B310" s="803" t="s">
        <v>11</v>
      </c>
      <c r="C310" s="3908"/>
      <c r="D310" s="766">
        <f>E310+L310+K310+F310+G310+H310+I310+J310</f>
        <v>68481</v>
      </c>
      <c r="E310" s="1034">
        <v>0</v>
      </c>
      <c r="F310" s="1034"/>
      <c r="G310" s="804">
        <v>6741</v>
      </c>
      <c r="H310" s="804">
        <v>59850</v>
      </c>
      <c r="I310" s="804">
        <v>1890</v>
      </c>
      <c r="J310" s="1034">
        <v>0</v>
      </c>
      <c r="K310" s="1049">
        <v>0</v>
      </c>
      <c r="L310" s="1034">
        <v>0</v>
      </c>
      <c r="M310" s="1021">
        <f>SUM(F310:J310)</f>
        <v>68481</v>
      </c>
      <c r="N310" s="4060"/>
    </row>
    <row r="311" spans="1:15" s="121" customFormat="1" ht="15" customHeight="1">
      <c r="A311" s="3955"/>
      <c r="B311" s="805" t="s">
        <v>17</v>
      </c>
      <c r="C311" s="3908"/>
      <c r="D311" s="801">
        <f>D312</f>
        <v>388059</v>
      </c>
      <c r="E311" s="1010">
        <f t="shared" ref="E311:M311" si="239">+E312</f>
        <v>0</v>
      </c>
      <c r="F311" s="1010">
        <v>0</v>
      </c>
      <c r="G311" s="801">
        <f>G312</f>
        <v>38199</v>
      </c>
      <c r="H311" s="801">
        <f>H312</f>
        <v>339150</v>
      </c>
      <c r="I311" s="801">
        <f>I312</f>
        <v>10710</v>
      </c>
      <c r="J311" s="833">
        <v>0</v>
      </c>
      <c r="K311" s="1671">
        <f>K312</f>
        <v>0</v>
      </c>
      <c r="L311" s="1036">
        <v>0</v>
      </c>
      <c r="M311" s="802">
        <f t="shared" si="239"/>
        <v>388059</v>
      </c>
      <c r="N311" s="4060"/>
    </row>
    <row r="312" spans="1:15" s="121" customFormat="1" ht="15" customHeight="1">
      <c r="A312" s="3955"/>
      <c r="B312" s="1749" t="s">
        <v>19</v>
      </c>
      <c r="C312" s="3920"/>
      <c r="D312" s="766">
        <f>E312+L312+K312+F312+G312+H312+I312+J312</f>
        <v>388059</v>
      </c>
      <c r="E312" s="1034">
        <v>0</v>
      </c>
      <c r="F312" s="1034">
        <v>0</v>
      </c>
      <c r="G312" s="804">
        <v>38199</v>
      </c>
      <c r="H312" s="804">
        <v>339150</v>
      </c>
      <c r="I312" s="804">
        <v>10710</v>
      </c>
      <c r="J312" s="1034">
        <v>0</v>
      </c>
      <c r="K312" s="1672">
        <v>0</v>
      </c>
      <c r="L312" s="1034">
        <v>0</v>
      </c>
      <c r="M312" s="1021">
        <f>SUM(F312:J312)</f>
        <v>388059</v>
      </c>
      <c r="N312" s="4060"/>
    </row>
    <row r="313" spans="1:15" s="121" customFormat="1" ht="15" customHeight="1">
      <c r="A313" s="3955"/>
      <c r="B313" s="796" t="s">
        <v>20</v>
      </c>
      <c r="C313" s="1419"/>
      <c r="D313" s="798">
        <f t="shared" ref="D313:J314" si="240">D314</f>
        <v>388059</v>
      </c>
      <c r="E313" s="1011">
        <f t="shared" ref="E313" si="241">+E316</f>
        <v>0</v>
      </c>
      <c r="F313" s="1011">
        <f t="shared" si="240"/>
        <v>0</v>
      </c>
      <c r="G313" s="798">
        <f t="shared" si="240"/>
        <v>38199</v>
      </c>
      <c r="H313" s="1011">
        <f t="shared" si="240"/>
        <v>0</v>
      </c>
      <c r="I313" s="798">
        <f t="shared" si="240"/>
        <v>349860</v>
      </c>
      <c r="J313" s="1011">
        <f t="shared" si="240"/>
        <v>0</v>
      </c>
      <c r="K313" s="1046">
        <f>K314</f>
        <v>0</v>
      </c>
      <c r="L313" s="1011">
        <f>L314</f>
        <v>0</v>
      </c>
      <c r="M313" s="3883" t="s">
        <v>51</v>
      </c>
      <c r="N313" s="4486" t="s">
        <v>249</v>
      </c>
    </row>
    <row r="314" spans="1:15" s="121" customFormat="1" ht="15" customHeight="1">
      <c r="A314" s="3955"/>
      <c r="B314" s="805" t="s">
        <v>17</v>
      </c>
      <c r="C314" s="3946" t="s">
        <v>171</v>
      </c>
      <c r="D314" s="807">
        <f t="shared" si="240"/>
        <v>388059</v>
      </c>
      <c r="E314" s="1036">
        <f t="shared" si="240"/>
        <v>0</v>
      </c>
      <c r="F314" s="833">
        <f t="shared" si="240"/>
        <v>0</v>
      </c>
      <c r="G314" s="806">
        <f t="shared" si="240"/>
        <v>38199</v>
      </c>
      <c r="H314" s="1036">
        <f t="shared" si="240"/>
        <v>0</v>
      </c>
      <c r="I314" s="806">
        <f t="shared" si="240"/>
        <v>349860</v>
      </c>
      <c r="J314" s="833">
        <f t="shared" si="240"/>
        <v>0</v>
      </c>
      <c r="K314" s="1047">
        <f>K315</f>
        <v>0</v>
      </c>
      <c r="L314" s="833">
        <f>L315</f>
        <v>0</v>
      </c>
      <c r="M314" s="3881"/>
      <c r="N314" s="4060"/>
    </row>
    <row r="315" spans="1:15" s="121" customFormat="1" ht="15" customHeight="1" thickBot="1">
      <c r="A315" s="3954"/>
      <c r="B315" s="1715" t="s">
        <v>19</v>
      </c>
      <c r="C315" s="3929"/>
      <c r="D315" s="1142">
        <f>E315+L315+K315+F315+G315+H315+I315+J315</f>
        <v>388059</v>
      </c>
      <c r="E315" s="1309">
        <v>0</v>
      </c>
      <c r="F315" s="1015">
        <v>0</v>
      </c>
      <c r="G315" s="804">
        <v>38199</v>
      </c>
      <c r="H315" s="1034">
        <f>134553-134553</f>
        <v>0</v>
      </c>
      <c r="I315" s="804">
        <v>349860</v>
      </c>
      <c r="J315" s="1309">
        <v>0</v>
      </c>
      <c r="K315" s="1048">
        <v>0</v>
      </c>
      <c r="L315" s="1015">
        <v>0</v>
      </c>
      <c r="M315" s="3882"/>
      <c r="N315" s="4061"/>
    </row>
    <row r="316" spans="1:15" s="121" customFormat="1" ht="25.5" customHeight="1">
      <c r="A316" s="4487" t="s">
        <v>333</v>
      </c>
      <c r="B316" s="1007" t="s">
        <v>534</v>
      </c>
      <c r="C316" s="819" t="s">
        <v>70</v>
      </c>
      <c r="D316" s="397"/>
      <c r="E316" s="1492"/>
      <c r="F316" s="1486"/>
      <c r="G316" s="1150"/>
      <c r="H316" s="1150"/>
      <c r="I316" s="1150"/>
      <c r="J316" s="1487"/>
      <c r="K316" s="1486"/>
      <c r="L316" s="1486"/>
      <c r="M316" s="399"/>
      <c r="N316" s="4059" t="s">
        <v>509</v>
      </c>
    </row>
    <row r="317" spans="1:15" s="121" customFormat="1" ht="15" customHeight="1">
      <c r="A317" s="3955"/>
      <c r="B317" s="796" t="s">
        <v>9</v>
      </c>
      <c r="C317" s="1419"/>
      <c r="D317" s="798">
        <f>D318+D321</f>
        <v>1866892</v>
      </c>
      <c r="E317" s="1011">
        <f t="shared" ref="E317" si="242">E318+E321</f>
        <v>0</v>
      </c>
      <c r="F317" s="1011">
        <f>+F321+F318</f>
        <v>0</v>
      </c>
      <c r="G317" s="798">
        <f t="shared" ref="G317:J317" si="243">+G321+G318</f>
        <v>1045760</v>
      </c>
      <c r="H317" s="798">
        <f t="shared" si="243"/>
        <v>558560</v>
      </c>
      <c r="I317" s="798">
        <f t="shared" si="243"/>
        <v>262572</v>
      </c>
      <c r="J317" s="1011">
        <f t="shared" si="243"/>
        <v>0</v>
      </c>
      <c r="K317" s="808">
        <f>+K321+K318</f>
        <v>0</v>
      </c>
      <c r="L317" s="3533">
        <f>L318</f>
        <v>0</v>
      </c>
      <c r="M317" s="799">
        <f>+M321+M318</f>
        <v>1866892</v>
      </c>
      <c r="N317" s="4060"/>
    </row>
    <row r="318" spans="1:15" s="121" customFormat="1" ht="15" customHeight="1">
      <c r="A318" s="3955"/>
      <c r="B318" s="800" t="s">
        <v>22</v>
      </c>
      <c r="C318" s="3859" t="s">
        <v>171</v>
      </c>
      <c r="D318" s="801">
        <f>D319+D320</f>
        <v>280034</v>
      </c>
      <c r="E318" s="1010">
        <f t="shared" ref="E318:J318" si="244">E319+E320</f>
        <v>0</v>
      </c>
      <c r="F318" s="1010">
        <f t="shared" si="244"/>
        <v>0</v>
      </c>
      <c r="G318" s="801">
        <f t="shared" si="244"/>
        <v>156864</v>
      </c>
      <c r="H318" s="801">
        <f t="shared" si="244"/>
        <v>83784</v>
      </c>
      <c r="I318" s="801">
        <f t="shared" si="244"/>
        <v>39386</v>
      </c>
      <c r="J318" s="1034">
        <f t="shared" si="244"/>
        <v>0</v>
      </c>
      <c r="K318" s="809">
        <f>K319+K320</f>
        <v>0</v>
      </c>
      <c r="L318" s="809">
        <f>L319+L320</f>
        <v>0</v>
      </c>
      <c r="M318" s="802">
        <f>M319</f>
        <v>280034</v>
      </c>
      <c r="N318" s="4060"/>
    </row>
    <row r="319" spans="1:15" s="121" customFormat="1" ht="15" customHeight="1">
      <c r="A319" s="3955"/>
      <c r="B319" s="803" t="s">
        <v>11</v>
      </c>
      <c r="C319" s="3908"/>
      <c r="D319" s="766">
        <f>E319+L319+K319+F319+G319+H319+I319+J319</f>
        <v>280034</v>
      </c>
      <c r="E319" s="1532">
        <v>0</v>
      </c>
      <c r="F319" s="1034">
        <v>0</v>
      </c>
      <c r="G319" s="804">
        <v>156864</v>
      </c>
      <c r="H319" s="804">
        <v>83784</v>
      </c>
      <c r="I319" s="804">
        <v>39386</v>
      </c>
      <c r="J319" s="1034">
        <v>0</v>
      </c>
      <c r="K319" s="1049">
        <v>0</v>
      </c>
      <c r="L319" s="1035">
        <v>0</v>
      </c>
      <c r="M319" s="1021">
        <f>SUM(F319:J319)</f>
        <v>280034</v>
      </c>
      <c r="N319" s="4060"/>
    </row>
    <row r="320" spans="1:15" s="121" customFormat="1" ht="15" hidden="1" customHeight="1">
      <c r="A320" s="3955"/>
      <c r="B320" s="803" t="s">
        <v>14</v>
      </c>
      <c r="C320" s="3908"/>
      <c r="D320" s="3534">
        <f>E320+L320+K320+F320+G320+H320+I320+J320</f>
        <v>0</v>
      </c>
      <c r="E320" s="1034"/>
      <c r="F320" s="1034">
        <v>0</v>
      </c>
      <c r="G320" s="1035">
        <v>0</v>
      </c>
      <c r="H320" s="1035">
        <v>0</v>
      </c>
      <c r="I320" s="1035">
        <v>0</v>
      </c>
      <c r="J320" s="1035">
        <v>0</v>
      </c>
      <c r="K320" s="1035">
        <v>0</v>
      </c>
      <c r="L320" s="1035">
        <v>0</v>
      </c>
      <c r="M320" s="1021">
        <f>SUM(F320:J320)</f>
        <v>0</v>
      </c>
      <c r="N320" s="4060"/>
    </row>
    <row r="321" spans="1:14" s="121" customFormat="1" ht="15" customHeight="1">
      <c r="A321" s="3955"/>
      <c r="B321" s="805" t="s">
        <v>17</v>
      </c>
      <c r="C321" s="3908"/>
      <c r="D321" s="801">
        <f>D322</f>
        <v>1586858</v>
      </c>
      <c r="E321" s="1153">
        <f t="shared" ref="E321:M321" si="245">+E322</f>
        <v>0</v>
      </c>
      <c r="F321" s="1036">
        <f t="shared" ref="F321:J321" si="246">F322</f>
        <v>0</v>
      </c>
      <c r="G321" s="806">
        <f t="shared" si="246"/>
        <v>888896</v>
      </c>
      <c r="H321" s="806">
        <f t="shared" si="246"/>
        <v>474776</v>
      </c>
      <c r="I321" s="806">
        <f t="shared" si="246"/>
        <v>223186</v>
      </c>
      <c r="J321" s="1036">
        <f t="shared" si="246"/>
        <v>0</v>
      </c>
      <c r="K321" s="1051">
        <f>K322</f>
        <v>0</v>
      </c>
      <c r="L321" s="1050">
        <v>0</v>
      </c>
      <c r="M321" s="802">
        <f t="shared" si="245"/>
        <v>1586858</v>
      </c>
      <c r="N321" s="4060"/>
    </row>
    <row r="322" spans="1:14" s="121" customFormat="1" ht="15" customHeight="1">
      <c r="A322" s="3955"/>
      <c r="B322" s="1749" t="s">
        <v>19</v>
      </c>
      <c r="C322" s="3920"/>
      <c r="D322" s="766">
        <f>SUM(E322:J322)</f>
        <v>1586858</v>
      </c>
      <c r="E322" s="1532">
        <v>0</v>
      </c>
      <c r="F322" s="1034">
        <v>0</v>
      </c>
      <c r="G322" s="804">
        <v>888896</v>
      </c>
      <c r="H322" s="804">
        <v>474776</v>
      </c>
      <c r="I322" s="804">
        <v>223186</v>
      </c>
      <c r="J322" s="1035">
        <v>0</v>
      </c>
      <c r="K322" s="1049">
        <v>0</v>
      </c>
      <c r="L322" s="1035">
        <v>0</v>
      </c>
      <c r="M322" s="1021">
        <f>SUM(F322:J322)</f>
        <v>1586858</v>
      </c>
      <c r="N322" s="4182"/>
    </row>
    <row r="323" spans="1:14" s="121" customFormat="1" ht="15" customHeight="1">
      <c r="A323" s="3955"/>
      <c r="B323" s="796" t="s">
        <v>20</v>
      </c>
      <c r="C323" s="1419"/>
      <c r="D323" s="798">
        <f>D326+D324</f>
        <v>1586858</v>
      </c>
      <c r="E323" s="1011">
        <f t="shared" ref="E323:J323" si="247">E326+E324</f>
        <v>0</v>
      </c>
      <c r="F323" s="1011">
        <f t="shared" si="247"/>
        <v>0</v>
      </c>
      <c r="G323" s="798">
        <f t="shared" si="247"/>
        <v>298156</v>
      </c>
      <c r="H323" s="798">
        <f t="shared" si="247"/>
        <v>1010276</v>
      </c>
      <c r="I323" s="798">
        <f t="shared" si="247"/>
        <v>278426</v>
      </c>
      <c r="J323" s="1011">
        <f t="shared" si="247"/>
        <v>0</v>
      </c>
      <c r="K323" s="808">
        <f>K326+K324</f>
        <v>0</v>
      </c>
      <c r="L323" s="808">
        <f>L326+L324</f>
        <v>0</v>
      </c>
      <c r="M323" s="3883" t="s">
        <v>51</v>
      </c>
      <c r="N323" s="4060" t="s">
        <v>249</v>
      </c>
    </row>
    <row r="324" spans="1:14" s="121" customFormat="1" ht="15" hidden="1" customHeight="1">
      <c r="A324" s="3955"/>
      <c r="B324" s="805" t="s">
        <v>340</v>
      </c>
      <c r="C324" s="3946" t="s">
        <v>171</v>
      </c>
      <c r="D324" s="807">
        <f t="shared" ref="D324:J326" si="248">D325</f>
        <v>0</v>
      </c>
      <c r="E324" s="1036">
        <f t="shared" ref="E324:E326" si="249">+E325</f>
        <v>0</v>
      </c>
      <c r="F324" s="1036">
        <f t="shared" si="248"/>
        <v>0</v>
      </c>
      <c r="G324" s="1036">
        <f t="shared" si="248"/>
        <v>0</v>
      </c>
      <c r="H324" s="1036">
        <f t="shared" si="248"/>
        <v>0</v>
      </c>
      <c r="I324" s="1036">
        <f t="shared" si="248"/>
        <v>0</v>
      </c>
      <c r="J324" s="1036">
        <f t="shared" si="248"/>
        <v>0</v>
      </c>
      <c r="K324" s="1050">
        <f>K325</f>
        <v>0</v>
      </c>
      <c r="L324" s="1052">
        <f>L325</f>
        <v>0</v>
      </c>
      <c r="M324" s="3881"/>
      <c r="N324" s="4060"/>
    </row>
    <row r="325" spans="1:14" s="121" customFormat="1" ht="15" hidden="1" customHeight="1">
      <c r="A325" s="3955"/>
      <c r="B325" s="1771" t="s">
        <v>14</v>
      </c>
      <c r="C325" s="3932"/>
      <c r="D325" s="787">
        <f>E325+L325+K325+F325+G325+H325+I325+J325</f>
        <v>0</v>
      </c>
      <c r="E325" s="825"/>
      <c r="F325" s="825">
        <v>0</v>
      </c>
      <c r="G325" s="825">
        <v>0</v>
      </c>
      <c r="H325" s="825">
        <v>0</v>
      </c>
      <c r="I325" s="825">
        <v>0</v>
      </c>
      <c r="J325" s="825">
        <v>0</v>
      </c>
      <c r="K325" s="2804">
        <v>0</v>
      </c>
      <c r="L325" s="1053">
        <v>0</v>
      </c>
      <c r="M325" s="3881"/>
      <c r="N325" s="4060"/>
    </row>
    <row r="326" spans="1:14" s="121" customFormat="1" ht="15" customHeight="1">
      <c r="A326" s="3955"/>
      <c r="B326" s="3539" t="s">
        <v>17</v>
      </c>
      <c r="C326" s="3932"/>
      <c r="D326" s="1037">
        <f t="shared" si="248"/>
        <v>1586858</v>
      </c>
      <c r="E326" s="1038">
        <f t="shared" si="249"/>
        <v>0</v>
      </c>
      <c r="F326" s="1471">
        <f t="shared" si="248"/>
        <v>0</v>
      </c>
      <c r="G326" s="1037">
        <f t="shared" si="248"/>
        <v>298156</v>
      </c>
      <c r="H326" s="1037">
        <f t="shared" si="248"/>
        <v>1010276</v>
      </c>
      <c r="I326" s="1037">
        <f t="shared" si="248"/>
        <v>278426</v>
      </c>
      <c r="J326" s="1038">
        <f t="shared" si="248"/>
        <v>0</v>
      </c>
      <c r="K326" s="3540">
        <f>K327</f>
        <v>0</v>
      </c>
      <c r="L326" s="3541">
        <f>L327</f>
        <v>0</v>
      </c>
      <c r="M326" s="3881"/>
      <c r="N326" s="4060"/>
    </row>
    <row r="327" spans="1:14" s="121" customFormat="1" ht="15" customHeight="1" thickBot="1">
      <c r="A327" s="3954"/>
      <c r="B327" s="1715" t="s">
        <v>19</v>
      </c>
      <c r="C327" s="4488"/>
      <c r="D327" s="1142">
        <f>E327+L327+K327+F327+G327+H327+I327+J327</f>
        <v>1586858</v>
      </c>
      <c r="E327" s="1309">
        <v>0</v>
      </c>
      <c r="F327" s="1015">
        <v>0</v>
      </c>
      <c r="G327" s="1014">
        <v>298156</v>
      </c>
      <c r="H327" s="1014">
        <v>1010276</v>
      </c>
      <c r="I327" s="1014">
        <v>278426</v>
      </c>
      <c r="J327" s="1309">
        <v>0</v>
      </c>
      <c r="K327" s="1055">
        <v>0</v>
      </c>
      <c r="L327" s="1054">
        <v>0</v>
      </c>
      <c r="M327" s="3882"/>
      <c r="N327" s="4061"/>
    </row>
    <row r="328" spans="1:14" ht="23.25" customHeight="1" thickBot="1">
      <c r="A328" s="93" t="s">
        <v>155</v>
      </c>
      <c r="B328" s="400"/>
      <c r="C328" s="400"/>
      <c r="D328" s="400"/>
      <c r="E328" s="400"/>
      <c r="F328" s="400"/>
      <c r="G328" s="400"/>
      <c r="H328" s="400"/>
      <c r="I328" s="400"/>
      <c r="J328" s="400"/>
      <c r="K328" s="400"/>
      <c r="L328" s="400"/>
      <c r="M328" s="401"/>
      <c r="N328" s="3542"/>
    </row>
    <row r="329" spans="1:14" ht="19.5" customHeight="1" thickBot="1">
      <c r="A329" s="402"/>
      <c r="B329" s="103" t="s">
        <v>65</v>
      </c>
      <c r="C329" s="245"/>
      <c r="D329" s="105">
        <f>+D330+D331</f>
        <v>24803301</v>
      </c>
      <c r="E329" s="105">
        <f t="shared" ref="E329" si="250">+E330+E331</f>
        <v>12989800</v>
      </c>
      <c r="F329" s="105">
        <f t="shared" ref="F329:J329" si="251">+F330+F331</f>
        <v>2705000</v>
      </c>
      <c r="G329" s="105">
        <f t="shared" si="251"/>
        <v>3078699</v>
      </c>
      <c r="H329" s="105">
        <f t="shared" si="251"/>
        <v>2902429</v>
      </c>
      <c r="I329" s="105">
        <f t="shared" si="251"/>
        <v>2918579</v>
      </c>
      <c r="J329" s="105">
        <f t="shared" si="251"/>
        <v>124895</v>
      </c>
      <c r="K329" s="105">
        <f>+K330+K331</f>
        <v>83899</v>
      </c>
      <c r="L329" s="105">
        <f>+L330+L331</f>
        <v>0</v>
      </c>
      <c r="M329" s="12">
        <f>+M330+M331</f>
        <v>11813501</v>
      </c>
      <c r="N329" s="4100"/>
    </row>
    <row r="330" spans="1:14" ht="17.25" customHeight="1" thickBot="1">
      <c r="A330" s="335"/>
      <c r="B330" s="106" t="s">
        <v>66</v>
      </c>
      <c r="C330" s="108"/>
      <c r="D330" s="108">
        <f>D341+D345</f>
        <v>24803301</v>
      </c>
      <c r="E330" s="108">
        <f t="shared" ref="E330:I330" si="252">E341+E345</f>
        <v>12989800</v>
      </c>
      <c r="F330" s="108">
        <f t="shared" si="252"/>
        <v>2705000</v>
      </c>
      <c r="G330" s="108">
        <f t="shared" si="252"/>
        <v>3078699</v>
      </c>
      <c r="H330" s="108">
        <f t="shared" si="252"/>
        <v>2902429</v>
      </c>
      <c r="I330" s="108">
        <f t="shared" si="252"/>
        <v>2918579</v>
      </c>
      <c r="J330" s="108">
        <f>J341+J345</f>
        <v>124895</v>
      </c>
      <c r="K330" s="108">
        <f>K341+K345</f>
        <v>83899</v>
      </c>
      <c r="L330" s="108">
        <f>L341+L345</f>
        <v>0</v>
      </c>
      <c r="M330" s="14">
        <f>SUM(F330:L330)</f>
        <v>11813501</v>
      </c>
      <c r="N330" s="4100"/>
    </row>
    <row r="331" spans="1:14" ht="17.25" hidden="1" customHeight="1" thickBot="1">
      <c r="A331" s="335"/>
      <c r="B331" s="403" t="s">
        <v>8</v>
      </c>
      <c r="C331" s="392"/>
      <c r="D331" s="2787">
        <v>0</v>
      </c>
      <c r="E331" s="2787">
        <v>0</v>
      </c>
      <c r="F331" s="2787">
        <v>0</v>
      </c>
      <c r="G331" s="2787">
        <v>0</v>
      </c>
      <c r="H331" s="2787">
        <v>0</v>
      </c>
      <c r="I331" s="2787">
        <v>0</v>
      </c>
      <c r="J331" s="2787">
        <f>+J341</f>
        <v>0</v>
      </c>
      <c r="K331" s="2787">
        <v>0</v>
      </c>
      <c r="L331" s="2787">
        <v>0</v>
      </c>
      <c r="M331" s="14">
        <f>SUM(F331:J331)</f>
        <v>0</v>
      </c>
      <c r="N331" s="4100"/>
    </row>
    <row r="332" spans="1:14" ht="16.5" customHeight="1" thickBot="1">
      <c r="A332" s="198"/>
      <c r="B332" s="83" t="s">
        <v>9</v>
      </c>
      <c r="C332" s="1838"/>
      <c r="D332" s="58">
        <f t="shared" ref="D332:J332" si="253">+D333</f>
        <v>24803301</v>
      </c>
      <c r="E332" s="58">
        <f t="shared" si="253"/>
        <v>12989800</v>
      </c>
      <c r="F332" s="58">
        <f t="shared" si="253"/>
        <v>2705000</v>
      </c>
      <c r="G332" s="58">
        <f t="shared" si="253"/>
        <v>3078699</v>
      </c>
      <c r="H332" s="58">
        <f t="shared" si="253"/>
        <v>2902429</v>
      </c>
      <c r="I332" s="58">
        <f t="shared" si="253"/>
        <v>2918579</v>
      </c>
      <c r="J332" s="58">
        <f t="shared" si="253"/>
        <v>124895</v>
      </c>
      <c r="K332" s="58">
        <f>+K333</f>
        <v>83899</v>
      </c>
      <c r="L332" s="58">
        <f>+L333</f>
        <v>0</v>
      </c>
      <c r="M332" s="1839">
        <f>+M333</f>
        <v>11813501</v>
      </c>
      <c r="N332" s="4100"/>
    </row>
    <row r="333" spans="1:14" ht="15" customHeight="1" thickBot="1">
      <c r="A333" s="97"/>
      <c r="B333" s="1290" t="s">
        <v>10</v>
      </c>
      <c r="C333" s="4535" t="s">
        <v>51</v>
      </c>
      <c r="D333" s="1315">
        <f>+D336+D334</f>
        <v>24803301</v>
      </c>
      <c r="E333" s="1315">
        <f t="shared" ref="E333:J333" si="254">+E336+E334</f>
        <v>12989800</v>
      </c>
      <c r="F333" s="1315">
        <f t="shared" si="254"/>
        <v>2705000</v>
      </c>
      <c r="G333" s="1315">
        <f t="shared" si="254"/>
        <v>3078699</v>
      </c>
      <c r="H333" s="1315">
        <f t="shared" si="254"/>
        <v>2902429</v>
      </c>
      <c r="I333" s="1315">
        <f t="shared" si="254"/>
        <v>2918579</v>
      </c>
      <c r="J333" s="1315">
        <f t="shared" si="254"/>
        <v>124895</v>
      </c>
      <c r="K333" s="1315">
        <f>+K336+K334</f>
        <v>83899</v>
      </c>
      <c r="L333" s="1315">
        <f>+L336+L334</f>
        <v>0</v>
      </c>
      <c r="M333" s="1316">
        <f>+M334+M335+M336</f>
        <v>11813501</v>
      </c>
      <c r="N333" s="4100"/>
    </row>
    <row r="334" spans="1:14" s="656" customFormat="1" ht="15" customHeight="1" thickBot="1">
      <c r="A334" s="97"/>
      <c r="B334" s="1312" t="s">
        <v>11</v>
      </c>
      <c r="C334" s="4536"/>
      <c r="D334" s="1313">
        <f>D347</f>
        <v>693501</v>
      </c>
      <c r="E334" s="2785">
        <f t="shared" ref="E334:J334" si="255">E347</f>
        <v>0</v>
      </c>
      <c r="F334" s="1314">
        <f t="shared" si="255"/>
        <v>0</v>
      </c>
      <c r="G334" s="1314">
        <f t="shared" si="255"/>
        <v>273699</v>
      </c>
      <c r="H334" s="1314">
        <f t="shared" si="255"/>
        <v>97429</v>
      </c>
      <c r="I334" s="1314">
        <f t="shared" si="255"/>
        <v>113579</v>
      </c>
      <c r="J334" s="1314">
        <f t="shared" si="255"/>
        <v>124895</v>
      </c>
      <c r="K334" s="1314">
        <f>K347</f>
        <v>83899</v>
      </c>
      <c r="L334" s="1314">
        <f>L347</f>
        <v>0</v>
      </c>
      <c r="M334" s="1021">
        <f>SUM(F334:L335)</f>
        <v>693501</v>
      </c>
      <c r="N334" s="4100"/>
    </row>
    <row r="335" spans="1:14" ht="13.5" hidden="1" customHeight="1" thickBot="1">
      <c r="A335" s="97"/>
      <c r="B335" s="1310" t="s">
        <v>52</v>
      </c>
      <c r="C335" s="4536"/>
      <c r="D335" s="1673">
        <f t="shared" ref="D335:L335" si="256">D351</f>
        <v>0</v>
      </c>
      <c r="E335" s="1032">
        <f t="shared" si="256"/>
        <v>0</v>
      </c>
      <c r="F335" s="1032">
        <f t="shared" si="256"/>
        <v>0</v>
      </c>
      <c r="G335" s="1032">
        <f t="shared" si="256"/>
        <v>0</v>
      </c>
      <c r="H335" s="1032">
        <f t="shared" si="256"/>
        <v>0</v>
      </c>
      <c r="I335" s="1032">
        <f t="shared" si="256"/>
        <v>0</v>
      </c>
      <c r="J335" s="1032">
        <f t="shared" si="256"/>
        <v>0</v>
      </c>
      <c r="K335" s="1032"/>
      <c r="L335" s="1032">
        <f t="shared" si="256"/>
        <v>0</v>
      </c>
      <c r="M335" s="1021">
        <f>SUM(F335:J335)</f>
        <v>0</v>
      </c>
      <c r="N335" s="4100"/>
    </row>
    <row r="336" spans="1:14" ht="15.75" customHeight="1" thickBot="1">
      <c r="A336" s="1307"/>
      <c r="B336" s="19" t="s">
        <v>158</v>
      </c>
      <c r="C336" s="4536"/>
      <c r="D336" s="1311">
        <f t="shared" ref="D336:E336" si="257">+D343+D351</f>
        <v>24109800</v>
      </c>
      <c r="E336" s="1311">
        <f t="shared" si="257"/>
        <v>12989800</v>
      </c>
      <c r="F336" s="1311">
        <f t="shared" ref="F336:G336" si="258">+F343</f>
        <v>2705000</v>
      </c>
      <c r="G336" s="1311">
        <f t="shared" si="258"/>
        <v>2805000</v>
      </c>
      <c r="H336" s="1311">
        <f>+H343</f>
        <v>2805000</v>
      </c>
      <c r="I336" s="1311">
        <f>+I343</f>
        <v>2805000</v>
      </c>
      <c r="J336" s="2786">
        <f>+J343</f>
        <v>0</v>
      </c>
      <c r="K336" s="1311">
        <f>+K343</f>
        <v>0</v>
      </c>
      <c r="L336" s="1311">
        <f>+L343</f>
        <v>0</v>
      </c>
      <c r="M336" s="1021">
        <f>SUM(F336:J336)</f>
        <v>11120000</v>
      </c>
      <c r="N336" s="4100"/>
    </row>
    <row r="337" spans="1:16" ht="18.75" hidden="1" customHeight="1" thickBot="1">
      <c r="A337" s="1308"/>
      <c r="B337" s="1300" t="s">
        <v>20</v>
      </c>
      <c r="C337" s="1301"/>
      <c r="D337" s="1302">
        <f t="shared" ref="D337:G338" si="259">D338</f>
        <v>0</v>
      </c>
      <c r="E337" s="1302">
        <f t="shared" si="259"/>
        <v>0</v>
      </c>
      <c r="F337" s="1302">
        <f t="shared" si="259"/>
        <v>0</v>
      </c>
      <c r="G337" s="1302">
        <f t="shared" si="259"/>
        <v>0</v>
      </c>
      <c r="H337" s="1302">
        <f t="shared" ref="H337:J338" si="260">H338</f>
        <v>0</v>
      </c>
      <c r="I337" s="1302">
        <f t="shared" si="260"/>
        <v>0</v>
      </c>
      <c r="J337" s="1302">
        <f t="shared" si="260"/>
        <v>0</v>
      </c>
      <c r="K337" s="1302">
        <f>K338</f>
        <v>0</v>
      </c>
      <c r="L337" s="1302">
        <f>L338</f>
        <v>0</v>
      </c>
      <c r="M337" s="3990" t="s">
        <v>51</v>
      </c>
      <c r="N337" s="4100"/>
    </row>
    <row r="338" spans="1:16" ht="13.5" hidden="1" customHeight="1" thickBot="1">
      <c r="A338" s="1308"/>
      <c r="B338" s="1303" t="s">
        <v>10</v>
      </c>
      <c r="C338" s="1304"/>
      <c r="D338" s="1305">
        <f t="shared" si="259"/>
        <v>0</v>
      </c>
      <c r="E338" s="1305">
        <f t="shared" si="259"/>
        <v>0</v>
      </c>
      <c r="F338" s="1305">
        <f t="shared" si="259"/>
        <v>0</v>
      </c>
      <c r="G338" s="1305">
        <f t="shared" si="259"/>
        <v>0</v>
      </c>
      <c r="H338" s="1305">
        <f t="shared" si="260"/>
        <v>0</v>
      </c>
      <c r="I338" s="1305">
        <f t="shared" si="260"/>
        <v>0</v>
      </c>
      <c r="J338" s="1305">
        <f t="shared" si="260"/>
        <v>0</v>
      </c>
      <c r="K338" s="1305">
        <f>K339</f>
        <v>0</v>
      </c>
      <c r="L338" s="1305">
        <f>L339</f>
        <v>0</v>
      </c>
      <c r="M338" s="3990"/>
      <c r="N338" s="4100"/>
    </row>
    <row r="339" spans="1:16" ht="13.5" hidden="1" customHeight="1" thickBot="1">
      <c r="A339" s="1308"/>
      <c r="B339" s="1306" t="s">
        <v>52</v>
      </c>
      <c r="C339" s="1304"/>
      <c r="D339" s="1298"/>
      <c r="E339" s="1299">
        <f t="shared" ref="E339" si="261">E353+E371+E378+E385+E392+E362+E399+E406+E413+E420</f>
        <v>0</v>
      </c>
      <c r="F339" s="1299">
        <f>F354</f>
        <v>0</v>
      </c>
      <c r="G339" s="1299">
        <f>G354</f>
        <v>0</v>
      </c>
      <c r="H339" s="1299">
        <f>H354</f>
        <v>0</v>
      </c>
      <c r="I339" s="1299">
        <f>I354</f>
        <v>0</v>
      </c>
      <c r="J339" s="1299">
        <f>J354</f>
        <v>0</v>
      </c>
      <c r="K339" s="1299"/>
      <c r="L339" s="1299"/>
      <c r="M339" s="3990"/>
      <c r="N339" s="4100"/>
    </row>
    <row r="340" spans="1:16" ht="37.5" customHeight="1" thickBot="1">
      <c r="A340" s="4513" t="s">
        <v>53</v>
      </c>
      <c r="B340" s="86" t="s">
        <v>580</v>
      </c>
      <c r="C340" s="1149" t="s">
        <v>154</v>
      </c>
      <c r="D340" s="397"/>
      <c r="E340" s="1150"/>
      <c r="F340" s="1486"/>
      <c r="G340" s="1150"/>
      <c r="H340" s="1150"/>
      <c r="I340" s="1150"/>
      <c r="J340" s="1487"/>
      <c r="K340" s="1486"/>
      <c r="L340" s="1486"/>
      <c r="M340" s="399"/>
      <c r="N340" s="4489" t="s">
        <v>156</v>
      </c>
    </row>
    <row r="341" spans="1:16" ht="15.75" customHeight="1" thickBot="1">
      <c r="A341" s="4513"/>
      <c r="B341" s="1212" t="s">
        <v>9</v>
      </c>
      <c r="C341" s="1419"/>
      <c r="D341" s="798">
        <f t="shared" ref="D341:M342" si="262">+D342</f>
        <v>24109800</v>
      </c>
      <c r="E341" s="798">
        <f t="shared" si="262"/>
        <v>12989800</v>
      </c>
      <c r="F341" s="798">
        <f t="shared" si="262"/>
        <v>2705000</v>
      </c>
      <c r="G341" s="798">
        <f t="shared" si="262"/>
        <v>2805000</v>
      </c>
      <c r="H341" s="798">
        <f t="shared" si="262"/>
        <v>2805000</v>
      </c>
      <c r="I341" s="798">
        <f t="shared" si="262"/>
        <v>2805000</v>
      </c>
      <c r="J341" s="1046">
        <f t="shared" si="262"/>
        <v>0</v>
      </c>
      <c r="K341" s="798">
        <f>+K342</f>
        <v>0</v>
      </c>
      <c r="L341" s="798">
        <f>+L342</f>
        <v>0</v>
      </c>
      <c r="M341" s="835">
        <f t="shared" si="262"/>
        <v>11120000</v>
      </c>
      <c r="N341" s="4489"/>
    </row>
    <row r="342" spans="1:16" ht="14.25" customHeight="1" thickBot="1">
      <c r="A342" s="4513"/>
      <c r="B342" s="800" t="s">
        <v>22</v>
      </c>
      <c r="C342" s="3859" t="s">
        <v>157</v>
      </c>
      <c r="D342" s="1033">
        <f t="shared" si="262"/>
        <v>24109800</v>
      </c>
      <c r="E342" s="1033">
        <f t="shared" si="262"/>
        <v>12989800</v>
      </c>
      <c r="F342" s="806">
        <f t="shared" ref="F342:I342" si="263">F343</f>
        <v>2705000</v>
      </c>
      <c r="G342" s="806">
        <f t="shared" si="263"/>
        <v>2805000</v>
      </c>
      <c r="H342" s="806">
        <f t="shared" si="263"/>
        <v>2805000</v>
      </c>
      <c r="I342" s="806">
        <f t="shared" si="263"/>
        <v>2805000</v>
      </c>
      <c r="J342" s="1671">
        <v>0</v>
      </c>
      <c r="K342" s="806">
        <f>K343</f>
        <v>0</v>
      </c>
      <c r="L342" s="806">
        <f>L343</f>
        <v>0</v>
      </c>
      <c r="M342" s="802">
        <f t="shared" si="262"/>
        <v>11120000</v>
      </c>
      <c r="N342" s="4489"/>
    </row>
    <row r="343" spans="1:16" ht="16.5" customHeight="1" thickBot="1">
      <c r="A343" s="4513"/>
      <c r="B343" s="1715" t="s">
        <v>158</v>
      </c>
      <c r="C343" s="3909"/>
      <c r="D343" s="1003">
        <f>E343+L343+K343+F343+G343+H343+I343+J343</f>
        <v>24109800</v>
      </c>
      <c r="E343" s="1003">
        <f>7742800+2600000+2647000</f>
        <v>12989800</v>
      </c>
      <c r="F343" s="1674">
        <v>2705000</v>
      </c>
      <c r="G343" s="1003">
        <v>2805000</v>
      </c>
      <c r="H343" s="1003">
        <v>2805000</v>
      </c>
      <c r="I343" s="1003">
        <v>2805000</v>
      </c>
      <c r="J343" s="3782">
        <v>0</v>
      </c>
      <c r="K343" s="1674"/>
      <c r="L343" s="1674"/>
      <c r="M343" s="1091">
        <f>SUM(F343:J343)</f>
        <v>11120000</v>
      </c>
      <c r="N343" s="4489"/>
    </row>
    <row r="344" spans="1:16" ht="39" customHeight="1">
      <c r="A344" s="4038" t="s">
        <v>54</v>
      </c>
      <c r="B344" s="373" t="s">
        <v>594</v>
      </c>
      <c r="C344" s="3783" t="s">
        <v>97</v>
      </c>
      <c r="D344" s="3784"/>
      <c r="E344" s="1478"/>
      <c r="F344" s="1478"/>
      <c r="G344" s="1478"/>
      <c r="H344" s="1478"/>
      <c r="I344" s="1478"/>
      <c r="J344" s="26"/>
      <c r="K344" s="1478"/>
      <c r="L344" s="1478"/>
      <c r="M344" s="374"/>
      <c r="N344" s="3924" t="s">
        <v>523</v>
      </c>
      <c r="P344" s="101"/>
    </row>
    <row r="345" spans="1:16" ht="15" customHeight="1">
      <c r="A345" s="4038"/>
      <c r="B345" s="1212" t="s">
        <v>9</v>
      </c>
      <c r="C345" s="3785"/>
      <c r="D345" s="798">
        <f>D346</f>
        <v>693501</v>
      </c>
      <c r="E345" s="1011">
        <f t="shared" ref="E345:J346" si="264">E346</f>
        <v>0</v>
      </c>
      <c r="F345" s="1011">
        <f t="shared" si="264"/>
        <v>0</v>
      </c>
      <c r="G345" s="798">
        <f t="shared" si="264"/>
        <v>273699</v>
      </c>
      <c r="H345" s="798">
        <f t="shared" si="264"/>
        <v>97429</v>
      </c>
      <c r="I345" s="798">
        <f t="shared" si="264"/>
        <v>113579</v>
      </c>
      <c r="J345" s="834">
        <f t="shared" si="264"/>
        <v>124895</v>
      </c>
      <c r="K345" s="834">
        <f t="shared" ref="K345:M346" si="265">K346</f>
        <v>83899</v>
      </c>
      <c r="L345" s="1011">
        <f t="shared" si="265"/>
        <v>0</v>
      </c>
      <c r="M345" s="2477">
        <f t="shared" si="265"/>
        <v>693501</v>
      </c>
      <c r="N345" s="3924"/>
      <c r="P345" s="100" t="s">
        <v>592</v>
      </c>
    </row>
    <row r="346" spans="1:16" ht="16.5" customHeight="1">
      <c r="A346" s="4038"/>
      <c r="B346" s="2859" t="s">
        <v>10</v>
      </c>
      <c r="C346" s="4517" t="s">
        <v>153</v>
      </c>
      <c r="D346" s="847">
        <f>D347</f>
        <v>693501</v>
      </c>
      <c r="E346" s="1165">
        <f t="shared" si="264"/>
        <v>0</v>
      </c>
      <c r="F346" s="1165">
        <f t="shared" si="264"/>
        <v>0</v>
      </c>
      <c r="G346" s="847">
        <f t="shared" si="264"/>
        <v>273699</v>
      </c>
      <c r="H346" s="847">
        <f t="shared" si="264"/>
        <v>97429</v>
      </c>
      <c r="I346" s="847">
        <f t="shared" si="264"/>
        <v>113579</v>
      </c>
      <c r="J346" s="847">
        <f t="shared" si="264"/>
        <v>124895</v>
      </c>
      <c r="K346" s="847">
        <f t="shared" si="265"/>
        <v>83899</v>
      </c>
      <c r="L346" s="1165">
        <f t="shared" si="265"/>
        <v>0</v>
      </c>
      <c r="M346" s="3786">
        <f t="shared" si="265"/>
        <v>693501</v>
      </c>
      <c r="N346" s="3924"/>
    </row>
    <row r="347" spans="1:16" ht="15" customHeight="1" thickBot="1">
      <c r="A347" s="4039"/>
      <c r="B347" s="36" t="s">
        <v>11</v>
      </c>
      <c r="C347" s="4026"/>
      <c r="D347" s="1259">
        <f>E347+L347+K347+F347+G347+H347+I347+J347</f>
        <v>693501</v>
      </c>
      <c r="E347" s="3787">
        <v>0</v>
      </c>
      <c r="F347" s="654">
        <f>83899-83899</f>
        <v>0</v>
      </c>
      <c r="G347" s="655">
        <f>83899+189800</f>
        <v>273699</v>
      </c>
      <c r="H347" s="655">
        <v>97429</v>
      </c>
      <c r="I347" s="655">
        <v>113579</v>
      </c>
      <c r="J347" s="655">
        <v>124895</v>
      </c>
      <c r="K347" s="655">
        <v>83899</v>
      </c>
      <c r="L347" s="654">
        <v>0</v>
      </c>
      <c r="M347" s="3788">
        <f>SUM(F347:L354)</f>
        <v>693501</v>
      </c>
      <c r="N347" s="4516"/>
    </row>
    <row r="348" spans="1:16" ht="40.5" hidden="1" customHeight="1">
      <c r="A348" s="4508" t="s">
        <v>55</v>
      </c>
      <c r="B348" s="131"/>
      <c r="C348" s="130" t="s">
        <v>154</v>
      </c>
      <c r="D348" s="405"/>
      <c r="E348" s="406"/>
      <c r="F348" s="407"/>
      <c r="G348" s="406"/>
      <c r="H348" s="406"/>
      <c r="I348" s="406"/>
      <c r="J348" s="406"/>
      <c r="K348" s="406"/>
      <c r="L348" s="406"/>
      <c r="M348" s="408"/>
      <c r="N348" s="4509" t="s">
        <v>172</v>
      </c>
    </row>
    <row r="349" spans="1:16" ht="17.25" hidden="1" customHeight="1">
      <c r="A349" s="4508"/>
      <c r="B349" s="49" t="s">
        <v>9</v>
      </c>
      <c r="C349" s="49"/>
      <c r="D349" s="122"/>
      <c r="E349" s="122"/>
      <c r="F349" s="132">
        <f t="shared" ref="F349:M349" si="266">+F350</f>
        <v>0</v>
      </c>
      <c r="G349" s="133">
        <f t="shared" si="266"/>
        <v>0</v>
      </c>
      <c r="H349" s="133"/>
      <c r="I349" s="133"/>
      <c r="J349" s="133"/>
      <c r="K349" s="1711"/>
      <c r="L349" s="1711"/>
      <c r="M349" s="28">
        <f t="shared" si="266"/>
        <v>0</v>
      </c>
      <c r="N349" s="4509"/>
    </row>
    <row r="350" spans="1:16" ht="16.5" hidden="1" customHeight="1">
      <c r="A350" s="4508"/>
      <c r="B350" s="77" t="s">
        <v>173</v>
      </c>
      <c r="C350" s="4510" t="s">
        <v>171</v>
      </c>
      <c r="D350" s="134"/>
      <c r="E350" s="135"/>
      <c r="F350" s="135">
        <f>F351</f>
        <v>0</v>
      </c>
      <c r="G350" s="136">
        <f>G351</f>
        <v>0</v>
      </c>
      <c r="H350" s="136"/>
      <c r="I350" s="136"/>
      <c r="J350" s="136"/>
      <c r="K350" s="1712"/>
      <c r="L350" s="1712"/>
      <c r="M350" s="34">
        <f>+M351</f>
        <v>0</v>
      </c>
      <c r="N350" s="4509"/>
    </row>
    <row r="351" spans="1:16" ht="13.5" hidden="1" customHeight="1">
      <c r="A351" s="4508"/>
      <c r="B351" s="1777" t="s">
        <v>52</v>
      </c>
      <c r="C351" s="4511"/>
      <c r="D351" s="137"/>
      <c r="E351" s="138"/>
      <c r="F351" s="138">
        <v>0</v>
      </c>
      <c r="G351" s="138">
        <v>0</v>
      </c>
      <c r="H351" s="138"/>
      <c r="I351" s="138"/>
      <c r="J351" s="138"/>
      <c r="K351" s="1713"/>
      <c r="L351" s="1713"/>
      <c r="M351" s="139"/>
      <c r="N351" s="4509"/>
    </row>
    <row r="352" spans="1:16" ht="15.75" hidden="1" customHeight="1">
      <c r="A352" s="4508"/>
      <c r="B352" s="140" t="s">
        <v>20</v>
      </c>
      <c r="C352" s="17"/>
      <c r="D352" s="20"/>
      <c r="E352" s="99"/>
      <c r="F352" s="99">
        <f t="shared" ref="F352:G353" si="267">F353</f>
        <v>0</v>
      </c>
      <c r="G352" s="99">
        <f t="shared" si="267"/>
        <v>0</v>
      </c>
      <c r="H352" s="409"/>
      <c r="I352" s="409"/>
      <c r="J352" s="409"/>
      <c r="K352" s="409"/>
      <c r="L352" s="409"/>
      <c r="M352" s="3881" t="s">
        <v>51</v>
      </c>
      <c r="N352" s="4509"/>
    </row>
    <row r="353" spans="1:14" ht="16.5" hidden="1" customHeight="1">
      <c r="A353" s="4508"/>
      <c r="B353" s="77" t="s">
        <v>10</v>
      </c>
      <c r="C353" s="4512" t="s">
        <v>171</v>
      </c>
      <c r="D353" s="46"/>
      <c r="E353" s="23"/>
      <c r="F353" s="23">
        <f t="shared" si="267"/>
        <v>0</v>
      </c>
      <c r="G353" s="23">
        <f t="shared" si="267"/>
        <v>0</v>
      </c>
      <c r="H353" s="144"/>
      <c r="I353" s="144"/>
      <c r="J353" s="144"/>
      <c r="K353" s="144"/>
      <c r="L353" s="144"/>
      <c r="M353" s="3881"/>
      <c r="N353" s="4509"/>
    </row>
    <row r="354" spans="1:14" ht="13.5" hidden="1" customHeight="1" thickBot="1">
      <c r="A354" s="4508"/>
      <c r="B354" s="1775" t="s">
        <v>52</v>
      </c>
      <c r="C354" s="3929"/>
      <c r="D354" s="141"/>
      <c r="E354" s="31"/>
      <c r="F354" s="30">
        <v>0</v>
      </c>
      <c r="G354" s="30">
        <v>0</v>
      </c>
      <c r="H354" s="24"/>
      <c r="I354" s="24"/>
      <c r="J354" s="24"/>
      <c r="K354" s="24"/>
      <c r="L354" s="24"/>
      <c r="M354" s="3882"/>
      <c r="N354" s="4509"/>
    </row>
    <row r="355" spans="1:14" ht="17.25" hidden="1" customHeight="1">
      <c r="E355" s="352"/>
      <c r="N355" s="410"/>
    </row>
    <row r="356" spans="1:14" ht="11.25" hidden="1" customHeight="1">
      <c r="A356" s="4507"/>
      <c r="B356" s="4507"/>
      <c r="C356" s="4507"/>
      <c r="D356" s="4507"/>
      <c r="E356" s="4507"/>
      <c r="F356" s="4507"/>
      <c r="G356" s="4507"/>
      <c r="H356" s="4507"/>
      <c r="I356" s="4507"/>
      <c r="J356" s="4507"/>
      <c r="K356" s="4507"/>
      <c r="L356" s="4507"/>
      <c r="M356" s="4507"/>
      <c r="N356" s="4507"/>
    </row>
    <row r="357" spans="1:14" hidden="1">
      <c r="A357" s="4507"/>
      <c r="B357" s="4507"/>
      <c r="C357" s="4507"/>
      <c r="D357" s="4507"/>
      <c r="E357" s="4507"/>
      <c r="F357" s="4507"/>
      <c r="G357" s="4507"/>
      <c r="H357" s="4507"/>
      <c r="I357" s="4507"/>
      <c r="J357" s="4507"/>
      <c r="K357" s="4507"/>
      <c r="L357" s="4507"/>
      <c r="M357" s="4507"/>
      <c r="N357" s="4507"/>
    </row>
    <row r="358" spans="1:14" ht="15" hidden="1" customHeight="1">
      <c r="B358" s="687" t="s">
        <v>301</v>
      </c>
      <c r="C358" s="1687"/>
      <c r="D358" s="1687"/>
      <c r="E358" s="1687"/>
      <c r="F358" s="1687"/>
      <c r="G358" s="1687"/>
      <c r="H358" s="1687"/>
      <c r="I358" s="1687"/>
      <c r="J358" s="1687"/>
      <c r="K358" s="1687"/>
      <c r="L358" s="1687"/>
      <c r="N358" s="410"/>
    </row>
    <row r="359" spans="1:14" ht="15" hidden="1" customHeight="1">
      <c r="B359" s="1730" t="s">
        <v>302</v>
      </c>
      <c r="C359" s="1687"/>
      <c r="D359" s="1688">
        <f>D154+D179+D201+D214+D240+D262+D271+D294+D145+D313</f>
        <v>4039427</v>
      </c>
      <c r="E359" s="1688">
        <f t="shared" ref="E359:I359" si="268">E154+E179+E201+E214+E240+E262+E271+E294+E145+E313</f>
        <v>233955</v>
      </c>
      <c r="F359" s="1688">
        <f t="shared" si="268"/>
        <v>1645620</v>
      </c>
      <c r="G359" s="1688">
        <f t="shared" si="268"/>
        <v>1028394</v>
      </c>
      <c r="H359" s="1688">
        <f t="shared" si="268"/>
        <v>647045</v>
      </c>
      <c r="I359" s="1688">
        <f t="shared" si="268"/>
        <v>484413</v>
      </c>
      <c r="J359" s="1688">
        <f t="shared" ref="J359:L359" si="269">J154+J179+J201+J214+J240+J262+J271+J294+J145</f>
        <v>0</v>
      </c>
      <c r="K359" s="1688">
        <f>K154+K179+K201+K214+K240+K262+K271+K294+K145</f>
        <v>0</v>
      </c>
      <c r="L359" s="1688">
        <f t="shared" si="269"/>
        <v>0</v>
      </c>
      <c r="N359" s="410"/>
    </row>
    <row r="360" spans="1:14" ht="15" hidden="1" customHeight="1">
      <c r="B360" s="1730" t="s">
        <v>303</v>
      </c>
      <c r="C360" s="1687"/>
      <c r="D360" s="1688">
        <f t="shared" ref="D360:J360" si="270">D31+D45+D57+D104+D118+D164+D188+D227+D249+D281+D306+D304+D134+D81+D69+D323+D93</f>
        <v>90643435</v>
      </c>
      <c r="E360" s="1688">
        <f t="shared" si="270"/>
        <v>10923441</v>
      </c>
      <c r="F360" s="1688">
        <f t="shared" si="270"/>
        <v>24069150</v>
      </c>
      <c r="G360" s="1688">
        <f t="shared" si="270"/>
        <v>40143428</v>
      </c>
      <c r="H360" s="1688">
        <f t="shared" si="270"/>
        <v>9229548</v>
      </c>
      <c r="I360" s="1688">
        <f t="shared" si="270"/>
        <v>6277868</v>
      </c>
      <c r="J360" s="1688">
        <f t="shared" si="270"/>
        <v>0</v>
      </c>
      <c r="K360" s="1688">
        <f>K31+K45+K57+K104+K118+K164+K188+K227+K249+K281+K306+K304+K134+K81+K69</f>
        <v>0</v>
      </c>
      <c r="L360" s="1688">
        <f>L31+L45+L57+L104+L118+L164+L188+L227+L249+L281+L306+L304+L134+L81+L69</f>
        <v>0</v>
      </c>
      <c r="N360" s="410"/>
    </row>
    <row r="361" spans="1:14" ht="15" hidden="1" customHeight="1">
      <c r="B361" s="1730" t="s">
        <v>304</v>
      </c>
      <c r="C361" s="1687"/>
      <c r="D361" s="685">
        <f>D359+D360</f>
        <v>94682862</v>
      </c>
      <c r="E361" s="685">
        <f t="shared" ref="E361:G361" si="271">E359+E360</f>
        <v>11157396</v>
      </c>
      <c r="F361" s="685">
        <f>F359+F360</f>
        <v>25714770</v>
      </c>
      <c r="G361" s="685">
        <f t="shared" si="271"/>
        <v>41171822</v>
      </c>
      <c r="H361" s="685">
        <f t="shared" ref="H361:J361" si="272">H359+H360</f>
        <v>9876593</v>
      </c>
      <c r="I361" s="685">
        <f t="shared" si="272"/>
        <v>6762281</v>
      </c>
      <c r="J361" s="685">
        <f t="shared" si="272"/>
        <v>0</v>
      </c>
      <c r="K361" s="685">
        <f>K359+K360</f>
        <v>0</v>
      </c>
      <c r="L361" s="685">
        <f>L359+L360</f>
        <v>0</v>
      </c>
      <c r="N361" s="410"/>
    </row>
    <row r="362" spans="1:14" ht="15" hidden="1" customHeight="1">
      <c r="B362" s="682" t="s">
        <v>39</v>
      </c>
      <c r="C362" s="684"/>
      <c r="D362" s="686">
        <f t="shared" ref="D362:L362" si="273">D361-D17</f>
        <v>0</v>
      </c>
      <c r="E362" s="686">
        <f t="shared" si="273"/>
        <v>0</v>
      </c>
      <c r="F362" s="686">
        <f t="shared" si="273"/>
        <v>0</v>
      </c>
      <c r="G362" s="686">
        <f t="shared" si="273"/>
        <v>0</v>
      </c>
      <c r="H362" s="686">
        <f t="shared" si="273"/>
        <v>0</v>
      </c>
      <c r="I362" s="686">
        <f t="shared" si="273"/>
        <v>0</v>
      </c>
      <c r="J362" s="686">
        <f t="shared" si="273"/>
        <v>0</v>
      </c>
      <c r="K362" s="686">
        <f t="shared" si="273"/>
        <v>0</v>
      </c>
      <c r="L362" s="686">
        <f t="shared" si="273"/>
        <v>0</v>
      </c>
      <c r="N362" s="410"/>
    </row>
    <row r="363" spans="1:14" hidden="1">
      <c r="E363" s="352"/>
      <c r="N363" s="410"/>
    </row>
    <row r="364" spans="1:14" hidden="1">
      <c r="E364" s="352"/>
      <c r="N364" s="410"/>
    </row>
    <row r="365" spans="1:14">
      <c r="E365" s="352"/>
      <c r="N365" s="410"/>
    </row>
    <row r="366" spans="1:14">
      <c r="E366" s="352"/>
      <c r="N366" s="410"/>
    </row>
    <row r="367" spans="1:14">
      <c r="E367" s="352"/>
      <c r="N367" s="410"/>
    </row>
    <row r="368" spans="1:14">
      <c r="E368" s="352"/>
      <c r="N368" s="410"/>
    </row>
    <row r="369" spans="5:14">
      <c r="E369" s="352"/>
      <c r="N369" s="410"/>
    </row>
    <row r="370" spans="5:14">
      <c r="E370" s="352"/>
      <c r="N370" s="410"/>
    </row>
    <row r="371" spans="5:14">
      <c r="E371" s="352"/>
      <c r="N371" s="410"/>
    </row>
    <row r="372" spans="5:14">
      <c r="E372" s="352"/>
      <c r="N372" s="410"/>
    </row>
    <row r="373" spans="5:14">
      <c r="E373" s="352"/>
      <c r="N373" s="410"/>
    </row>
    <row r="374" spans="5:14">
      <c r="E374" s="352"/>
      <c r="N374" s="410"/>
    </row>
    <row r="375" spans="5:14">
      <c r="E375" s="352"/>
      <c r="N375" s="410"/>
    </row>
    <row r="376" spans="5:14">
      <c r="E376" s="352"/>
      <c r="N376" s="410"/>
    </row>
    <row r="377" spans="5:14">
      <c r="E377" s="352"/>
      <c r="N377" s="410"/>
    </row>
    <row r="378" spans="5:14">
      <c r="E378" s="352"/>
      <c r="N378" s="410"/>
    </row>
    <row r="379" spans="5:14">
      <c r="E379" s="352"/>
      <c r="N379" s="410"/>
    </row>
    <row r="380" spans="5:14">
      <c r="E380" s="352"/>
      <c r="N380" s="410"/>
    </row>
    <row r="381" spans="5:14">
      <c r="E381" s="352"/>
      <c r="N381" s="410"/>
    </row>
    <row r="382" spans="5:14">
      <c r="E382" s="352"/>
      <c r="N382" s="410"/>
    </row>
    <row r="383" spans="5:14">
      <c r="E383" s="352"/>
      <c r="N383" s="410"/>
    </row>
    <row r="384" spans="5:14">
      <c r="E384" s="352"/>
      <c r="N384" s="410"/>
    </row>
    <row r="385" spans="5:14">
      <c r="E385" s="352"/>
      <c r="N385" s="410"/>
    </row>
    <row r="386" spans="5:14">
      <c r="E386" s="352"/>
      <c r="N386" s="410"/>
    </row>
    <row r="387" spans="5:14">
      <c r="E387" s="352"/>
      <c r="N387" s="410"/>
    </row>
    <row r="388" spans="5:14">
      <c r="E388" s="352"/>
      <c r="N388" s="410"/>
    </row>
    <row r="389" spans="5:14">
      <c r="E389" s="352"/>
      <c r="N389" s="410"/>
    </row>
    <row r="390" spans="5:14">
      <c r="E390" s="352"/>
      <c r="N390" s="410"/>
    </row>
    <row r="391" spans="5:14">
      <c r="E391" s="352"/>
      <c r="N391" s="410"/>
    </row>
    <row r="392" spans="5:14">
      <c r="E392" s="352"/>
      <c r="N392" s="410"/>
    </row>
    <row r="393" spans="5:14">
      <c r="E393" s="352"/>
      <c r="N393" s="410"/>
    </row>
    <row r="394" spans="5:14">
      <c r="E394" s="352"/>
      <c r="N394" s="410"/>
    </row>
    <row r="395" spans="5:14">
      <c r="E395" s="352"/>
      <c r="N395" s="410"/>
    </row>
    <row r="396" spans="5:14">
      <c r="E396" s="352"/>
      <c r="N396" s="410"/>
    </row>
    <row r="397" spans="5:14">
      <c r="E397" s="352"/>
      <c r="N397" s="410"/>
    </row>
    <row r="398" spans="5:14">
      <c r="E398" s="352"/>
      <c r="N398" s="410"/>
    </row>
    <row r="399" spans="5:14">
      <c r="E399" s="352"/>
      <c r="N399" s="410"/>
    </row>
    <row r="400" spans="5:14">
      <c r="E400" s="352"/>
      <c r="N400" s="410"/>
    </row>
    <row r="401" spans="5:14">
      <c r="E401" s="352"/>
      <c r="N401" s="410"/>
    </row>
    <row r="402" spans="5:14">
      <c r="E402" s="352"/>
      <c r="N402" s="410"/>
    </row>
    <row r="403" spans="5:14">
      <c r="E403" s="352"/>
      <c r="N403" s="410"/>
    </row>
    <row r="404" spans="5:14">
      <c r="E404" s="352"/>
      <c r="N404" s="410"/>
    </row>
    <row r="405" spans="5:14">
      <c r="E405" s="352"/>
      <c r="N405" s="410"/>
    </row>
    <row r="406" spans="5:14">
      <c r="E406" s="352"/>
      <c r="N406" s="410"/>
    </row>
    <row r="407" spans="5:14">
      <c r="E407" s="352"/>
      <c r="N407" s="410"/>
    </row>
    <row r="408" spans="5:14">
      <c r="E408" s="352"/>
      <c r="N408" s="410"/>
    </row>
    <row r="409" spans="5:14">
      <c r="E409" s="352"/>
      <c r="N409" s="410"/>
    </row>
    <row r="410" spans="5:14">
      <c r="E410" s="352"/>
      <c r="N410" s="410"/>
    </row>
    <row r="411" spans="5:14">
      <c r="E411" s="352"/>
      <c r="N411" s="410"/>
    </row>
    <row r="412" spans="5:14">
      <c r="E412" s="352"/>
      <c r="N412" s="410"/>
    </row>
    <row r="413" spans="5:14">
      <c r="E413" s="352"/>
      <c r="N413" s="410"/>
    </row>
    <row r="414" spans="5:14">
      <c r="E414" s="352"/>
      <c r="N414" s="410"/>
    </row>
    <row r="415" spans="5:14">
      <c r="E415" s="352"/>
      <c r="N415" s="410"/>
    </row>
    <row r="416" spans="5:14">
      <c r="E416" s="352"/>
      <c r="N416" s="410"/>
    </row>
    <row r="417" spans="5:14">
      <c r="E417" s="352"/>
      <c r="N417" s="410"/>
    </row>
    <row r="418" spans="5:14">
      <c r="E418" s="352"/>
      <c r="N418" s="410"/>
    </row>
    <row r="419" spans="5:14">
      <c r="E419" s="352"/>
      <c r="N419" s="410"/>
    </row>
    <row r="420" spans="5:14">
      <c r="E420" s="352"/>
      <c r="N420" s="410"/>
    </row>
    <row r="421" spans="5:14">
      <c r="E421" s="352"/>
      <c r="N421" s="410"/>
    </row>
    <row r="422" spans="5:14">
      <c r="E422" s="352"/>
      <c r="N422" s="410"/>
    </row>
    <row r="423" spans="5:14">
      <c r="E423" s="352"/>
      <c r="N423" s="410"/>
    </row>
    <row r="424" spans="5:14">
      <c r="E424" s="352"/>
      <c r="N424" s="410"/>
    </row>
    <row r="425" spans="5:14">
      <c r="E425" s="352"/>
      <c r="N425" s="410"/>
    </row>
    <row r="426" spans="5:14">
      <c r="E426" s="352"/>
      <c r="N426" s="410"/>
    </row>
    <row r="427" spans="5:14">
      <c r="E427" s="352"/>
      <c r="N427" s="410"/>
    </row>
    <row r="428" spans="5:14">
      <c r="E428" s="352"/>
      <c r="N428" s="410"/>
    </row>
    <row r="429" spans="5:14">
      <c r="E429" s="352"/>
      <c r="N429" s="410"/>
    </row>
    <row r="430" spans="5:14">
      <c r="E430" s="352"/>
      <c r="N430" s="410"/>
    </row>
    <row r="431" spans="5:14">
      <c r="E431" s="352"/>
      <c r="N431" s="410"/>
    </row>
    <row r="432" spans="5:14">
      <c r="E432" s="352"/>
      <c r="N432" s="410"/>
    </row>
    <row r="433" spans="5:14">
      <c r="E433" s="352"/>
      <c r="N433" s="410"/>
    </row>
    <row r="434" spans="5:14">
      <c r="E434" s="352"/>
      <c r="N434" s="410"/>
    </row>
    <row r="435" spans="5:14">
      <c r="E435" s="352"/>
      <c r="N435" s="410"/>
    </row>
    <row r="436" spans="5:14">
      <c r="E436" s="352"/>
      <c r="N436" s="410"/>
    </row>
    <row r="437" spans="5:14">
      <c r="E437" s="352"/>
      <c r="N437" s="410"/>
    </row>
    <row r="438" spans="5:14">
      <c r="E438" s="352"/>
      <c r="N438" s="410"/>
    </row>
    <row r="439" spans="5:14">
      <c r="E439" s="352"/>
      <c r="N439" s="410"/>
    </row>
    <row r="440" spans="5:14">
      <c r="E440" s="352"/>
      <c r="N440" s="410"/>
    </row>
    <row r="441" spans="5:14">
      <c r="E441" s="352"/>
      <c r="N441" s="410"/>
    </row>
    <row r="442" spans="5:14">
      <c r="E442" s="352"/>
      <c r="N442" s="410"/>
    </row>
    <row r="443" spans="5:14">
      <c r="E443" s="352"/>
      <c r="N443" s="410"/>
    </row>
    <row r="444" spans="5:14">
      <c r="E444" s="352"/>
      <c r="N444" s="410"/>
    </row>
    <row r="445" spans="5:14">
      <c r="E445" s="352"/>
      <c r="N445" s="410"/>
    </row>
    <row r="446" spans="5:14">
      <c r="E446" s="352"/>
      <c r="N446" s="410"/>
    </row>
    <row r="447" spans="5:14">
      <c r="E447" s="352"/>
      <c r="N447" s="410"/>
    </row>
    <row r="448" spans="5:14">
      <c r="E448" s="352"/>
      <c r="N448" s="410"/>
    </row>
    <row r="449" spans="5:14">
      <c r="E449" s="352"/>
      <c r="N449" s="410"/>
    </row>
    <row r="450" spans="5:14">
      <c r="E450" s="352"/>
      <c r="N450" s="410"/>
    </row>
    <row r="451" spans="5:14">
      <c r="E451" s="352"/>
      <c r="N451" s="410"/>
    </row>
    <row r="452" spans="5:14">
      <c r="E452" s="352"/>
      <c r="N452" s="410"/>
    </row>
    <row r="453" spans="5:14">
      <c r="E453" s="352"/>
      <c r="N453" s="410"/>
    </row>
    <row r="454" spans="5:14">
      <c r="E454" s="352"/>
      <c r="N454" s="410"/>
    </row>
    <row r="455" spans="5:14">
      <c r="E455" s="352"/>
      <c r="N455" s="410"/>
    </row>
    <row r="456" spans="5:14">
      <c r="E456" s="352"/>
      <c r="N456" s="410"/>
    </row>
    <row r="457" spans="5:14">
      <c r="E457" s="352"/>
      <c r="N457" s="410"/>
    </row>
    <row r="458" spans="5:14">
      <c r="E458" s="352"/>
      <c r="N458" s="410"/>
    </row>
    <row r="459" spans="5:14">
      <c r="E459" s="352"/>
      <c r="N459" s="410"/>
    </row>
    <row r="460" spans="5:14">
      <c r="E460" s="352"/>
      <c r="N460" s="410"/>
    </row>
    <row r="461" spans="5:14">
      <c r="E461" s="352"/>
      <c r="N461" s="410"/>
    </row>
    <row r="462" spans="5:14">
      <c r="E462" s="352"/>
      <c r="N462" s="410"/>
    </row>
    <row r="463" spans="5:14">
      <c r="E463" s="352"/>
      <c r="N463" s="410"/>
    </row>
    <row r="464" spans="5:14">
      <c r="E464" s="352"/>
      <c r="N464" s="410"/>
    </row>
    <row r="465" spans="5:14">
      <c r="E465" s="352"/>
      <c r="N465" s="410"/>
    </row>
    <row r="466" spans="5:14">
      <c r="E466" s="352"/>
      <c r="N466" s="410"/>
    </row>
    <row r="467" spans="5:14">
      <c r="E467" s="352"/>
      <c r="N467" s="410"/>
    </row>
    <row r="468" spans="5:14">
      <c r="E468" s="352"/>
      <c r="N468" s="410"/>
    </row>
    <row r="469" spans="5:14">
      <c r="E469" s="352"/>
      <c r="N469" s="410"/>
    </row>
    <row r="470" spans="5:14">
      <c r="E470" s="352"/>
      <c r="N470" s="410"/>
    </row>
    <row r="471" spans="5:14">
      <c r="E471" s="352"/>
      <c r="N471" s="410"/>
    </row>
    <row r="472" spans="5:14">
      <c r="E472" s="352"/>
      <c r="N472" s="410"/>
    </row>
    <row r="473" spans="5:14">
      <c r="E473" s="352"/>
      <c r="N473" s="410"/>
    </row>
    <row r="474" spans="5:14">
      <c r="E474" s="352"/>
      <c r="N474" s="410"/>
    </row>
    <row r="475" spans="5:14">
      <c r="E475" s="352"/>
      <c r="N475" s="410"/>
    </row>
    <row r="476" spans="5:14">
      <c r="E476" s="352"/>
      <c r="N476" s="410"/>
    </row>
    <row r="477" spans="5:14">
      <c r="E477" s="352"/>
      <c r="N477" s="410"/>
    </row>
    <row r="478" spans="5:14">
      <c r="E478" s="352"/>
      <c r="N478" s="410"/>
    </row>
    <row r="479" spans="5:14">
      <c r="E479" s="352"/>
      <c r="N479" s="410"/>
    </row>
    <row r="480" spans="5:14">
      <c r="E480" s="352"/>
      <c r="N480" s="410"/>
    </row>
    <row r="481" spans="1:14">
      <c r="E481" s="352"/>
      <c r="N481" s="410"/>
    </row>
    <row r="482" spans="1:14" ht="12" thickBot="1">
      <c r="A482" s="1345"/>
      <c r="E482" s="352"/>
      <c r="N482" s="410"/>
    </row>
    <row r="483" spans="1:14" ht="12" thickBot="1">
      <c r="A483" s="1346"/>
      <c r="E483" s="352"/>
      <c r="N483" s="410"/>
    </row>
    <row r="484" spans="1:14" ht="12" thickBot="1">
      <c r="A484" s="1346"/>
      <c r="E484" s="352"/>
      <c r="N484" s="410"/>
    </row>
    <row r="485" spans="1:14" ht="12" thickBot="1">
      <c r="A485" s="1346"/>
      <c r="E485" s="352"/>
      <c r="N485" s="410"/>
    </row>
    <row r="486" spans="1:14" ht="12" thickBot="1">
      <c r="A486" s="1346"/>
      <c r="E486" s="352"/>
      <c r="N486" s="410"/>
    </row>
    <row r="487" spans="1:14" ht="12" thickBot="1">
      <c r="A487" s="1346"/>
      <c r="E487" s="352"/>
      <c r="N487" s="410"/>
    </row>
    <row r="488" spans="1:14" ht="12" thickBot="1">
      <c r="A488" s="1346"/>
      <c r="E488" s="352"/>
      <c r="M488" s="1333"/>
      <c r="N488" s="1339"/>
    </row>
    <row r="489" spans="1:14" ht="12" thickBot="1">
      <c r="A489" s="1346"/>
      <c r="C489" s="1333"/>
      <c r="E489" s="352"/>
      <c r="M489" s="1334"/>
      <c r="N489" s="1340"/>
    </row>
    <row r="490" spans="1:14" ht="12" thickBot="1">
      <c r="A490" s="1346"/>
      <c r="C490" s="1334"/>
      <c r="D490" s="1333"/>
      <c r="E490" s="1333"/>
      <c r="F490" s="1333"/>
      <c r="G490" s="1333"/>
      <c r="H490" s="1333"/>
      <c r="I490" s="1333"/>
      <c r="J490" s="1333"/>
      <c r="K490" s="1333"/>
      <c r="L490" s="1333"/>
      <c r="M490" s="1334"/>
      <c r="N490" s="1340"/>
    </row>
    <row r="491" spans="1:14" ht="12" thickBot="1">
      <c r="A491" s="1346"/>
      <c r="C491" s="1335"/>
      <c r="D491" s="1335"/>
      <c r="E491" s="1335"/>
      <c r="F491" s="1335"/>
      <c r="G491" s="1335"/>
      <c r="H491" s="1335"/>
      <c r="I491" s="1335"/>
      <c r="J491" s="1335"/>
      <c r="K491" s="1335"/>
      <c r="L491" s="1335"/>
      <c r="M491" s="1335"/>
      <c r="N491" s="1340"/>
    </row>
    <row r="492" spans="1:14" ht="12" thickBot="1">
      <c r="A492" s="1346"/>
      <c r="E492" s="352"/>
      <c r="N492" s="1340"/>
    </row>
    <row r="493" spans="1:14" ht="12" thickBot="1">
      <c r="A493" s="1346"/>
      <c r="E493" s="352"/>
      <c r="N493" s="1340"/>
    </row>
    <row r="494" spans="1:14" ht="12" thickBot="1">
      <c r="A494" s="1346"/>
      <c r="E494" s="352"/>
      <c r="N494" s="1340"/>
    </row>
    <row r="495" spans="1:14" ht="12" thickBot="1">
      <c r="A495" s="1346"/>
      <c r="E495" s="352"/>
      <c r="N495" s="1340"/>
    </row>
    <row r="496" spans="1:14" ht="12" thickBot="1">
      <c r="A496" s="1346"/>
      <c r="E496" s="352"/>
      <c r="N496" s="1341"/>
    </row>
    <row r="497" spans="1:14" ht="12" thickBot="1">
      <c r="A497" s="1346"/>
      <c r="E497" s="352"/>
      <c r="N497" s="410"/>
    </row>
    <row r="498" spans="1:14" ht="12" thickBot="1">
      <c r="A498" s="1346"/>
      <c r="E498" s="352"/>
      <c r="N498" s="410"/>
    </row>
    <row r="499" spans="1:14">
      <c r="A499" s="1347"/>
      <c r="E499" s="352"/>
      <c r="N499" s="410"/>
    </row>
    <row r="500" spans="1:14">
      <c r="E500" s="352"/>
      <c r="N500" s="410"/>
    </row>
    <row r="501" spans="1:14">
      <c r="E501" s="352"/>
      <c r="N501" s="410"/>
    </row>
    <row r="502" spans="1:14">
      <c r="E502" s="352"/>
      <c r="N502" s="410"/>
    </row>
    <row r="503" spans="1:14">
      <c r="E503" s="352"/>
      <c r="N503" s="410"/>
    </row>
    <row r="504" spans="1:14">
      <c r="E504" s="352"/>
      <c r="N504" s="410"/>
    </row>
    <row r="505" spans="1:14">
      <c r="E505" s="352"/>
      <c r="N505" s="410"/>
    </row>
    <row r="506" spans="1:14">
      <c r="E506" s="352"/>
      <c r="N506" s="410"/>
    </row>
    <row r="507" spans="1:14">
      <c r="E507" s="352"/>
      <c r="N507" s="410"/>
    </row>
    <row r="508" spans="1:14">
      <c r="E508" s="352"/>
      <c r="N508" s="410"/>
    </row>
    <row r="509" spans="1:14">
      <c r="E509" s="352"/>
      <c r="N509" s="410"/>
    </row>
    <row r="510" spans="1:14">
      <c r="E510" s="352"/>
      <c r="N510" s="410"/>
    </row>
    <row r="511" spans="1:14">
      <c r="E511" s="352"/>
      <c r="N511" s="410"/>
    </row>
    <row r="512" spans="1:14">
      <c r="E512" s="352"/>
      <c r="N512" s="410"/>
    </row>
    <row r="513" spans="5:14">
      <c r="E513" s="352"/>
      <c r="N513" s="410"/>
    </row>
    <row r="514" spans="5:14">
      <c r="E514" s="352"/>
      <c r="N514" s="410"/>
    </row>
    <row r="515" spans="5:14">
      <c r="E515" s="352"/>
      <c r="N515" s="410"/>
    </row>
    <row r="516" spans="5:14">
      <c r="E516" s="352"/>
      <c r="N516" s="410"/>
    </row>
    <row r="517" spans="5:14">
      <c r="E517" s="352"/>
      <c r="N517" s="410"/>
    </row>
    <row r="518" spans="5:14">
      <c r="E518" s="352"/>
      <c r="N518" s="410"/>
    </row>
    <row r="519" spans="5:14">
      <c r="E519" s="352"/>
      <c r="N519" s="410"/>
    </row>
    <row r="520" spans="5:14">
      <c r="E520" s="352"/>
      <c r="N520" s="410"/>
    </row>
    <row r="521" spans="5:14">
      <c r="E521" s="352"/>
      <c r="N521" s="410"/>
    </row>
    <row r="522" spans="5:14">
      <c r="E522" s="352"/>
      <c r="N522" s="410"/>
    </row>
    <row r="523" spans="5:14">
      <c r="E523" s="352"/>
      <c r="N523" s="410"/>
    </row>
    <row r="524" spans="5:14">
      <c r="E524" s="352"/>
      <c r="N524" s="410"/>
    </row>
    <row r="525" spans="5:14">
      <c r="E525" s="352"/>
      <c r="N525" s="410"/>
    </row>
    <row r="526" spans="5:14">
      <c r="E526" s="352"/>
      <c r="N526" s="410"/>
    </row>
    <row r="527" spans="5:14">
      <c r="E527" s="352"/>
      <c r="N527" s="410"/>
    </row>
    <row r="528" spans="5:14">
      <c r="E528" s="352"/>
      <c r="N528" s="410"/>
    </row>
    <row r="529" spans="5:14">
      <c r="E529" s="352"/>
      <c r="N529" s="410"/>
    </row>
    <row r="530" spans="5:14">
      <c r="E530" s="352"/>
      <c r="N530" s="410"/>
    </row>
    <row r="531" spans="5:14">
      <c r="E531" s="352"/>
      <c r="N531" s="410"/>
    </row>
    <row r="532" spans="5:14">
      <c r="E532" s="352"/>
      <c r="N532" s="410"/>
    </row>
    <row r="533" spans="5:14">
      <c r="E533" s="352"/>
      <c r="N533" s="410"/>
    </row>
    <row r="534" spans="5:14">
      <c r="E534" s="352"/>
      <c r="N534" s="410"/>
    </row>
    <row r="535" spans="5:14">
      <c r="E535" s="352"/>
      <c r="N535" s="410"/>
    </row>
    <row r="536" spans="5:14">
      <c r="E536" s="352"/>
      <c r="N536" s="410"/>
    </row>
    <row r="537" spans="5:14">
      <c r="E537" s="352"/>
      <c r="N537" s="410"/>
    </row>
    <row r="538" spans="5:14">
      <c r="E538" s="352"/>
      <c r="N538" s="410"/>
    </row>
    <row r="539" spans="5:14">
      <c r="E539" s="352"/>
      <c r="N539" s="410"/>
    </row>
    <row r="540" spans="5:14">
      <c r="E540" s="352"/>
      <c r="N540" s="410"/>
    </row>
    <row r="541" spans="5:14">
      <c r="E541" s="352"/>
      <c r="N541" s="410"/>
    </row>
    <row r="542" spans="5:14">
      <c r="E542" s="352"/>
      <c r="N542" s="410"/>
    </row>
    <row r="543" spans="5:14">
      <c r="E543" s="352"/>
      <c r="N543" s="410"/>
    </row>
    <row r="544" spans="5:14">
      <c r="E544" s="352"/>
      <c r="N544" s="410"/>
    </row>
    <row r="545" spans="5:14">
      <c r="E545" s="352"/>
      <c r="N545" s="410"/>
    </row>
    <row r="546" spans="5:14">
      <c r="E546" s="352"/>
      <c r="N546" s="410"/>
    </row>
    <row r="547" spans="5:14">
      <c r="E547" s="352"/>
      <c r="N547" s="410"/>
    </row>
    <row r="548" spans="5:14">
      <c r="E548" s="352"/>
      <c r="N548" s="410"/>
    </row>
    <row r="549" spans="5:14">
      <c r="E549" s="352"/>
      <c r="N549" s="410"/>
    </row>
    <row r="550" spans="5:14">
      <c r="E550" s="352"/>
      <c r="N550" s="410"/>
    </row>
    <row r="551" spans="5:14">
      <c r="E551" s="352"/>
      <c r="N551" s="410"/>
    </row>
    <row r="552" spans="5:14">
      <c r="E552" s="352"/>
      <c r="N552" s="410"/>
    </row>
    <row r="553" spans="5:14">
      <c r="E553" s="352"/>
      <c r="N553" s="410"/>
    </row>
    <row r="554" spans="5:14">
      <c r="E554" s="352"/>
      <c r="N554" s="410"/>
    </row>
    <row r="555" spans="5:14">
      <c r="E555" s="352"/>
      <c r="N555" s="410"/>
    </row>
    <row r="556" spans="5:14">
      <c r="E556" s="352"/>
      <c r="N556" s="410"/>
    </row>
    <row r="557" spans="5:14">
      <c r="E557" s="352"/>
      <c r="N557" s="410"/>
    </row>
    <row r="558" spans="5:14">
      <c r="E558" s="352"/>
      <c r="N558" s="410"/>
    </row>
    <row r="559" spans="5:14">
      <c r="E559" s="352"/>
      <c r="N559" s="410"/>
    </row>
    <row r="560" spans="5:14">
      <c r="E560" s="352"/>
      <c r="N560" s="410"/>
    </row>
    <row r="561" spans="5:14">
      <c r="E561" s="352"/>
      <c r="N561" s="410"/>
    </row>
    <row r="562" spans="5:14">
      <c r="E562" s="352"/>
      <c r="N562" s="410"/>
    </row>
    <row r="563" spans="5:14">
      <c r="E563" s="352"/>
      <c r="N563" s="410"/>
    </row>
    <row r="564" spans="5:14">
      <c r="E564" s="352"/>
      <c r="N564" s="410"/>
    </row>
    <row r="565" spans="5:14">
      <c r="E565" s="352"/>
      <c r="N565" s="410"/>
    </row>
    <row r="566" spans="5:14">
      <c r="E566" s="352"/>
      <c r="N566" s="410"/>
    </row>
    <row r="567" spans="5:14">
      <c r="E567" s="352"/>
      <c r="N567" s="410"/>
    </row>
    <row r="568" spans="5:14">
      <c r="E568" s="352"/>
      <c r="N568" s="410"/>
    </row>
    <row r="569" spans="5:14">
      <c r="E569" s="352"/>
      <c r="N569" s="410"/>
    </row>
    <row r="570" spans="5:14">
      <c r="E570" s="352"/>
      <c r="N570" s="410"/>
    </row>
    <row r="571" spans="5:14">
      <c r="E571" s="352"/>
      <c r="N571" s="410"/>
    </row>
    <row r="572" spans="5:14">
      <c r="E572" s="352"/>
      <c r="N572" s="410"/>
    </row>
    <row r="573" spans="5:14">
      <c r="E573" s="352"/>
      <c r="N573" s="410"/>
    </row>
    <row r="574" spans="5:14">
      <c r="E574" s="352"/>
      <c r="N574" s="410"/>
    </row>
    <row r="575" spans="5:14">
      <c r="E575" s="352"/>
      <c r="N575" s="410"/>
    </row>
    <row r="576" spans="5:14">
      <c r="E576" s="352"/>
      <c r="N576" s="410"/>
    </row>
    <row r="577" spans="5:14">
      <c r="E577" s="352"/>
      <c r="N577" s="410"/>
    </row>
    <row r="578" spans="5:14">
      <c r="E578" s="352"/>
      <c r="N578" s="410"/>
    </row>
    <row r="579" spans="5:14">
      <c r="E579" s="352"/>
      <c r="N579" s="410"/>
    </row>
    <row r="580" spans="5:14">
      <c r="E580" s="352"/>
      <c r="N580" s="410"/>
    </row>
    <row r="581" spans="5:14">
      <c r="E581" s="352"/>
      <c r="N581" s="410"/>
    </row>
    <row r="582" spans="5:14">
      <c r="E582" s="352"/>
      <c r="N582" s="410"/>
    </row>
    <row r="583" spans="5:14">
      <c r="E583" s="352"/>
      <c r="N583" s="410"/>
    </row>
    <row r="584" spans="5:14">
      <c r="E584" s="352"/>
      <c r="N584" s="410"/>
    </row>
    <row r="585" spans="5:14">
      <c r="E585" s="352"/>
      <c r="N585" s="410"/>
    </row>
    <row r="586" spans="5:14">
      <c r="E586" s="352"/>
      <c r="N586" s="410"/>
    </row>
    <row r="587" spans="5:14">
      <c r="E587" s="352"/>
      <c r="N587" s="410"/>
    </row>
    <row r="588" spans="5:14">
      <c r="E588" s="352"/>
      <c r="N588" s="410"/>
    </row>
    <row r="589" spans="5:14">
      <c r="E589" s="352"/>
      <c r="N589" s="410"/>
    </row>
    <row r="590" spans="5:14">
      <c r="E590" s="352"/>
      <c r="N590" s="410"/>
    </row>
    <row r="591" spans="5:14">
      <c r="E591" s="352"/>
      <c r="N591" s="410"/>
    </row>
    <row r="592" spans="5:14">
      <c r="E592" s="352"/>
      <c r="N592" s="410"/>
    </row>
    <row r="593" spans="1:14">
      <c r="E593" s="352"/>
      <c r="N593" s="410"/>
    </row>
    <row r="594" spans="1:14">
      <c r="E594" s="352"/>
      <c r="N594" s="410"/>
    </row>
    <row r="595" spans="1:14">
      <c r="E595" s="352"/>
      <c r="N595" s="410"/>
    </row>
    <row r="596" spans="1:14">
      <c r="E596" s="352"/>
      <c r="N596" s="410"/>
    </row>
    <row r="597" spans="1:14" ht="12" thickBot="1">
      <c r="E597" s="352"/>
      <c r="N597" s="1339"/>
    </row>
    <row r="598" spans="1:14" ht="12" thickBot="1">
      <c r="E598" s="352"/>
      <c r="N598" s="1340"/>
    </row>
    <row r="599" spans="1:14" ht="12" thickBot="1">
      <c r="E599" s="352"/>
      <c r="N599" s="1340"/>
    </row>
    <row r="600" spans="1:14" ht="12" thickBot="1">
      <c r="E600" s="352"/>
      <c r="N600" s="1340"/>
    </row>
    <row r="601" spans="1:14" ht="12" thickBot="1">
      <c r="E601" s="352"/>
      <c r="M601" s="1333"/>
      <c r="N601" s="1340"/>
    </row>
    <row r="602" spans="1:14" ht="12" thickBot="1">
      <c r="E602" s="352"/>
      <c r="M602" s="1334"/>
      <c r="N602" s="1340"/>
    </row>
    <row r="603" spans="1:14" ht="12" thickBot="1">
      <c r="E603" s="352"/>
      <c r="M603" s="1334"/>
      <c r="N603" s="1340"/>
    </row>
    <row r="604" spans="1:14" ht="12" thickBot="1">
      <c r="E604" s="352"/>
      <c r="M604" s="1334"/>
      <c r="N604" s="1340"/>
    </row>
    <row r="605" spans="1:14" ht="12" thickBot="1">
      <c r="E605" s="352"/>
      <c r="M605" s="1334"/>
      <c r="N605" s="1340"/>
    </row>
    <row r="606" spans="1:14" ht="12" thickBot="1">
      <c r="A606" s="1345"/>
      <c r="B606" s="1333"/>
      <c r="C606" s="1333"/>
      <c r="D606" s="1333"/>
      <c r="E606" s="1333"/>
      <c r="F606" s="1333"/>
      <c r="G606" s="1333"/>
      <c r="H606" s="1333"/>
      <c r="I606" s="1333"/>
      <c r="J606" s="1333"/>
      <c r="K606" s="1333"/>
      <c r="L606" s="1333"/>
      <c r="M606" s="1334"/>
      <c r="N606" s="1340"/>
    </row>
    <row r="607" spans="1:14" ht="12" thickBot="1">
      <c r="A607" s="1346"/>
      <c r="B607" s="1335"/>
      <c r="C607" s="1335"/>
      <c r="D607" s="1335"/>
      <c r="E607" s="1335"/>
      <c r="F607" s="1335"/>
      <c r="G607" s="1335"/>
      <c r="H607" s="1335"/>
      <c r="I607" s="1335"/>
      <c r="J607" s="1335"/>
      <c r="K607" s="1335"/>
      <c r="L607" s="1335"/>
      <c r="M607" s="1335"/>
      <c r="N607" s="1340"/>
    </row>
    <row r="608" spans="1:14" ht="12" thickBot="1">
      <c r="A608" s="1346"/>
      <c r="E608" s="352"/>
      <c r="N608" s="1340"/>
    </row>
    <row r="609" spans="1:14" ht="12" thickBot="1">
      <c r="A609" s="1346"/>
      <c r="E609" s="352"/>
      <c r="N609" s="1340"/>
    </row>
    <row r="610" spans="1:14" ht="12" thickBot="1">
      <c r="A610" s="1346"/>
      <c r="E610" s="352"/>
      <c r="N610" s="1340"/>
    </row>
    <row r="611" spans="1:14" ht="12" thickBot="1">
      <c r="A611" s="1346"/>
      <c r="E611" s="352"/>
      <c r="N611" s="1340"/>
    </row>
    <row r="612" spans="1:14" ht="12" thickBot="1">
      <c r="A612" s="1346"/>
      <c r="E612" s="352"/>
      <c r="N612" s="1340"/>
    </row>
    <row r="613" spans="1:14" ht="12" thickBot="1">
      <c r="A613" s="1346"/>
      <c r="E613" s="352"/>
      <c r="N613" s="1340"/>
    </row>
    <row r="614" spans="1:14">
      <c r="A614" s="1347"/>
      <c r="E614" s="352"/>
      <c r="N614" s="1341"/>
    </row>
    <row r="615" spans="1:14">
      <c r="E615" s="352"/>
      <c r="N615" s="410"/>
    </row>
    <row r="616" spans="1:14">
      <c r="E616" s="352"/>
      <c r="N616" s="410"/>
    </row>
    <row r="617" spans="1:14">
      <c r="E617" s="352"/>
      <c r="N617" s="410"/>
    </row>
    <row r="618" spans="1:14">
      <c r="E618" s="352"/>
      <c r="N618" s="410"/>
    </row>
    <row r="619" spans="1:14">
      <c r="E619" s="352"/>
      <c r="N619" s="410"/>
    </row>
    <row r="620" spans="1:14">
      <c r="E620" s="352"/>
      <c r="N620" s="410"/>
    </row>
    <row r="621" spans="1:14">
      <c r="E621" s="352"/>
      <c r="N621" s="410"/>
    </row>
    <row r="622" spans="1:14">
      <c r="E622" s="352"/>
      <c r="N622" s="410"/>
    </row>
    <row r="623" spans="1:14">
      <c r="E623" s="352"/>
      <c r="N623" s="410"/>
    </row>
    <row r="624" spans="1:14">
      <c r="E624" s="352"/>
      <c r="N624" s="410"/>
    </row>
    <row r="625" spans="5:14">
      <c r="E625" s="352"/>
      <c r="N625" s="410"/>
    </row>
    <row r="626" spans="5:14">
      <c r="E626" s="352"/>
      <c r="N626" s="410"/>
    </row>
    <row r="627" spans="5:14">
      <c r="E627" s="352"/>
      <c r="N627" s="410"/>
    </row>
    <row r="628" spans="5:14">
      <c r="E628" s="352"/>
      <c r="N628" s="410"/>
    </row>
    <row r="629" spans="5:14">
      <c r="E629" s="352"/>
      <c r="N629" s="410"/>
    </row>
    <row r="630" spans="5:14">
      <c r="E630" s="352"/>
      <c r="N630" s="410"/>
    </row>
    <row r="631" spans="5:14">
      <c r="E631" s="352"/>
      <c r="N631" s="410"/>
    </row>
    <row r="632" spans="5:14">
      <c r="E632" s="352"/>
      <c r="N632" s="410"/>
    </row>
    <row r="633" spans="5:14">
      <c r="E633" s="352"/>
      <c r="N633" s="410"/>
    </row>
    <row r="634" spans="5:14">
      <c r="E634" s="352"/>
      <c r="N634" s="410"/>
    </row>
    <row r="635" spans="5:14">
      <c r="E635" s="352"/>
      <c r="N635" s="410"/>
    </row>
    <row r="636" spans="5:14">
      <c r="E636" s="352"/>
      <c r="N636" s="410"/>
    </row>
    <row r="637" spans="5:14">
      <c r="E637" s="352"/>
      <c r="N637" s="410"/>
    </row>
    <row r="638" spans="5:14">
      <c r="E638" s="352"/>
      <c r="N638" s="410"/>
    </row>
    <row r="639" spans="5:14">
      <c r="E639" s="352"/>
      <c r="N639" s="410"/>
    </row>
    <row r="640" spans="5:14">
      <c r="E640" s="352"/>
      <c r="N640" s="410"/>
    </row>
    <row r="641" spans="5:14">
      <c r="E641" s="352"/>
      <c r="N641" s="410"/>
    </row>
    <row r="642" spans="5:14">
      <c r="E642" s="352"/>
      <c r="N642" s="410"/>
    </row>
    <row r="643" spans="5:14">
      <c r="E643" s="352"/>
      <c r="N643" s="410"/>
    </row>
    <row r="644" spans="5:14">
      <c r="E644" s="352"/>
      <c r="N644" s="410"/>
    </row>
    <row r="645" spans="5:14">
      <c r="E645" s="352"/>
      <c r="N645" s="410"/>
    </row>
    <row r="646" spans="5:14">
      <c r="E646" s="352"/>
      <c r="N646" s="410"/>
    </row>
    <row r="647" spans="5:14">
      <c r="E647" s="352"/>
      <c r="N647" s="410"/>
    </row>
    <row r="648" spans="5:14">
      <c r="E648" s="352"/>
      <c r="N648" s="410"/>
    </row>
    <row r="649" spans="5:14">
      <c r="E649" s="352"/>
      <c r="N649" s="410"/>
    </row>
    <row r="650" spans="5:14">
      <c r="E650" s="352"/>
      <c r="N650" s="410"/>
    </row>
    <row r="651" spans="5:14">
      <c r="E651" s="352"/>
      <c r="N651" s="410"/>
    </row>
    <row r="652" spans="5:14">
      <c r="E652" s="352"/>
      <c r="N652" s="410"/>
    </row>
    <row r="653" spans="5:14">
      <c r="E653" s="352"/>
      <c r="N653" s="410"/>
    </row>
    <row r="654" spans="5:14">
      <c r="E654" s="352"/>
      <c r="N654" s="410"/>
    </row>
    <row r="655" spans="5:14">
      <c r="E655" s="352"/>
      <c r="N655" s="410"/>
    </row>
    <row r="656" spans="5:14">
      <c r="E656" s="352"/>
      <c r="N656" s="410"/>
    </row>
    <row r="657" spans="5:14">
      <c r="E657" s="352"/>
      <c r="N657" s="410"/>
    </row>
    <row r="658" spans="5:14">
      <c r="E658" s="352"/>
      <c r="N658" s="410"/>
    </row>
    <row r="659" spans="5:14">
      <c r="E659" s="352"/>
      <c r="N659" s="410"/>
    </row>
    <row r="660" spans="5:14">
      <c r="E660" s="352"/>
      <c r="N660" s="410"/>
    </row>
    <row r="661" spans="5:14">
      <c r="E661" s="352"/>
      <c r="N661" s="410"/>
    </row>
    <row r="662" spans="5:14">
      <c r="E662" s="352"/>
      <c r="N662" s="410"/>
    </row>
    <row r="663" spans="5:14">
      <c r="E663" s="352"/>
      <c r="N663" s="410"/>
    </row>
    <row r="664" spans="5:14">
      <c r="E664" s="352"/>
      <c r="N664" s="410"/>
    </row>
    <row r="665" spans="5:14">
      <c r="E665" s="352"/>
      <c r="N665" s="410"/>
    </row>
    <row r="666" spans="5:14">
      <c r="E666" s="352"/>
      <c r="N666" s="410"/>
    </row>
    <row r="667" spans="5:14">
      <c r="E667" s="352"/>
      <c r="N667" s="410"/>
    </row>
    <row r="668" spans="5:14">
      <c r="E668" s="352"/>
      <c r="N668" s="410"/>
    </row>
    <row r="669" spans="5:14">
      <c r="E669" s="352"/>
      <c r="N669" s="410"/>
    </row>
    <row r="670" spans="5:14">
      <c r="E670" s="352"/>
      <c r="N670" s="410"/>
    </row>
    <row r="671" spans="5:14">
      <c r="E671" s="352"/>
      <c r="N671" s="410"/>
    </row>
    <row r="672" spans="5:14">
      <c r="E672" s="352"/>
      <c r="N672" s="410"/>
    </row>
    <row r="673" spans="5:14">
      <c r="E673" s="352"/>
      <c r="N673" s="410"/>
    </row>
    <row r="674" spans="5:14">
      <c r="E674" s="352"/>
      <c r="N674" s="410"/>
    </row>
    <row r="675" spans="5:14">
      <c r="E675" s="352"/>
      <c r="N675" s="410"/>
    </row>
    <row r="676" spans="5:14">
      <c r="E676" s="352"/>
      <c r="N676" s="410"/>
    </row>
    <row r="677" spans="5:14">
      <c r="E677" s="352"/>
      <c r="N677" s="410"/>
    </row>
    <row r="678" spans="5:14">
      <c r="E678" s="352"/>
      <c r="N678" s="410"/>
    </row>
    <row r="679" spans="5:14">
      <c r="E679" s="352"/>
      <c r="N679" s="410"/>
    </row>
    <row r="680" spans="5:14">
      <c r="E680" s="352"/>
      <c r="N680" s="410"/>
    </row>
    <row r="681" spans="5:14">
      <c r="E681" s="352"/>
      <c r="N681" s="410"/>
    </row>
    <row r="682" spans="5:14">
      <c r="E682" s="352"/>
      <c r="N682" s="410"/>
    </row>
    <row r="683" spans="5:14">
      <c r="E683" s="352"/>
      <c r="N683" s="410"/>
    </row>
    <row r="684" spans="5:14">
      <c r="E684" s="352"/>
      <c r="N684" s="410"/>
    </row>
    <row r="685" spans="5:14">
      <c r="E685" s="352"/>
      <c r="N685" s="410"/>
    </row>
    <row r="686" spans="5:14">
      <c r="E686" s="352"/>
      <c r="N686" s="410"/>
    </row>
    <row r="687" spans="5:14">
      <c r="E687" s="352"/>
      <c r="N687" s="410"/>
    </row>
    <row r="688" spans="5:14">
      <c r="E688" s="352"/>
      <c r="N688" s="410"/>
    </row>
    <row r="689" spans="5:14">
      <c r="E689" s="352"/>
      <c r="N689" s="410"/>
    </row>
    <row r="690" spans="5:14">
      <c r="E690" s="352"/>
      <c r="N690" s="410"/>
    </row>
    <row r="691" spans="5:14">
      <c r="E691" s="352"/>
      <c r="N691" s="410"/>
    </row>
    <row r="692" spans="5:14">
      <c r="E692" s="352"/>
      <c r="N692" s="410"/>
    </row>
    <row r="693" spans="5:14">
      <c r="E693" s="352"/>
      <c r="N693" s="410"/>
    </row>
    <row r="694" spans="5:14">
      <c r="E694" s="352"/>
      <c r="N694" s="410"/>
    </row>
    <row r="695" spans="5:14">
      <c r="E695" s="352"/>
      <c r="N695" s="410"/>
    </row>
    <row r="696" spans="5:14">
      <c r="E696" s="352"/>
      <c r="N696" s="410"/>
    </row>
    <row r="697" spans="5:14">
      <c r="E697" s="352"/>
      <c r="N697" s="410"/>
    </row>
    <row r="698" spans="5:14">
      <c r="E698" s="352"/>
      <c r="N698" s="410"/>
    </row>
    <row r="699" spans="5:14">
      <c r="E699" s="352"/>
      <c r="N699" s="410"/>
    </row>
    <row r="700" spans="5:14">
      <c r="E700" s="352"/>
      <c r="N700" s="410"/>
    </row>
    <row r="701" spans="5:14">
      <c r="E701" s="352"/>
      <c r="N701" s="410"/>
    </row>
    <row r="702" spans="5:14">
      <c r="E702" s="352"/>
      <c r="N702" s="410"/>
    </row>
    <row r="703" spans="5:14">
      <c r="E703" s="352"/>
      <c r="N703" s="410"/>
    </row>
    <row r="704" spans="5:14">
      <c r="E704" s="352"/>
      <c r="N704" s="410"/>
    </row>
    <row r="705" spans="5:14">
      <c r="E705" s="352"/>
      <c r="N705" s="410"/>
    </row>
    <row r="706" spans="5:14">
      <c r="E706" s="352"/>
      <c r="N706" s="410"/>
    </row>
    <row r="707" spans="5:14">
      <c r="E707" s="352"/>
      <c r="N707" s="410"/>
    </row>
    <row r="708" spans="5:14">
      <c r="E708" s="352"/>
      <c r="N708" s="410"/>
    </row>
    <row r="709" spans="5:14">
      <c r="E709" s="352"/>
      <c r="N709" s="410"/>
    </row>
    <row r="710" spans="5:14">
      <c r="E710" s="352"/>
      <c r="N710" s="410"/>
    </row>
    <row r="711" spans="5:14">
      <c r="E711" s="352"/>
      <c r="N711" s="410"/>
    </row>
    <row r="712" spans="5:14">
      <c r="E712" s="352"/>
      <c r="N712" s="410"/>
    </row>
    <row r="713" spans="5:14">
      <c r="E713" s="352"/>
      <c r="N713" s="410"/>
    </row>
    <row r="714" spans="5:14">
      <c r="E714" s="352"/>
      <c r="N714" s="410"/>
    </row>
    <row r="715" spans="5:14">
      <c r="E715" s="352"/>
      <c r="N715" s="410"/>
    </row>
    <row r="716" spans="5:14">
      <c r="E716" s="352"/>
      <c r="N716" s="410"/>
    </row>
    <row r="717" spans="5:14">
      <c r="E717" s="352"/>
      <c r="N717" s="410"/>
    </row>
    <row r="718" spans="5:14">
      <c r="E718" s="352"/>
      <c r="N718" s="410"/>
    </row>
    <row r="719" spans="5:14">
      <c r="E719" s="352"/>
      <c r="N719" s="410"/>
    </row>
    <row r="720" spans="5:14">
      <c r="E720" s="352"/>
      <c r="N720" s="410"/>
    </row>
    <row r="721" spans="5:14">
      <c r="E721" s="352"/>
      <c r="N721" s="410"/>
    </row>
    <row r="722" spans="5:14">
      <c r="E722" s="352"/>
      <c r="N722" s="410"/>
    </row>
    <row r="723" spans="5:14">
      <c r="E723" s="352"/>
      <c r="N723" s="410"/>
    </row>
    <row r="724" spans="5:14">
      <c r="E724" s="352"/>
      <c r="N724" s="410"/>
    </row>
    <row r="725" spans="5:14">
      <c r="E725" s="352"/>
      <c r="N725" s="410"/>
    </row>
    <row r="726" spans="5:14">
      <c r="E726" s="352"/>
      <c r="N726" s="410"/>
    </row>
    <row r="727" spans="5:14">
      <c r="E727" s="352"/>
      <c r="N727" s="410"/>
    </row>
    <row r="728" spans="5:14">
      <c r="E728" s="352"/>
      <c r="N728" s="410"/>
    </row>
    <row r="729" spans="5:14">
      <c r="E729" s="352"/>
      <c r="N729" s="410"/>
    </row>
    <row r="730" spans="5:14">
      <c r="E730" s="352"/>
      <c r="N730" s="410"/>
    </row>
    <row r="731" spans="5:14">
      <c r="E731" s="352"/>
      <c r="N731" s="410"/>
    </row>
    <row r="732" spans="5:14">
      <c r="E732" s="352"/>
      <c r="N732" s="410"/>
    </row>
    <row r="733" spans="5:14">
      <c r="E733" s="352"/>
      <c r="N733" s="410"/>
    </row>
    <row r="734" spans="5:14">
      <c r="E734" s="352"/>
      <c r="N734" s="410"/>
    </row>
    <row r="735" spans="5:14">
      <c r="E735" s="352"/>
      <c r="N735" s="410"/>
    </row>
    <row r="736" spans="5:14">
      <c r="E736" s="352"/>
      <c r="N736" s="410"/>
    </row>
    <row r="737" spans="5:14">
      <c r="E737" s="352"/>
      <c r="N737" s="410"/>
    </row>
    <row r="738" spans="5:14">
      <c r="E738" s="352"/>
      <c r="N738" s="410"/>
    </row>
    <row r="739" spans="5:14">
      <c r="E739" s="352"/>
      <c r="N739" s="410"/>
    </row>
  </sheetData>
  <mergeCells count="188">
    <mergeCell ref="N86:N92"/>
    <mergeCell ref="C88:C92"/>
    <mergeCell ref="M93:M97"/>
    <mergeCell ref="N93:N97"/>
    <mergeCell ref="C94:C95"/>
    <mergeCell ref="C96:C97"/>
    <mergeCell ref="N145:N147"/>
    <mergeCell ref="N139:N144"/>
    <mergeCell ref="N154:N156"/>
    <mergeCell ref="N148:N153"/>
    <mergeCell ref="M118:M122"/>
    <mergeCell ref="A123:A138"/>
    <mergeCell ref="A50:A61"/>
    <mergeCell ref="C52:C56"/>
    <mergeCell ref="C60:C61"/>
    <mergeCell ref="A98:A106"/>
    <mergeCell ref="C100:C103"/>
    <mergeCell ref="C105:C106"/>
    <mergeCell ref="C109:C115"/>
    <mergeCell ref="A62:A73"/>
    <mergeCell ref="C70:C71"/>
    <mergeCell ref="C72:C73"/>
    <mergeCell ref="A74:A85"/>
    <mergeCell ref="D123:J123"/>
    <mergeCell ref="D107:J107"/>
    <mergeCell ref="N50:N56"/>
    <mergeCell ref="M57:M61"/>
    <mergeCell ref="N57:N61"/>
    <mergeCell ref="C58:C59"/>
    <mergeCell ref="N81:N85"/>
    <mergeCell ref="C82:C83"/>
    <mergeCell ref="A86:A97"/>
    <mergeCell ref="B3:B4"/>
    <mergeCell ref="C3:C4"/>
    <mergeCell ref="D3:D4"/>
    <mergeCell ref="N3:N4"/>
    <mergeCell ref="M3:M4"/>
    <mergeCell ref="L3:L4"/>
    <mergeCell ref="F3:J3"/>
    <mergeCell ref="C46:C47"/>
    <mergeCell ref="C32:C33"/>
    <mergeCell ref="N36:N42"/>
    <mergeCell ref="N45:N49"/>
    <mergeCell ref="M45:M49"/>
    <mergeCell ref="C38:C42"/>
    <mergeCell ref="N24:N30"/>
    <mergeCell ref="N31:N35"/>
    <mergeCell ref="K3:K4"/>
    <mergeCell ref="M17:M23"/>
    <mergeCell ref="A182:A190"/>
    <mergeCell ref="C184:C187"/>
    <mergeCell ref="A157:A168"/>
    <mergeCell ref="C159:C163"/>
    <mergeCell ref="M154:M156"/>
    <mergeCell ref="C155:C156"/>
    <mergeCell ref="C150:C153"/>
    <mergeCell ref="A148:A156"/>
    <mergeCell ref="A24:A35"/>
    <mergeCell ref="C34:C35"/>
    <mergeCell ref="C26:C30"/>
    <mergeCell ref="M31:M35"/>
    <mergeCell ref="A36:A49"/>
    <mergeCell ref="C48:C49"/>
    <mergeCell ref="C146:C147"/>
    <mergeCell ref="C141:C144"/>
    <mergeCell ref="M145:M147"/>
    <mergeCell ref="C84:C85"/>
    <mergeCell ref="N62:N68"/>
    <mergeCell ref="C64:C68"/>
    <mergeCell ref="M69:M73"/>
    <mergeCell ref="N69:N73"/>
    <mergeCell ref="N74:N80"/>
    <mergeCell ref="M81:M85"/>
    <mergeCell ref="N340:N343"/>
    <mergeCell ref="C342:C343"/>
    <mergeCell ref="C333:C336"/>
    <mergeCell ref="N329:N339"/>
    <mergeCell ref="M337:M339"/>
    <mergeCell ref="C297:C301"/>
    <mergeCell ref="N104:N106"/>
    <mergeCell ref="N134:N138"/>
    <mergeCell ref="N230:N239"/>
    <mergeCell ref="C232:C239"/>
    <mergeCell ref="N240:N242"/>
    <mergeCell ref="C241:C242"/>
    <mergeCell ref="C245:C248"/>
    <mergeCell ref="M249:M251"/>
    <mergeCell ref="N249:N251"/>
    <mergeCell ref="M240:M242"/>
    <mergeCell ref="C250:C251"/>
    <mergeCell ref="N243:N248"/>
    <mergeCell ref="A295:A306"/>
    <mergeCell ref="A107:A122"/>
    <mergeCell ref="C119:C122"/>
    <mergeCell ref="C76:C80"/>
    <mergeCell ref="M104:M106"/>
    <mergeCell ref="C135:C138"/>
    <mergeCell ref="M134:M138"/>
    <mergeCell ref="C125:C131"/>
    <mergeCell ref="N124:N131"/>
    <mergeCell ref="N107:N115"/>
    <mergeCell ref="N98:N103"/>
    <mergeCell ref="N118:N122"/>
    <mergeCell ref="C206:C212"/>
    <mergeCell ref="C219:C226"/>
    <mergeCell ref="A139:A147"/>
    <mergeCell ref="A169:A181"/>
    <mergeCell ref="M179:M181"/>
    <mergeCell ref="C180:C181"/>
    <mergeCell ref="A204:A216"/>
    <mergeCell ref="C288:C291"/>
    <mergeCell ref="M292:M294"/>
    <mergeCell ref="N292:N294"/>
    <mergeCell ref="C293:C294"/>
    <mergeCell ref="N295:N301"/>
    <mergeCell ref="A356:N357"/>
    <mergeCell ref="A348:A354"/>
    <mergeCell ref="N348:N354"/>
    <mergeCell ref="C350:C351"/>
    <mergeCell ref="C353:C354"/>
    <mergeCell ref="M352:M354"/>
    <mergeCell ref="A340:A343"/>
    <mergeCell ref="A252:A264"/>
    <mergeCell ref="N252:N261"/>
    <mergeCell ref="C254:C261"/>
    <mergeCell ref="M262:M264"/>
    <mergeCell ref="N262:N264"/>
    <mergeCell ref="C263:C264"/>
    <mergeCell ref="A344:A347"/>
    <mergeCell ref="N344:N347"/>
    <mergeCell ref="C346:C347"/>
    <mergeCell ref="M302:M306"/>
    <mergeCell ref="N302:N306"/>
    <mergeCell ref="C303:C306"/>
    <mergeCell ref="A274:A285"/>
    <mergeCell ref="N274:N280"/>
    <mergeCell ref="C276:C280"/>
    <mergeCell ref="A307:A315"/>
    <mergeCell ref="N307:N312"/>
    <mergeCell ref="A265:A273"/>
    <mergeCell ref="A230:A242"/>
    <mergeCell ref="A243:A251"/>
    <mergeCell ref="N265:N270"/>
    <mergeCell ref="C267:C270"/>
    <mergeCell ref="A286:A294"/>
    <mergeCell ref="N286:N291"/>
    <mergeCell ref="N201:N203"/>
    <mergeCell ref="M201:M203"/>
    <mergeCell ref="C202:C203"/>
    <mergeCell ref="A217:A229"/>
    <mergeCell ref="M227:M229"/>
    <mergeCell ref="M214:M216"/>
    <mergeCell ref="A191:A203"/>
    <mergeCell ref="C193:C198"/>
    <mergeCell ref="C215:C216"/>
    <mergeCell ref="N157:N163"/>
    <mergeCell ref="N164:N168"/>
    <mergeCell ref="M188:M190"/>
    <mergeCell ref="M164:M168"/>
    <mergeCell ref="N281:N285"/>
    <mergeCell ref="C282:C285"/>
    <mergeCell ref="M271:M273"/>
    <mergeCell ref="N271:N273"/>
    <mergeCell ref="C272:C273"/>
    <mergeCell ref="C171:C178"/>
    <mergeCell ref="C165:C166"/>
    <mergeCell ref="C167:C168"/>
    <mergeCell ref="C189:C190"/>
    <mergeCell ref="C228:C229"/>
    <mergeCell ref="N170:N176"/>
    <mergeCell ref="N179:N181"/>
    <mergeCell ref="N192:N198"/>
    <mergeCell ref="N204:N211"/>
    <mergeCell ref="N214:N216"/>
    <mergeCell ref="N217:N224"/>
    <mergeCell ref="N227:N229"/>
    <mergeCell ref="M281:M285"/>
    <mergeCell ref="N183:N190"/>
    <mergeCell ref="C309:C312"/>
    <mergeCell ref="M313:M315"/>
    <mergeCell ref="N313:N315"/>
    <mergeCell ref="C314:C315"/>
    <mergeCell ref="A316:A327"/>
    <mergeCell ref="N316:N322"/>
    <mergeCell ref="C318:C322"/>
    <mergeCell ref="M323:M327"/>
    <mergeCell ref="N323:N327"/>
    <mergeCell ref="C324:C327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3" firstPageNumber="42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7" manualBreakCount="7">
    <brk id="49" max="13" man="1"/>
    <brk id="97" max="13" man="1"/>
    <brk id="147" max="13" man="1"/>
    <brk id="251" max="13" man="1"/>
    <brk id="294" max="13" man="1"/>
    <brk id="327" max="13" man="1"/>
    <brk id="354" max="1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M544"/>
  <sheetViews>
    <sheetView showGridLines="0" view="pageBreakPreview" zoomScaleSheetLayoutView="100" workbookViewId="0">
      <pane xSplit="3" ySplit="6" topLeftCell="D147" activePane="bottomRight" state="frozen"/>
      <selection activeCell="F19" sqref="F19"/>
      <selection pane="topRight" activeCell="F19" sqref="F19"/>
      <selection pane="bottomLeft" activeCell="F19" sqref="F19"/>
      <selection pane="bottomRight" activeCell="R194" sqref="R194:R195"/>
    </sheetView>
  </sheetViews>
  <sheetFormatPr defaultColWidth="9.140625" defaultRowHeight="12" outlineLevelRow="1"/>
  <cols>
    <col min="1" max="1" width="3.7109375" style="255" customWidth="1"/>
    <col min="2" max="2" width="59.42578125" style="155" customWidth="1"/>
    <col min="3" max="3" width="11.42578125" style="155" customWidth="1"/>
    <col min="4" max="4" width="14.5703125" style="155" customWidth="1"/>
    <col min="5" max="5" width="12.5703125" style="155" customWidth="1"/>
    <col min="6" max="10" width="13.42578125" style="155" customWidth="1"/>
    <col min="11" max="11" width="10.5703125" style="155" hidden="1" customWidth="1"/>
    <col min="12" max="12" width="10.85546875" style="155" hidden="1" customWidth="1"/>
    <col min="13" max="13" width="13.28515625" style="155" customWidth="1"/>
    <col min="14" max="14" width="16.85546875" style="259" customWidth="1"/>
    <col min="15" max="15" width="15.140625" style="155" hidden="1" customWidth="1"/>
    <col min="16" max="16" width="11.7109375" style="155" hidden="1" customWidth="1"/>
    <col min="17" max="16384" width="9.140625" style="155"/>
  </cols>
  <sheetData>
    <row r="1" spans="1:65" ht="16.5" customHeight="1">
      <c r="G1" s="147"/>
      <c r="H1" s="147"/>
      <c r="I1" s="151" t="s">
        <v>330</v>
      </c>
      <c r="J1" s="147"/>
      <c r="K1" s="147"/>
      <c r="L1" s="147"/>
      <c r="M1" s="3"/>
      <c r="N1" s="4"/>
    </row>
    <row r="2" spans="1:65" ht="15" hidden="1" customHeight="1">
      <c r="F2" s="150"/>
      <c r="G2" s="150"/>
      <c r="H2" s="150"/>
      <c r="I2" s="150"/>
      <c r="J2" s="150"/>
      <c r="K2" s="150"/>
      <c r="L2" s="150"/>
      <c r="M2" s="3"/>
      <c r="N2" s="4"/>
    </row>
    <row r="3" spans="1:65" s="258" customFormat="1" ht="40.5" customHeight="1" thickBot="1">
      <c r="A3" s="4587" t="s">
        <v>181</v>
      </c>
      <c r="B3" s="4587"/>
      <c r="C3" s="4587"/>
      <c r="D3" s="4587"/>
      <c r="E3" s="4587"/>
      <c r="F3" s="4587"/>
      <c r="G3" s="4587"/>
      <c r="H3" s="4587"/>
      <c r="I3" s="4587"/>
      <c r="J3" s="4587"/>
      <c r="K3" s="4587"/>
      <c r="L3" s="4587"/>
      <c r="M3" s="4587"/>
      <c r="N3" s="458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</row>
    <row r="4" spans="1:65" ht="72" customHeight="1">
      <c r="A4" s="1227"/>
      <c r="B4" s="4588" t="s">
        <v>64</v>
      </c>
      <c r="C4" s="4590" t="s">
        <v>60</v>
      </c>
      <c r="D4" s="4592" t="s">
        <v>61</v>
      </c>
      <c r="E4" s="1684" t="s">
        <v>208</v>
      </c>
      <c r="F4" s="3985" t="s">
        <v>447</v>
      </c>
      <c r="G4" s="3986"/>
      <c r="H4" s="3986"/>
      <c r="I4" s="3986"/>
      <c r="J4" s="3987"/>
      <c r="K4" s="4137" t="s">
        <v>473</v>
      </c>
      <c r="L4" s="4135">
        <v>2024</v>
      </c>
      <c r="M4" s="4456" t="s">
        <v>456</v>
      </c>
      <c r="N4" s="4374" t="s">
        <v>62</v>
      </c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</row>
    <row r="5" spans="1:65" ht="21" customHeight="1">
      <c r="A5" s="1228"/>
      <c r="B5" s="4589"/>
      <c r="C5" s="4591"/>
      <c r="D5" s="4593"/>
      <c r="E5" s="761" t="s">
        <v>517</v>
      </c>
      <c r="F5" s="1678" t="s">
        <v>163</v>
      </c>
      <c r="G5" s="1678" t="s">
        <v>164</v>
      </c>
      <c r="H5" s="1678" t="s">
        <v>202</v>
      </c>
      <c r="I5" s="1678" t="s">
        <v>203</v>
      </c>
      <c r="J5" s="1678" t="s">
        <v>201</v>
      </c>
      <c r="K5" s="4595"/>
      <c r="L5" s="4136"/>
      <c r="M5" s="4594"/>
      <c r="N5" s="4375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</row>
    <row r="6" spans="1:65" ht="11.25">
      <c r="A6" s="2809">
        <v>1</v>
      </c>
      <c r="B6" s="2811">
        <v>2</v>
      </c>
      <c r="C6" s="2834" t="s">
        <v>105</v>
      </c>
      <c r="D6" s="1663" t="s">
        <v>106</v>
      </c>
      <c r="E6" s="1229">
        <v>5</v>
      </c>
      <c r="F6" s="765">
        <v>6</v>
      </c>
      <c r="G6" s="765">
        <v>7</v>
      </c>
      <c r="H6" s="765">
        <v>8</v>
      </c>
      <c r="I6" s="765">
        <v>9</v>
      </c>
      <c r="J6" s="765">
        <v>10</v>
      </c>
      <c r="K6" s="765"/>
      <c r="L6" s="765"/>
      <c r="M6" s="1230">
        <v>11</v>
      </c>
      <c r="N6" s="1231">
        <v>12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</row>
    <row r="7" spans="1:65" s="820" customFormat="1" ht="16.5" customHeight="1">
      <c r="A7" s="666"/>
      <c r="B7" s="366" t="s">
        <v>65</v>
      </c>
      <c r="C7" s="2835"/>
      <c r="D7" s="1546">
        <f>+D8+D9</f>
        <v>43479650</v>
      </c>
      <c r="E7" s="114">
        <f t="shared" ref="E7:J7" si="0">+E8+E9</f>
        <v>18549198</v>
      </c>
      <c r="F7" s="114">
        <f>+F8+F9</f>
        <v>8863979</v>
      </c>
      <c r="G7" s="114">
        <f t="shared" si="0"/>
        <v>8511209</v>
      </c>
      <c r="H7" s="114">
        <f t="shared" si="0"/>
        <v>2668770</v>
      </c>
      <c r="I7" s="114">
        <f t="shared" si="0"/>
        <v>2973938</v>
      </c>
      <c r="J7" s="114">
        <f t="shared" si="0"/>
        <v>1912556</v>
      </c>
      <c r="K7" s="114">
        <f>+K8+K9</f>
        <v>0</v>
      </c>
      <c r="L7" s="114">
        <f>+L8+L9</f>
        <v>0</v>
      </c>
      <c r="M7" s="52">
        <f t="shared" ref="M7" si="1">+M8+M9</f>
        <v>24930452</v>
      </c>
      <c r="N7" s="13"/>
      <c r="O7" s="156">
        <f>+L7+K7+F7+G7+H7+I7+J7</f>
        <v>24930452</v>
      </c>
    </row>
    <row r="8" spans="1:65" s="820" customFormat="1" ht="13.5" customHeight="1">
      <c r="A8" s="367"/>
      <c r="B8" s="366" t="s">
        <v>66</v>
      </c>
      <c r="C8" s="2835"/>
      <c r="D8" s="1546">
        <f t="shared" ref="D8:J8" si="2">+D43+D77+D86+D57+D95</f>
        <v>42463630</v>
      </c>
      <c r="E8" s="114">
        <f t="shared" si="2"/>
        <v>18419382</v>
      </c>
      <c r="F8" s="114">
        <f t="shared" si="2"/>
        <v>8156175</v>
      </c>
      <c r="G8" s="114">
        <f t="shared" si="2"/>
        <v>8332809</v>
      </c>
      <c r="H8" s="114">
        <f t="shared" si="2"/>
        <v>2668770</v>
      </c>
      <c r="I8" s="114">
        <f t="shared" si="2"/>
        <v>2973938</v>
      </c>
      <c r="J8" s="114">
        <f t="shared" si="2"/>
        <v>1912556</v>
      </c>
      <c r="K8" s="114">
        <f>+K43+K77+K86+K57+K95</f>
        <v>0</v>
      </c>
      <c r="L8" s="114">
        <f>+L43+L77+L86+L57+L95</f>
        <v>0</v>
      </c>
      <c r="M8" s="52">
        <f>SUM(F8:J8)</f>
        <v>24044248</v>
      </c>
      <c r="N8" s="13"/>
      <c r="O8" s="156"/>
    </row>
    <row r="9" spans="1:65" s="820" customFormat="1" ht="13.5" customHeight="1" thickBot="1">
      <c r="A9" s="367"/>
      <c r="B9" s="118" t="s">
        <v>8</v>
      </c>
      <c r="C9" s="2836"/>
      <c r="D9" s="2851">
        <f t="shared" ref="D9:J9" si="3">+D32+D68</f>
        <v>1016020</v>
      </c>
      <c r="E9" s="116">
        <f t="shared" si="3"/>
        <v>129816</v>
      </c>
      <c r="F9" s="116">
        <f t="shared" si="3"/>
        <v>707804</v>
      </c>
      <c r="G9" s="116">
        <f t="shared" si="3"/>
        <v>178400</v>
      </c>
      <c r="H9" s="2619">
        <f t="shared" si="3"/>
        <v>0</v>
      </c>
      <c r="I9" s="2619">
        <f t="shared" si="3"/>
        <v>0</v>
      </c>
      <c r="J9" s="2619">
        <f t="shared" si="3"/>
        <v>0</v>
      </c>
      <c r="K9" s="116">
        <f>+K32+K68</f>
        <v>0</v>
      </c>
      <c r="L9" s="116">
        <f>+L32+L68</f>
        <v>0</v>
      </c>
      <c r="M9" s="54">
        <f>SUM(F9:J9)</f>
        <v>886204</v>
      </c>
      <c r="N9" s="670"/>
    </row>
    <row r="10" spans="1:65" s="699" customFormat="1" ht="14.25" customHeight="1">
      <c r="A10" s="1232"/>
      <c r="B10" s="37" t="s">
        <v>9</v>
      </c>
      <c r="C10" s="98"/>
      <c r="D10" s="2817">
        <f t="shared" ref="D10:J10" si="4">+D11+D15</f>
        <v>43479650</v>
      </c>
      <c r="E10" s="42">
        <f t="shared" si="4"/>
        <v>18549198</v>
      </c>
      <c r="F10" s="42">
        <f t="shared" si="4"/>
        <v>8863979</v>
      </c>
      <c r="G10" s="42">
        <f t="shared" si="4"/>
        <v>8511209</v>
      </c>
      <c r="H10" s="42">
        <f t="shared" si="4"/>
        <v>2668770</v>
      </c>
      <c r="I10" s="42">
        <f t="shared" si="4"/>
        <v>2973938</v>
      </c>
      <c r="J10" s="42">
        <f t="shared" si="4"/>
        <v>1912556</v>
      </c>
      <c r="K10" s="42">
        <f>+K11+K15</f>
        <v>0</v>
      </c>
      <c r="L10" s="42">
        <f>+L11+L15</f>
        <v>0</v>
      </c>
      <c r="M10" s="696">
        <f>+M11+M15</f>
        <v>19002688</v>
      </c>
      <c r="N10" s="2134"/>
      <c r="O10" s="697"/>
      <c r="P10" s="1752"/>
      <c r="Q10" s="698"/>
      <c r="R10" s="698"/>
      <c r="S10" s="698"/>
      <c r="T10" s="698"/>
      <c r="U10" s="698"/>
      <c r="V10" s="698"/>
      <c r="W10" s="698"/>
      <c r="X10" s="698"/>
      <c r="Y10" s="698"/>
      <c r="Z10" s="698"/>
      <c r="AA10" s="698"/>
      <c r="AB10" s="698"/>
      <c r="AC10" s="698"/>
      <c r="AD10" s="698"/>
      <c r="AE10" s="698"/>
      <c r="AF10" s="698"/>
      <c r="AG10" s="698"/>
      <c r="AH10" s="698"/>
      <c r="AI10" s="698"/>
      <c r="AJ10" s="698"/>
      <c r="AK10" s="698"/>
      <c r="AL10" s="698"/>
      <c r="AM10" s="698"/>
      <c r="AN10" s="698"/>
      <c r="AO10" s="698"/>
      <c r="AP10" s="698"/>
      <c r="AQ10" s="698"/>
      <c r="AR10" s="698"/>
      <c r="AS10" s="698"/>
      <c r="AT10" s="698"/>
      <c r="AU10" s="698"/>
      <c r="AV10" s="698"/>
      <c r="AW10" s="698"/>
      <c r="AX10" s="698"/>
      <c r="AY10" s="698"/>
      <c r="AZ10" s="698"/>
      <c r="BA10" s="698"/>
      <c r="BB10" s="698"/>
      <c r="BC10" s="698"/>
      <c r="BD10" s="698"/>
      <c r="BE10" s="698"/>
      <c r="BF10" s="698"/>
      <c r="BG10" s="698"/>
      <c r="BH10" s="698"/>
      <c r="BI10" s="698"/>
      <c r="BJ10" s="698"/>
      <c r="BK10" s="698"/>
      <c r="BL10" s="698"/>
      <c r="BM10" s="698"/>
    </row>
    <row r="11" spans="1:65" s="1767" customFormat="1" ht="14.25" customHeight="1">
      <c r="A11" s="668"/>
      <c r="B11" s="1189" t="s">
        <v>10</v>
      </c>
      <c r="C11" s="2837"/>
      <c r="D11" s="2852">
        <f t="shared" ref="D11:M11" si="5">SUM(D12:D14)</f>
        <v>14131859</v>
      </c>
      <c r="E11" s="1190">
        <f t="shared" si="5"/>
        <v>6292132</v>
      </c>
      <c r="F11" s="1190">
        <f t="shared" si="5"/>
        <v>2838598</v>
      </c>
      <c r="G11" s="1190">
        <f t="shared" si="5"/>
        <v>2656826</v>
      </c>
      <c r="H11" s="1190">
        <f t="shared" si="5"/>
        <v>808164</v>
      </c>
      <c r="I11" s="1190">
        <f t="shared" si="5"/>
        <v>874063</v>
      </c>
      <c r="J11" s="1190">
        <f t="shared" si="5"/>
        <v>662076</v>
      </c>
      <c r="K11" s="1190">
        <f>SUM(K12:K14)</f>
        <v>0</v>
      </c>
      <c r="L11" s="1190">
        <f>SUM(L12:L14)</f>
        <v>0</v>
      </c>
      <c r="M11" s="1233">
        <f t="shared" si="5"/>
        <v>6720239</v>
      </c>
      <c r="N11" s="2826"/>
      <c r="P11" s="820"/>
    </row>
    <row r="12" spans="1:65" s="1767" customFormat="1" ht="14.25" customHeight="1">
      <c r="A12" s="667"/>
      <c r="B12" s="1193" t="s">
        <v>11</v>
      </c>
      <c r="C12" s="2838"/>
      <c r="D12" s="2853">
        <f t="shared" ref="D12:J12" si="6">+D45+D70+D79+D88+D97</f>
        <v>740904</v>
      </c>
      <c r="E12" s="1192">
        <f t="shared" si="6"/>
        <v>63290</v>
      </c>
      <c r="F12" s="1192">
        <f>+F45+F70+F79+F88+F97</f>
        <v>174598</v>
      </c>
      <c r="G12" s="1192">
        <f t="shared" si="6"/>
        <v>229464</v>
      </c>
      <c r="H12" s="1192">
        <f t="shared" si="6"/>
        <v>110329</v>
      </c>
      <c r="I12" s="1192">
        <f t="shared" si="6"/>
        <v>141733</v>
      </c>
      <c r="J12" s="1192">
        <f t="shared" si="6"/>
        <v>21490</v>
      </c>
      <c r="K12" s="1192">
        <f>+K45+K70+K79+K88+K97</f>
        <v>0</v>
      </c>
      <c r="L12" s="1192">
        <f>+L45+L70+L79+L88+L97</f>
        <v>0</v>
      </c>
      <c r="M12" s="1234">
        <f>+M45+M70+M79</f>
        <v>133934</v>
      </c>
      <c r="N12" s="2826"/>
      <c r="O12" s="700"/>
      <c r="P12" s="1768"/>
    </row>
    <row r="13" spans="1:65" s="1767" customFormat="1" ht="13.5" customHeight="1" outlineLevel="1">
      <c r="A13" s="667"/>
      <c r="B13" s="1191" t="s">
        <v>12</v>
      </c>
      <c r="C13" s="2838"/>
      <c r="D13" s="2853">
        <f>+D46+D59</f>
        <v>13390955</v>
      </c>
      <c r="E13" s="1192">
        <f t="shared" ref="E13:J13" si="7">+E46+E59</f>
        <v>6228842</v>
      </c>
      <c r="F13" s="1192">
        <f t="shared" si="7"/>
        <v>2664000</v>
      </c>
      <c r="G13" s="1192">
        <f t="shared" si="7"/>
        <v>2427362</v>
      </c>
      <c r="H13" s="1192">
        <f t="shared" si="7"/>
        <v>697835</v>
      </c>
      <c r="I13" s="1192">
        <f t="shared" si="7"/>
        <v>732330</v>
      </c>
      <c r="J13" s="1192">
        <f t="shared" si="7"/>
        <v>640586</v>
      </c>
      <c r="K13" s="1192">
        <f>+K46+K59</f>
        <v>0</v>
      </c>
      <c r="L13" s="1192">
        <f>+L46+L59</f>
        <v>0</v>
      </c>
      <c r="M13" s="1234">
        <f>+M46</f>
        <v>6586305</v>
      </c>
      <c r="N13" s="2826"/>
      <c r="O13" s="700">
        <f>D13-D22</f>
        <v>0</v>
      </c>
      <c r="P13" s="1768"/>
    </row>
    <row r="14" spans="1:65" s="1767" customFormat="1" ht="14.25" hidden="1" customHeight="1" outlineLevel="1">
      <c r="A14" s="667"/>
      <c r="B14" s="1193" t="s">
        <v>15</v>
      </c>
      <c r="C14" s="2839"/>
      <c r="D14" s="2853">
        <f>+D34</f>
        <v>0</v>
      </c>
      <c r="E14" s="1192">
        <f t="shared" ref="E14:J14" si="8">+E34</f>
        <v>0</v>
      </c>
      <c r="F14" s="1192">
        <f t="shared" si="8"/>
        <v>0</v>
      </c>
      <c r="G14" s="1192">
        <f t="shared" si="8"/>
        <v>0</v>
      </c>
      <c r="H14" s="1192">
        <f t="shared" si="8"/>
        <v>0</v>
      </c>
      <c r="I14" s="1192">
        <f t="shared" si="8"/>
        <v>0</v>
      </c>
      <c r="J14" s="1192">
        <f t="shared" si="8"/>
        <v>0</v>
      </c>
      <c r="K14" s="1192">
        <f>+K34</f>
        <v>0</v>
      </c>
      <c r="L14" s="1192">
        <f>+L34</f>
        <v>0</v>
      </c>
      <c r="M14" s="1234">
        <f>+M34</f>
        <v>0</v>
      </c>
      <c r="N14" s="2826"/>
      <c r="O14" s="700">
        <f>D14-D24</f>
        <v>0</v>
      </c>
      <c r="P14" s="1768"/>
    </row>
    <row r="15" spans="1:65" s="1767" customFormat="1" ht="14.25" customHeight="1" outlineLevel="1">
      <c r="A15" s="668"/>
      <c r="B15" s="701" t="s">
        <v>17</v>
      </c>
      <c r="C15" s="2840"/>
      <c r="D15" s="702">
        <f>+D17+D18+D19+D16</f>
        <v>29347791</v>
      </c>
      <c r="E15" s="702">
        <f t="shared" ref="E15:J15" si="9">+E17+E18+E19+E16</f>
        <v>12257066</v>
      </c>
      <c r="F15" s="702">
        <f t="shared" si="9"/>
        <v>6025381</v>
      </c>
      <c r="G15" s="702">
        <f t="shared" si="9"/>
        <v>5854383</v>
      </c>
      <c r="H15" s="702">
        <f t="shared" si="9"/>
        <v>1860606</v>
      </c>
      <c r="I15" s="702">
        <f t="shared" si="9"/>
        <v>2099875</v>
      </c>
      <c r="J15" s="702">
        <f t="shared" si="9"/>
        <v>1250480</v>
      </c>
      <c r="K15" s="702">
        <f>+K17+K18+K19+K16</f>
        <v>0</v>
      </c>
      <c r="L15" s="702">
        <f>+L17+L18+L19+L16</f>
        <v>0</v>
      </c>
      <c r="M15" s="703">
        <f>+M17+M18+M19+M16</f>
        <v>12282449</v>
      </c>
      <c r="N15" s="2826"/>
      <c r="O15" s="1768">
        <f>D17-D28</f>
        <v>0</v>
      </c>
      <c r="P15" s="1768"/>
    </row>
    <row r="16" spans="1:65" s="1767" customFormat="1" ht="14.25" hidden="1" customHeight="1" outlineLevel="1">
      <c r="A16" s="668"/>
      <c r="B16" s="1193" t="s">
        <v>11</v>
      </c>
      <c r="C16" s="2837"/>
      <c r="D16" s="2853"/>
      <c r="E16" s="1192"/>
      <c r="F16" s="1192"/>
      <c r="G16" s="1192"/>
      <c r="H16" s="1192"/>
      <c r="I16" s="1192"/>
      <c r="J16" s="1192"/>
      <c r="K16" s="1192"/>
      <c r="L16" s="1192"/>
      <c r="M16" s="1234"/>
      <c r="N16" s="2826"/>
      <c r="O16" s="1768"/>
      <c r="P16" s="1768"/>
    </row>
    <row r="17" spans="1:16" s="1767" customFormat="1" ht="14.25" customHeight="1" outlineLevel="1">
      <c r="A17" s="668"/>
      <c r="B17" s="1191" t="s">
        <v>19</v>
      </c>
      <c r="C17" s="2838"/>
      <c r="D17" s="2853">
        <f t="shared" ref="D17:J17" si="10">+D48+D72+D81+D61+D90+D99</f>
        <v>29347791</v>
      </c>
      <c r="E17" s="1192">
        <f t="shared" si="10"/>
        <v>12257066</v>
      </c>
      <c r="F17" s="1192">
        <f t="shared" si="10"/>
        <v>6025381</v>
      </c>
      <c r="G17" s="1192">
        <f t="shared" si="10"/>
        <v>5854383</v>
      </c>
      <c r="H17" s="1192">
        <f t="shared" si="10"/>
        <v>1860606</v>
      </c>
      <c r="I17" s="1192">
        <f t="shared" si="10"/>
        <v>2099875</v>
      </c>
      <c r="J17" s="1192">
        <f t="shared" si="10"/>
        <v>1250480</v>
      </c>
      <c r="K17" s="1192">
        <f>+K48+K72+K81+K61+K90+K99</f>
        <v>0</v>
      </c>
      <c r="L17" s="1192">
        <f>+L48+L72+L81+L61+L90+L99</f>
        <v>0</v>
      </c>
      <c r="M17" s="1234">
        <f>+M48+M72+M81</f>
        <v>12282449</v>
      </c>
      <c r="N17" s="2826"/>
      <c r="O17" s="700"/>
      <c r="P17" s="1768"/>
    </row>
    <row r="18" spans="1:16" s="1767" customFormat="1" ht="14.25" hidden="1" customHeight="1" outlineLevel="1">
      <c r="A18" s="668"/>
      <c r="B18" s="1193" t="s">
        <v>13</v>
      </c>
      <c r="C18" s="2841"/>
      <c r="D18" s="2853"/>
      <c r="E18" s="1192"/>
      <c r="F18" s="1192"/>
      <c r="G18" s="1192"/>
      <c r="H18" s="1192"/>
      <c r="I18" s="1192"/>
      <c r="J18" s="1192"/>
      <c r="K18" s="1192"/>
      <c r="L18" s="1192"/>
      <c r="M18" s="1234"/>
      <c r="N18" s="2826"/>
      <c r="O18" s="700"/>
      <c r="P18" s="1768"/>
    </row>
    <row r="19" spans="1:16" s="1767" customFormat="1" ht="14.25" hidden="1" customHeight="1" outlineLevel="1">
      <c r="A19" s="668"/>
      <c r="B19" s="1191" t="s">
        <v>18</v>
      </c>
      <c r="C19" s="2841"/>
      <c r="D19" s="2853">
        <f>+D36</f>
        <v>0</v>
      </c>
      <c r="E19" s="1192">
        <f t="shared" ref="E19:J19" si="11">+E36</f>
        <v>0</v>
      </c>
      <c r="F19" s="1192">
        <f t="shared" si="11"/>
        <v>0</v>
      </c>
      <c r="G19" s="1192">
        <f t="shared" si="11"/>
        <v>0</v>
      </c>
      <c r="H19" s="1192">
        <f t="shared" si="11"/>
        <v>0</v>
      </c>
      <c r="I19" s="1192">
        <f t="shared" si="11"/>
        <v>0</v>
      </c>
      <c r="J19" s="1192">
        <f t="shared" si="11"/>
        <v>0</v>
      </c>
      <c r="K19" s="1192">
        <f>+K36</f>
        <v>0</v>
      </c>
      <c r="L19" s="1192">
        <f>+L36</f>
        <v>0</v>
      </c>
      <c r="M19" s="1234">
        <f>+M36</f>
        <v>0</v>
      </c>
      <c r="N19" s="2135"/>
      <c r="O19" s="700"/>
      <c r="P19" s="1768"/>
    </row>
    <row r="20" spans="1:16" s="1767" customFormat="1" ht="14.25" customHeight="1" outlineLevel="1">
      <c r="A20" s="367"/>
      <c r="B20" s="37" t="s">
        <v>20</v>
      </c>
      <c r="C20" s="140"/>
      <c r="D20" s="704">
        <f>+D21+D27</f>
        <v>42738746</v>
      </c>
      <c r="E20" s="704">
        <f t="shared" ref="E20:J20" si="12">+E21+E27</f>
        <v>18525578</v>
      </c>
      <c r="F20" s="704">
        <f t="shared" si="12"/>
        <v>8649711</v>
      </c>
      <c r="G20" s="704">
        <f t="shared" si="12"/>
        <v>8281745</v>
      </c>
      <c r="H20" s="704">
        <f t="shared" si="12"/>
        <v>2558441</v>
      </c>
      <c r="I20" s="704">
        <f t="shared" si="12"/>
        <v>2832205</v>
      </c>
      <c r="J20" s="704">
        <f t="shared" si="12"/>
        <v>1891066</v>
      </c>
      <c r="K20" s="704">
        <f>+K21+K27</f>
        <v>0</v>
      </c>
      <c r="L20" s="704">
        <f>+L21+L27</f>
        <v>0</v>
      </c>
      <c r="M20" s="4596" t="s">
        <v>51</v>
      </c>
      <c r="N20" s="1235"/>
      <c r="O20" s="1768">
        <f>D30-D19-D16</f>
        <v>0</v>
      </c>
    </row>
    <row r="21" spans="1:16" s="1767" customFormat="1" ht="14.25" customHeight="1" outlineLevel="1">
      <c r="A21" s="668"/>
      <c r="B21" s="1189" t="s">
        <v>10</v>
      </c>
      <c r="C21" s="2837"/>
      <c r="D21" s="2852">
        <f t="shared" ref="D21:J21" si="13">SUM(D22:D26)</f>
        <v>13390955</v>
      </c>
      <c r="E21" s="1190">
        <f t="shared" si="13"/>
        <v>6228842</v>
      </c>
      <c r="F21" s="1190">
        <f t="shared" si="13"/>
        <v>2664000</v>
      </c>
      <c r="G21" s="1190">
        <f t="shared" si="13"/>
        <v>2427362</v>
      </c>
      <c r="H21" s="1190">
        <f t="shared" si="13"/>
        <v>697835</v>
      </c>
      <c r="I21" s="1190">
        <f t="shared" si="13"/>
        <v>732330</v>
      </c>
      <c r="J21" s="1190">
        <f t="shared" si="13"/>
        <v>640586</v>
      </c>
      <c r="K21" s="1190">
        <f>SUM(K22:K26)</f>
        <v>0</v>
      </c>
      <c r="L21" s="1190">
        <f>SUM(L22:L26)</f>
        <v>0</v>
      </c>
      <c r="M21" s="4597"/>
      <c r="N21" s="2826"/>
      <c r="O21" s="1768"/>
    </row>
    <row r="22" spans="1:16" s="1767" customFormat="1" ht="14.25" customHeight="1" outlineLevel="1">
      <c r="A22" s="667"/>
      <c r="B22" s="1191" t="s">
        <v>12</v>
      </c>
      <c r="C22" s="2839"/>
      <c r="D22" s="2853">
        <f>+D51+D64</f>
        <v>13390955</v>
      </c>
      <c r="E22" s="1192">
        <f t="shared" ref="E22:J22" si="14">+E51+E64</f>
        <v>6228842</v>
      </c>
      <c r="F22" s="1192">
        <f t="shared" si="14"/>
        <v>2664000</v>
      </c>
      <c r="G22" s="1192">
        <f t="shared" si="14"/>
        <v>2427362</v>
      </c>
      <c r="H22" s="1192">
        <f t="shared" si="14"/>
        <v>697835</v>
      </c>
      <c r="I22" s="1192">
        <f t="shared" si="14"/>
        <v>732330</v>
      </c>
      <c r="J22" s="1192">
        <f t="shared" si="14"/>
        <v>640586</v>
      </c>
      <c r="K22" s="1192">
        <f>+K51+K64</f>
        <v>0</v>
      </c>
      <c r="L22" s="1192">
        <f>+L51+L64</f>
        <v>0</v>
      </c>
      <c r="M22" s="4597"/>
      <c r="N22" s="2826"/>
      <c r="O22" s="1768">
        <f>D22-D13</f>
        <v>0</v>
      </c>
    </row>
    <row r="23" spans="1:16" s="1767" customFormat="1" ht="14.25" hidden="1" customHeight="1" outlineLevel="1">
      <c r="A23" s="667"/>
      <c r="B23" s="1193" t="s">
        <v>13</v>
      </c>
      <c r="C23" s="2838"/>
      <c r="D23" s="2853"/>
      <c r="E23" s="1192"/>
      <c r="F23" s="1192"/>
      <c r="G23" s="1192"/>
      <c r="H23" s="1192"/>
      <c r="I23" s="1192"/>
      <c r="J23" s="1192"/>
      <c r="K23" s="1192"/>
      <c r="L23" s="1192"/>
      <c r="M23" s="4597"/>
      <c r="N23" s="2826"/>
      <c r="O23" s="1768" t="e">
        <f>D23-#REF!</f>
        <v>#REF!</v>
      </c>
    </row>
    <row r="24" spans="1:16" s="1767" customFormat="1" ht="14.25" hidden="1" customHeight="1" outlineLevel="1">
      <c r="A24" s="667"/>
      <c r="B24" s="1193" t="s">
        <v>52</v>
      </c>
      <c r="C24" s="2838"/>
      <c r="D24" s="2853">
        <f>+D39</f>
        <v>0</v>
      </c>
      <c r="E24" s="1192">
        <f t="shared" ref="E24:J24" si="15">+E39</f>
        <v>0</v>
      </c>
      <c r="F24" s="1192">
        <f t="shared" si="15"/>
        <v>0</v>
      </c>
      <c r="G24" s="1192">
        <f t="shared" si="15"/>
        <v>0</v>
      </c>
      <c r="H24" s="1192">
        <f t="shared" si="15"/>
        <v>0</v>
      </c>
      <c r="I24" s="1192">
        <f t="shared" si="15"/>
        <v>0</v>
      </c>
      <c r="J24" s="1192">
        <f t="shared" si="15"/>
        <v>0</v>
      </c>
      <c r="K24" s="1192">
        <f>+K39</f>
        <v>0</v>
      </c>
      <c r="L24" s="1192">
        <f>+L39</f>
        <v>0</v>
      </c>
      <c r="M24" s="4597"/>
      <c r="N24" s="2826"/>
      <c r="O24" s="1768">
        <f>D24-D14</f>
        <v>0</v>
      </c>
    </row>
    <row r="25" spans="1:16" s="1767" customFormat="1" ht="14.25" hidden="1" customHeight="1" outlineLevel="1">
      <c r="A25" s="667"/>
      <c r="B25" s="1193" t="s">
        <v>23</v>
      </c>
      <c r="C25" s="2838"/>
      <c r="D25" s="2853"/>
      <c r="E25" s="1192"/>
      <c r="F25" s="1192"/>
      <c r="G25" s="1192"/>
      <c r="H25" s="1192"/>
      <c r="I25" s="1192"/>
      <c r="J25" s="1192"/>
      <c r="K25" s="1192"/>
      <c r="L25" s="1192"/>
      <c r="M25" s="4597"/>
      <c r="N25" s="2826"/>
    </row>
    <row r="26" spans="1:16" s="1767" customFormat="1" ht="12.75" hidden="1" customHeight="1" outlineLevel="1">
      <c r="A26" s="667"/>
      <c r="B26" s="367" t="s">
        <v>11</v>
      </c>
      <c r="C26" s="2842"/>
      <c r="D26" s="705"/>
      <c r="E26" s="705"/>
      <c r="F26" s="705"/>
      <c r="G26" s="705"/>
      <c r="H26" s="705"/>
      <c r="I26" s="705"/>
      <c r="J26" s="705"/>
      <c r="K26" s="705"/>
      <c r="L26" s="705"/>
      <c r="M26" s="4597"/>
      <c r="N26" s="2826"/>
    </row>
    <row r="27" spans="1:16" s="1767" customFormat="1" ht="14.25" customHeight="1" outlineLevel="1">
      <c r="A27" s="668"/>
      <c r="B27" s="701" t="s">
        <v>17</v>
      </c>
      <c r="C27" s="2843"/>
      <c r="D27" s="702">
        <f>+D28+D30+D29</f>
        <v>29347791</v>
      </c>
      <c r="E27" s="702">
        <f t="shared" ref="E27:J27" si="16">+E28+E30+E29</f>
        <v>12296736</v>
      </c>
      <c r="F27" s="702">
        <f t="shared" si="16"/>
        <v>5985711</v>
      </c>
      <c r="G27" s="702">
        <f t="shared" si="16"/>
        <v>5854383</v>
      </c>
      <c r="H27" s="702">
        <f t="shared" si="16"/>
        <v>1860606</v>
      </c>
      <c r="I27" s="702">
        <f t="shared" si="16"/>
        <v>2099875</v>
      </c>
      <c r="J27" s="702">
        <f t="shared" si="16"/>
        <v>1250480</v>
      </c>
      <c r="K27" s="702">
        <f>+K28+K30+K29</f>
        <v>0</v>
      </c>
      <c r="L27" s="702">
        <f>+L28+L30+L29</f>
        <v>0</v>
      </c>
      <c r="M27" s="4597"/>
      <c r="N27" s="2826"/>
    </row>
    <row r="28" spans="1:16" s="1767" customFormat="1" ht="14.25" customHeight="1" outlineLevel="1" thickBot="1">
      <c r="A28" s="667"/>
      <c r="B28" s="1191" t="s">
        <v>19</v>
      </c>
      <c r="C28" s="2844"/>
      <c r="D28" s="2853">
        <f t="shared" ref="D28:J28" si="17">D54+D66+D75+D84+D93+D102</f>
        <v>29347791</v>
      </c>
      <c r="E28" s="1192">
        <f t="shared" si="17"/>
        <v>12296736</v>
      </c>
      <c r="F28" s="1192">
        <f t="shared" si="17"/>
        <v>5985711</v>
      </c>
      <c r="G28" s="1192">
        <f t="shared" si="17"/>
        <v>5854383</v>
      </c>
      <c r="H28" s="1192">
        <f t="shared" si="17"/>
        <v>1860606</v>
      </c>
      <c r="I28" s="1192">
        <f>I54+I66+I75+I84+I93+I102</f>
        <v>2099875</v>
      </c>
      <c r="J28" s="1192">
        <f t="shared" si="17"/>
        <v>1250480</v>
      </c>
      <c r="K28" s="1192">
        <f>K54+K66+K75+K84+K93+K102</f>
        <v>0</v>
      </c>
      <c r="L28" s="1192">
        <f>L54+L66+L75+L84+L93+L102</f>
        <v>0</v>
      </c>
      <c r="M28" s="4597"/>
      <c r="N28" s="2826"/>
      <c r="O28" s="1768">
        <f>D28-D17</f>
        <v>0</v>
      </c>
    </row>
    <row r="29" spans="1:16" s="1767" customFormat="1" ht="14.25" hidden="1" customHeight="1" outlineLevel="1">
      <c r="A29" s="667"/>
      <c r="B29" s="1193" t="s">
        <v>13</v>
      </c>
      <c r="C29" s="2844"/>
      <c r="D29" s="2853"/>
      <c r="E29" s="1192"/>
      <c r="F29" s="1192"/>
      <c r="G29" s="1192"/>
      <c r="H29" s="1192"/>
      <c r="I29" s="1192"/>
      <c r="J29" s="1192"/>
      <c r="K29" s="1192"/>
      <c r="L29" s="1192"/>
      <c r="M29" s="4597"/>
      <c r="N29" s="2826"/>
      <c r="O29" s="1768">
        <f>D29-D18</f>
        <v>0</v>
      </c>
      <c r="P29" s="1768"/>
    </row>
    <row r="30" spans="1:16" s="1767" customFormat="1" ht="14.25" hidden="1" customHeight="1" thickBot="1">
      <c r="A30" s="669"/>
      <c r="B30" s="706" t="s">
        <v>18</v>
      </c>
      <c r="C30" s="2845"/>
      <c r="D30" s="1194">
        <f>+D41</f>
        <v>0</v>
      </c>
      <c r="E30" s="1194">
        <f t="shared" ref="E30:J30" si="18">+E41</f>
        <v>0</v>
      </c>
      <c r="F30" s="1194">
        <f t="shared" si="18"/>
        <v>0</v>
      </c>
      <c r="G30" s="1194">
        <f t="shared" si="18"/>
        <v>0</v>
      </c>
      <c r="H30" s="1194">
        <f t="shared" si="18"/>
        <v>0</v>
      </c>
      <c r="I30" s="1194">
        <f t="shared" si="18"/>
        <v>0</v>
      </c>
      <c r="J30" s="1194">
        <f t="shared" si="18"/>
        <v>0</v>
      </c>
      <c r="K30" s="1194">
        <f>+K41</f>
        <v>0</v>
      </c>
      <c r="L30" s="1194">
        <f>+L41</f>
        <v>0</v>
      </c>
      <c r="M30" s="4598"/>
      <c r="N30" s="2827"/>
      <c r="O30" s="1768">
        <f>D30-D19-D16</f>
        <v>0</v>
      </c>
    </row>
    <row r="31" spans="1:16" s="376" customFormat="1" ht="12.75" hidden="1" customHeight="1" thickBot="1">
      <c r="A31" s="4037"/>
      <c r="B31" s="1144"/>
      <c r="C31" s="2846" t="s">
        <v>70</v>
      </c>
      <c r="D31" s="2854"/>
      <c r="E31" s="27"/>
      <c r="F31" s="652"/>
      <c r="G31" s="652"/>
      <c r="H31" s="652"/>
      <c r="I31" s="652"/>
      <c r="J31" s="652"/>
      <c r="K31" s="652"/>
      <c r="L31" s="652"/>
      <c r="M31" s="653"/>
      <c r="N31" s="3914" t="s">
        <v>329</v>
      </c>
    </row>
    <row r="32" spans="1:16" s="376" customFormat="1" ht="14.25" hidden="1" customHeight="1">
      <c r="A32" s="4603"/>
      <c r="B32" s="1195" t="s">
        <v>9</v>
      </c>
      <c r="C32" s="2847"/>
      <c r="D32" s="2855">
        <f t="shared" ref="D32" si="19">+D33+D35</f>
        <v>0</v>
      </c>
      <c r="E32" s="1236">
        <f t="shared" ref="E32" si="20">+E33+E35</f>
        <v>0</v>
      </c>
      <c r="F32" s="1092">
        <f>+F33+F35</f>
        <v>0</v>
      </c>
      <c r="G32" s="1093"/>
      <c r="H32" s="1093"/>
      <c r="I32" s="1093"/>
      <c r="J32" s="1093"/>
      <c r="K32" s="1092">
        <f>+K33+K35</f>
        <v>0</v>
      </c>
      <c r="L32" s="1092">
        <f>+L33+L35</f>
        <v>0</v>
      </c>
      <c r="M32" s="1237">
        <f>+M33+M35</f>
        <v>0</v>
      </c>
      <c r="N32" s="4462"/>
    </row>
    <row r="33" spans="1:15" s="376" customFormat="1" ht="14.25" hidden="1" customHeight="1">
      <c r="A33" s="4603"/>
      <c r="B33" s="1197" t="s">
        <v>10</v>
      </c>
      <c r="C33" s="4575" t="s">
        <v>149</v>
      </c>
      <c r="D33" s="847">
        <f>D34</f>
        <v>0</v>
      </c>
      <c r="E33" s="1238">
        <f t="shared" ref="E33" si="21">E34</f>
        <v>0</v>
      </c>
      <c r="F33" s="1089">
        <f>F34</f>
        <v>0</v>
      </c>
      <c r="G33" s="1198"/>
      <c r="H33" s="1198"/>
      <c r="I33" s="1198"/>
      <c r="J33" s="1198"/>
      <c r="K33" s="1089">
        <f>K34</f>
        <v>0</v>
      </c>
      <c r="L33" s="1089">
        <f>L34</f>
        <v>0</v>
      </c>
      <c r="M33" s="1239">
        <f>M34</f>
        <v>0</v>
      </c>
      <c r="N33" s="4462"/>
    </row>
    <row r="34" spans="1:15" s="378" customFormat="1" ht="12.75" hidden="1" customHeight="1" thickBot="1">
      <c r="A34" s="4603"/>
      <c r="B34" s="1240" t="s">
        <v>52</v>
      </c>
      <c r="C34" s="4237"/>
      <c r="D34" s="1460">
        <f>E34+L34+K34+F34+G34+H34+I34+J34</f>
        <v>0</v>
      </c>
      <c r="E34" s="1241"/>
      <c r="F34" s="1242"/>
      <c r="G34" s="1201"/>
      <c r="H34" s="1201"/>
      <c r="I34" s="1201"/>
      <c r="J34" s="1201"/>
      <c r="K34" s="1242"/>
      <c r="L34" s="1242"/>
      <c r="M34" s="1203">
        <f>SUM(F34:J34)</f>
        <v>0</v>
      </c>
      <c r="N34" s="4462"/>
    </row>
    <row r="35" spans="1:15" s="376" customFormat="1" ht="14.25" hidden="1" customHeight="1">
      <c r="A35" s="4603"/>
      <c r="B35" s="1205" t="s">
        <v>17</v>
      </c>
      <c r="C35" s="4237"/>
      <c r="D35" s="847">
        <f>D36</f>
        <v>0</v>
      </c>
      <c r="E35" s="1243">
        <f t="shared" ref="E35:F35" si="22">E36</f>
        <v>0</v>
      </c>
      <c r="F35" s="379">
        <f t="shared" si="22"/>
        <v>0</v>
      </c>
      <c r="G35" s="370"/>
      <c r="H35" s="370"/>
      <c r="I35" s="370"/>
      <c r="J35" s="370"/>
      <c r="K35" s="379">
        <f>K36</f>
        <v>0</v>
      </c>
      <c r="L35" s="1089">
        <f>L36</f>
        <v>0</v>
      </c>
      <c r="M35" s="1239">
        <f>M36</f>
        <v>0</v>
      </c>
      <c r="N35" s="4462"/>
    </row>
    <row r="36" spans="1:15" s="376" customFormat="1" ht="12.75" hidden="1" customHeight="1" thickBot="1">
      <c r="A36" s="4603"/>
      <c r="B36" s="1200" t="s">
        <v>18</v>
      </c>
      <c r="C36" s="4576"/>
      <c r="D36" s="1460">
        <f>E36+L36+K36+F36+G36+H36+I36+J36</f>
        <v>0</v>
      </c>
      <c r="E36" s="1241"/>
      <c r="F36" s="1244"/>
      <c r="G36" s="1245"/>
      <c r="H36" s="1245"/>
      <c r="I36" s="1245"/>
      <c r="J36" s="1245"/>
      <c r="K36" s="1244"/>
      <c r="L36" s="1769"/>
      <c r="M36" s="1203">
        <f>SUM(F36:J36)</f>
        <v>0</v>
      </c>
      <c r="N36" s="4462"/>
    </row>
    <row r="37" spans="1:15" s="380" customFormat="1" ht="14.25" hidden="1" customHeight="1">
      <c r="A37" s="4603"/>
      <c r="B37" s="1195" t="s">
        <v>20</v>
      </c>
      <c r="C37" s="2847"/>
      <c r="D37" s="834">
        <f t="shared" ref="D37" si="23">+D38+D41</f>
        <v>0</v>
      </c>
      <c r="E37" s="1246">
        <f t="shared" ref="E37" si="24">+E38+E41</f>
        <v>0</v>
      </c>
      <c r="F37" s="1093">
        <f>+F38+F41</f>
        <v>0</v>
      </c>
      <c r="G37" s="1093"/>
      <c r="H37" s="1093"/>
      <c r="I37" s="1093"/>
      <c r="J37" s="1093"/>
      <c r="K37" s="1092">
        <f>+K38+K41</f>
        <v>0</v>
      </c>
      <c r="L37" s="1092">
        <f>+L38+L41</f>
        <v>0</v>
      </c>
      <c r="M37" s="4577" t="s">
        <v>51</v>
      </c>
      <c r="N37" s="4462"/>
    </row>
    <row r="38" spans="1:15" s="376" customFormat="1" ht="14.25" hidden="1" customHeight="1">
      <c r="A38" s="4603"/>
      <c r="B38" s="1197" t="s">
        <v>10</v>
      </c>
      <c r="C38" s="4575" t="s">
        <v>149</v>
      </c>
      <c r="D38" s="847">
        <f>D39</f>
        <v>0</v>
      </c>
      <c r="E38" s="1238">
        <f t="shared" ref="E38:F38" si="25">E39</f>
        <v>0</v>
      </c>
      <c r="F38" s="1198">
        <f t="shared" si="25"/>
        <v>0</v>
      </c>
      <c r="G38" s="1198"/>
      <c r="H38" s="1198"/>
      <c r="I38" s="1198"/>
      <c r="J38" s="1198"/>
      <c r="K38" s="1089">
        <f>K39</f>
        <v>0</v>
      </c>
      <c r="L38" s="1089">
        <f>L39</f>
        <v>0</v>
      </c>
      <c r="M38" s="4578"/>
      <c r="N38" s="4462"/>
    </row>
    <row r="39" spans="1:15" s="376" customFormat="1" ht="12.75" hidden="1" customHeight="1">
      <c r="A39" s="4603"/>
      <c r="B39" s="1200" t="s">
        <v>15</v>
      </c>
      <c r="C39" s="4237"/>
      <c r="D39" s="1460">
        <f>E39+L39+K39+F39+G39+H39+I39+J39</f>
        <v>0</v>
      </c>
      <c r="E39" s="1242"/>
      <c r="F39" s="1201"/>
      <c r="G39" s="1201"/>
      <c r="H39" s="1201"/>
      <c r="I39" s="1201"/>
      <c r="J39" s="1201"/>
      <c r="K39" s="1242"/>
      <c r="L39" s="1242"/>
      <c r="M39" s="4578"/>
      <c r="N39" s="4462"/>
    </row>
    <row r="40" spans="1:15" s="376" customFormat="1" ht="14.25" hidden="1" customHeight="1">
      <c r="A40" s="4603"/>
      <c r="B40" s="1205" t="s">
        <v>17</v>
      </c>
      <c r="C40" s="4237"/>
      <c r="D40" s="847">
        <f>D41</f>
        <v>0</v>
      </c>
      <c r="E40" s="1238">
        <f t="shared" ref="E40:F40" si="26">E41</f>
        <v>0</v>
      </c>
      <c r="F40" s="1198">
        <f t="shared" si="26"/>
        <v>0</v>
      </c>
      <c r="G40" s="1198"/>
      <c r="H40" s="1198"/>
      <c r="I40" s="1198"/>
      <c r="J40" s="1198"/>
      <c r="K40" s="1089">
        <f>K41</f>
        <v>0</v>
      </c>
      <c r="L40" s="1089">
        <f>L41</f>
        <v>0</v>
      </c>
      <c r="M40" s="4578"/>
      <c r="N40" s="4462"/>
    </row>
    <row r="41" spans="1:15" s="376" customFormat="1" ht="12.75" hidden="1" customHeight="1" thickBot="1">
      <c r="A41" s="4604"/>
      <c r="B41" s="36" t="s">
        <v>18</v>
      </c>
      <c r="C41" s="4238"/>
      <c r="D41" s="1003">
        <f>E41+L41+K41+F41+G41+H41+I41+J41</f>
        <v>0</v>
      </c>
      <c r="E41" s="1024"/>
      <c r="F41" s="655"/>
      <c r="G41" s="655"/>
      <c r="H41" s="655"/>
      <c r="I41" s="655"/>
      <c r="J41" s="655"/>
      <c r="K41" s="3466"/>
      <c r="L41" s="1770"/>
      <c r="M41" s="4579"/>
      <c r="N41" s="4437"/>
    </row>
    <row r="42" spans="1:15" ht="18.75" customHeight="1">
      <c r="A42" s="4037" t="s">
        <v>53</v>
      </c>
      <c r="B42" s="1144" t="s">
        <v>398</v>
      </c>
      <c r="C42" s="1489" t="s">
        <v>97</v>
      </c>
      <c r="D42" s="2856"/>
      <c r="E42" s="1489"/>
      <c r="F42" s="1478"/>
      <c r="G42" s="1478"/>
      <c r="H42" s="1478"/>
      <c r="I42" s="1478"/>
      <c r="J42" s="26"/>
      <c r="K42" s="1478"/>
      <c r="L42" s="1478"/>
      <c r="M42" s="2398"/>
      <c r="N42" s="3912" t="s">
        <v>256</v>
      </c>
    </row>
    <row r="43" spans="1:15" ht="13.5" customHeight="1">
      <c r="A43" s="4038"/>
      <c r="B43" s="1195" t="s">
        <v>9</v>
      </c>
      <c r="C43" s="2848"/>
      <c r="D43" s="834">
        <f t="shared" ref="D43:J43" si="27">+D44+D47</f>
        <v>32711308</v>
      </c>
      <c r="E43" s="368">
        <f t="shared" ref="E43" si="28">+E44+E47</f>
        <v>14601504</v>
      </c>
      <c r="F43" s="1093">
        <f t="shared" si="27"/>
        <v>6500000</v>
      </c>
      <c r="G43" s="1093">
        <f t="shared" si="27"/>
        <v>6000000</v>
      </c>
      <c r="H43" s="1093">
        <f t="shared" si="27"/>
        <v>1883242</v>
      </c>
      <c r="I43" s="1093">
        <f>+I44+I47</f>
        <v>1979049</v>
      </c>
      <c r="J43" s="1093">
        <f t="shared" si="27"/>
        <v>1747513</v>
      </c>
      <c r="K43" s="1093">
        <f>+K44+K47</f>
        <v>0</v>
      </c>
      <c r="L43" s="1093">
        <f>+L44+L47</f>
        <v>0</v>
      </c>
      <c r="M43" s="1196">
        <f>+M44+M47</f>
        <v>18109804</v>
      </c>
      <c r="N43" s="4581"/>
    </row>
    <row r="44" spans="1:15" ht="13.5" customHeight="1">
      <c r="A44" s="4038"/>
      <c r="B44" s="1197" t="s">
        <v>10</v>
      </c>
      <c r="C44" s="4580" t="s">
        <v>150</v>
      </c>
      <c r="D44" s="847">
        <f>+D45+D46</f>
        <v>11896874</v>
      </c>
      <c r="E44" s="370">
        <f t="shared" ref="E44" si="29">+E45+E46</f>
        <v>5310569</v>
      </c>
      <c r="F44" s="1198">
        <f t="shared" ref="F44:J44" si="30">+F45+F46</f>
        <v>2364000</v>
      </c>
      <c r="G44" s="1198">
        <f t="shared" si="30"/>
        <v>2182000</v>
      </c>
      <c r="H44" s="1198">
        <f t="shared" si="30"/>
        <v>685335</v>
      </c>
      <c r="I44" s="1198">
        <f t="shared" si="30"/>
        <v>719830</v>
      </c>
      <c r="J44" s="1198">
        <f t="shared" si="30"/>
        <v>635140</v>
      </c>
      <c r="K44" s="1198">
        <f>+K45+K46</f>
        <v>0</v>
      </c>
      <c r="L44" s="1198">
        <f>+L45+L46</f>
        <v>0</v>
      </c>
      <c r="M44" s="1199">
        <f>SUM(M45:M46)</f>
        <v>6586305</v>
      </c>
      <c r="N44" s="4581"/>
    </row>
    <row r="45" spans="1:15" ht="12.6" hidden="1" customHeight="1">
      <c r="A45" s="4038"/>
      <c r="B45" s="1200" t="s">
        <v>11</v>
      </c>
      <c r="C45" s="4580"/>
      <c r="D45" s="2857">
        <f>E45+L45+K45+F45+G45+H45+I45+J45</f>
        <v>0</v>
      </c>
      <c r="E45" s="1201">
        <v>0</v>
      </c>
      <c r="F45" s="1202">
        <v>0</v>
      </c>
      <c r="G45" s="1202"/>
      <c r="H45" s="1202"/>
      <c r="I45" s="1202"/>
      <c r="J45" s="1202"/>
      <c r="K45" s="1202">
        <f>500000-500000</f>
        <v>0</v>
      </c>
      <c r="L45" s="1202">
        <f>450000-450000</f>
        <v>0</v>
      </c>
      <c r="M45" s="1203">
        <f>SUM(F45:J45)</f>
        <v>0</v>
      </c>
      <c r="N45" s="4581"/>
    </row>
    <row r="46" spans="1:15" ht="13.5" customHeight="1">
      <c r="A46" s="4038"/>
      <c r="B46" s="1204" t="s">
        <v>186</v>
      </c>
      <c r="C46" s="4580"/>
      <c r="D46" s="2857">
        <f>E46+L46+K46+F46+G46+H46+I46+J46</f>
        <v>11896874</v>
      </c>
      <c r="E46" s="1201">
        <f>2167756+1350307+1792506</f>
        <v>5310569</v>
      </c>
      <c r="F46" s="1202">
        <f>909250+1454750</f>
        <v>2364000</v>
      </c>
      <c r="G46" s="1202">
        <f>989414+1192586</f>
        <v>2182000</v>
      </c>
      <c r="H46" s="1202">
        <f>989414-404338+100259</f>
        <v>685335</v>
      </c>
      <c r="I46" s="1202">
        <f>989414-404338+134754</f>
        <v>719830</v>
      </c>
      <c r="J46" s="1202">
        <f>494707+67693+72740</f>
        <v>635140</v>
      </c>
      <c r="K46" s="1202"/>
      <c r="L46" s="1202">
        <v>0</v>
      </c>
      <c r="M46" s="1203">
        <f>SUM(F46:J46)</f>
        <v>6586305</v>
      </c>
      <c r="N46" s="4581"/>
    </row>
    <row r="47" spans="1:15" ht="13.5" customHeight="1">
      <c r="A47" s="4038"/>
      <c r="B47" s="1205" t="s">
        <v>17</v>
      </c>
      <c r="C47" s="4580"/>
      <c r="D47" s="847">
        <f>+D48</f>
        <v>20814434</v>
      </c>
      <c r="E47" s="370">
        <f t="shared" ref="E47:J47" si="31">+E48</f>
        <v>9290935</v>
      </c>
      <c r="F47" s="370">
        <f t="shared" si="31"/>
        <v>4136000</v>
      </c>
      <c r="G47" s="370">
        <f t="shared" si="31"/>
        <v>3818000</v>
      </c>
      <c r="H47" s="370">
        <f t="shared" si="31"/>
        <v>1197907</v>
      </c>
      <c r="I47" s="370">
        <f t="shared" si="31"/>
        <v>1259219</v>
      </c>
      <c r="J47" s="370">
        <f t="shared" si="31"/>
        <v>1112373</v>
      </c>
      <c r="K47" s="370">
        <f>+K48</f>
        <v>0</v>
      </c>
      <c r="L47" s="370">
        <f>+L48</f>
        <v>0</v>
      </c>
      <c r="M47" s="381">
        <f>+M48</f>
        <v>11523499</v>
      </c>
      <c r="N47" s="4581"/>
    </row>
    <row r="48" spans="1:15" ht="13.5" customHeight="1">
      <c r="A48" s="4038"/>
      <c r="B48" s="1204" t="s">
        <v>267</v>
      </c>
      <c r="C48" s="4580"/>
      <c r="D48" s="2857">
        <f>E48+L48+K48+F48+G48+H48+I48+J48</f>
        <v>20814434</v>
      </c>
      <c r="E48" s="1201">
        <f>3792526+2362386+3136023</f>
        <v>9290935</v>
      </c>
      <c r="F48" s="1202">
        <f>1590750+2545250</f>
        <v>4136000</v>
      </c>
      <c r="G48" s="1202">
        <f>1730997+2087003</f>
        <v>3818000</v>
      </c>
      <c r="H48" s="1202">
        <f>1730997-708494+175404</f>
        <v>1197907</v>
      </c>
      <c r="I48" s="1202">
        <f>1730997-708495+236717</f>
        <v>1259219</v>
      </c>
      <c r="J48" s="1202">
        <f>865499+119614+127260</f>
        <v>1112373</v>
      </c>
      <c r="K48" s="1202"/>
      <c r="L48" s="1202">
        <v>0</v>
      </c>
      <c r="M48" s="1203">
        <f>SUM(F48:J48)</f>
        <v>11523499</v>
      </c>
      <c r="N48" s="4581"/>
      <c r="O48" s="256">
        <f>D54-D48</f>
        <v>0</v>
      </c>
    </row>
    <row r="49" spans="1:14" s="1257" customFormat="1" ht="14.25" customHeight="1">
      <c r="A49" s="4038"/>
      <c r="B49" s="1195" t="s">
        <v>20</v>
      </c>
      <c r="C49" s="2848"/>
      <c r="D49" s="834">
        <f>+D50+D53</f>
        <v>32711308</v>
      </c>
      <c r="E49" s="1093">
        <f t="shared" ref="E49" si="32">+E50+E53</f>
        <v>14601504</v>
      </c>
      <c r="F49" s="1093">
        <f t="shared" ref="F49:J49" si="33">+F50+F53</f>
        <v>6500000</v>
      </c>
      <c r="G49" s="1093">
        <f t="shared" si="33"/>
        <v>6000000</v>
      </c>
      <c r="H49" s="1093">
        <f t="shared" si="33"/>
        <v>1883242</v>
      </c>
      <c r="I49" s="1093">
        <f t="shared" si="33"/>
        <v>1979049</v>
      </c>
      <c r="J49" s="1093">
        <f t="shared" si="33"/>
        <v>1747513</v>
      </c>
      <c r="K49" s="1093">
        <f>+K50+K53</f>
        <v>0</v>
      </c>
      <c r="L49" s="1093">
        <f>+L50+L53</f>
        <v>0</v>
      </c>
      <c r="M49" s="4584" t="s">
        <v>51</v>
      </c>
      <c r="N49" s="4581"/>
    </row>
    <row r="50" spans="1:14" s="1257" customFormat="1" ht="13.5" customHeight="1">
      <c r="A50" s="4038"/>
      <c r="B50" s="1197" t="s">
        <v>10</v>
      </c>
      <c r="C50" s="4582" t="s">
        <v>150</v>
      </c>
      <c r="D50" s="847">
        <f>+D51</f>
        <v>11896874</v>
      </c>
      <c r="E50" s="370">
        <f t="shared" ref="E50:J50" si="34">+E51</f>
        <v>5310569</v>
      </c>
      <c r="F50" s="1198">
        <f t="shared" si="34"/>
        <v>2364000</v>
      </c>
      <c r="G50" s="1198">
        <f t="shared" si="34"/>
        <v>2182000</v>
      </c>
      <c r="H50" s="1198">
        <f t="shared" si="34"/>
        <v>685335</v>
      </c>
      <c r="I50" s="1198">
        <f t="shared" si="34"/>
        <v>719830</v>
      </c>
      <c r="J50" s="1198">
        <f t="shared" si="34"/>
        <v>635140</v>
      </c>
      <c r="K50" s="1198">
        <f>+K51</f>
        <v>0</v>
      </c>
      <c r="L50" s="1198">
        <f>+L51</f>
        <v>0</v>
      </c>
      <c r="M50" s="4584"/>
      <c r="N50" s="4581"/>
    </row>
    <row r="51" spans="1:14" s="1257" customFormat="1" ht="12.75" customHeight="1">
      <c r="A51" s="4038"/>
      <c r="B51" s="1204" t="s">
        <v>186</v>
      </c>
      <c r="C51" s="4582"/>
      <c r="D51" s="2857">
        <f>E51+L51+K51+F51+G51+H51+I51+J51</f>
        <v>11896874</v>
      </c>
      <c r="E51" s="1201">
        <f>2167756+1350307+1792506</f>
        <v>5310569</v>
      </c>
      <c r="F51" s="1202">
        <f>909250+1454750</f>
        <v>2364000</v>
      </c>
      <c r="G51" s="1202">
        <f>989414+1192586</f>
        <v>2182000</v>
      </c>
      <c r="H51" s="1202">
        <f>989414-404338+100259</f>
        <v>685335</v>
      </c>
      <c r="I51" s="1202">
        <f>989414-404338+134754</f>
        <v>719830</v>
      </c>
      <c r="J51" s="1202">
        <f>494707+67693+72740</f>
        <v>635140</v>
      </c>
      <c r="K51" s="1202"/>
      <c r="L51" s="1202">
        <v>0</v>
      </c>
      <c r="M51" s="4584"/>
      <c r="N51" s="4581"/>
    </row>
    <row r="52" spans="1:14" s="1257" customFormat="1" ht="13.5" hidden="1" customHeight="1">
      <c r="A52" s="4038"/>
      <c r="B52" s="1200" t="s">
        <v>23</v>
      </c>
      <c r="C52" s="4582"/>
      <c r="D52" s="2857">
        <f>E52+L52+K52+F52+G52+H52+I52+J52</f>
        <v>0</v>
      </c>
      <c r="E52" s="1201">
        <v>0</v>
      </c>
      <c r="F52" s="1202"/>
      <c r="G52" s="1202"/>
      <c r="H52" s="1202"/>
      <c r="I52" s="1202"/>
      <c r="J52" s="1202"/>
      <c r="K52" s="1202"/>
      <c r="L52" s="1202"/>
      <c r="M52" s="4584"/>
      <c r="N52" s="4581"/>
    </row>
    <row r="53" spans="1:14" s="1257" customFormat="1" ht="12.75" customHeight="1">
      <c r="A53" s="4038"/>
      <c r="B53" s="1205" t="s">
        <v>17</v>
      </c>
      <c r="C53" s="4582"/>
      <c r="D53" s="847">
        <f>+D54</f>
        <v>20814434</v>
      </c>
      <c r="E53" s="370">
        <f t="shared" ref="E53:J53" si="35">+E54</f>
        <v>9290935</v>
      </c>
      <c r="F53" s="1198">
        <f t="shared" si="35"/>
        <v>4136000</v>
      </c>
      <c r="G53" s="1198">
        <f t="shared" si="35"/>
        <v>3818000</v>
      </c>
      <c r="H53" s="1198">
        <f t="shared" si="35"/>
        <v>1197907</v>
      </c>
      <c r="I53" s="1198">
        <f t="shared" si="35"/>
        <v>1259219</v>
      </c>
      <c r="J53" s="1198">
        <f t="shared" si="35"/>
        <v>1112373</v>
      </c>
      <c r="K53" s="1198">
        <f>+K54</f>
        <v>0</v>
      </c>
      <c r="L53" s="1198">
        <f>+L54</f>
        <v>0</v>
      </c>
      <c r="M53" s="4584"/>
      <c r="N53" s="4581"/>
    </row>
    <row r="54" spans="1:14" s="1257" customFormat="1" ht="12.75" customHeight="1" thickBot="1">
      <c r="A54" s="4039"/>
      <c r="B54" s="1146" t="s">
        <v>267</v>
      </c>
      <c r="C54" s="4583"/>
      <c r="D54" s="1259">
        <f>E54+L54+K54+F54+G54+H54+I54+J54</f>
        <v>20814434</v>
      </c>
      <c r="E54" s="1158">
        <f>3792526+2362386+3136023</f>
        <v>9290935</v>
      </c>
      <c r="F54" s="2399">
        <f>1590750+2545250</f>
        <v>4136000</v>
      </c>
      <c r="G54" s="2399">
        <f>1730997+2087003</f>
        <v>3818000</v>
      </c>
      <c r="H54" s="2399">
        <f>1730997-708494+175404</f>
        <v>1197907</v>
      </c>
      <c r="I54" s="2399">
        <f>1730997-708495+236717</f>
        <v>1259219</v>
      </c>
      <c r="J54" s="2399">
        <f>865499+119614+127260</f>
        <v>1112373</v>
      </c>
      <c r="K54" s="2399"/>
      <c r="L54" s="2399">
        <v>0</v>
      </c>
      <c r="M54" s="4134"/>
      <c r="N54" s="3952"/>
    </row>
    <row r="55" spans="1:14" ht="11.25" hidden="1" customHeight="1" thickBot="1">
      <c r="A55" s="1247"/>
      <c r="B55" s="382" t="s">
        <v>18</v>
      </c>
      <c r="C55" s="2849"/>
      <c r="D55" s="1482">
        <f>E55+L55+K55+F55+G55+H55+I55+J55</f>
        <v>0</v>
      </c>
      <c r="E55" s="383"/>
      <c r="F55" s="383"/>
      <c r="G55" s="383"/>
      <c r="H55" s="383"/>
      <c r="I55" s="383"/>
      <c r="J55" s="383"/>
      <c r="K55" s="383"/>
      <c r="L55" s="383"/>
      <c r="M55" s="384"/>
      <c r="N55" s="1248"/>
    </row>
    <row r="56" spans="1:14" s="1257" customFormat="1" ht="27" customHeight="1">
      <c r="A56" s="4038" t="s">
        <v>54</v>
      </c>
      <c r="B56" s="2400" t="s">
        <v>367</v>
      </c>
      <c r="C56" s="1488" t="s">
        <v>97</v>
      </c>
      <c r="D56" s="2856"/>
      <c r="E56" s="1489"/>
      <c r="F56" s="1478"/>
      <c r="G56" s="1478"/>
      <c r="H56" s="1478"/>
      <c r="I56" s="1478"/>
      <c r="J56" s="26"/>
      <c r="K56" s="1478"/>
      <c r="L56" s="1478"/>
      <c r="M56" s="1258"/>
      <c r="N56" s="4581" t="s">
        <v>249</v>
      </c>
    </row>
    <row r="57" spans="1:14" s="1257" customFormat="1" ht="13.5" customHeight="1">
      <c r="A57" s="4038"/>
      <c r="B57" s="1195" t="s">
        <v>9</v>
      </c>
      <c r="C57" s="2848"/>
      <c r="D57" s="834">
        <f t="shared" ref="D57:M57" si="36">+D58+D60</f>
        <v>5976322</v>
      </c>
      <c r="E57" s="368">
        <f t="shared" si="36"/>
        <v>3673095</v>
      </c>
      <c r="F57" s="1093">
        <f t="shared" si="36"/>
        <v>1200000</v>
      </c>
      <c r="G57" s="1093">
        <f t="shared" si="36"/>
        <v>981448</v>
      </c>
      <c r="H57" s="1093">
        <f t="shared" si="36"/>
        <v>50000</v>
      </c>
      <c r="I57" s="1093">
        <f t="shared" si="36"/>
        <v>50000</v>
      </c>
      <c r="J57" s="1093">
        <f t="shared" si="36"/>
        <v>21779</v>
      </c>
      <c r="K57" s="1093">
        <f>+K58+K60</f>
        <v>0</v>
      </c>
      <c r="L57" s="1093">
        <f>+L58+L60</f>
        <v>0</v>
      </c>
      <c r="M57" s="1196">
        <f t="shared" si="36"/>
        <v>2303227</v>
      </c>
      <c r="N57" s="4581"/>
    </row>
    <row r="58" spans="1:14" s="1257" customFormat="1" ht="13.5" customHeight="1">
      <c r="A58" s="4038"/>
      <c r="B58" s="1197" t="s">
        <v>10</v>
      </c>
      <c r="C58" s="4580" t="s">
        <v>366</v>
      </c>
      <c r="D58" s="847">
        <f>+D59</f>
        <v>1494081</v>
      </c>
      <c r="E58" s="370">
        <f t="shared" ref="E58:I58" si="37">+E59</f>
        <v>918273</v>
      </c>
      <c r="F58" s="370">
        <f t="shared" si="37"/>
        <v>300000</v>
      </c>
      <c r="G58" s="370">
        <f t="shared" si="37"/>
        <v>245362</v>
      </c>
      <c r="H58" s="370">
        <f t="shared" si="37"/>
        <v>12500</v>
      </c>
      <c r="I58" s="370">
        <f t="shared" si="37"/>
        <v>12500</v>
      </c>
      <c r="J58" s="370">
        <f>+J59</f>
        <v>5446</v>
      </c>
      <c r="K58" s="370">
        <f>+K59</f>
        <v>0</v>
      </c>
      <c r="L58" s="370">
        <f>+L59</f>
        <v>0</v>
      </c>
      <c r="M58" s="1199">
        <f>SUM(M59:M59)</f>
        <v>575808</v>
      </c>
      <c r="N58" s="4581"/>
    </row>
    <row r="59" spans="1:14" s="1257" customFormat="1" ht="13.5" customHeight="1">
      <c r="A59" s="4038"/>
      <c r="B59" s="1204" t="s">
        <v>186</v>
      </c>
      <c r="C59" s="4580"/>
      <c r="D59" s="2857">
        <f>E59+L59+K59+F59+G59+H59+I59+J59</f>
        <v>1494081</v>
      </c>
      <c r="E59" s="1201">
        <f>371080+292555+254638</f>
        <v>918273</v>
      </c>
      <c r="F59" s="1202">
        <v>300000</v>
      </c>
      <c r="G59" s="1202">
        <f>150000+85000+10362</f>
        <v>245362</v>
      </c>
      <c r="H59" s="1202">
        <v>12500</v>
      </c>
      <c r="I59" s="1202">
        <v>12500</v>
      </c>
      <c r="J59" s="1202">
        <v>5446</v>
      </c>
      <c r="K59" s="1202"/>
      <c r="L59" s="1202">
        <v>0</v>
      </c>
      <c r="M59" s="1203">
        <f>SUM(F59:J59)</f>
        <v>575808</v>
      </c>
      <c r="N59" s="4581"/>
    </row>
    <row r="60" spans="1:14" s="1257" customFormat="1" ht="13.5" customHeight="1">
      <c r="A60" s="4038"/>
      <c r="B60" s="1205" t="s">
        <v>17</v>
      </c>
      <c r="C60" s="4580"/>
      <c r="D60" s="847">
        <f>+D61</f>
        <v>4482241</v>
      </c>
      <c r="E60" s="370">
        <f t="shared" ref="E60:J60" si="38">+E61</f>
        <v>2754822</v>
      </c>
      <c r="F60" s="370">
        <f t="shared" si="38"/>
        <v>900000</v>
      </c>
      <c r="G60" s="370">
        <f t="shared" si="38"/>
        <v>736086</v>
      </c>
      <c r="H60" s="370">
        <f t="shared" si="38"/>
        <v>37500</v>
      </c>
      <c r="I60" s="370">
        <f t="shared" si="38"/>
        <v>37500</v>
      </c>
      <c r="J60" s="370">
        <f t="shared" si="38"/>
        <v>16333</v>
      </c>
      <c r="K60" s="370">
        <f>+K61</f>
        <v>0</v>
      </c>
      <c r="L60" s="370">
        <f>+L61</f>
        <v>0</v>
      </c>
      <c r="M60" s="381">
        <f>+M61</f>
        <v>1727419</v>
      </c>
      <c r="N60" s="4581"/>
    </row>
    <row r="61" spans="1:14" s="1257" customFormat="1" ht="13.5" customHeight="1">
      <c r="A61" s="4038"/>
      <c r="B61" s="1204" t="s">
        <v>267</v>
      </c>
      <c r="C61" s="4580"/>
      <c r="D61" s="2857">
        <f>E61+L61+K61+F61+G61+H61+I61+J61</f>
        <v>4482241</v>
      </c>
      <c r="E61" s="1201">
        <f>1113241+877667+763914</f>
        <v>2754822</v>
      </c>
      <c r="F61" s="1202">
        <v>900000</v>
      </c>
      <c r="G61" s="1202">
        <f>450000+255000+31086</f>
        <v>736086</v>
      </c>
      <c r="H61" s="1202">
        <v>37500</v>
      </c>
      <c r="I61" s="1202">
        <v>37500</v>
      </c>
      <c r="J61" s="1202">
        <v>16333</v>
      </c>
      <c r="K61" s="1202"/>
      <c r="L61" s="1202">
        <v>0</v>
      </c>
      <c r="M61" s="1203">
        <f>SUM(F61:J61)</f>
        <v>1727419</v>
      </c>
      <c r="N61" s="4581"/>
    </row>
    <row r="62" spans="1:14" s="1257" customFormat="1" ht="13.5" customHeight="1">
      <c r="A62" s="4038"/>
      <c r="B62" s="1195" t="s">
        <v>20</v>
      </c>
      <c r="C62" s="2848"/>
      <c r="D62" s="834">
        <f t="shared" ref="D62:J62" si="39">+D63+D65</f>
        <v>5976322</v>
      </c>
      <c r="E62" s="1093">
        <f t="shared" si="39"/>
        <v>3673095</v>
      </c>
      <c r="F62" s="1093">
        <f t="shared" si="39"/>
        <v>1200000</v>
      </c>
      <c r="G62" s="1093">
        <f t="shared" si="39"/>
        <v>981448</v>
      </c>
      <c r="H62" s="1093">
        <f t="shared" si="39"/>
        <v>50000</v>
      </c>
      <c r="I62" s="1093">
        <f t="shared" si="39"/>
        <v>50000</v>
      </c>
      <c r="J62" s="1093">
        <f t="shared" si="39"/>
        <v>21779</v>
      </c>
      <c r="K62" s="1093">
        <f>+K63+K65</f>
        <v>0</v>
      </c>
      <c r="L62" s="1093">
        <f>+L63+L65</f>
        <v>0</v>
      </c>
      <c r="M62" s="4584" t="s">
        <v>51</v>
      </c>
      <c r="N62" s="4581"/>
    </row>
    <row r="63" spans="1:14" s="1257" customFormat="1" ht="13.5" customHeight="1">
      <c r="A63" s="4038"/>
      <c r="B63" s="1197" t="s">
        <v>10</v>
      </c>
      <c r="C63" s="4582" t="s">
        <v>366</v>
      </c>
      <c r="D63" s="847">
        <f>+D64</f>
        <v>1494081</v>
      </c>
      <c r="E63" s="370">
        <f t="shared" ref="E63:J63" si="40">+E64</f>
        <v>918273</v>
      </c>
      <c r="F63" s="370">
        <f t="shared" si="40"/>
        <v>300000</v>
      </c>
      <c r="G63" s="370">
        <f t="shared" si="40"/>
        <v>245362</v>
      </c>
      <c r="H63" s="370">
        <f t="shared" si="40"/>
        <v>12500</v>
      </c>
      <c r="I63" s="370">
        <f t="shared" si="40"/>
        <v>12500</v>
      </c>
      <c r="J63" s="370">
        <f t="shared" si="40"/>
        <v>5446</v>
      </c>
      <c r="K63" s="370">
        <f>+K64</f>
        <v>0</v>
      </c>
      <c r="L63" s="370">
        <f>+L64</f>
        <v>0</v>
      </c>
      <c r="M63" s="4584"/>
      <c r="N63" s="4581"/>
    </row>
    <row r="64" spans="1:14" s="1257" customFormat="1" ht="13.5" customHeight="1">
      <c r="A64" s="4038"/>
      <c r="B64" s="1204" t="s">
        <v>186</v>
      </c>
      <c r="C64" s="4582"/>
      <c r="D64" s="2857">
        <f>E64+L64+K64+F64+G64+H64+I64+J64</f>
        <v>1494081</v>
      </c>
      <c r="E64" s="1201">
        <f>371080+292555+254638</f>
        <v>918273</v>
      </c>
      <c r="F64" s="1201">
        <v>300000</v>
      </c>
      <c r="G64" s="1201">
        <f>150000+85000+10362</f>
        <v>245362</v>
      </c>
      <c r="H64" s="1201">
        <v>12500</v>
      </c>
      <c r="I64" s="1201">
        <v>12500</v>
      </c>
      <c r="J64" s="1201">
        <v>5446</v>
      </c>
      <c r="K64" s="1201"/>
      <c r="L64" s="1201">
        <v>0</v>
      </c>
      <c r="M64" s="4584"/>
      <c r="N64" s="4581"/>
    </row>
    <row r="65" spans="1:15" s="1257" customFormat="1" ht="13.5" customHeight="1">
      <c r="A65" s="4038"/>
      <c r="B65" s="1205" t="s">
        <v>17</v>
      </c>
      <c r="C65" s="4582"/>
      <c r="D65" s="847">
        <f>+D66</f>
        <v>4482241</v>
      </c>
      <c r="E65" s="370">
        <f t="shared" ref="E65:J65" si="41">+E66</f>
        <v>2754822</v>
      </c>
      <c r="F65" s="370">
        <f t="shared" si="41"/>
        <v>900000</v>
      </c>
      <c r="G65" s="370">
        <f t="shared" si="41"/>
        <v>736086</v>
      </c>
      <c r="H65" s="370">
        <f t="shared" si="41"/>
        <v>37500</v>
      </c>
      <c r="I65" s="370">
        <f t="shared" si="41"/>
        <v>37500</v>
      </c>
      <c r="J65" s="370">
        <f t="shared" si="41"/>
        <v>16333</v>
      </c>
      <c r="K65" s="370">
        <f>+K66</f>
        <v>0</v>
      </c>
      <c r="L65" s="370">
        <f>+L66</f>
        <v>0</v>
      </c>
      <c r="M65" s="4584"/>
      <c r="N65" s="4581"/>
    </row>
    <row r="66" spans="1:15" s="1257" customFormat="1" ht="13.5" customHeight="1" thickBot="1">
      <c r="A66" s="4039"/>
      <c r="B66" s="1146" t="s">
        <v>267</v>
      </c>
      <c r="C66" s="4583"/>
      <c r="D66" s="1259">
        <f>E66+L66+K66+F66+G66+H66+I66+J66</f>
        <v>4482241</v>
      </c>
      <c r="E66" s="1158">
        <f>1113241+877667+763914</f>
        <v>2754822</v>
      </c>
      <c r="F66" s="1158">
        <v>900000</v>
      </c>
      <c r="G66" s="1158">
        <f>450000+255000+31086</f>
        <v>736086</v>
      </c>
      <c r="H66" s="1158">
        <v>37500</v>
      </c>
      <c r="I66" s="1158">
        <v>37500</v>
      </c>
      <c r="J66" s="1158">
        <v>16333</v>
      </c>
      <c r="K66" s="1158"/>
      <c r="L66" s="1158">
        <v>0</v>
      </c>
      <c r="M66" s="4134"/>
      <c r="N66" s="3952"/>
    </row>
    <row r="67" spans="1:15" ht="52.5" customHeight="1">
      <c r="A67" s="4038" t="s">
        <v>55</v>
      </c>
      <c r="B67" s="1007" t="s">
        <v>399</v>
      </c>
      <c r="C67" s="1485" t="s">
        <v>70</v>
      </c>
      <c r="D67" s="397"/>
      <c r="E67" s="1492"/>
      <c r="F67" s="1486"/>
      <c r="G67" s="1150"/>
      <c r="H67" s="1150"/>
      <c r="I67" s="1150"/>
      <c r="J67" s="1487"/>
      <c r="K67" s="1486"/>
      <c r="L67" s="1486"/>
      <c r="M67" s="399"/>
      <c r="N67" s="4059" t="s">
        <v>465</v>
      </c>
    </row>
    <row r="68" spans="1:15" ht="15.75" customHeight="1">
      <c r="A68" s="4038"/>
      <c r="B68" s="478" t="s">
        <v>9</v>
      </c>
      <c r="C68" s="2850"/>
      <c r="D68" s="834">
        <f>+D69+D71</f>
        <v>1016020</v>
      </c>
      <c r="E68" s="368">
        <f>+E69+E71</f>
        <v>129816</v>
      </c>
      <c r="F68" s="368">
        <f t="shared" ref="F68:G68" si="42">+F69+F71</f>
        <v>707804</v>
      </c>
      <c r="G68" s="368">
        <f t="shared" si="42"/>
        <v>178400</v>
      </c>
      <c r="H68" s="2812">
        <v>0</v>
      </c>
      <c r="I68" s="2812">
        <v>0</v>
      </c>
      <c r="J68" s="2812">
        <v>0</v>
      </c>
      <c r="K68" s="368">
        <f>+K69+K71</f>
        <v>0</v>
      </c>
      <c r="L68" s="368">
        <f>+L69+L71</f>
        <v>0</v>
      </c>
      <c r="M68" s="1088">
        <f>+M69+M71</f>
        <v>886204</v>
      </c>
      <c r="N68" s="4060"/>
      <c r="O68" s="155" t="s">
        <v>313</v>
      </c>
    </row>
    <row r="69" spans="1:15" ht="12.75" customHeight="1">
      <c r="A69" s="4038"/>
      <c r="B69" s="2401" t="s">
        <v>22</v>
      </c>
      <c r="C69" s="4572" t="s">
        <v>171</v>
      </c>
      <c r="D69" s="807">
        <f>+D70</f>
        <v>174504</v>
      </c>
      <c r="E69" s="2402">
        <f>+E70</f>
        <v>41572</v>
      </c>
      <c r="F69" s="2402">
        <f t="shared" ref="F69:G69" si="43">+F70</f>
        <v>106172</v>
      </c>
      <c r="G69" s="2402">
        <f t="shared" si="43"/>
        <v>26760</v>
      </c>
      <c r="H69" s="2813">
        <v>0</v>
      </c>
      <c r="I69" s="2813">
        <v>0</v>
      </c>
      <c r="J69" s="2813">
        <v>0</v>
      </c>
      <c r="K69" s="2402">
        <f>+K70</f>
        <v>0</v>
      </c>
      <c r="L69" s="2402">
        <f>+L70</f>
        <v>0</v>
      </c>
      <c r="M69" s="330">
        <f>+M70</f>
        <v>132932</v>
      </c>
      <c r="N69" s="4060"/>
    </row>
    <row r="70" spans="1:15" ht="12.75" customHeight="1">
      <c r="A70" s="4038"/>
      <c r="B70" s="649" t="s">
        <v>11</v>
      </c>
      <c r="C70" s="4573"/>
      <c r="D70" s="1460">
        <f>E70+L70+K70+F70+G70+H70+I70+J70</f>
        <v>174504</v>
      </c>
      <c r="E70" s="468">
        <f>29465+12107</f>
        <v>41572</v>
      </c>
      <c r="F70" s="2139">
        <f>51719+33030+21423</f>
        <v>106172</v>
      </c>
      <c r="G70" s="2139">
        <v>26760</v>
      </c>
      <c r="H70" s="2813">
        <v>0</v>
      </c>
      <c r="I70" s="2813">
        <v>0</v>
      </c>
      <c r="J70" s="2813">
        <v>0</v>
      </c>
      <c r="K70" s="2139"/>
      <c r="L70" s="2139">
        <f>16229-16229</f>
        <v>0</v>
      </c>
      <c r="M70" s="1203">
        <f>SUM(F70:J70)</f>
        <v>132932</v>
      </c>
      <c r="N70" s="4060"/>
    </row>
    <row r="71" spans="1:15" ht="14.25" customHeight="1">
      <c r="A71" s="4038"/>
      <c r="B71" s="472" t="s">
        <v>17</v>
      </c>
      <c r="C71" s="4573"/>
      <c r="D71" s="807">
        <f>+D72</f>
        <v>841516</v>
      </c>
      <c r="E71" s="2402">
        <f>+E72</f>
        <v>88244</v>
      </c>
      <c r="F71" s="2402">
        <f t="shared" ref="F71:G71" si="44">+F72</f>
        <v>601632</v>
      </c>
      <c r="G71" s="2402">
        <f t="shared" si="44"/>
        <v>151640</v>
      </c>
      <c r="H71" s="2813">
        <v>0</v>
      </c>
      <c r="I71" s="2813">
        <v>0</v>
      </c>
      <c r="J71" s="2813">
        <v>0</v>
      </c>
      <c r="K71" s="2402">
        <f>+K72</f>
        <v>0</v>
      </c>
      <c r="L71" s="2402">
        <f>+L72</f>
        <v>0</v>
      </c>
      <c r="M71" s="330">
        <f>+M72</f>
        <v>753272</v>
      </c>
      <c r="N71" s="4060"/>
    </row>
    <row r="72" spans="1:15" ht="12.75" customHeight="1">
      <c r="A72" s="4038"/>
      <c r="B72" s="1749" t="s">
        <v>19</v>
      </c>
      <c r="C72" s="4574"/>
      <c r="D72" s="1460">
        <f>E72+L72+K72+F72+G72+H72+I72+J72</f>
        <v>841516</v>
      </c>
      <c r="E72" s="1090">
        <f>19635+68609</f>
        <v>88244</v>
      </c>
      <c r="F72" s="2403">
        <f>293071+187170+121391</f>
        <v>601632</v>
      </c>
      <c r="G72" s="2403">
        <v>151640</v>
      </c>
      <c r="H72" s="2813">
        <v>0</v>
      </c>
      <c r="I72" s="2813">
        <v>0</v>
      </c>
      <c r="J72" s="2813">
        <v>0</v>
      </c>
      <c r="K72" s="2403"/>
      <c r="L72" s="2403">
        <f>91961-91961</f>
        <v>0</v>
      </c>
      <c r="M72" s="1203">
        <f>SUM(F72:J72)</f>
        <v>753272</v>
      </c>
      <c r="N72" s="4060"/>
    </row>
    <row r="73" spans="1:15" ht="12" customHeight="1">
      <c r="A73" s="4038"/>
      <c r="B73" s="478" t="s">
        <v>20</v>
      </c>
      <c r="C73" s="2850"/>
      <c r="D73" s="834">
        <f t="shared" ref="D73:G74" si="45">+D74</f>
        <v>841516</v>
      </c>
      <c r="E73" s="42">
        <f t="shared" si="45"/>
        <v>91961</v>
      </c>
      <c r="F73" s="42">
        <f t="shared" si="45"/>
        <v>597915</v>
      </c>
      <c r="G73" s="42">
        <f t="shared" si="45"/>
        <v>151640</v>
      </c>
      <c r="H73" s="2812">
        <v>0</v>
      </c>
      <c r="I73" s="2812">
        <v>0</v>
      </c>
      <c r="J73" s="2812">
        <v>0</v>
      </c>
      <c r="K73" s="42">
        <f>+K74</f>
        <v>0</v>
      </c>
      <c r="L73" s="42">
        <f>+L74</f>
        <v>0</v>
      </c>
      <c r="M73" s="3991"/>
      <c r="N73" s="4060" t="s">
        <v>249</v>
      </c>
    </row>
    <row r="74" spans="1:15" ht="13.5" customHeight="1">
      <c r="A74" s="4038"/>
      <c r="B74" s="472" t="s">
        <v>17</v>
      </c>
      <c r="C74" s="4585" t="s">
        <v>174</v>
      </c>
      <c r="D74" s="807">
        <f t="shared" si="45"/>
        <v>841516</v>
      </c>
      <c r="E74" s="2140">
        <f t="shared" si="45"/>
        <v>91961</v>
      </c>
      <c r="F74" s="2140">
        <f t="shared" si="45"/>
        <v>597915</v>
      </c>
      <c r="G74" s="2140">
        <f t="shared" si="45"/>
        <v>151640</v>
      </c>
      <c r="H74" s="2813">
        <v>0</v>
      </c>
      <c r="I74" s="2813">
        <v>0</v>
      </c>
      <c r="J74" s="2813">
        <v>0</v>
      </c>
      <c r="K74" s="2140">
        <f>+K75</f>
        <v>0</v>
      </c>
      <c r="L74" s="2140">
        <f>+L75</f>
        <v>0</v>
      </c>
      <c r="M74" s="3881"/>
      <c r="N74" s="4060"/>
    </row>
    <row r="75" spans="1:15" ht="13.5" customHeight="1" thickBot="1">
      <c r="A75" s="4039"/>
      <c r="B75" s="1715" t="s">
        <v>19</v>
      </c>
      <c r="C75" s="4586"/>
      <c r="D75" s="1460">
        <f>E75+L75+K75+F75+G75+H75+I75+J75</f>
        <v>841516</v>
      </c>
      <c r="E75" s="1014">
        <f>304844+91961-187170-117674</f>
        <v>91961</v>
      </c>
      <c r="F75" s="1014">
        <f>293071+187170+117674</f>
        <v>597915</v>
      </c>
      <c r="G75" s="1014">
        <v>151640</v>
      </c>
      <c r="H75" s="1048">
        <v>0</v>
      </c>
      <c r="I75" s="1048">
        <v>0</v>
      </c>
      <c r="J75" s="1048">
        <v>0</v>
      </c>
      <c r="K75" s="1014"/>
      <c r="L75" s="1014">
        <f>91961-91961</f>
        <v>0</v>
      </c>
      <c r="M75" s="3882"/>
      <c r="N75" s="4061"/>
    </row>
    <row r="76" spans="1:15" ht="50.25" customHeight="1">
      <c r="A76" s="4037" t="s">
        <v>56</v>
      </c>
      <c r="B76" s="1007" t="s">
        <v>400</v>
      </c>
      <c r="C76" s="1485" t="s">
        <v>154</v>
      </c>
      <c r="D76" s="397"/>
      <c r="E76" s="1150"/>
      <c r="F76" s="1486"/>
      <c r="G76" s="1150"/>
      <c r="H76" s="1150"/>
      <c r="I76" s="1150"/>
      <c r="J76" s="1487"/>
      <c r="K76" s="1486"/>
      <c r="L76" s="1486"/>
      <c r="M76" s="399"/>
      <c r="N76" s="4059" t="s">
        <v>465</v>
      </c>
    </row>
    <row r="77" spans="1:15" ht="13.5" customHeight="1">
      <c r="A77" s="4038"/>
      <c r="B77" s="478" t="s">
        <v>9</v>
      </c>
      <c r="C77" s="2850"/>
      <c r="D77" s="834">
        <f>+D78+D80</f>
        <v>9980</v>
      </c>
      <c r="E77" s="368">
        <f t="shared" ref="E77" si="46">+E78+E80</f>
        <v>3300</v>
      </c>
      <c r="F77" s="368">
        <f t="shared" ref="F77" si="47">+F78+F80</f>
        <v>6680</v>
      </c>
      <c r="G77" s="2812">
        <v>0</v>
      </c>
      <c r="H77" s="2812">
        <v>0</v>
      </c>
      <c r="I77" s="2812">
        <v>0</v>
      </c>
      <c r="J77" s="2812">
        <v>0</v>
      </c>
      <c r="K77" s="368">
        <f>+K78+K80</f>
        <v>0</v>
      </c>
      <c r="L77" s="368">
        <f>+L78+L80</f>
        <v>0</v>
      </c>
      <c r="M77" s="1088">
        <f>+M78+M80</f>
        <v>6680</v>
      </c>
      <c r="N77" s="4060"/>
    </row>
    <row r="78" spans="1:15" ht="13.5" customHeight="1">
      <c r="A78" s="4038"/>
      <c r="B78" s="2401" t="s">
        <v>22</v>
      </c>
      <c r="C78" s="4572" t="s">
        <v>171</v>
      </c>
      <c r="D78" s="807">
        <f>+D79</f>
        <v>1497</v>
      </c>
      <c r="E78" s="2402">
        <f t="shared" ref="E78:F78" si="48">+E79</f>
        <v>495</v>
      </c>
      <c r="F78" s="2402">
        <f t="shared" si="48"/>
        <v>1002</v>
      </c>
      <c r="G78" s="2813">
        <v>0</v>
      </c>
      <c r="H78" s="2813">
        <v>0</v>
      </c>
      <c r="I78" s="2813">
        <v>0</v>
      </c>
      <c r="J78" s="2813">
        <v>0</v>
      </c>
      <c r="K78" s="2402">
        <f>+K79</f>
        <v>0</v>
      </c>
      <c r="L78" s="2402">
        <f>+L79</f>
        <v>0</v>
      </c>
      <c r="M78" s="330">
        <f>+M79</f>
        <v>1002</v>
      </c>
      <c r="N78" s="4060"/>
      <c r="O78" s="155" t="s">
        <v>313</v>
      </c>
    </row>
    <row r="79" spans="1:15" ht="13.5" customHeight="1">
      <c r="A79" s="4038"/>
      <c r="B79" s="649" t="s">
        <v>11</v>
      </c>
      <c r="C79" s="4573"/>
      <c r="D79" s="1460">
        <f>E79+L79+K79+F79+G79+H79+I79+J79</f>
        <v>1497</v>
      </c>
      <c r="E79" s="2139">
        <f>495+507-495-12</f>
        <v>495</v>
      </c>
      <c r="F79" s="2139">
        <f>495+495+12</f>
        <v>1002</v>
      </c>
      <c r="G79" s="2813">
        <v>0</v>
      </c>
      <c r="H79" s="2813">
        <v>0</v>
      </c>
      <c r="I79" s="2813">
        <v>0</v>
      </c>
      <c r="J79" s="2813">
        <v>0</v>
      </c>
      <c r="K79" s="2139"/>
      <c r="L79" s="2139">
        <f>507-507</f>
        <v>0</v>
      </c>
      <c r="M79" s="1203">
        <f>SUM(F79:J79)</f>
        <v>1002</v>
      </c>
      <c r="N79" s="4060"/>
    </row>
    <row r="80" spans="1:15" ht="13.5" customHeight="1">
      <c r="A80" s="4038"/>
      <c r="B80" s="472" t="s">
        <v>17</v>
      </c>
      <c r="C80" s="4573"/>
      <c r="D80" s="807">
        <f>+D81</f>
        <v>8483</v>
      </c>
      <c r="E80" s="2402">
        <f t="shared" ref="E80:F80" si="49">+E81</f>
        <v>2805</v>
      </c>
      <c r="F80" s="2402">
        <f t="shared" si="49"/>
        <v>5678</v>
      </c>
      <c r="G80" s="2813">
        <v>0</v>
      </c>
      <c r="H80" s="2813">
        <v>0</v>
      </c>
      <c r="I80" s="2813">
        <v>0</v>
      </c>
      <c r="J80" s="2813">
        <v>0</v>
      </c>
      <c r="K80" s="2402">
        <f>+K81</f>
        <v>0</v>
      </c>
      <c r="L80" s="2402">
        <f>+L81</f>
        <v>0</v>
      </c>
      <c r="M80" s="330">
        <f>+M81</f>
        <v>5678</v>
      </c>
      <c r="N80" s="4060"/>
    </row>
    <row r="81" spans="1:14" ht="13.5" customHeight="1">
      <c r="A81" s="4038"/>
      <c r="B81" s="1749" t="s">
        <v>19</v>
      </c>
      <c r="C81" s="4574"/>
      <c r="D81" s="1460">
        <f>E81+L81+K81+F81+G81+H81+I81+J81</f>
        <v>8483</v>
      </c>
      <c r="E81" s="2139">
        <f>2805+2873-2805-68</f>
        <v>2805</v>
      </c>
      <c r="F81" s="2139">
        <f>2805+2805+68</f>
        <v>5678</v>
      </c>
      <c r="G81" s="2813">
        <v>0</v>
      </c>
      <c r="H81" s="2813">
        <v>0</v>
      </c>
      <c r="I81" s="2813">
        <v>0</v>
      </c>
      <c r="J81" s="2813">
        <v>0</v>
      </c>
      <c r="K81" s="2139"/>
      <c r="L81" s="2139">
        <f>2873-2873</f>
        <v>0</v>
      </c>
      <c r="M81" s="1203">
        <f>SUM(F81:J81)</f>
        <v>5678</v>
      </c>
      <c r="N81" s="4060"/>
    </row>
    <row r="82" spans="1:14" ht="13.5" customHeight="1">
      <c r="A82" s="4038"/>
      <c r="B82" s="478" t="s">
        <v>20</v>
      </c>
      <c r="C82" s="2850"/>
      <c r="D82" s="834">
        <f t="shared" ref="D82:F83" si="50">+D83</f>
        <v>8483</v>
      </c>
      <c r="E82" s="368">
        <f t="shared" si="50"/>
        <v>2873</v>
      </c>
      <c r="F82" s="368">
        <f t="shared" si="50"/>
        <v>5610</v>
      </c>
      <c r="G82" s="2812">
        <v>0</v>
      </c>
      <c r="H82" s="2812">
        <v>0</v>
      </c>
      <c r="I82" s="2812">
        <v>0</v>
      </c>
      <c r="J82" s="2812">
        <v>0</v>
      </c>
      <c r="K82" s="368">
        <f>+K83</f>
        <v>0</v>
      </c>
      <c r="L82" s="368">
        <f>+L83</f>
        <v>0</v>
      </c>
      <c r="M82" s="4491"/>
      <c r="N82" s="4569" t="s">
        <v>249</v>
      </c>
    </row>
    <row r="83" spans="1:14" ht="13.5" customHeight="1">
      <c r="A83" s="4038"/>
      <c r="B83" s="472" t="s">
        <v>17</v>
      </c>
      <c r="C83" s="4585" t="s">
        <v>174</v>
      </c>
      <c r="D83" s="807">
        <f t="shared" si="50"/>
        <v>8483</v>
      </c>
      <c r="E83" s="2140">
        <f t="shared" si="50"/>
        <v>2873</v>
      </c>
      <c r="F83" s="2140">
        <f t="shared" si="50"/>
        <v>5610</v>
      </c>
      <c r="G83" s="2813">
        <v>0</v>
      </c>
      <c r="H83" s="2813">
        <v>0</v>
      </c>
      <c r="I83" s="2813">
        <v>0</v>
      </c>
      <c r="J83" s="2813">
        <v>0</v>
      </c>
      <c r="K83" s="2140">
        <f>+K84</f>
        <v>0</v>
      </c>
      <c r="L83" s="2140">
        <f>+L84</f>
        <v>0</v>
      </c>
      <c r="M83" s="4492"/>
      <c r="N83" s="4570"/>
    </row>
    <row r="84" spans="1:14" ht="13.5" customHeight="1" thickBot="1">
      <c r="A84" s="4039"/>
      <c r="B84" s="1715" t="s">
        <v>19</v>
      </c>
      <c r="C84" s="4586"/>
      <c r="D84" s="1003">
        <f>E84+L84+K84+F84+G84+H84+I84+J84</f>
        <v>8483</v>
      </c>
      <c r="E84" s="1014">
        <f>2805+2873-2805</f>
        <v>2873</v>
      </c>
      <c r="F84" s="1014">
        <f>2805+2805</f>
        <v>5610</v>
      </c>
      <c r="G84" s="1048">
        <v>0</v>
      </c>
      <c r="H84" s="1048">
        <v>0</v>
      </c>
      <c r="I84" s="1048">
        <v>0</v>
      </c>
      <c r="J84" s="1048">
        <v>0</v>
      </c>
      <c r="K84" s="1014"/>
      <c r="L84" s="1014">
        <f>2873-2873</f>
        <v>0</v>
      </c>
      <c r="M84" s="4493"/>
      <c r="N84" s="4571"/>
    </row>
    <row r="85" spans="1:14" ht="27" customHeight="1">
      <c r="A85" s="4037" t="s">
        <v>57</v>
      </c>
      <c r="B85" s="1007" t="s">
        <v>369</v>
      </c>
      <c r="C85" s="1485" t="s">
        <v>154</v>
      </c>
      <c r="D85" s="397"/>
      <c r="E85" s="1150"/>
      <c r="F85" s="1486"/>
      <c r="G85" s="1150"/>
      <c r="H85" s="1150"/>
      <c r="I85" s="1150"/>
      <c r="J85" s="1487"/>
      <c r="K85" s="1486"/>
      <c r="L85" s="1486"/>
      <c r="M85" s="1373"/>
      <c r="N85" s="4059" t="s">
        <v>465</v>
      </c>
    </row>
    <row r="86" spans="1:14" ht="13.5" customHeight="1">
      <c r="A86" s="4603"/>
      <c r="B86" s="478" t="s">
        <v>9</v>
      </c>
      <c r="C86" s="2850"/>
      <c r="D86" s="834">
        <f>+D87+D89</f>
        <v>320000</v>
      </c>
      <c r="E86" s="368">
        <f t="shared" ref="E86" si="51">+E87+E89</f>
        <v>141483</v>
      </c>
      <c r="F86" s="368">
        <f t="shared" ref="F86:G86" si="52">+F87+F89</f>
        <v>151217</v>
      </c>
      <c r="G86" s="368">
        <f t="shared" si="52"/>
        <v>27300</v>
      </c>
      <c r="H86" s="2812">
        <v>0</v>
      </c>
      <c r="I86" s="2812">
        <v>0</v>
      </c>
      <c r="J86" s="2812">
        <v>0</v>
      </c>
      <c r="K86" s="368">
        <f>+K87+K89</f>
        <v>0</v>
      </c>
      <c r="L86" s="368">
        <f>+L87+L89</f>
        <v>0</v>
      </c>
      <c r="M86" s="1441">
        <f>+M87+M89</f>
        <v>178517</v>
      </c>
      <c r="N86" s="4060"/>
    </row>
    <row r="87" spans="1:14" ht="13.5" customHeight="1">
      <c r="A87" s="4603"/>
      <c r="B87" s="2401" t="s">
        <v>22</v>
      </c>
      <c r="C87" s="4572" t="s">
        <v>171</v>
      </c>
      <c r="D87" s="807">
        <f>+D88</f>
        <v>48000</v>
      </c>
      <c r="E87" s="2402">
        <f t="shared" ref="E87:G87" si="53">+E88</f>
        <v>21223</v>
      </c>
      <c r="F87" s="2402">
        <f t="shared" si="53"/>
        <v>22682</v>
      </c>
      <c r="G87" s="2402">
        <f t="shared" si="53"/>
        <v>4095</v>
      </c>
      <c r="H87" s="2813">
        <v>0</v>
      </c>
      <c r="I87" s="2813">
        <v>0</v>
      </c>
      <c r="J87" s="2813">
        <v>0</v>
      </c>
      <c r="K87" s="2402">
        <f>+K88</f>
        <v>0</v>
      </c>
      <c r="L87" s="2402">
        <f>+L88</f>
        <v>0</v>
      </c>
      <c r="M87" s="1440">
        <f>+M88</f>
        <v>26777</v>
      </c>
      <c r="N87" s="4060"/>
    </row>
    <row r="88" spans="1:14" ht="13.5" customHeight="1">
      <c r="A88" s="4038"/>
      <c r="B88" s="649" t="s">
        <v>11</v>
      </c>
      <c r="C88" s="4573"/>
      <c r="D88" s="1460">
        <f>SUM(E88:J88)</f>
        <v>48000</v>
      </c>
      <c r="E88" s="2139">
        <f>27555-6332</f>
        <v>21223</v>
      </c>
      <c r="F88" s="2139">
        <f>16350+6332</f>
        <v>22682</v>
      </c>
      <c r="G88" s="2139">
        <v>4095</v>
      </c>
      <c r="H88" s="2813">
        <v>0</v>
      </c>
      <c r="I88" s="2813">
        <v>0</v>
      </c>
      <c r="J88" s="2813">
        <v>0</v>
      </c>
      <c r="K88" s="2139"/>
      <c r="L88" s="2139">
        <f>507-507</f>
        <v>0</v>
      </c>
      <c r="M88" s="1203">
        <f>SUM(F88:J88)</f>
        <v>26777</v>
      </c>
      <c r="N88" s="4060"/>
    </row>
    <row r="89" spans="1:14" ht="13.5" customHeight="1">
      <c r="A89" s="4038"/>
      <c r="B89" s="472" t="s">
        <v>17</v>
      </c>
      <c r="C89" s="4573"/>
      <c r="D89" s="807">
        <f>+D90</f>
        <v>272000</v>
      </c>
      <c r="E89" s="2402">
        <f t="shared" ref="E89:G89" si="54">+E90</f>
        <v>120260</v>
      </c>
      <c r="F89" s="2402">
        <f t="shared" si="54"/>
        <v>128535</v>
      </c>
      <c r="G89" s="2402">
        <f t="shared" si="54"/>
        <v>23205</v>
      </c>
      <c r="H89" s="2813">
        <v>0</v>
      </c>
      <c r="I89" s="2813">
        <v>0</v>
      </c>
      <c r="J89" s="2813">
        <v>0</v>
      </c>
      <c r="K89" s="2402">
        <f>+K90</f>
        <v>0</v>
      </c>
      <c r="L89" s="2402">
        <f>+L90</f>
        <v>0</v>
      </c>
      <c r="M89" s="1440">
        <f>+M90</f>
        <v>151740</v>
      </c>
      <c r="N89" s="4060"/>
    </row>
    <row r="90" spans="1:14" ht="13.5" customHeight="1">
      <c r="A90" s="4038"/>
      <c r="B90" s="1749" t="s">
        <v>19</v>
      </c>
      <c r="C90" s="4574"/>
      <c r="D90" s="1460">
        <f>SUM(E90:J90)</f>
        <v>272000</v>
      </c>
      <c r="E90" s="2139">
        <f>156145-35885</f>
        <v>120260</v>
      </c>
      <c r="F90" s="2139">
        <f>92650+35885</f>
        <v>128535</v>
      </c>
      <c r="G90" s="2139">
        <v>23205</v>
      </c>
      <c r="H90" s="2813">
        <v>0</v>
      </c>
      <c r="I90" s="2813">
        <v>0</v>
      </c>
      <c r="J90" s="2813">
        <v>0</v>
      </c>
      <c r="K90" s="2139"/>
      <c r="L90" s="2139">
        <f>2873-2873</f>
        <v>0</v>
      </c>
      <c r="M90" s="1203">
        <f>SUM(F90:J90)</f>
        <v>151740</v>
      </c>
      <c r="N90" s="4060"/>
    </row>
    <row r="91" spans="1:14" ht="13.5" customHeight="1">
      <c r="A91" s="4038"/>
      <c r="B91" s="478" t="s">
        <v>20</v>
      </c>
      <c r="C91" s="2850"/>
      <c r="D91" s="834">
        <f t="shared" ref="D91:G92" si="55">+D92</f>
        <v>272000</v>
      </c>
      <c r="E91" s="368">
        <f t="shared" si="55"/>
        <v>156145</v>
      </c>
      <c r="F91" s="368">
        <f t="shared" si="55"/>
        <v>92650</v>
      </c>
      <c r="G91" s="368">
        <f t="shared" si="55"/>
        <v>23205</v>
      </c>
      <c r="H91" s="2812">
        <v>0</v>
      </c>
      <c r="I91" s="2812">
        <v>0</v>
      </c>
      <c r="J91" s="2812">
        <v>0</v>
      </c>
      <c r="K91" s="368">
        <f>+K92</f>
        <v>0</v>
      </c>
      <c r="L91" s="368">
        <f>+L92</f>
        <v>0</v>
      </c>
      <c r="M91" s="4491"/>
      <c r="N91" s="4569" t="s">
        <v>249</v>
      </c>
    </row>
    <row r="92" spans="1:14" ht="13.5" customHeight="1">
      <c r="A92" s="4603"/>
      <c r="B92" s="472" t="s">
        <v>17</v>
      </c>
      <c r="C92" s="4585" t="s">
        <v>174</v>
      </c>
      <c r="D92" s="807">
        <f t="shared" si="55"/>
        <v>272000</v>
      </c>
      <c r="E92" s="2140">
        <f t="shared" si="55"/>
        <v>156145</v>
      </c>
      <c r="F92" s="2140">
        <f t="shared" si="55"/>
        <v>92650</v>
      </c>
      <c r="G92" s="2140">
        <f t="shared" si="55"/>
        <v>23205</v>
      </c>
      <c r="H92" s="2813">
        <v>0</v>
      </c>
      <c r="I92" s="2813">
        <v>0</v>
      </c>
      <c r="J92" s="2813">
        <v>0</v>
      </c>
      <c r="K92" s="2140">
        <f>+K93</f>
        <v>0</v>
      </c>
      <c r="L92" s="2140">
        <f>+L93</f>
        <v>0</v>
      </c>
      <c r="M92" s="4492"/>
      <c r="N92" s="4570"/>
    </row>
    <row r="93" spans="1:14" ht="13.5" customHeight="1" thickBot="1">
      <c r="A93" s="4603"/>
      <c r="B93" s="1749" t="s">
        <v>19</v>
      </c>
      <c r="C93" s="4606"/>
      <c r="D93" s="1460">
        <f>SUM(E93:J93)</f>
        <v>272000</v>
      </c>
      <c r="E93" s="822">
        <v>156145</v>
      </c>
      <c r="F93" s="822">
        <v>92650</v>
      </c>
      <c r="G93" s="822">
        <v>23205</v>
      </c>
      <c r="H93" s="2814">
        <v>0</v>
      </c>
      <c r="I93" s="2814">
        <v>0</v>
      </c>
      <c r="J93" s="2814">
        <v>0</v>
      </c>
      <c r="K93" s="822"/>
      <c r="L93" s="822">
        <f>2873-2873</f>
        <v>0</v>
      </c>
      <c r="M93" s="4492"/>
      <c r="N93" s="4571"/>
    </row>
    <row r="94" spans="1:14" ht="39.75" customHeight="1">
      <c r="A94" s="4037" t="s">
        <v>103</v>
      </c>
      <c r="B94" s="1007" t="s">
        <v>370</v>
      </c>
      <c r="C94" s="1485" t="s">
        <v>154</v>
      </c>
      <c r="D94" s="397"/>
      <c r="E94" s="1492"/>
      <c r="F94" s="1486"/>
      <c r="G94" s="1150"/>
      <c r="H94" s="1150"/>
      <c r="I94" s="1150"/>
      <c r="J94" s="1487"/>
      <c r="K94" s="1486"/>
      <c r="L94" s="1486"/>
      <c r="M94" s="1373"/>
      <c r="N94" s="4059" t="s">
        <v>465</v>
      </c>
    </row>
    <row r="95" spans="1:14" ht="15.75" customHeight="1">
      <c r="A95" s="4603"/>
      <c r="B95" s="796" t="s">
        <v>9</v>
      </c>
      <c r="C95" s="2850"/>
      <c r="D95" s="834">
        <f>+D96+D98</f>
        <v>3446020</v>
      </c>
      <c r="E95" s="1046">
        <f t="shared" ref="E95" si="56">+E96+E98</f>
        <v>0</v>
      </c>
      <c r="F95" s="798">
        <f t="shared" ref="F95:J95" si="57">+F96+F98</f>
        <v>298278</v>
      </c>
      <c r="G95" s="798">
        <f t="shared" si="57"/>
        <v>1324061</v>
      </c>
      <c r="H95" s="798">
        <f t="shared" si="57"/>
        <v>735528</v>
      </c>
      <c r="I95" s="798">
        <f t="shared" si="57"/>
        <v>944889</v>
      </c>
      <c r="J95" s="798">
        <f t="shared" si="57"/>
        <v>143264</v>
      </c>
      <c r="K95" s="798">
        <f>+K96+K98</f>
        <v>0</v>
      </c>
      <c r="L95" s="798">
        <f>+L96+L98</f>
        <v>0</v>
      </c>
      <c r="M95" s="1441">
        <f>+M96+M98</f>
        <v>3446020</v>
      </c>
      <c r="N95" s="4060"/>
    </row>
    <row r="96" spans="1:14" ht="13.5" customHeight="1">
      <c r="A96" s="4603"/>
      <c r="B96" s="800" t="s">
        <v>22</v>
      </c>
      <c r="C96" s="4572" t="s">
        <v>171</v>
      </c>
      <c r="D96" s="807">
        <f>+D97</f>
        <v>516903</v>
      </c>
      <c r="E96" s="1671">
        <f t="shared" ref="E96:J96" si="58">+E97</f>
        <v>0</v>
      </c>
      <c r="F96" s="806">
        <f t="shared" si="58"/>
        <v>44742</v>
      </c>
      <c r="G96" s="806">
        <f t="shared" si="58"/>
        <v>198609</v>
      </c>
      <c r="H96" s="806">
        <f t="shared" si="58"/>
        <v>110329</v>
      </c>
      <c r="I96" s="806">
        <f t="shared" si="58"/>
        <v>141733</v>
      </c>
      <c r="J96" s="806">
        <f t="shared" si="58"/>
        <v>21490</v>
      </c>
      <c r="K96" s="806">
        <f>+K97</f>
        <v>0</v>
      </c>
      <c r="L96" s="806">
        <f>+L97</f>
        <v>0</v>
      </c>
      <c r="M96" s="1440">
        <f>+M97</f>
        <v>516903</v>
      </c>
      <c r="N96" s="4060"/>
    </row>
    <row r="97" spans="1:15" ht="13.5" customHeight="1">
      <c r="A97" s="4603"/>
      <c r="B97" s="803" t="s">
        <v>11</v>
      </c>
      <c r="C97" s="4573"/>
      <c r="D97" s="1460">
        <f>SUM(E97:J97)</f>
        <v>516903</v>
      </c>
      <c r="E97" s="1672">
        <v>0</v>
      </c>
      <c r="F97" s="804">
        <v>44742</v>
      </c>
      <c r="G97" s="804">
        <v>198609</v>
      </c>
      <c r="H97" s="804">
        <v>110329</v>
      </c>
      <c r="I97" s="804">
        <v>141733</v>
      </c>
      <c r="J97" s="804">
        <v>21490</v>
      </c>
      <c r="K97" s="804">
        <v>0</v>
      </c>
      <c r="L97" s="804">
        <f>507-507</f>
        <v>0</v>
      </c>
      <c r="M97" s="1203">
        <f>SUM(F97:J97)</f>
        <v>516903</v>
      </c>
      <c r="N97" s="4060"/>
    </row>
    <row r="98" spans="1:15" ht="13.5" customHeight="1">
      <c r="A98" s="4603"/>
      <c r="B98" s="805" t="s">
        <v>17</v>
      </c>
      <c r="C98" s="4573"/>
      <c r="D98" s="807">
        <f>+D99</f>
        <v>2929117</v>
      </c>
      <c r="E98" s="1671">
        <f t="shared" ref="E98:J98" si="59">+E99</f>
        <v>0</v>
      </c>
      <c r="F98" s="806">
        <f t="shared" si="59"/>
        <v>253536</v>
      </c>
      <c r="G98" s="806">
        <f t="shared" si="59"/>
        <v>1125452</v>
      </c>
      <c r="H98" s="806">
        <f t="shared" si="59"/>
        <v>625199</v>
      </c>
      <c r="I98" s="806">
        <f t="shared" si="59"/>
        <v>803156</v>
      </c>
      <c r="J98" s="806">
        <f t="shared" si="59"/>
        <v>121774</v>
      </c>
      <c r="K98" s="806">
        <f>+K99</f>
        <v>0</v>
      </c>
      <c r="L98" s="806">
        <f>+L99</f>
        <v>0</v>
      </c>
      <c r="M98" s="1442">
        <f>+M99</f>
        <v>2929117</v>
      </c>
      <c r="N98" s="4060"/>
    </row>
    <row r="99" spans="1:15" ht="13.5" customHeight="1">
      <c r="A99" s="4603"/>
      <c r="B99" s="1771" t="s">
        <v>19</v>
      </c>
      <c r="C99" s="4574"/>
      <c r="D99" s="789">
        <f>SUM(E99:J99)</f>
        <v>2929117</v>
      </c>
      <c r="E99" s="2696">
        <v>0</v>
      </c>
      <c r="F99" s="812">
        <v>253536</v>
      </c>
      <c r="G99" s="812">
        <v>1125452</v>
      </c>
      <c r="H99" s="812">
        <v>625199</v>
      </c>
      <c r="I99" s="812">
        <v>803156</v>
      </c>
      <c r="J99" s="812">
        <v>121774</v>
      </c>
      <c r="K99" s="812">
        <v>0</v>
      </c>
      <c r="L99" s="812">
        <f>2873-2873</f>
        <v>0</v>
      </c>
      <c r="M99" s="1203">
        <f>SUM(F99:J99)</f>
        <v>2929117</v>
      </c>
      <c r="N99" s="4060"/>
    </row>
    <row r="100" spans="1:15" ht="16.5" customHeight="1" thickBot="1">
      <c r="A100" s="4603"/>
      <c r="B100" s="37" t="s">
        <v>20</v>
      </c>
      <c r="C100" s="140"/>
      <c r="D100" s="2817">
        <f t="shared" ref="D100:J101" si="60">+D101</f>
        <v>2929117</v>
      </c>
      <c r="E100" s="2788">
        <f t="shared" si="60"/>
        <v>0</v>
      </c>
      <c r="F100" s="42">
        <f t="shared" si="60"/>
        <v>253536</v>
      </c>
      <c r="G100" s="42">
        <f t="shared" si="60"/>
        <v>1125452</v>
      </c>
      <c r="H100" s="42">
        <f t="shared" si="60"/>
        <v>625199</v>
      </c>
      <c r="I100" s="42">
        <f t="shared" si="60"/>
        <v>803156</v>
      </c>
      <c r="J100" s="42">
        <f t="shared" si="60"/>
        <v>121774</v>
      </c>
      <c r="K100" s="42">
        <f>+K101</f>
        <v>0</v>
      </c>
      <c r="L100" s="1384">
        <f>+L101</f>
        <v>0</v>
      </c>
      <c r="M100" s="4493"/>
      <c r="N100" s="4569" t="s">
        <v>249</v>
      </c>
    </row>
    <row r="101" spans="1:15" ht="13.5" customHeight="1">
      <c r="A101" s="4603"/>
      <c r="B101" s="1470" t="s">
        <v>17</v>
      </c>
      <c r="C101" s="4541" t="s">
        <v>174</v>
      </c>
      <c r="D101" s="1037">
        <f t="shared" si="60"/>
        <v>2929117</v>
      </c>
      <c r="E101" s="2799">
        <f t="shared" si="60"/>
        <v>0</v>
      </c>
      <c r="F101" s="1037">
        <f t="shared" si="60"/>
        <v>253536</v>
      </c>
      <c r="G101" s="1037">
        <f t="shared" si="60"/>
        <v>1125452</v>
      </c>
      <c r="H101" s="1037">
        <f t="shared" si="60"/>
        <v>625199</v>
      </c>
      <c r="I101" s="1037">
        <f t="shared" si="60"/>
        <v>803156</v>
      </c>
      <c r="J101" s="1037">
        <f t="shared" si="60"/>
        <v>121774</v>
      </c>
      <c r="K101" s="1037">
        <f>+K102</f>
        <v>0</v>
      </c>
      <c r="L101" s="1459">
        <f>+L102</f>
        <v>0</v>
      </c>
      <c r="M101" s="4492"/>
      <c r="N101" s="4570"/>
    </row>
    <row r="102" spans="1:15" ht="15" customHeight="1" thickBot="1">
      <c r="A102" s="4604"/>
      <c r="B102" s="2569" t="s">
        <v>19</v>
      </c>
      <c r="C102" s="4542"/>
      <c r="D102" s="1003">
        <f>SUM(E102:J102)</f>
        <v>2929117</v>
      </c>
      <c r="E102" s="1048">
        <v>0</v>
      </c>
      <c r="F102" s="1014">
        <v>253536</v>
      </c>
      <c r="G102" s="1014">
        <v>1125452</v>
      </c>
      <c r="H102" s="1014">
        <v>625199</v>
      </c>
      <c r="I102" s="1014">
        <v>803156</v>
      </c>
      <c r="J102" s="1014">
        <v>121774</v>
      </c>
      <c r="K102" s="1014">
        <v>0</v>
      </c>
      <c r="L102" s="1014">
        <f>2873-2873</f>
        <v>0</v>
      </c>
      <c r="M102" s="4540"/>
      <c r="N102" s="4571"/>
    </row>
    <row r="103" spans="1:15" s="385" customFormat="1" ht="22.5" customHeight="1" thickBot="1">
      <c r="A103" s="2830" t="s">
        <v>151</v>
      </c>
      <c r="B103" s="2831"/>
      <c r="C103" s="2831"/>
      <c r="D103" s="2858"/>
      <c r="E103" s="2831"/>
      <c r="F103" s="2831"/>
      <c r="G103" s="2831"/>
      <c r="H103" s="2831"/>
      <c r="I103" s="2831"/>
      <c r="J103" s="2831"/>
      <c r="K103" s="2831"/>
      <c r="L103" s="2831"/>
      <c r="M103" s="2832"/>
      <c r="N103" s="2833"/>
    </row>
    <row r="104" spans="1:15" s="820" customFormat="1" ht="19.5" customHeight="1">
      <c r="A104" s="3467"/>
      <c r="B104" s="3468" t="s">
        <v>65</v>
      </c>
      <c r="C104" s="3469"/>
      <c r="D104" s="3470">
        <f>+D105+D106</f>
        <v>1350000</v>
      </c>
      <c r="E104" s="3471">
        <f>+E105+E106</f>
        <v>0</v>
      </c>
      <c r="F104" s="3470">
        <f>+F105+F106</f>
        <v>430000</v>
      </c>
      <c r="G104" s="3470">
        <f t="shared" ref="G104:M104" si="61">+G105+G106</f>
        <v>570000</v>
      </c>
      <c r="H104" s="3470">
        <f t="shared" si="61"/>
        <v>350000</v>
      </c>
      <c r="I104" s="3471">
        <f t="shared" si="61"/>
        <v>0</v>
      </c>
      <c r="J104" s="3471">
        <f t="shared" si="61"/>
        <v>0</v>
      </c>
      <c r="K104" s="3470">
        <f>+K105+K106</f>
        <v>0</v>
      </c>
      <c r="L104" s="3470">
        <f>+L105+L106</f>
        <v>0</v>
      </c>
      <c r="M104" s="3472">
        <f t="shared" si="61"/>
        <v>1350000</v>
      </c>
      <c r="N104" s="3473"/>
    </row>
    <row r="105" spans="1:15" s="820" customFormat="1" ht="12.75" customHeight="1">
      <c r="A105" s="3467"/>
      <c r="B105" s="3474" t="s">
        <v>66</v>
      </c>
      <c r="C105" s="3475"/>
      <c r="D105" s="3470">
        <f>D119+D128</f>
        <v>1283515</v>
      </c>
      <c r="E105" s="3471">
        <f t="shared" ref="E105:J105" si="62">E119+E128</f>
        <v>0</v>
      </c>
      <c r="F105" s="3470">
        <f t="shared" si="62"/>
        <v>363515</v>
      </c>
      <c r="G105" s="3470">
        <f t="shared" si="62"/>
        <v>570000</v>
      </c>
      <c r="H105" s="3470">
        <f t="shared" si="62"/>
        <v>350000</v>
      </c>
      <c r="I105" s="3471">
        <f t="shared" si="62"/>
        <v>0</v>
      </c>
      <c r="J105" s="3471">
        <f t="shared" si="62"/>
        <v>0</v>
      </c>
      <c r="K105" s="3470">
        <f>K128</f>
        <v>0</v>
      </c>
      <c r="L105" s="3470">
        <f>L128</f>
        <v>0</v>
      </c>
      <c r="M105" s="3472">
        <f>SUM(F105:J105)</f>
        <v>1283515</v>
      </c>
      <c r="N105" s="3476"/>
    </row>
    <row r="106" spans="1:15" s="1749" customFormat="1" ht="15" customHeight="1">
      <c r="A106" s="3477"/>
      <c r="B106" s="3478" t="s">
        <v>8</v>
      </c>
      <c r="C106" s="3479"/>
      <c r="D106" s="3480">
        <f>D135</f>
        <v>66485</v>
      </c>
      <c r="E106" s="3481">
        <f t="shared" ref="E106:J106" si="63">E135</f>
        <v>0</v>
      </c>
      <c r="F106" s="3482">
        <f t="shared" si="63"/>
        <v>66485</v>
      </c>
      <c r="G106" s="3481">
        <f t="shared" si="63"/>
        <v>0</v>
      </c>
      <c r="H106" s="3481">
        <f t="shared" si="63"/>
        <v>0</v>
      </c>
      <c r="I106" s="3481">
        <f t="shared" si="63"/>
        <v>0</v>
      </c>
      <c r="J106" s="3481">
        <f t="shared" si="63"/>
        <v>0</v>
      </c>
      <c r="K106" s="3482">
        <f>+K135+K119</f>
        <v>0</v>
      </c>
      <c r="L106" s="3482">
        <f>+L135+L119</f>
        <v>0</v>
      </c>
      <c r="M106" s="3472">
        <f>SUM(F106:J106)</f>
        <v>66485</v>
      </c>
      <c r="N106" s="447"/>
      <c r="O106" s="1752"/>
    </row>
    <row r="107" spans="1:15" ht="14.25" customHeight="1">
      <c r="A107" s="3467"/>
      <c r="B107" s="1195" t="s">
        <v>9</v>
      </c>
      <c r="C107" s="3483"/>
      <c r="D107" s="3484">
        <f>+D108</f>
        <v>1350000</v>
      </c>
      <c r="E107" s="3485">
        <f t="shared" ref="E107:J107" si="64">+E108</f>
        <v>0</v>
      </c>
      <c r="F107" s="3484">
        <f t="shared" si="64"/>
        <v>430000</v>
      </c>
      <c r="G107" s="3484">
        <f t="shared" si="64"/>
        <v>570000</v>
      </c>
      <c r="H107" s="3484">
        <f t="shared" si="64"/>
        <v>350000</v>
      </c>
      <c r="I107" s="3485">
        <f t="shared" si="64"/>
        <v>0</v>
      </c>
      <c r="J107" s="3485">
        <f t="shared" si="64"/>
        <v>0</v>
      </c>
      <c r="K107" s="3484">
        <f>+K108</f>
        <v>0</v>
      </c>
      <c r="L107" s="3484">
        <f>+L108</f>
        <v>0</v>
      </c>
      <c r="M107" s="3486">
        <f>+M108</f>
        <v>1350000</v>
      </c>
      <c r="N107" s="3476"/>
      <c r="O107" s="256"/>
    </row>
    <row r="108" spans="1:15" ht="12.95" customHeight="1">
      <c r="A108" s="3467"/>
      <c r="B108" s="1189" t="s">
        <v>10</v>
      </c>
      <c r="C108" s="2841"/>
      <c r="D108" s="3487">
        <f>+D111+D112+D109</f>
        <v>1350000</v>
      </c>
      <c r="E108" s="3488">
        <f t="shared" ref="E108:L108" si="65">+E111+E112+E109</f>
        <v>0</v>
      </c>
      <c r="F108" s="3487">
        <f t="shared" si="65"/>
        <v>430000</v>
      </c>
      <c r="G108" s="3487">
        <f t="shared" si="65"/>
        <v>570000</v>
      </c>
      <c r="H108" s="3487">
        <f t="shared" si="65"/>
        <v>350000</v>
      </c>
      <c r="I108" s="3488">
        <f t="shared" si="65"/>
        <v>0</v>
      </c>
      <c r="J108" s="3488">
        <f t="shared" si="65"/>
        <v>0</v>
      </c>
      <c r="K108" s="3487">
        <f t="shared" si="65"/>
        <v>0</v>
      </c>
      <c r="L108" s="3487">
        <f t="shared" si="65"/>
        <v>0</v>
      </c>
      <c r="M108" s="3489">
        <f>+M111+M112+M109</f>
        <v>1350000</v>
      </c>
      <c r="N108" s="3476"/>
    </row>
    <row r="109" spans="1:15" ht="12.95" customHeight="1">
      <c r="A109" s="3467"/>
      <c r="B109" s="1193" t="s">
        <v>11</v>
      </c>
      <c r="C109" s="2838"/>
      <c r="D109" s="2853">
        <f>D130+D137</f>
        <v>1050000</v>
      </c>
      <c r="E109" s="3490">
        <f t="shared" ref="E109:J109" si="66">E130+E137</f>
        <v>0</v>
      </c>
      <c r="F109" s="2853">
        <f>F130+F137</f>
        <v>350000</v>
      </c>
      <c r="G109" s="2853">
        <f t="shared" si="66"/>
        <v>350000</v>
      </c>
      <c r="H109" s="2853">
        <f t="shared" si="66"/>
        <v>350000</v>
      </c>
      <c r="I109" s="3490">
        <f t="shared" si="66"/>
        <v>0</v>
      </c>
      <c r="J109" s="3490">
        <f t="shared" si="66"/>
        <v>0</v>
      </c>
      <c r="K109" s="2853">
        <f>K129</f>
        <v>0</v>
      </c>
      <c r="L109" s="2853">
        <f>L129</f>
        <v>0</v>
      </c>
      <c r="M109" s="3491">
        <f>SUM(F109:J109)</f>
        <v>1050000</v>
      </c>
      <c r="N109" s="3476"/>
    </row>
    <row r="110" spans="1:15" ht="13.5" hidden="1" customHeight="1">
      <c r="A110" s="3467"/>
      <c r="B110" s="1211" t="s">
        <v>12</v>
      </c>
      <c r="C110" s="3492"/>
      <c r="D110" s="2892">
        <v>0</v>
      </c>
      <c r="E110" s="3493">
        <v>0</v>
      </c>
      <c r="F110" s="2892"/>
      <c r="G110" s="2892"/>
      <c r="H110" s="2892"/>
      <c r="I110" s="3493"/>
      <c r="J110" s="3493"/>
      <c r="K110" s="2892"/>
      <c r="L110" s="2892"/>
      <c r="M110" s="3491">
        <f t="shared" ref="M110" si="67">SUM(F110:J110)</f>
        <v>0</v>
      </c>
      <c r="N110" s="3476"/>
    </row>
    <row r="111" spans="1:15" s="385" customFormat="1" ht="12.75" customHeight="1">
      <c r="A111" s="3467"/>
      <c r="B111" s="1310" t="s">
        <v>13</v>
      </c>
      <c r="C111" s="3492"/>
      <c r="D111" s="2892">
        <f>+D121</f>
        <v>80000</v>
      </c>
      <c r="E111" s="3493">
        <f t="shared" ref="E111:J111" si="68">+E121</f>
        <v>0</v>
      </c>
      <c r="F111" s="2892">
        <f t="shared" si="68"/>
        <v>80000</v>
      </c>
      <c r="G111" s="3493">
        <f t="shared" si="68"/>
        <v>0</v>
      </c>
      <c r="H111" s="3493">
        <f t="shared" si="68"/>
        <v>0</v>
      </c>
      <c r="I111" s="3493">
        <f t="shared" si="68"/>
        <v>0</v>
      </c>
      <c r="J111" s="3493">
        <f t="shared" si="68"/>
        <v>0</v>
      </c>
      <c r="K111" s="2892">
        <f>+K121</f>
        <v>0</v>
      </c>
      <c r="L111" s="2892">
        <f>+L121</f>
        <v>0</v>
      </c>
      <c r="M111" s="3491">
        <f>SUM(F111:J111)</f>
        <v>80000</v>
      </c>
      <c r="N111" s="3476"/>
    </row>
    <row r="112" spans="1:15" ht="12.75" customHeight="1">
      <c r="A112" s="3467"/>
      <c r="B112" s="1193" t="s">
        <v>52</v>
      </c>
      <c r="C112" s="2838"/>
      <c r="D112" s="2853">
        <f>+D122</f>
        <v>220000</v>
      </c>
      <c r="E112" s="3490">
        <f t="shared" ref="E112:J112" si="69">+E122</f>
        <v>0</v>
      </c>
      <c r="F112" s="3490">
        <f t="shared" si="69"/>
        <v>0</v>
      </c>
      <c r="G112" s="2853">
        <f t="shared" si="69"/>
        <v>220000</v>
      </c>
      <c r="H112" s="3490">
        <f t="shared" si="69"/>
        <v>0</v>
      </c>
      <c r="I112" s="3490">
        <f t="shared" si="69"/>
        <v>0</v>
      </c>
      <c r="J112" s="3490">
        <f t="shared" si="69"/>
        <v>0</v>
      </c>
      <c r="K112" s="2853"/>
      <c r="L112" s="2853"/>
      <c r="M112" s="3491">
        <f>SUM(F112:G112)</f>
        <v>220000</v>
      </c>
      <c r="N112" s="3476"/>
    </row>
    <row r="113" spans="1:14" ht="15" customHeight="1">
      <c r="A113" s="3467"/>
      <c r="B113" s="1195" t="s">
        <v>20</v>
      </c>
      <c r="C113" s="3494"/>
      <c r="D113" s="834">
        <f>+D114</f>
        <v>1350000</v>
      </c>
      <c r="E113" s="2147">
        <f t="shared" ref="E113:J113" si="70">+E114</f>
        <v>0</v>
      </c>
      <c r="F113" s="834">
        <f t="shared" si="70"/>
        <v>430000</v>
      </c>
      <c r="G113" s="834">
        <f t="shared" si="70"/>
        <v>570000</v>
      </c>
      <c r="H113" s="834">
        <f t="shared" si="70"/>
        <v>350000</v>
      </c>
      <c r="I113" s="2147">
        <f t="shared" si="70"/>
        <v>0</v>
      </c>
      <c r="J113" s="2147">
        <f t="shared" si="70"/>
        <v>0</v>
      </c>
      <c r="K113" s="834">
        <f>+K114</f>
        <v>0</v>
      </c>
      <c r="L113" s="834">
        <f>+L114</f>
        <v>0</v>
      </c>
      <c r="M113" s="4133" t="s">
        <v>21</v>
      </c>
      <c r="N113" s="3476"/>
    </row>
    <row r="114" spans="1:14" ht="12" customHeight="1">
      <c r="A114" s="3467"/>
      <c r="B114" s="1189" t="s">
        <v>10</v>
      </c>
      <c r="C114" s="2841"/>
      <c r="D114" s="3487">
        <f>SUM(D115:D117)</f>
        <v>1350000</v>
      </c>
      <c r="E114" s="3488">
        <f t="shared" ref="E114:L114" si="71">SUM(E116:E117)</f>
        <v>0</v>
      </c>
      <c r="F114" s="3487">
        <f>SUM(F115:F117)</f>
        <v>430000</v>
      </c>
      <c r="G114" s="3487">
        <f>SUM(G115:G117)</f>
        <v>570000</v>
      </c>
      <c r="H114" s="3487">
        <f>SUM(H115:H117)</f>
        <v>350000</v>
      </c>
      <c r="I114" s="3488">
        <f t="shared" si="71"/>
        <v>0</v>
      </c>
      <c r="J114" s="3488">
        <f t="shared" si="71"/>
        <v>0</v>
      </c>
      <c r="K114" s="3487">
        <f t="shared" si="71"/>
        <v>0</v>
      </c>
      <c r="L114" s="3487">
        <f t="shared" si="71"/>
        <v>0</v>
      </c>
      <c r="M114" s="4567"/>
      <c r="N114" s="3476"/>
    </row>
    <row r="115" spans="1:14" ht="13.5" customHeight="1">
      <c r="A115" s="3467"/>
      <c r="B115" s="1191" t="s">
        <v>169</v>
      </c>
      <c r="C115" s="2838"/>
      <c r="D115" s="2853">
        <f>D133+D140</f>
        <v>1050000</v>
      </c>
      <c r="E115" s="3490">
        <f t="shared" ref="E115:J115" si="72">E133+E140</f>
        <v>0</v>
      </c>
      <c r="F115" s="2853">
        <f t="shared" si="72"/>
        <v>350000</v>
      </c>
      <c r="G115" s="2853">
        <f t="shared" si="72"/>
        <v>350000</v>
      </c>
      <c r="H115" s="2853">
        <f t="shared" si="72"/>
        <v>350000</v>
      </c>
      <c r="I115" s="3490">
        <f t="shared" si="72"/>
        <v>0</v>
      </c>
      <c r="J115" s="3490">
        <f t="shared" si="72"/>
        <v>0</v>
      </c>
      <c r="K115" s="2853"/>
      <c r="L115" s="2853"/>
      <c r="M115" s="4567"/>
      <c r="N115" s="3476"/>
    </row>
    <row r="116" spans="1:14" ht="13.5" customHeight="1">
      <c r="A116" s="3467"/>
      <c r="B116" s="1193" t="s">
        <v>13</v>
      </c>
      <c r="C116" s="2838"/>
      <c r="D116" s="2853">
        <f>+D125</f>
        <v>80000</v>
      </c>
      <c r="E116" s="3490">
        <f t="shared" ref="E116:J116" si="73">+E125</f>
        <v>0</v>
      </c>
      <c r="F116" s="2853">
        <f t="shared" si="73"/>
        <v>80000</v>
      </c>
      <c r="G116" s="3490">
        <f t="shared" si="73"/>
        <v>0</v>
      </c>
      <c r="H116" s="3490">
        <f t="shared" si="73"/>
        <v>0</v>
      </c>
      <c r="I116" s="3490">
        <f t="shared" si="73"/>
        <v>0</v>
      </c>
      <c r="J116" s="3490">
        <f t="shared" si="73"/>
        <v>0</v>
      </c>
      <c r="K116" s="2853">
        <f>+K125</f>
        <v>0</v>
      </c>
      <c r="L116" s="2853">
        <f>+L125</f>
        <v>0</v>
      </c>
      <c r="M116" s="4567"/>
      <c r="N116" s="3476"/>
    </row>
    <row r="117" spans="1:14" ht="14.25" customHeight="1" thickBot="1">
      <c r="A117" s="3495"/>
      <c r="B117" s="3496" t="s">
        <v>52</v>
      </c>
      <c r="C117" s="3497"/>
      <c r="D117" s="1194">
        <f>+D126</f>
        <v>220000</v>
      </c>
      <c r="E117" s="3498">
        <f t="shared" ref="E117:J117" si="74">+E126</f>
        <v>0</v>
      </c>
      <c r="F117" s="3498">
        <f t="shared" si="74"/>
        <v>0</v>
      </c>
      <c r="G117" s="1194">
        <f t="shared" si="74"/>
        <v>220000</v>
      </c>
      <c r="H117" s="3498">
        <f t="shared" si="74"/>
        <v>0</v>
      </c>
      <c r="I117" s="3498">
        <f t="shared" si="74"/>
        <v>0</v>
      </c>
      <c r="J117" s="3498">
        <f t="shared" si="74"/>
        <v>0</v>
      </c>
      <c r="K117" s="1194"/>
      <c r="L117" s="1194"/>
      <c r="M117" s="4568"/>
      <c r="N117" s="3499"/>
    </row>
    <row r="118" spans="1:14" ht="18" customHeight="1">
      <c r="A118" s="4037" t="s">
        <v>53</v>
      </c>
      <c r="B118" s="1144" t="s">
        <v>535</v>
      </c>
      <c r="C118" s="2846" t="s">
        <v>97</v>
      </c>
      <c r="D118" s="2854"/>
      <c r="E118" s="27"/>
      <c r="F118" s="652"/>
      <c r="G118" s="652"/>
      <c r="H118" s="652"/>
      <c r="I118" s="652"/>
      <c r="J118" s="652"/>
      <c r="K118" s="652"/>
      <c r="L118" s="652"/>
      <c r="M118" s="653"/>
      <c r="N118" s="3914" t="s">
        <v>536</v>
      </c>
    </row>
    <row r="119" spans="1:14" ht="15.75" customHeight="1">
      <c r="A119" s="4038"/>
      <c r="B119" s="1195" t="s">
        <v>9</v>
      </c>
      <c r="C119" s="3500"/>
      <c r="D119" s="2855">
        <f>+D120</f>
        <v>300000</v>
      </c>
      <c r="E119" s="832">
        <f t="shared" ref="E119:J119" si="75">+E120</f>
        <v>0</v>
      </c>
      <c r="F119" s="2855">
        <f t="shared" si="75"/>
        <v>80000</v>
      </c>
      <c r="G119" s="2855">
        <f t="shared" si="75"/>
        <v>220000</v>
      </c>
      <c r="H119" s="832">
        <f t="shared" si="75"/>
        <v>0</v>
      </c>
      <c r="I119" s="832">
        <f t="shared" si="75"/>
        <v>0</v>
      </c>
      <c r="J119" s="832">
        <f t="shared" si="75"/>
        <v>0</v>
      </c>
      <c r="K119" s="2855">
        <f>+K120</f>
        <v>0</v>
      </c>
      <c r="L119" s="2855">
        <f>+L120</f>
        <v>0</v>
      </c>
      <c r="M119" s="1022">
        <f>+M120</f>
        <v>300000</v>
      </c>
      <c r="N119" s="3915"/>
    </row>
    <row r="120" spans="1:14" s="385" customFormat="1" ht="15.75" customHeight="1">
      <c r="A120" s="4038"/>
      <c r="B120" s="2859" t="s">
        <v>10</v>
      </c>
      <c r="C120" s="4564" t="s">
        <v>537</v>
      </c>
      <c r="D120" s="1008">
        <f>+D122+D121</f>
        <v>300000</v>
      </c>
      <c r="E120" s="1165">
        <f t="shared" ref="E120" si="76">+E122+E121</f>
        <v>0</v>
      </c>
      <c r="F120" s="1008">
        <f t="shared" ref="F120:J120" si="77">+F122+F121</f>
        <v>80000</v>
      </c>
      <c r="G120" s="847">
        <f t="shared" si="77"/>
        <v>220000</v>
      </c>
      <c r="H120" s="1165">
        <f t="shared" si="77"/>
        <v>0</v>
      </c>
      <c r="I120" s="1165">
        <f t="shared" si="77"/>
        <v>0</v>
      </c>
      <c r="J120" s="1165">
        <f t="shared" si="77"/>
        <v>0</v>
      </c>
      <c r="K120" s="1008">
        <f>+K122+K121</f>
        <v>0</v>
      </c>
      <c r="L120" s="1008">
        <f>+L122+L121</f>
        <v>0</v>
      </c>
      <c r="M120" s="1013">
        <f>M122+M121</f>
        <v>300000</v>
      </c>
      <c r="N120" s="3915"/>
    </row>
    <row r="121" spans="1:14" s="385" customFormat="1" ht="15.75" customHeight="1">
      <c r="A121" s="4038"/>
      <c r="B121" s="1530" t="s">
        <v>13</v>
      </c>
      <c r="C121" s="4565"/>
      <c r="D121" s="789">
        <f>E121+L121+K121+F121+G121+H121+I121+J121</f>
        <v>80000</v>
      </c>
      <c r="E121" s="1016">
        <v>0</v>
      </c>
      <c r="F121" s="1023">
        <v>80000</v>
      </c>
      <c r="G121" s="1023">
        <v>0</v>
      </c>
      <c r="H121" s="1979">
        <v>0</v>
      </c>
      <c r="I121" s="1979">
        <v>0</v>
      </c>
      <c r="J121" s="1979">
        <v>0</v>
      </c>
      <c r="K121" s="1023"/>
      <c r="L121" s="1023"/>
      <c r="M121" s="3501">
        <f>SUM(F121:J121)</f>
        <v>80000</v>
      </c>
      <c r="N121" s="3915"/>
    </row>
    <row r="122" spans="1:14" ht="13.5" customHeight="1">
      <c r="A122" s="4038"/>
      <c r="B122" s="1200" t="s">
        <v>15</v>
      </c>
      <c r="C122" s="4566"/>
      <c r="D122" s="789">
        <f>SUM(E122:J122)</f>
        <v>220000</v>
      </c>
      <c r="E122" s="3502">
        <v>0</v>
      </c>
      <c r="F122" s="3503">
        <v>0</v>
      </c>
      <c r="G122" s="3504">
        <v>220000</v>
      </c>
      <c r="H122" s="3502">
        <v>0</v>
      </c>
      <c r="I122" s="3502">
        <v>0</v>
      </c>
      <c r="J122" s="3502">
        <v>0</v>
      </c>
      <c r="K122" s="3503"/>
      <c r="L122" s="3503"/>
      <c r="M122" s="3491">
        <f>SUM(F122:G122)</f>
        <v>220000</v>
      </c>
      <c r="N122" s="3915"/>
    </row>
    <row r="123" spans="1:14" ht="15" customHeight="1">
      <c r="A123" s="4038"/>
      <c r="B123" s="1195" t="s">
        <v>20</v>
      </c>
      <c r="C123" s="3500"/>
      <c r="D123" s="2855">
        <f>+D124</f>
        <v>300000</v>
      </c>
      <c r="E123" s="832">
        <f t="shared" ref="E123:J123" si="78">+E124</f>
        <v>0</v>
      </c>
      <c r="F123" s="2855">
        <f t="shared" si="78"/>
        <v>80000</v>
      </c>
      <c r="G123" s="2855">
        <f t="shared" si="78"/>
        <v>220000</v>
      </c>
      <c r="H123" s="832">
        <f t="shared" si="78"/>
        <v>0</v>
      </c>
      <c r="I123" s="832">
        <f t="shared" si="78"/>
        <v>0</v>
      </c>
      <c r="J123" s="832">
        <f t="shared" si="78"/>
        <v>0</v>
      </c>
      <c r="K123" s="2855">
        <f>+K124</f>
        <v>0</v>
      </c>
      <c r="L123" s="2855">
        <f>+L124</f>
        <v>0</v>
      </c>
      <c r="M123" s="4577" t="s">
        <v>51</v>
      </c>
      <c r="N123" s="3915"/>
    </row>
    <row r="124" spans="1:14" s="385" customFormat="1" ht="15" customHeight="1">
      <c r="A124" s="4038"/>
      <c r="B124" s="2859" t="s">
        <v>10</v>
      </c>
      <c r="C124" s="4585" t="s">
        <v>537</v>
      </c>
      <c r="D124" s="1008">
        <f>+D126+D125</f>
        <v>300000</v>
      </c>
      <c r="E124" s="1165">
        <f>+E126+E125</f>
        <v>0</v>
      </c>
      <c r="F124" s="1008">
        <f t="shared" ref="F124:J124" si="79">+F126+F125</f>
        <v>80000</v>
      </c>
      <c r="G124" s="847">
        <f t="shared" si="79"/>
        <v>220000</v>
      </c>
      <c r="H124" s="1165">
        <f t="shared" si="79"/>
        <v>0</v>
      </c>
      <c r="I124" s="1165">
        <f t="shared" si="79"/>
        <v>0</v>
      </c>
      <c r="J124" s="1165">
        <f t="shared" si="79"/>
        <v>0</v>
      </c>
      <c r="K124" s="1008">
        <f>+K126+K125</f>
        <v>0</v>
      </c>
      <c r="L124" s="1008">
        <f>+L126+L125</f>
        <v>0</v>
      </c>
      <c r="M124" s="4601"/>
      <c r="N124" s="3915"/>
    </row>
    <row r="125" spans="1:14" ht="15" customHeight="1">
      <c r="A125" s="4038"/>
      <c r="B125" s="1530" t="s">
        <v>13</v>
      </c>
      <c r="C125" s="4605"/>
      <c r="D125" s="789">
        <f>E125+L125+K125+F125+G125+H125+I125+J125</f>
        <v>80000</v>
      </c>
      <c r="E125" s="2196">
        <v>0</v>
      </c>
      <c r="F125" s="1023">
        <v>80000</v>
      </c>
      <c r="G125" s="1023">
        <v>0</v>
      </c>
      <c r="H125" s="1979">
        <v>0</v>
      </c>
      <c r="I125" s="1979">
        <v>0</v>
      </c>
      <c r="J125" s="1979">
        <v>0</v>
      </c>
      <c r="K125" s="1023"/>
      <c r="L125" s="1023"/>
      <c r="M125" s="4601"/>
      <c r="N125" s="3915"/>
    </row>
    <row r="126" spans="1:14" s="385" customFormat="1" ht="15.75" customHeight="1" thickBot="1">
      <c r="A126" s="4039"/>
      <c r="B126" s="2964" t="s">
        <v>15</v>
      </c>
      <c r="C126" s="1775"/>
      <c r="D126" s="1003">
        <f>SUM(E126:J126)</f>
        <v>220000</v>
      </c>
      <c r="E126" s="3505">
        <v>0</v>
      </c>
      <c r="F126" s="3547">
        <v>0</v>
      </c>
      <c r="G126" s="3506">
        <v>220000</v>
      </c>
      <c r="H126" s="3547">
        <v>0</v>
      </c>
      <c r="I126" s="3547">
        <v>0</v>
      </c>
      <c r="J126" s="3547">
        <v>0</v>
      </c>
      <c r="K126" s="3506"/>
      <c r="L126" s="3507"/>
      <c r="M126" s="4602"/>
      <c r="N126" s="3948"/>
    </row>
    <row r="127" spans="1:14" ht="18" customHeight="1">
      <c r="A127" s="4037" t="s">
        <v>54</v>
      </c>
      <c r="B127" s="373" t="s">
        <v>550</v>
      </c>
      <c r="C127" s="3508" t="s">
        <v>97</v>
      </c>
      <c r="D127" s="3509"/>
      <c r="E127" s="3510"/>
      <c r="F127" s="3511"/>
      <c r="G127" s="3511"/>
      <c r="H127" s="3511"/>
      <c r="I127" s="3511"/>
      <c r="J127" s="3511"/>
      <c r="K127" s="3511"/>
      <c r="L127" s="3511"/>
      <c r="M127" s="374"/>
      <c r="N127" s="3914" t="s">
        <v>536</v>
      </c>
    </row>
    <row r="128" spans="1:14" ht="15.75" customHeight="1">
      <c r="A128" s="4038"/>
      <c r="B128" s="1195" t="s">
        <v>9</v>
      </c>
      <c r="C128" s="2847"/>
      <c r="D128" s="834">
        <f>D129</f>
        <v>983515</v>
      </c>
      <c r="E128" s="1011">
        <f t="shared" ref="E128:J129" si="80">E129</f>
        <v>0</v>
      </c>
      <c r="F128" s="798">
        <f t="shared" si="80"/>
        <v>283515</v>
      </c>
      <c r="G128" s="798">
        <f t="shared" si="80"/>
        <v>350000</v>
      </c>
      <c r="H128" s="798">
        <f t="shared" si="80"/>
        <v>350000</v>
      </c>
      <c r="I128" s="1011">
        <f t="shared" si="80"/>
        <v>0</v>
      </c>
      <c r="J128" s="1011">
        <f t="shared" si="80"/>
        <v>0</v>
      </c>
      <c r="K128" s="1011"/>
      <c r="L128" s="1011"/>
      <c r="M128" s="2477">
        <f>M129</f>
        <v>983515</v>
      </c>
      <c r="N128" s="3915"/>
    </row>
    <row r="129" spans="1:14" ht="15.75" customHeight="1">
      <c r="A129" s="4038"/>
      <c r="B129" s="2859" t="s">
        <v>10</v>
      </c>
      <c r="C129" s="3512" t="s">
        <v>540</v>
      </c>
      <c r="D129" s="3347">
        <f>D130</f>
        <v>983515</v>
      </c>
      <c r="E129" s="2776">
        <f>E130</f>
        <v>0</v>
      </c>
      <c r="F129" s="2108">
        <f>F130</f>
        <v>283515</v>
      </c>
      <c r="G129" s="2108">
        <f>G130</f>
        <v>350000</v>
      </c>
      <c r="H129" s="2108">
        <f>H130</f>
        <v>350000</v>
      </c>
      <c r="I129" s="2776">
        <f t="shared" si="80"/>
        <v>0</v>
      </c>
      <c r="J129" s="2776">
        <f t="shared" si="80"/>
        <v>0</v>
      </c>
      <c r="K129" s="1165"/>
      <c r="L129" s="1165"/>
      <c r="M129" s="3513">
        <f>SUM(F129:J129)</f>
        <v>983515</v>
      </c>
      <c r="N129" s="3915"/>
    </row>
    <row r="130" spans="1:14" ht="13.5" customHeight="1">
      <c r="A130" s="4038"/>
      <c r="B130" s="1200" t="s">
        <v>11</v>
      </c>
      <c r="C130" s="3514"/>
      <c r="D130" s="1657">
        <f>E130+L130+K130+F130+G130+H130+I130+J130</f>
        <v>983515</v>
      </c>
      <c r="E130" s="1570">
        <v>0</v>
      </c>
      <c r="F130" s="3515">
        <v>283515</v>
      </c>
      <c r="G130" s="3515">
        <v>350000</v>
      </c>
      <c r="H130" s="3515">
        <v>350000</v>
      </c>
      <c r="I130" s="3548">
        <v>0</v>
      </c>
      <c r="J130" s="3516"/>
      <c r="K130" s="3516"/>
      <c r="L130" s="3517"/>
      <c r="M130" s="3501">
        <f>SUM(F130:J130)</f>
        <v>983515</v>
      </c>
      <c r="N130" s="3915"/>
    </row>
    <row r="131" spans="1:14" ht="13.5" customHeight="1">
      <c r="A131" s="4038"/>
      <c r="B131" s="37" t="s">
        <v>20</v>
      </c>
      <c r="C131" s="3518"/>
      <c r="D131" s="704">
        <f>D132</f>
        <v>983515</v>
      </c>
      <c r="E131" s="1141">
        <f t="shared" ref="E131:J131" si="81">E132</f>
        <v>0</v>
      </c>
      <c r="F131" s="704">
        <f t="shared" si="81"/>
        <v>283515</v>
      </c>
      <c r="G131" s="704">
        <f t="shared" si="81"/>
        <v>350000</v>
      </c>
      <c r="H131" s="704">
        <f t="shared" si="81"/>
        <v>350000</v>
      </c>
      <c r="I131" s="1141">
        <f t="shared" si="81"/>
        <v>0</v>
      </c>
      <c r="J131" s="1141">
        <f t="shared" si="81"/>
        <v>0</v>
      </c>
      <c r="K131" s="42"/>
      <c r="L131" s="42"/>
      <c r="M131" s="4577" t="s">
        <v>51</v>
      </c>
      <c r="N131" s="3915"/>
    </row>
    <row r="132" spans="1:14" s="385" customFormat="1" ht="14.25" customHeight="1">
      <c r="A132" s="4038"/>
      <c r="B132" s="2859" t="s">
        <v>10</v>
      </c>
      <c r="C132" s="4564" t="s">
        <v>540</v>
      </c>
      <c r="D132" s="1008">
        <f>+D133</f>
        <v>983515</v>
      </c>
      <c r="E132" s="1976">
        <f t="shared" ref="E132:J132" si="82">+E133</f>
        <v>0</v>
      </c>
      <c r="F132" s="1008">
        <f t="shared" si="82"/>
        <v>283515</v>
      </c>
      <c r="G132" s="1008">
        <f t="shared" si="82"/>
        <v>350000</v>
      </c>
      <c r="H132" s="1008">
        <f t="shared" si="82"/>
        <v>350000</v>
      </c>
      <c r="I132" s="1976">
        <f t="shared" si="82"/>
        <v>0</v>
      </c>
      <c r="J132" s="1976">
        <f t="shared" si="82"/>
        <v>0</v>
      </c>
      <c r="K132" s="847"/>
      <c r="L132" s="847"/>
      <c r="M132" s="4601"/>
      <c r="N132" s="3915"/>
    </row>
    <row r="133" spans="1:14" s="385" customFormat="1" ht="17.25" customHeight="1" thickBot="1">
      <c r="A133" s="4039"/>
      <c r="B133" s="33" t="s">
        <v>548</v>
      </c>
      <c r="C133" s="4600"/>
      <c r="D133" s="789">
        <f>SUM(E133:J133)</f>
        <v>983515</v>
      </c>
      <c r="E133" s="1017">
        <v>0</v>
      </c>
      <c r="F133" s="3519">
        <v>283515</v>
      </c>
      <c r="G133" s="3519">
        <v>350000</v>
      </c>
      <c r="H133" s="3519">
        <v>350000</v>
      </c>
      <c r="I133" s="3549">
        <v>0</v>
      </c>
      <c r="J133" s="3549">
        <v>0</v>
      </c>
      <c r="K133" s="2820"/>
      <c r="L133" s="2820"/>
      <c r="M133" s="4602"/>
      <c r="N133" s="3948"/>
    </row>
    <row r="134" spans="1:14" ht="27" customHeight="1">
      <c r="A134" s="4037" t="s">
        <v>55</v>
      </c>
      <c r="B134" s="1144" t="s">
        <v>551</v>
      </c>
      <c r="C134" s="2846" t="s">
        <v>70</v>
      </c>
      <c r="D134" s="2854"/>
      <c r="E134" s="3520"/>
      <c r="F134" s="652"/>
      <c r="G134" s="652"/>
      <c r="H134" s="652"/>
      <c r="I134" s="652"/>
      <c r="J134" s="652"/>
      <c r="K134" s="652"/>
      <c r="L134" s="27"/>
      <c r="M134" s="653"/>
      <c r="N134" s="3914" t="s">
        <v>536</v>
      </c>
    </row>
    <row r="135" spans="1:14" ht="15.75" customHeight="1">
      <c r="A135" s="4038"/>
      <c r="B135" s="1212" t="s">
        <v>9</v>
      </c>
      <c r="C135" s="3500"/>
      <c r="D135" s="3521">
        <f>D136</f>
        <v>66485</v>
      </c>
      <c r="E135" s="832">
        <f t="shared" ref="E135:J136" si="83">E136</f>
        <v>0</v>
      </c>
      <c r="F135" s="3521">
        <f t="shared" si="83"/>
        <v>66485</v>
      </c>
      <c r="G135" s="3550">
        <f t="shared" si="83"/>
        <v>0</v>
      </c>
      <c r="H135" s="3550">
        <f t="shared" si="83"/>
        <v>0</v>
      </c>
      <c r="I135" s="3550">
        <f t="shared" si="83"/>
        <v>0</v>
      </c>
      <c r="J135" s="3550">
        <f t="shared" si="83"/>
        <v>0</v>
      </c>
      <c r="K135" s="798"/>
      <c r="L135" s="834"/>
      <c r="M135" s="2477">
        <f>M136</f>
        <v>66485</v>
      </c>
      <c r="N135" s="3915"/>
    </row>
    <row r="136" spans="1:14" ht="15.75" customHeight="1">
      <c r="A136" s="4038"/>
      <c r="B136" s="2859" t="s">
        <v>10</v>
      </c>
      <c r="C136" s="4564" t="s">
        <v>540</v>
      </c>
      <c r="D136" s="847">
        <f>D137</f>
        <v>66485</v>
      </c>
      <c r="E136" s="1165">
        <f t="shared" si="83"/>
        <v>0</v>
      </c>
      <c r="F136" s="847">
        <f t="shared" si="83"/>
        <v>66485</v>
      </c>
      <c r="G136" s="1165">
        <f t="shared" si="83"/>
        <v>0</v>
      </c>
      <c r="H136" s="1165">
        <f t="shared" si="83"/>
        <v>0</v>
      </c>
      <c r="I136" s="1165">
        <f t="shared" si="83"/>
        <v>0</v>
      </c>
      <c r="J136" s="1165">
        <f t="shared" si="83"/>
        <v>0</v>
      </c>
      <c r="K136" s="847"/>
      <c r="L136" s="847"/>
      <c r="M136" s="3513">
        <f>SUM(F136:J136)</f>
        <v>66485</v>
      </c>
      <c r="N136" s="3915"/>
    </row>
    <row r="137" spans="1:14" ht="15.75" customHeight="1">
      <c r="A137" s="4038"/>
      <c r="B137" s="1530" t="s">
        <v>11</v>
      </c>
      <c r="C137" s="4566"/>
      <c r="D137" s="789">
        <f>SUM(E137:J137)</f>
        <v>66485</v>
      </c>
      <c r="E137" s="3502">
        <v>0</v>
      </c>
      <c r="F137" s="3504">
        <v>66485</v>
      </c>
      <c r="G137" s="3502">
        <v>0</v>
      </c>
      <c r="H137" s="3502">
        <v>0</v>
      </c>
      <c r="I137" s="3502">
        <v>0</v>
      </c>
      <c r="J137" s="3502">
        <v>0</v>
      </c>
      <c r="K137" s="3504"/>
      <c r="L137" s="3504"/>
      <c r="M137" s="3501">
        <f>SUM(F137:J137)</f>
        <v>66485</v>
      </c>
      <c r="N137" s="3915"/>
    </row>
    <row r="138" spans="1:14" ht="15.75" customHeight="1">
      <c r="A138" s="4038"/>
      <c r="B138" s="37" t="s">
        <v>20</v>
      </c>
      <c r="C138" s="3518"/>
      <c r="D138" s="704">
        <f>D139</f>
        <v>66485</v>
      </c>
      <c r="E138" s="1141">
        <f t="shared" ref="E138:J138" si="84">E139</f>
        <v>0</v>
      </c>
      <c r="F138" s="704">
        <f t="shared" si="84"/>
        <v>66485</v>
      </c>
      <c r="G138" s="1141">
        <f t="shared" si="84"/>
        <v>0</v>
      </c>
      <c r="H138" s="1141">
        <f t="shared" si="84"/>
        <v>0</v>
      </c>
      <c r="I138" s="1141">
        <f t="shared" si="84"/>
        <v>0</v>
      </c>
      <c r="J138" s="1141">
        <f t="shared" si="84"/>
        <v>0</v>
      </c>
      <c r="K138" s="42"/>
      <c r="L138" s="42"/>
      <c r="M138" s="4577" t="s">
        <v>51</v>
      </c>
      <c r="N138" s="3915"/>
    </row>
    <row r="139" spans="1:14" ht="15.75" customHeight="1">
      <c r="A139" s="4038"/>
      <c r="B139" s="2859" t="s">
        <v>10</v>
      </c>
      <c r="C139" s="4564" t="s">
        <v>540</v>
      </c>
      <c r="D139" s="847">
        <f>+D140</f>
        <v>66485</v>
      </c>
      <c r="E139" s="1165">
        <f t="shared" ref="E139:J139" si="85">+E140</f>
        <v>0</v>
      </c>
      <c r="F139" s="847">
        <f t="shared" si="85"/>
        <v>66485</v>
      </c>
      <c r="G139" s="1165">
        <f t="shared" si="85"/>
        <v>0</v>
      </c>
      <c r="H139" s="1165">
        <f t="shared" si="85"/>
        <v>0</v>
      </c>
      <c r="I139" s="1165">
        <f t="shared" si="85"/>
        <v>0</v>
      </c>
      <c r="J139" s="1165">
        <f t="shared" si="85"/>
        <v>0</v>
      </c>
      <c r="K139" s="847"/>
      <c r="L139" s="847"/>
      <c r="M139" s="4601"/>
      <c r="N139" s="3915"/>
    </row>
    <row r="140" spans="1:14" ht="15.75" customHeight="1" thickBot="1">
      <c r="A140" s="4039"/>
      <c r="B140" s="33" t="s">
        <v>548</v>
      </c>
      <c r="C140" s="4599"/>
      <c r="D140" s="1003">
        <f>SUM(E140:J140)</f>
        <v>66485</v>
      </c>
      <c r="E140" s="3522">
        <v>0</v>
      </c>
      <c r="F140" s="2399">
        <v>66485</v>
      </c>
      <c r="G140" s="654">
        <v>0</v>
      </c>
      <c r="H140" s="654">
        <v>0</v>
      </c>
      <c r="I140" s="654">
        <v>0</v>
      </c>
      <c r="J140" s="654">
        <v>0</v>
      </c>
      <c r="K140" s="655"/>
      <c r="L140" s="655"/>
      <c r="M140" s="4602"/>
      <c r="N140" s="3948"/>
    </row>
    <row r="141" spans="1:14" s="376" customFormat="1" ht="29.25" customHeight="1"/>
    <row r="142" spans="1:14" s="376" customFormat="1" ht="16.5" customHeight="1"/>
    <row r="143" spans="1:14" s="376" customFormat="1" ht="13.5" customHeight="1"/>
    <row r="144" spans="1:14" s="376" customFormat="1" ht="13.5" customHeight="1"/>
    <row r="145" spans="1:14" ht="19.5" customHeight="1">
      <c r="A145" s="155"/>
      <c r="N145" s="155"/>
    </row>
    <row r="146" spans="1:14" ht="12.75" customHeight="1">
      <c r="A146" s="155"/>
      <c r="N146" s="155"/>
    </row>
    <row r="147" spans="1:14" ht="13.5" customHeight="1">
      <c r="A147" s="155"/>
      <c r="N147" s="155"/>
    </row>
    <row r="148" spans="1:14" ht="13.5" customHeight="1">
      <c r="A148" s="155"/>
      <c r="N148" s="155"/>
    </row>
    <row r="149" spans="1:14" ht="13.5" customHeight="1">
      <c r="A149" s="155"/>
      <c r="N149" s="155"/>
    </row>
    <row r="150" spans="1:14" ht="15.75" customHeight="1">
      <c r="A150" s="155"/>
      <c r="N150" s="155"/>
    </row>
    <row r="151" spans="1:14" ht="10.5" customHeight="1">
      <c r="A151" s="155"/>
      <c r="N151" s="155"/>
    </row>
    <row r="152" spans="1:14" hidden="1"/>
    <row r="153" spans="1:14" hidden="1"/>
    <row r="154" spans="1:14" ht="16.5" hidden="1" customHeight="1">
      <c r="B154" s="1166" t="s">
        <v>301</v>
      </c>
      <c r="C154" s="1721"/>
      <c r="D154" s="1721"/>
      <c r="E154" s="1721"/>
      <c r="F154" s="1721"/>
      <c r="G154" s="1721"/>
      <c r="H154" s="1721"/>
      <c r="I154" s="1721"/>
      <c r="J154" s="1721"/>
      <c r="K154" s="1721"/>
      <c r="L154" s="1721"/>
    </row>
    <row r="155" spans="1:14" ht="16.5" hidden="1" customHeight="1">
      <c r="B155" s="1772" t="s">
        <v>302</v>
      </c>
      <c r="C155" s="1721"/>
      <c r="D155" s="1745">
        <f>D49+D82+D62+D91+D100</f>
        <v>41897230</v>
      </c>
      <c r="E155" s="1745">
        <f t="shared" ref="E155:J155" si="86">E49+E82+E62+E91+E100</f>
        <v>18433617</v>
      </c>
      <c r="F155" s="1745">
        <f t="shared" si="86"/>
        <v>8051796</v>
      </c>
      <c r="G155" s="1745">
        <f t="shared" si="86"/>
        <v>8130105</v>
      </c>
      <c r="H155" s="1745">
        <f t="shared" si="86"/>
        <v>2558441</v>
      </c>
      <c r="I155" s="1745">
        <f t="shared" si="86"/>
        <v>2832205</v>
      </c>
      <c r="J155" s="1745">
        <f t="shared" si="86"/>
        <v>1891066</v>
      </c>
      <c r="K155" s="1745">
        <f t="shared" ref="K155:L155" si="87">K49+K82+K62+K91+K100+K131</f>
        <v>0</v>
      </c>
      <c r="L155" s="1745">
        <f t="shared" si="87"/>
        <v>0</v>
      </c>
    </row>
    <row r="156" spans="1:14" ht="15.75" hidden="1" customHeight="1">
      <c r="B156" s="1772" t="s">
        <v>303</v>
      </c>
      <c r="C156" s="1721"/>
      <c r="D156" s="1745">
        <f>D73</f>
        <v>841516</v>
      </c>
      <c r="E156" s="1745">
        <f t="shared" ref="E156:J156" si="88">E73</f>
        <v>91961</v>
      </c>
      <c r="F156" s="1745">
        <f t="shared" si="88"/>
        <v>597915</v>
      </c>
      <c r="G156" s="1745">
        <f t="shared" si="88"/>
        <v>151640</v>
      </c>
      <c r="H156" s="1745">
        <f t="shared" si="88"/>
        <v>0</v>
      </c>
      <c r="I156" s="1745">
        <f t="shared" si="88"/>
        <v>0</v>
      </c>
      <c r="J156" s="1745">
        <f t="shared" si="88"/>
        <v>0</v>
      </c>
      <c r="K156" s="1745">
        <f>K73</f>
        <v>0</v>
      </c>
      <c r="L156" s="1745">
        <f>L73</f>
        <v>0</v>
      </c>
    </row>
    <row r="157" spans="1:14" ht="14.25" hidden="1" customHeight="1">
      <c r="B157" s="1772" t="s">
        <v>304</v>
      </c>
      <c r="C157" s="1721"/>
      <c r="D157" s="1085">
        <f>D155+D156</f>
        <v>42738746</v>
      </c>
      <c r="E157" s="1085">
        <f>E155+E156</f>
        <v>18525578</v>
      </c>
      <c r="F157" s="1085">
        <f t="shared" ref="F157:J157" si="89">F155+F156</f>
        <v>8649711</v>
      </c>
      <c r="G157" s="1085">
        <f>G155+G156</f>
        <v>8281745</v>
      </c>
      <c r="H157" s="1085">
        <f t="shared" si="89"/>
        <v>2558441</v>
      </c>
      <c r="I157" s="1085">
        <f t="shared" si="89"/>
        <v>2832205</v>
      </c>
      <c r="J157" s="1085">
        <f t="shared" si="89"/>
        <v>1891066</v>
      </c>
      <c r="K157" s="1085">
        <f>K155+K156</f>
        <v>0</v>
      </c>
      <c r="L157" s="1085">
        <f>L155+L156</f>
        <v>0</v>
      </c>
    </row>
    <row r="158" spans="1:14" s="385" customFormat="1" ht="16.5" hidden="1" customHeight="1">
      <c r="A158" s="1185"/>
      <c r="B158" s="1167" t="s">
        <v>39</v>
      </c>
      <c r="C158" s="1186"/>
      <c r="D158" s="1187">
        <f>D157-D20</f>
        <v>0</v>
      </c>
      <c r="E158" s="1187">
        <f t="shared" ref="E158:J158" si="90">E157-E20</f>
        <v>0</v>
      </c>
      <c r="F158" s="1187">
        <f t="shared" si="90"/>
        <v>0</v>
      </c>
      <c r="G158" s="1187">
        <f t="shared" si="90"/>
        <v>0</v>
      </c>
      <c r="H158" s="1187">
        <f t="shared" si="90"/>
        <v>0</v>
      </c>
      <c r="I158" s="1187">
        <f t="shared" si="90"/>
        <v>0</v>
      </c>
      <c r="J158" s="1187">
        <f t="shared" si="90"/>
        <v>0</v>
      </c>
      <c r="K158" s="1187">
        <f t="shared" ref="K158:L158" si="91">K157-K20-K113</f>
        <v>0</v>
      </c>
      <c r="L158" s="1187">
        <f t="shared" si="91"/>
        <v>0</v>
      </c>
      <c r="N158" s="1188"/>
    </row>
    <row r="159" spans="1:14" hidden="1"/>
    <row r="160" spans="1:14" hidden="1"/>
    <row r="161" spans="1:14" ht="12.75" hidden="1">
      <c r="B161" s="1166" t="s">
        <v>343</v>
      </c>
      <c r="C161" s="1721"/>
      <c r="D161" s="1721"/>
      <c r="E161" s="1721"/>
      <c r="F161" s="1721"/>
      <c r="G161" s="1721"/>
      <c r="H161" s="1721"/>
      <c r="I161" s="1721"/>
      <c r="J161" s="1721"/>
    </row>
    <row r="162" spans="1:14" ht="12.75" hidden="1">
      <c r="B162" s="1772" t="s">
        <v>302</v>
      </c>
      <c r="C162" s="1721"/>
      <c r="D162" s="1745">
        <f>+D123+D131+D138</f>
        <v>1350000</v>
      </c>
      <c r="E162" s="1745">
        <f t="shared" ref="E162:L162" si="92">+E123+E131+E138</f>
        <v>0</v>
      </c>
      <c r="F162" s="1745">
        <f t="shared" si="92"/>
        <v>430000</v>
      </c>
      <c r="G162" s="1745">
        <f t="shared" si="92"/>
        <v>570000</v>
      </c>
      <c r="H162" s="1745">
        <f t="shared" si="92"/>
        <v>350000</v>
      </c>
      <c r="I162" s="1745">
        <f t="shared" si="92"/>
        <v>0</v>
      </c>
      <c r="J162" s="1745">
        <f t="shared" si="92"/>
        <v>0</v>
      </c>
      <c r="K162" s="1745">
        <f t="shared" si="92"/>
        <v>0</v>
      </c>
      <c r="L162" s="1745">
        <f t="shared" si="92"/>
        <v>0</v>
      </c>
    </row>
    <row r="163" spans="1:14" ht="12.75" hidden="1">
      <c r="B163" s="1772" t="s">
        <v>303</v>
      </c>
      <c r="C163" s="1721"/>
      <c r="D163" s="1745"/>
      <c r="E163" s="1745"/>
      <c r="F163" s="1745"/>
      <c r="G163" s="1745"/>
      <c r="H163" s="1745"/>
      <c r="I163" s="1745"/>
      <c r="J163" s="1745"/>
    </row>
    <row r="164" spans="1:14" ht="13.5" hidden="1" thickBot="1">
      <c r="A164" s="1168"/>
      <c r="B164" s="1772" t="s">
        <v>304</v>
      </c>
      <c r="C164" s="1721"/>
      <c r="D164" s="1085">
        <f>D162+D163</f>
        <v>1350000</v>
      </c>
      <c r="E164" s="1085">
        <f t="shared" ref="E164:J164" si="93">E162+E163</f>
        <v>0</v>
      </c>
      <c r="F164" s="1085">
        <f t="shared" si="93"/>
        <v>430000</v>
      </c>
      <c r="G164" s="1085">
        <f t="shared" si="93"/>
        <v>570000</v>
      </c>
      <c r="H164" s="1085">
        <f t="shared" si="93"/>
        <v>350000</v>
      </c>
      <c r="I164" s="1085">
        <f t="shared" si="93"/>
        <v>0</v>
      </c>
      <c r="J164" s="1085">
        <f t="shared" si="93"/>
        <v>0</v>
      </c>
      <c r="K164" s="296"/>
      <c r="L164" s="296"/>
      <c r="M164" s="296"/>
      <c r="N164" s="1169"/>
    </row>
    <row r="165" spans="1:14" ht="12.75" hidden="1">
      <c r="B165" s="1167" t="s">
        <v>39</v>
      </c>
      <c r="C165" s="1186"/>
      <c r="D165" s="1187">
        <f>D164-D113</f>
        <v>0</v>
      </c>
      <c r="E165" s="1187">
        <f t="shared" ref="E165:J165" si="94">E164-E113</f>
        <v>0</v>
      </c>
      <c r="F165" s="1187">
        <f t="shared" si="94"/>
        <v>0</v>
      </c>
      <c r="G165" s="1187">
        <f t="shared" si="94"/>
        <v>0</v>
      </c>
      <c r="H165" s="1187">
        <f t="shared" si="94"/>
        <v>0</v>
      </c>
      <c r="I165" s="1187">
        <f t="shared" si="94"/>
        <v>0</v>
      </c>
      <c r="J165" s="1187">
        <f t="shared" si="94"/>
        <v>0</v>
      </c>
    </row>
    <row r="166" spans="1:14" hidden="1"/>
    <row r="167" spans="1:14" hidden="1"/>
    <row r="186" spans="1:1" ht="12.75" thickBot="1">
      <c r="A186" s="1168"/>
    </row>
    <row r="187" spans="1:1" ht="12.75" thickBot="1">
      <c r="A187" s="1348"/>
    </row>
    <row r="188" spans="1:1" ht="12.75" thickBot="1">
      <c r="A188" s="1348"/>
    </row>
    <row r="189" spans="1:1" ht="12.75" thickBot="1">
      <c r="A189" s="1348"/>
    </row>
    <row r="190" spans="1:1" ht="12.75" thickBot="1">
      <c r="A190" s="1348"/>
    </row>
    <row r="191" spans="1:1" ht="12.75" thickBot="1">
      <c r="A191" s="1348"/>
    </row>
    <row r="192" spans="1:1" ht="12.75" thickBot="1">
      <c r="A192" s="1348"/>
    </row>
    <row r="193" spans="1:2" ht="12.75" thickBot="1">
      <c r="A193" s="1348"/>
    </row>
    <row r="194" spans="1:2" ht="12.75" thickBot="1">
      <c r="A194" s="1348"/>
    </row>
    <row r="195" spans="1:2" ht="12.75" thickBot="1">
      <c r="A195" s="1348"/>
    </row>
    <row r="196" spans="1:2" ht="12.75" thickBot="1">
      <c r="A196" s="1348"/>
    </row>
    <row r="197" spans="1:2" ht="12.75" thickBot="1">
      <c r="A197" s="1348"/>
      <c r="B197" s="296"/>
    </row>
    <row r="198" spans="1:2" ht="12.75" thickBot="1">
      <c r="A198" s="1348"/>
      <c r="B198" s="290"/>
    </row>
    <row r="199" spans="1:2" ht="12.75" thickBot="1">
      <c r="A199" s="1348"/>
    </row>
    <row r="200" spans="1:2" ht="12.75" thickBot="1">
      <c r="A200" s="1348"/>
    </row>
    <row r="201" spans="1:2" ht="12.75" thickBot="1">
      <c r="A201" s="1348"/>
    </row>
    <row r="202" spans="1:2" ht="12.75" thickBot="1">
      <c r="A202" s="1348"/>
    </row>
    <row r="203" spans="1:2" ht="12.75" thickBot="1">
      <c r="A203" s="1348"/>
    </row>
    <row r="204" spans="1:2" ht="12.75" thickBot="1">
      <c r="A204" s="1348"/>
    </row>
    <row r="205" spans="1:2" ht="12.75" thickBot="1">
      <c r="A205" s="1348"/>
    </row>
    <row r="206" spans="1:2" ht="12.75" thickBot="1">
      <c r="A206" s="1348"/>
    </row>
    <row r="207" spans="1:2" ht="12.75" thickBot="1">
      <c r="A207" s="1348"/>
    </row>
    <row r="208" spans="1:2" ht="12.75" thickBot="1">
      <c r="A208" s="1348"/>
    </row>
    <row r="209" spans="1:14" ht="12.75" thickBot="1">
      <c r="A209" s="1348"/>
    </row>
    <row r="210" spans="1:14" ht="12.75" thickBot="1">
      <c r="A210" s="1348"/>
    </row>
    <row r="211" spans="1:14" ht="12.75" thickBot="1">
      <c r="A211" s="1348"/>
      <c r="M211" s="296"/>
      <c r="N211" s="1169"/>
    </row>
    <row r="212" spans="1:14" ht="12.75" thickBot="1">
      <c r="A212" s="1348"/>
      <c r="C212" s="296"/>
      <c r="M212" s="1336"/>
      <c r="N212" s="1320"/>
    </row>
    <row r="213" spans="1:14" ht="12.75" thickBot="1">
      <c r="A213" s="1348"/>
      <c r="C213" s="1336"/>
      <c r="M213" s="1336"/>
      <c r="N213" s="1320"/>
    </row>
    <row r="214" spans="1:14" ht="12.75" thickBot="1">
      <c r="A214" s="1348"/>
      <c r="C214" s="1336"/>
      <c r="M214" s="1336"/>
      <c r="N214" s="1320"/>
    </row>
    <row r="215" spans="1:14" ht="12.75" thickBot="1">
      <c r="A215" s="1349"/>
      <c r="C215" s="1336"/>
      <c r="D215" s="296"/>
      <c r="E215" s="296"/>
      <c r="F215" s="296"/>
      <c r="G215" s="296"/>
      <c r="H215" s="296"/>
      <c r="I215" s="296"/>
      <c r="J215" s="296"/>
      <c r="K215" s="296"/>
      <c r="L215" s="296"/>
      <c r="M215" s="1336"/>
      <c r="N215" s="1320"/>
    </row>
    <row r="216" spans="1:14" ht="12.75" thickBot="1">
      <c r="C216" s="290"/>
      <c r="D216" s="290"/>
      <c r="E216" s="290"/>
      <c r="F216" s="290"/>
      <c r="G216" s="290"/>
      <c r="H216" s="290"/>
      <c r="I216" s="290"/>
      <c r="J216" s="290"/>
      <c r="K216" s="290"/>
      <c r="L216" s="290"/>
      <c r="M216" s="290"/>
      <c r="N216" s="1320"/>
    </row>
    <row r="217" spans="1:14" ht="12.75" thickBot="1">
      <c r="N217" s="1320"/>
    </row>
    <row r="218" spans="1:14" ht="12.75" thickBot="1">
      <c r="N218" s="1320"/>
    </row>
    <row r="219" spans="1:14" ht="12.75" thickBot="1">
      <c r="N219" s="1320"/>
    </row>
    <row r="220" spans="1:14" ht="12.75" thickBot="1">
      <c r="N220" s="1320"/>
    </row>
    <row r="221" spans="1:14" ht="12.75" thickBot="1">
      <c r="N221" s="1320"/>
    </row>
    <row r="222" spans="1:14" ht="12.75" thickBot="1">
      <c r="N222" s="1320"/>
    </row>
    <row r="223" spans="1:14" ht="12.75" thickBot="1">
      <c r="N223" s="1320"/>
    </row>
    <row r="224" spans="1:14" ht="12.75" thickBot="1">
      <c r="N224" s="1320"/>
    </row>
    <row r="225" spans="14:14">
      <c r="N225" s="1321"/>
    </row>
    <row r="259" spans="14:14" ht="12.75" thickBot="1">
      <c r="N259" s="1169"/>
    </row>
    <row r="260" spans="14:14" ht="12.75" thickBot="1">
      <c r="N260" s="1320"/>
    </row>
    <row r="261" spans="14:14" ht="12.75" thickBot="1">
      <c r="N261" s="1320"/>
    </row>
    <row r="262" spans="14:14" ht="12.75" thickBot="1">
      <c r="N262" s="1320"/>
    </row>
    <row r="263" spans="14:14" ht="12.75" thickBot="1">
      <c r="N263" s="1320"/>
    </row>
    <row r="264" spans="14:14" ht="12.75" thickBot="1">
      <c r="N264" s="1320"/>
    </row>
    <row r="265" spans="14:14" ht="12.75" thickBot="1">
      <c r="N265" s="1320"/>
    </row>
    <row r="266" spans="14:14" ht="12.75" thickBot="1">
      <c r="N266" s="1320"/>
    </row>
    <row r="267" spans="14:14" ht="12.75" thickBot="1">
      <c r="N267" s="1320"/>
    </row>
    <row r="268" spans="14:14" ht="12.75" thickBot="1">
      <c r="N268" s="1320"/>
    </row>
    <row r="269" spans="14:14" ht="12.75" thickBot="1">
      <c r="N269" s="1320"/>
    </row>
    <row r="270" spans="14:14" ht="12.75" thickBot="1">
      <c r="N270" s="1320"/>
    </row>
    <row r="271" spans="14:14" ht="12.75" thickBot="1">
      <c r="N271" s="1320"/>
    </row>
    <row r="272" spans="14:14" ht="12.75" thickBot="1">
      <c r="N272" s="1320"/>
    </row>
    <row r="273" spans="14:14">
      <c r="N273" s="1321"/>
    </row>
    <row r="412" spans="1:1" ht="12.75" thickBot="1">
      <c r="A412" s="1168"/>
    </row>
    <row r="413" spans="1:1" ht="12.75" thickBot="1">
      <c r="A413" s="1348"/>
    </row>
    <row r="414" spans="1:1" ht="12.75" thickBot="1">
      <c r="A414" s="1348"/>
    </row>
    <row r="415" spans="1:1" ht="12.75" thickBot="1">
      <c r="A415" s="1348"/>
    </row>
    <row r="416" spans="1:1" ht="12.75" thickBot="1">
      <c r="A416" s="1348"/>
    </row>
    <row r="417" spans="1:14" ht="12.75" thickBot="1">
      <c r="A417" s="1348"/>
    </row>
    <row r="418" spans="1:14" ht="12.75" thickBot="1">
      <c r="A418" s="1348"/>
      <c r="M418" s="296"/>
      <c r="N418" s="1169"/>
    </row>
    <row r="419" spans="1:14" ht="12.75" thickBot="1">
      <c r="A419" s="1348"/>
      <c r="C419" s="296"/>
      <c r="M419" s="1336"/>
      <c r="N419" s="1320"/>
    </row>
    <row r="420" spans="1:14" ht="12.75" thickBot="1">
      <c r="A420" s="1348"/>
      <c r="C420" s="1336"/>
      <c r="D420" s="296"/>
      <c r="E420" s="296"/>
      <c r="F420" s="296"/>
      <c r="G420" s="296"/>
      <c r="H420" s="296"/>
      <c r="I420" s="296"/>
      <c r="J420" s="296"/>
      <c r="K420" s="296"/>
      <c r="L420" s="296"/>
      <c r="M420" s="1336"/>
      <c r="N420" s="1320"/>
    </row>
    <row r="421" spans="1:14" ht="12.75" thickBot="1">
      <c r="A421" s="1348"/>
      <c r="C421" s="290"/>
      <c r="D421" s="290"/>
      <c r="E421" s="290"/>
      <c r="F421" s="290"/>
      <c r="G421" s="290"/>
      <c r="H421" s="290"/>
      <c r="I421" s="290"/>
      <c r="J421" s="290"/>
      <c r="K421" s="290"/>
      <c r="L421" s="290"/>
      <c r="M421" s="290"/>
      <c r="N421" s="1320"/>
    </row>
    <row r="422" spans="1:14" ht="12.75" thickBot="1">
      <c r="A422" s="1348"/>
      <c r="N422" s="1320"/>
    </row>
    <row r="423" spans="1:14" ht="12.75" thickBot="1">
      <c r="A423" s="1348"/>
      <c r="N423" s="1320"/>
    </row>
    <row r="424" spans="1:14" ht="12.75" thickBot="1">
      <c r="A424" s="1348"/>
      <c r="N424" s="1320"/>
    </row>
    <row r="425" spans="1:14" ht="12.75" thickBot="1">
      <c r="A425" s="1348"/>
      <c r="N425" s="1320"/>
    </row>
    <row r="426" spans="1:14" ht="12.75" thickBot="1">
      <c r="A426" s="1348"/>
      <c r="N426" s="1321"/>
    </row>
    <row r="427" spans="1:14" ht="12.75" thickBot="1">
      <c r="A427" s="1348"/>
    </row>
    <row r="428" spans="1:14" ht="12.75" thickBot="1">
      <c r="A428" s="1348"/>
    </row>
    <row r="429" spans="1:14">
      <c r="A429" s="1349"/>
    </row>
    <row r="527" spans="14:14" ht="12.75" thickBot="1">
      <c r="N527" s="1169"/>
    </row>
    <row r="528" spans="14:14" ht="12.75" thickBot="1">
      <c r="N528" s="1320"/>
    </row>
    <row r="529" spans="1:14" ht="12.75" thickBot="1">
      <c r="N529" s="1320"/>
    </row>
    <row r="530" spans="1:14" ht="12.75" thickBot="1">
      <c r="N530" s="1320"/>
    </row>
    <row r="531" spans="1:14" ht="12.75" thickBot="1">
      <c r="M531" s="296"/>
      <c r="N531" s="1320"/>
    </row>
    <row r="532" spans="1:14" ht="12.75" thickBot="1">
      <c r="M532" s="1336"/>
      <c r="N532" s="1320"/>
    </row>
    <row r="533" spans="1:14" ht="12.75" thickBot="1">
      <c r="M533" s="1336"/>
      <c r="N533" s="1320"/>
    </row>
    <row r="534" spans="1:14" ht="12.75" thickBot="1">
      <c r="M534" s="1336"/>
      <c r="N534" s="1320"/>
    </row>
    <row r="535" spans="1:14" ht="12.75" thickBot="1">
      <c r="M535" s="1336"/>
      <c r="N535" s="1320"/>
    </row>
    <row r="536" spans="1:14" ht="12.75" thickBot="1">
      <c r="A536" s="1168"/>
      <c r="B536" s="296"/>
      <c r="C536" s="296"/>
      <c r="D536" s="296"/>
      <c r="E536" s="296"/>
      <c r="F536" s="296"/>
      <c r="G536" s="296"/>
      <c r="H536" s="296"/>
      <c r="I536" s="296"/>
      <c r="J536" s="296"/>
      <c r="K536" s="296"/>
      <c r="L536" s="296"/>
      <c r="M536" s="1336"/>
      <c r="N536" s="1320"/>
    </row>
    <row r="537" spans="1:14" ht="12.75" thickBot="1">
      <c r="A537" s="1348"/>
      <c r="B537" s="290"/>
      <c r="C537" s="290"/>
      <c r="D537" s="290"/>
      <c r="E537" s="290"/>
      <c r="F537" s="290"/>
      <c r="G537" s="290"/>
      <c r="H537" s="290"/>
      <c r="I537" s="290"/>
      <c r="J537" s="290"/>
      <c r="K537" s="290"/>
      <c r="L537" s="290"/>
      <c r="M537" s="290"/>
      <c r="N537" s="1320"/>
    </row>
    <row r="538" spans="1:14" ht="12.75" thickBot="1">
      <c r="A538" s="1348"/>
      <c r="N538" s="1320"/>
    </row>
    <row r="539" spans="1:14" ht="12.75" thickBot="1">
      <c r="A539" s="1348"/>
      <c r="N539" s="1320"/>
    </row>
    <row r="540" spans="1:14" ht="12.75" thickBot="1">
      <c r="A540" s="1348"/>
      <c r="N540" s="1320"/>
    </row>
    <row r="541" spans="1:14" ht="12.75" thickBot="1">
      <c r="A541" s="1348"/>
      <c r="N541" s="1320"/>
    </row>
    <row r="542" spans="1:14" ht="12.75" thickBot="1">
      <c r="A542" s="1348"/>
      <c r="N542" s="1320"/>
    </row>
    <row r="543" spans="1:14" ht="12.75" thickBot="1">
      <c r="A543" s="1348"/>
      <c r="N543" s="1320"/>
    </row>
    <row r="544" spans="1:14">
      <c r="A544" s="1349"/>
      <c r="N544" s="1321"/>
    </row>
  </sheetData>
  <mergeCells count="64">
    <mergeCell ref="A118:A126"/>
    <mergeCell ref="N118:N126"/>
    <mergeCell ref="M123:M126"/>
    <mergeCell ref="A42:A54"/>
    <mergeCell ref="A31:A41"/>
    <mergeCell ref="A67:A75"/>
    <mergeCell ref="A76:A84"/>
    <mergeCell ref="A56:A66"/>
    <mergeCell ref="M62:M66"/>
    <mergeCell ref="C63:C66"/>
    <mergeCell ref="M91:M93"/>
    <mergeCell ref="A94:A102"/>
    <mergeCell ref="C124:C125"/>
    <mergeCell ref="A85:A93"/>
    <mergeCell ref="C87:C90"/>
    <mergeCell ref="C92:C93"/>
    <mergeCell ref="C136:C137"/>
    <mergeCell ref="C139:C140"/>
    <mergeCell ref="C132:C133"/>
    <mergeCell ref="N127:N133"/>
    <mergeCell ref="M131:M133"/>
    <mergeCell ref="N134:N140"/>
    <mergeCell ref="M138:M140"/>
    <mergeCell ref="A127:A133"/>
    <mergeCell ref="A134:A140"/>
    <mergeCell ref="A3:N3"/>
    <mergeCell ref="B4:B5"/>
    <mergeCell ref="C4:C5"/>
    <mergeCell ref="D4:D5"/>
    <mergeCell ref="N4:N5"/>
    <mergeCell ref="M4:M5"/>
    <mergeCell ref="L4:L5"/>
    <mergeCell ref="F4:J4"/>
    <mergeCell ref="K4:K5"/>
    <mergeCell ref="M20:M30"/>
    <mergeCell ref="C78:C81"/>
    <mergeCell ref="M82:M84"/>
    <mergeCell ref="N82:N84"/>
    <mergeCell ref="C83:C84"/>
    <mergeCell ref="N76:N81"/>
    <mergeCell ref="N31:N41"/>
    <mergeCell ref="C33:C36"/>
    <mergeCell ref="C38:C41"/>
    <mergeCell ref="M37:M41"/>
    <mergeCell ref="C58:C61"/>
    <mergeCell ref="N42:N54"/>
    <mergeCell ref="C44:C48"/>
    <mergeCell ref="C50:C54"/>
    <mergeCell ref="M49:M54"/>
    <mergeCell ref="N56:N66"/>
    <mergeCell ref="N67:N72"/>
    <mergeCell ref="C69:C72"/>
    <mergeCell ref="M73:M75"/>
    <mergeCell ref="N73:N75"/>
    <mergeCell ref="C74:C75"/>
    <mergeCell ref="C120:C122"/>
    <mergeCell ref="M113:M117"/>
    <mergeCell ref="N85:N90"/>
    <mergeCell ref="N91:N93"/>
    <mergeCell ref="C96:C99"/>
    <mergeCell ref="C101:C102"/>
    <mergeCell ref="N94:N99"/>
    <mergeCell ref="M100:M102"/>
    <mergeCell ref="N100:N102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3" firstPageNumber="37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66" max="13" man="1"/>
    <brk id="10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19</vt:i4>
      </vt:variant>
    </vt:vector>
  </HeadingPairs>
  <TitlesOfParts>
    <vt:vector size="30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6H - Kultura fiz. i turyst</vt:lpstr>
      <vt:lpstr>Tab. 6G - Roln i ochrona środ.</vt:lpstr>
      <vt:lpstr>Tab.6I - Planow. przestrz.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 Magdalena Potapińska</cp:lastModifiedBy>
  <cp:lastPrinted>2019-10-07T08:29:18Z</cp:lastPrinted>
  <dcterms:created xsi:type="dcterms:W3CDTF">2015-01-20T07:24:04Z</dcterms:created>
  <dcterms:modified xsi:type="dcterms:W3CDTF">2019-11-15T10:40:53Z</dcterms:modified>
</cp:coreProperties>
</file>