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0" yWindow="6525" windowWidth="25230" windowHeight="6120" tabRatio="98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</externalReferences>
  <definedNames>
    <definedName name="_xlnm._FilterDatabase" localSheetId="1" hidden="1">'Tab. 6A -Drogi'!$A$12:$EH$423</definedName>
    <definedName name="_xlnm._FilterDatabase" localSheetId="2" hidden="1">'Tab. 6B Polit społ i rozwój prz'!#REF!</definedName>
    <definedName name="_xlnm._FilterDatabase" localSheetId="7" hidden="1">'Tab. 6G - Roln i ochrona środ.'!$A$4:$V$179</definedName>
    <definedName name="_xlnm.Print_Area" localSheetId="1">'Tab. 6A -Drogi'!$A$1:$V$512</definedName>
    <definedName name="_xlnm.Print_Area" localSheetId="2">'Tab. 6B Polit społ i rozwój prz'!$A$1:$V$196</definedName>
    <definedName name="_xlnm.Print_Area" localSheetId="3">'Tab. 6C - Ochrona zdrowia'!$A$1:$V$125</definedName>
    <definedName name="_xlnm.Print_Area" localSheetId="4">'Tab. 6D - Oświata'!$A$1:$V$99</definedName>
    <definedName name="_xlnm.Print_Area" localSheetId="5">'Tab. 6E - Administracja'!$A$1:$V$137</definedName>
    <definedName name="_xlnm.Print_Area" localSheetId="6">'Tab. 6F - Kultura'!$A$1:$V$91</definedName>
    <definedName name="_xlnm.Print_Area" localSheetId="7">'Tab. 6G - Roln i ochrona środ.'!$A$1:$V$224</definedName>
    <definedName name="_xlnm.Print_Area" localSheetId="8">'Tab. 6H - Kultura fiz. i turyst'!$A$1:$V$136</definedName>
    <definedName name="_xlnm.Print_Area" localSheetId="0">'Tabela nr 6'!$A$1:$S$91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E11" i="4" l="1"/>
  <c r="F11" i="4"/>
  <c r="G11" i="4"/>
  <c r="H11" i="4"/>
  <c r="I11" i="4"/>
  <c r="J11" i="4"/>
  <c r="K11" i="4"/>
  <c r="L11" i="4"/>
  <c r="N11" i="4"/>
  <c r="O11" i="4"/>
  <c r="F12" i="4"/>
  <c r="G12" i="4"/>
  <c r="H12" i="4"/>
  <c r="I12" i="4"/>
  <c r="L12" i="4"/>
  <c r="P12" i="4"/>
  <c r="Q12" i="4"/>
  <c r="R12" i="4"/>
  <c r="S12" i="4"/>
  <c r="T12" i="4"/>
  <c r="E15" i="4"/>
  <c r="F15" i="4"/>
  <c r="G15" i="4"/>
  <c r="H15" i="4"/>
  <c r="I15" i="4"/>
  <c r="I14" i="4" s="1"/>
  <c r="I13" i="4" s="1"/>
  <c r="J15" i="4"/>
  <c r="K15" i="4"/>
  <c r="L15" i="4"/>
  <c r="M15" i="4"/>
  <c r="N15" i="4"/>
  <c r="O15" i="4"/>
  <c r="E16" i="4"/>
  <c r="F16" i="4"/>
  <c r="G16" i="4"/>
  <c r="H16" i="4"/>
  <c r="I16" i="4"/>
  <c r="J16" i="4"/>
  <c r="K16" i="4"/>
  <c r="L16" i="4"/>
  <c r="P16" i="4"/>
  <c r="Q16" i="4"/>
  <c r="R16" i="4"/>
  <c r="S16" i="4"/>
  <c r="T16" i="4"/>
  <c r="F17" i="4"/>
  <c r="G17" i="4"/>
  <c r="H17" i="4"/>
  <c r="I17" i="4"/>
  <c r="J17" i="4"/>
  <c r="L17" i="4"/>
  <c r="O17" i="4"/>
  <c r="P17" i="4"/>
  <c r="Q17" i="4"/>
  <c r="R17" i="4"/>
  <c r="S17" i="4"/>
  <c r="T17" i="4"/>
  <c r="E18" i="4"/>
  <c r="F18" i="4"/>
  <c r="G18" i="4"/>
  <c r="H18" i="4"/>
  <c r="I18" i="4"/>
  <c r="K18" i="4"/>
  <c r="L18" i="4"/>
  <c r="P18" i="4"/>
  <c r="Q18" i="4"/>
  <c r="R18" i="4"/>
  <c r="S18" i="4"/>
  <c r="T18" i="4"/>
  <c r="E19" i="4"/>
  <c r="F19" i="4"/>
  <c r="G19" i="4"/>
  <c r="H19" i="4"/>
  <c r="I19" i="4"/>
  <c r="J19" i="4"/>
  <c r="K19" i="4"/>
  <c r="L19" i="4"/>
  <c r="M19" i="4" s="1"/>
  <c r="O19" i="4"/>
  <c r="P19" i="4"/>
  <c r="Q19" i="4"/>
  <c r="R19" i="4"/>
  <c r="S19" i="4"/>
  <c r="T19" i="4"/>
  <c r="F21" i="4"/>
  <c r="F20" i="4" s="1"/>
  <c r="G21" i="4"/>
  <c r="G20" i="4" s="1"/>
  <c r="H21" i="4"/>
  <c r="H20" i="4" s="1"/>
  <c r="I21" i="4"/>
  <c r="I20" i="4" s="1"/>
  <c r="J21" i="4"/>
  <c r="J20" i="4" s="1"/>
  <c r="K21" i="4"/>
  <c r="K20" i="4" s="1"/>
  <c r="L21" i="4"/>
  <c r="L20" i="4" s="1"/>
  <c r="P21" i="4"/>
  <c r="P20" i="4" s="1"/>
  <c r="Q21" i="4"/>
  <c r="Q20" i="4" s="1"/>
  <c r="R21" i="4"/>
  <c r="R20" i="4" s="1"/>
  <c r="S21" i="4"/>
  <c r="S20" i="4" s="1"/>
  <c r="T21" i="4"/>
  <c r="T20" i="4" s="1"/>
  <c r="E24" i="4"/>
  <c r="E23" i="4" s="1"/>
  <c r="E22" i="4" s="1"/>
  <c r="F24" i="4"/>
  <c r="G24" i="4"/>
  <c r="H24" i="4"/>
  <c r="I24" i="4"/>
  <c r="I23" i="4" s="1"/>
  <c r="I22" i="4" s="1"/>
  <c r="K24" i="4"/>
  <c r="L24" i="4"/>
  <c r="P24" i="4"/>
  <c r="Q24" i="4"/>
  <c r="R24" i="4"/>
  <c r="S24" i="4"/>
  <c r="T24" i="4"/>
  <c r="E25" i="4"/>
  <c r="F25" i="4"/>
  <c r="G25" i="4"/>
  <c r="G23" i="4" s="1"/>
  <c r="H25" i="4"/>
  <c r="I25" i="4"/>
  <c r="J25" i="4"/>
  <c r="K25" i="4"/>
  <c r="K23" i="4" s="1"/>
  <c r="L25" i="4"/>
  <c r="M25" i="4"/>
  <c r="O25" i="4"/>
  <c r="P25" i="4"/>
  <c r="Q25" i="4"/>
  <c r="Q23" i="4" s="1"/>
  <c r="R25" i="4"/>
  <c r="S25" i="4"/>
  <c r="S23" i="4" s="1"/>
  <c r="T25" i="4"/>
  <c r="E27" i="4"/>
  <c r="E26" i="4" s="1"/>
  <c r="F27" i="4"/>
  <c r="F26" i="4" s="1"/>
  <c r="G27" i="4"/>
  <c r="G26" i="4" s="1"/>
  <c r="H27" i="4"/>
  <c r="H26" i="4" s="1"/>
  <c r="I27" i="4"/>
  <c r="I26" i="4" s="1"/>
  <c r="J27" i="4"/>
  <c r="J26" i="4" s="1"/>
  <c r="K27" i="4"/>
  <c r="K26" i="4" s="1"/>
  <c r="L27" i="4"/>
  <c r="M27" i="4" s="1"/>
  <c r="M26" i="4" s="1"/>
  <c r="P27" i="4"/>
  <c r="P26" i="4" s="1"/>
  <c r="Q27" i="4"/>
  <c r="Q26" i="4" s="1"/>
  <c r="R27" i="4"/>
  <c r="R26" i="4" s="1"/>
  <c r="S27" i="4"/>
  <c r="S26" i="4" s="1"/>
  <c r="T27" i="4"/>
  <c r="T26" i="4" s="1"/>
  <c r="E41" i="4"/>
  <c r="F41" i="4"/>
  <c r="G41" i="4"/>
  <c r="H41" i="4"/>
  <c r="I41" i="4"/>
  <c r="J41" i="4"/>
  <c r="L41" i="4"/>
  <c r="L40" i="4" s="1"/>
  <c r="N41" i="4"/>
  <c r="O41" i="4"/>
  <c r="P41" i="4"/>
  <c r="Q41" i="4"/>
  <c r="R41" i="4"/>
  <c r="S41" i="4"/>
  <c r="T41" i="4"/>
  <c r="M42" i="4"/>
  <c r="K43" i="4"/>
  <c r="K17" i="4" s="1"/>
  <c r="U43" i="4"/>
  <c r="M44" i="4"/>
  <c r="D44" i="4" s="1"/>
  <c r="U44" i="4"/>
  <c r="F45" i="4"/>
  <c r="G45" i="4"/>
  <c r="H45" i="4"/>
  <c r="I45" i="4"/>
  <c r="J45" i="4"/>
  <c r="K45" i="4"/>
  <c r="N45" i="4"/>
  <c r="O45" i="4"/>
  <c r="P45" i="4"/>
  <c r="Q45" i="4"/>
  <c r="R45" i="4"/>
  <c r="S45" i="4"/>
  <c r="T45" i="4"/>
  <c r="U45" i="4"/>
  <c r="E46" i="4"/>
  <c r="E45" i="4" s="1"/>
  <c r="M46" i="4"/>
  <c r="D46" i="4" s="1"/>
  <c r="L48" i="4"/>
  <c r="N48" i="4"/>
  <c r="O48" i="4"/>
  <c r="P48" i="4"/>
  <c r="Q48" i="4"/>
  <c r="R48" i="4"/>
  <c r="S48" i="4"/>
  <c r="T48" i="4"/>
  <c r="M49" i="4"/>
  <c r="M48" i="4" s="1"/>
  <c r="E50" i="4"/>
  <c r="E47" i="4" s="1"/>
  <c r="F50" i="4"/>
  <c r="F47" i="4" s="1"/>
  <c r="G50" i="4"/>
  <c r="G47" i="4" s="1"/>
  <c r="H50" i="4"/>
  <c r="H47" i="4" s="1"/>
  <c r="I50" i="4"/>
  <c r="I47" i="4" s="1"/>
  <c r="J50" i="4"/>
  <c r="J47" i="4" s="1"/>
  <c r="K50" i="4"/>
  <c r="K47" i="4" s="1"/>
  <c r="L50" i="4"/>
  <c r="L47" i="4" s="1"/>
  <c r="N50" i="4"/>
  <c r="O50" i="4"/>
  <c r="P50" i="4"/>
  <c r="Q50" i="4"/>
  <c r="R50" i="4"/>
  <c r="S50" i="4"/>
  <c r="T50" i="4"/>
  <c r="D51" i="4"/>
  <c r="D50" i="4" s="1"/>
  <c r="M51" i="4"/>
  <c r="M50" i="4" s="1"/>
  <c r="M47" i="4" s="1"/>
  <c r="F54" i="4"/>
  <c r="G54" i="4"/>
  <c r="H54" i="4"/>
  <c r="I54" i="4"/>
  <c r="K54" i="4"/>
  <c r="L54" i="4"/>
  <c r="O54" i="4"/>
  <c r="O53" i="4" s="1"/>
  <c r="P54" i="4"/>
  <c r="P53" i="4" s="1"/>
  <c r="Q54" i="4"/>
  <c r="Q53" i="4" s="1"/>
  <c r="R54" i="4"/>
  <c r="R53" i="4" s="1"/>
  <c r="S54" i="4"/>
  <c r="S53" i="4" s="1"/>
  <c r="T54" i="4"/>
  <c r="T53" i="4" s="1"/>
  <c r="M55" i="4"/>
  <c r="D55" i="4" s="1"/>
  <c r="E56" i="4"/>
  <c r="E17" i="4" s="1"/>
  <c r="E14" i="4" s="1"/>
  <c r="M56" i="4"/>
  <c r="D56" i="4" s="1"/>
  <c r="U56" i="4"/>
  <c r="J57" i="4"/>
  <c r="J12" i="4" s="1"/>
  <c r="M57" i="4"/>
  <c r="D57" i="4" s="1"/>
  <c r="U57" i="4"/>
  <c r="M58" i="4"/>
  <c r="N58" i="4"/>
  <c r="U58" i="4"/>
  <c r="U19" i="4" s="1"/>
  <c r="D59" i="4"/>
  <c r="F59" i="4"/>
  <c r="G59" i="4"/>
  <c r="H59" i="4"/>
  <c r="I59" i="4"/>
  <c r="J59" i="4"/>
  <c r="K59" i="4"/>
  <c r="L59" i="4"/>
  <c r="N59" i="4"/>
  <c r="E60" i="4"/>
  <c r="E59" i="4" s="1"/>
  <c r="U60" i="4"/>
  <c r="U59" i="4" s="1"/>
  <c r="E61" i="4"/>
  <c r="F61" i="4"/>
  <c r="G61" i="4"/>
  <c r="H61" i="4"/>
  <c r="I61" i="4"/>
  <c r="K61" i="4"/>
  <c r="L61" i="4"/>
  <c r="E62" i="4"/>
  <c r="F62" i="4"/>
  <c r="G62" i="4"/>
  <c r="H62" i="4"/>
  <c r="I62" i="4"/>
  <c r="K62" i="4"/>
  <c r="L62" i="4"/>
  <c r="P62" i="4"/>
  <c r="P61" i="4" s="1"/>
  <c r="Q62" i="4"/>
  <c r="Q61" i="4" s="1"/>
  <c r="R62" i="4"/>
  <c r="R61" i="4" s="1"/>
  <c r="S62" i="4"/>
  <c r="S61" i="4" s="1"/>
  <c r="T62" i="4"/>
  <c r="T61" i="4" s="1"/>
  <c r="J63" i="4"/>
  <c r="N63" i="4"/>
  <c r="O63" i="4"/>
  <c r="O61" i="4" s="1"/>
  <c r="M64" i="4"/>
  <c r="N64" i="4"/>
  <c r="N25" i="4" s="1"/>
  <c r="P67" i="4"/>
  <c r="P66" i="4" s="1"/>
  <c r="Q67" i="4"/>
  <c r="R67" i="4"/>
  <c r="R66" i="4" s="1"/>
  <c r="S67" i="4"/>
  <c r="T67" i="4"/>
  <c r="T66" i="4" s="1"/>
  <c r="N68" i="4"/>
  <c r="U68" i="4"/>
  <c r="N69" i="4"/>
  <c r="N18" i="4" s="1"/>
  <c r="O69" i="4"/>
  <c r="O67" i="4" s="1"/>
  <c r="P70" i="4"/>
  <c r="Q70" i="4"/>
  <c r="R70" i="4"/>
  <c r="S70" i="4"/>
  <c r="T70" i="4"/>
  <c r="N71" i="4"/>
  <c r="O71" i="4"/>
  <c r="P72" i="4"/>
  <c r="Q72" i="4"/>
  <c r="R72" i="4"/>
  <c r="S72" i="4"/>
  <c r="T72" i="4"/>
  <c r="P73" i="4"/>
  <c r="Q73" i="4"/>
  <c r="R73" i="4"/>
  <c r="S73" i="4"/>
  <c r="T73" i="4"/>
  <c r="N74" i="4"/>
  <c r="O74" i="4"/>
  <c r="P75" i="4"/>
  <c r="Q75" i="4"/>
  <c r="R75" i="4"/>
  <c r="S75" i="4"/>
  <c r="T75" i="4"/>
  <c r="N76" i="4"/>
  <c r="N75" i="4" s="1"/>
  <c r="O76" i="4"/>
  <c r="F78" i="4"/>
  <c r="G78" i="4"/>
  <c r="H78" i="4"/>
  <c r="E79" i="4"/>
  <c r="E78" i="4" s="1"/>
  <c r="I79" i="4"/>
  <c r="I78" i="4" s="1"/>
  <c r="J79" i="4"/>
  <c r="J78" i="4" s="1"/>
  <c r="K79" i="4"/>
  <c r="K78" i="4" s="1"/>
  <c r="L79" i="4"/>
  <c r="L78" i="4" s="1"/>
  <c r="M79" i="4"/>
  <c r="M78" i="4" s="1"/>
  <c r="N79" i="4"/>
  <c r="N78" i="4" s="1"/>
  <c r="O79" i="4"/>
  <c r="O78" i="4" s="1"/>
  <c r="P79" i="4"/>
  <c r="P78" i="4" s="1"/>
  <c r="Q79" i="4"/>
  <c r="Q78" i="4" s="1"/>
  <c r="R79" i="4"/>
  <c r="R78" i="4" s="1"/>
  <c r="S79" i="4"/>
  <c r="S78" i="4" s="1"/>
  <c r="T79" i="4"/>
  <c r="T78" i="4" s="1"/>
  <c r="D80" i="4"/>
  <c r="D81" i="4"/>
  <c r="U81" i="4"/>
  <c r="E84" i="4"/>
  <c r="E83" i="4" s="1"/>
  <c r="F84" i="4"/>
  <c r="F83" i="4" s="1"/>
  <c r="G84" i="4"/>
  <c r="G83" i="4" s="1"/>
  <c r="H84" i="4"/>
  <c r="H83" i="4" s="1"/>
  <c r="I84" i="4"/>
  <c r="I83" i="4" s="1"/>
  <c r="J84" i="4"/>
  <c r="J83" i="4" s="1"/>
  <c r="K84" i="4"/>
  <c r="K83" i="4" s="1"/>
  <c r="L84" i="4"/>
  <c r="L83" i="4" s="1"/>
  <c r="N84" i="4"/>
  <c r="N83" i="4" s="1"/>
  <c r="O84" i="4"/>
  <c r="O83" i="4" s="1"/>
  <c r="P84" i="4"/>
  <c r="P83" i="4" s="1"/>
  <c r="Q84" i="4"/>
  <c r="Q83" i="4" s="1"/>
  <c r="M85" i="4"/>
  <c r="D86" i="4"/>
  <c r="U86" i="4"/>
  <c r="U84" i="4" s="1"/>
  <c r="U83" i="4" s="1"/>
  <c r="E89" i="4"/>
  <c r="E88" i="4" s="1"/>
  <c r="F89" i="4"/>
  <c r="F88" i="4" s="1"/>
  <c r="G89" i="4"/>
  <c r="G88" i="4" s="1"/>
  <c r="H89" i="4"/>
  <c r="H88" i="4" s="1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9" i="4"/>
  <c r="O88" i="4" s="1"/>
  <c r="P89" i="4"/>
  <c r="P88" i="4" s="1"/>
  <c r="Q89" i="4"/>
  <c r="Q88" i="4" s="1"/>
  <c r="R89" i="4"/>
  <c r="R88" i="4" s="1"/>
  <c r="S89" i="4"/>
  <c r="S88" i="4" s="1"/>
  <c r="T89" i="4"/>
  <c r="T88" i="4" s="1"/>
  <c r="D90" i="4"/>
  <c r="D91" i="4"/>
  <c r="U91" i="4"/>
  <c r="U89" i="4" s="1"/>
  <c r="U88" i="4" s="1"/>
  <c r="E94" i="4"/>
  <c r="F94" i="4"/>
  <c r="G94" i="4"/>
  <c r="H94" i="4"/>
  <c r="I94" i="4"/>
  <c r="J94" i="4"/>
  <c r="K94" i="4"/>
  <c r="L94" i="4"/>
  <c r="P94" i="4"/>
  <c r="Q94" i="4"/>
  <c r="R94" i="4"/>
  <c r="S94" i="4"/>
  <c r="T94" i="4"/>
  <c r="M95" i="4"/>
  <c r="M94" i="4" s="1"/>
  <c r="N95" i="4"/>
  <c r="O95" i="4"/>
  <c r="O94" i="4" s="1"/>
  <c r="D96" i="4"/>
  <c r="U96" i="4"/>
  <c r="U94" i="4" s="1"/>
  <c r="U93" i="4" s="1"/>
  <c r="F97" i="4"/>
  <c r="G97" i="4"/>
  <c r="H97" i="4"/>
  <c r="H93" i="4" s="1"/>
  <c r="I97" i="4"/>
  <c r="J97" i="4"/>
  <c r="K97" i="4"/>
  <c r="L97" i="4"/>
  <c r="L93" i="4" s="1"/>
  <c r="N97" i="4"/>
  <c r="P97" i="4"/>
  <c r="P93" i="4" s="1"/>
  <c r="Q97" i="4"/>
  <c r="R97" i="4"/>
  <c r="S97" i="4"/>
  <c r="T97" i="4"/>
  <c r="T93" i="4" s="1"/>
  <c r="U97" i="4"/>
  <c r="E98" i="4"/>
  <c r="E97" i="4" s="1"/>
  <c r="M98" i="4"/>
  <c r="M97" i="4" s="1"/>
  <c r="N98" i="4"/>
  <c r="O98" i="4"/>
  <c r="O97" i="4" s="1"/>
  <c r="E99" i="4"/>
  <c r="F99" i="4"/>
  <c r="G99" i="4"/>
  <c r="H99" i="4"/>
  <c r="E100" i="4"/>
  <c r="F100" i="4"/>
  <c r="G100" i="4"/>
  <c r="H100" i="4"/>
  <c r="I100" i="4"/>
  <c r="I99" i="4" s="1"/>
  <c r="J100" i="4"/>
  <c r="J99" i="4" s="1"/>
  <c r="K100" i="4"/>
  <c r="K99" i="4" s="1"/>
  <c r="L100" i="4"/>
  <c r="L99" i="4" s="1"/>
  <c r="M100" i="4"/>
  <c r="M99" i="4" s="1"/>
  <c r="P100" i="4"/>
  <c r="P99" i="4" s="1"/>
  <c r="Q100" i="4"/>
  <c r="Q99" i="4" s="1"/>
  <c r="R100" i="4"/>
  <c r="R99" i="4" s="1"/>
  <c r="S100" i="4"/>
  <c r="S99" i="4" s="1"/>
  <c r="T100" i="4"/>
  <c r="T99" i="4" s="1"/>
  <c r="M101" i="4"/>
  <c r="N101" i="4"/>
  <c r="N100" i="4" s="1"/>
  <c r="N99" i="4" s="1"/>
  <c r="O101" i="4"/>
  <c r="O100" i="4" s="1"/>
  <c r="O99" i="4" s="1"/>
  <c r="E104" i="4"/>
  <c r="F104" i="4"/>
  <c r="G104" i="4"/>
  <c r="H104" i="4"/>
  <c r="I104" i="4"/>
  <c r="J104" i="4"/>
  <c r="K104" i="4"/>
  <c r="L104" i="4"/>
  <c r="M104" i="4"/>
  <c r="P104" i="4"/>
  <c r="P103" i="4" s="1"/>
  <c r="Q104" i="4"/>
  <c r="R104" i="4"/>
  <c r="R103" i="4" s="1"/>
  <c r="S104" i="4"/>
  <c r="T104" i="4"/>
  <c r="T103" i="4" s="1"/>
  <c r="N105" i="4"/>
  <c r="N104" i="4" s="1"/>
  <c r="O105" i="4"/>
  <c r="O104" i="4" s="1"/>
  <c r="O103" i="4" s="1"/>
  <c r="D106" i="4"/>
  <c r="U106" i="4"/>
  <c r="U104" i="4" s="1"/>
  <c r="U103" i="4" s="1"/>
  <c r="F107" i="4"/>
  <c r="G107" i="4"/>
  <c r="H107" i="4"/>
  <c r="I107" i="4"/>
  <c r="J107" i="4"/>
  <c r="K107" i="4"/>
  <c r="L107" i="4"/>
  <c r="M107" i="4"/>
  <c r="P107" i="4"/>
  <c r="Q107" i="4"/>
  <c r="R107" i="4"/>
  <c r="S107" i="4"/>
  <c r="T107" i="4"/>
  <c r="U107" i="4"/>
  <c r="E108" i="4"/>
  <c r="E107" i="4" s="1"/>
  <c r="N108" i="4"/>
  <c r="N107" i="4" s="1"/>
  <c r="O108" i="4"/>
  <c r="O107" i="4" s="1"/>
  <c r="E109" i="4"/>
  <c r="F109" i="4"/>
  <c r="G109" i="4"/>
  <c r="H109" i="4"/>
  <c r="I109" i="4"/>
  <c r="M109" i="4"/>
  <c r="S109" i="4"/>
  <c r="E110" i="4"/>
  <c r="F110" i="4"/>
  <c r="G110" i="4"/>
  <c r="H110" i="4"/>
  <c r="I110" i="4"/>
  <c r="J110" i="4"/>
  <c r="J109" i="4" s="1"/>
  <c r="K110" i="4"/>
  <c r="K109" i="4" s="1"/>
  <c r="L110" i="4"/>
  <c r="L109" i="4" s="1"/>
  <c r="M110" i="4"/>
  <c r="P110" i="4"/>
  <c r="P109" i="4" s="1"/>
  <c r="Q110" i="4"/>
  <c r="Q109" i="4" s="1"/>
  <c r="R110" i="4"/>
  <c r="R109" i="4" s="1"/>
  <c r="S110" i="4"/>
  <c r="T110" i="4"/>
  <c r="T109" i="4" s="1"/>
  <c r="N111" i="4"/>
  <c r="O111" i="4"/>
  <c r="O110" i="4" s="1"/>
  <c r="O109" i="4" s="1"/>
  <c r="E114" i="4"/>
  <c r="E113" i="4" s="1"/>
  <c r="F114" i="4"/>
  <c r="F113" i="4" s="1"/>
  <c r="G114" i="4"/>
  <c r="G113" i="4" s="1"/>
  <c r="H114" i="4"/>
  <c r="H113" i="4" s="1"/>
  <c r="I114" i="4"/>
  <c r="I113" i="4" s="1"/>
  <c r="J114" i="4"/>
  <c r="J113" i="4" s="1"/>
  <c r="K114" i="4"/>
  <c r="K113" i="4" s="1"/>
  <c r="L114" i="4"/>
  <c r="L113" i="4" s="1"/>
  <c r="M114" i="4"/>
  <c r="M113" i="4" s="1"/>
  <c r="N114" i="4"/>
  <c r="N113" i="4" s="1"/>
  <c r="O114" i="4"/>
  <c r="O113" i="4" s="1"/>
  <c r="P114" i="4"/>
  <c r="P113" i="4" s="1"/>
  <c r="T114" i="4"/>
  <c r="T113" i="4" s="1"/>
  <c r="P116" i="4"/>
  <c r="Q116" i="4"/>
  <c r="R116" i="4"/>
  <c r="R114" i="4" s="1"/>
  <c r="R113" i="4" s="1"/>
  <c r="S116" i="4"/>
  <c r="T116" i="4"/>
  <c r="U116" i="4"/>
  <c r="U114" i="4" s="1"/>
  <c r="U113" i="4" s="1"/>
  <c r="E119" i="4"/>
  <c r="E118" i="4" s="1"/>
  <c r="F119" i="4"/>
  <c r="F118" i="4" s="1"/>
  <c r="G119" i="4"/>
  <c r="G118" i="4" s="1"/>
  <c r="H119" i="4"/>
  <c r="H118" i="4" s="1"/>
  <c r="I119" i="4"/>
  <c r="I118" i="4" s="1"/>
  <c r="J119" i="4"/>
  <c r="J118" i="4" s="1"/>
  <c r="K119" i="4"/>
  <c r="K118" i="4" s="1"/>
  <c r="L119" i="4"/>
  <c r="L118" i="4" s="1"/>
  <c r="M119" i="4"/>
  <c r="M118" i="4" s="1"/>
  <c r="N119" i="4"/>
  <c r="N118" i="4" s="1"/>
  <c r="O119" i="4"/>
  <c r="O118" i="4" s="1"/>
  <c r="P119" i="4"/>
  <c r="P118" i="4" s="1"/>
  <c r="Q119" i="4"/>
  <c r="Q118" i="4" s="1"/>
  <c r="R119" i="4"/>
  <c r="R118" i="4" s="1"/>
  <c r="S119" i="4"/>
  <c r="S118" i="4" s="1"/>
  <c r="T119" i="4"/>
  <c r="T118" i="4" s="1"/>
  <c r="D120" i="4"/>
  <c r="D119" i="4" s="1"/>
  <c r="D118" i="4" s="1"/>
  <c r="D121" i="4"/>
  <c r="U121" i="4"/>
  <c r="U119" i="4" s="1"/>
  <c r="U118" i="4" s="1"/>
  <c r="W486" i="2"/>
  <c r="X12" i="2"/>
  <c r="M103" i="4" l="1"/>
  <c r="K103" i="4"/>
  <c r="I103" i="4"/>
  <c r="G103" i="4"/>
  <c r="S93" i="4"/>
  <c r="Q93" i="4"/>
  <c r="J93" i="4"/>
  <c r="F93" i="4"/>
  <c r="S66" i="4"/>
  <c r="Q66" i="4"/>
  <c r="U54" i="4"/>
  <c r="K53" i="4"/>
  <c r="I53" i="4"/>
  <c r="G53" i="4"/>
  <c r="S47" i="4"/>
  <c r="Q47" i="4"/>
  <c r="O47" i="4"/>
  <c r="S40" i="4"/>
  <c r="Q40" i="4"/>
  <c r="O40" i="4"/>
  <c r="I40" i="4"/>
  <c r="G40" i="4"/>
  <c r="K22" i="4"/>
  <c r="G22" i="4"/>
  <c r="L10" i="4"/>
  <c r="H10" i="4"/>
  <c r="F10" i="4"/>
  <c r="D111" i="4"/>
  <c r="S103" i="4"/>
  <c r="Q103" i="4"/>
  <c r="L103" i="4"/>
  <c r="J103" i="4"/>
  <c r="H103" i="4"/>
  <c r="F103" i="4"/>
  <c r="R93" i="4"/>
  <c r="K93" i="4"/>
  <c r="I93" i="4"/>
  <c r="G93" i="4"/>
  <c r="D79" i="4"/>
  <c r="D78" i="4" s="1"/>
  <c r="D74" i="4"/>
  <c r="M54" i="4"/>
  <c r="M53" i="4" s="1"/>
  <c r="L53" i="4"/>
  <c r="J54" i="4"/>
  <c r="J53" i="4" s="1"/>
  <c r="H53" i="4"/>
  <c r="F53" i="4"/>
  <c r="T47" i="4"/>
  <c r="R47" i="4"/>
  <c r="P47" i="4"/>
  <c r="N47" i="4"/>
  <c r="M45" i="4"/>
  <c r="T40" i="4"/>
  <c r="R40" i="4"/>
  <c r="P40" i="4"/>
  <c r="N40" i="4"/>
  <c r="J40" i="4"/>
  <c r="H40" i="4"/>
  <c r="F40" i="4"/>
  <c r="S22" i="4"/>
  <c r="Q22" i="4"/>
  <c r="T23" i="4"/>
  <c r="R23" i="4"/>
  <c r="P23" i="4"/>
  <c r="H23" i="4"/>
  <c r="F23" i="4"/>
  <c r="K14" i="4"/>
  <c r="K13" i="4" s="1"/>
  <c r="G14" i="4"/>
  <c r="G13" i="4" s="1"/>
  <c r="M11" i="4"/>
  <c r="I10" i="4"/>
  <c r="G10" i="4"/>
  <c r="E103" i="4"/>
  <c r="D109" i="4"/>
  <c r="D110" i="4"/>
  <c r="N103" i="4"/>
  <c r="S15" i="4"/>
  <c r="S14" i="4" s="1"/>
  <c r="S13" i="4" s="1"/>
  <c r="S11" i="4"/>
  <c r="S10" i="4" s="1"/>
  <c r="Q11" i="4"/>
  <c r="Q10" i="4" s="1"/>
  <c r="Q15" i="4"/>
  <c r="Q14" i="4" s="1"/>
  <c r="Q13" i="4" s="1"/>
  <c r="D116" i="4"/>
  <c r="D114" i="4" s="1"/>
  <c r="D113" i="4" s="1"/>
  <c r="N110" i="4"/>
  <c r="N109" i="4" s="1"/>
  <c r="D105" i="4"/>
  <c r="D104" i="4" s="1"/>
  <c r="D101" i="4"/>
  <c r="N16" i="4"/>
  <c r="D95" i="4"/>
  <c r="D94" i="4" s="1"/>
  <c r="N94" i="4"/>
  <c r="N93" i="4" s="1"/>
  <c r="E93" i="4"/>
  <c r="M84" i="4"/>
  <c r="M83" i="4" s="1"/>
  <c r="D85" i="4"/>
  <c r="D84" i="4" s="1"/>
  <c r="D83" i="4" s="1"/>
  <c r="U11" i="4"/>
  <c r="U79" i="4"/>
  <c r="U78" i="4" s="1"/>
  <c r="U15" i="4"/>
  <c r="N73" i="4"/>
  <c r="N72" i="4"/>
  <c r="D64" i="4"/>
  <c r="D25" i="4" s="1"/>
  <c r="N24" i="4"/>
  <c r="N23" i="4" s="1"/>
  <c r="N61" i="4"/>
  <c r="U53" i="4"/>
  <c r="M16" i="4"/>
  <c r="E40" i="4"/>
  <c r="T11" i="4"/>
  <c r="T10" i="4" s="1"/>
  <c r="T15" i="4"/>
  <c r="T14" i="4" s="1"/>
  <c r="T13" i="4" s="1"/>
  <c r="R11" i="4"/>
  <c r="R10" i="4" s="1"/>
  <c r="R15" i="4"/>
  <c r="R14" i="4" s="1"/>
  <c r="R13" i="4" s="1"/>
  <c r="P11" i="4"/>
  <c r="P10" i="4" s="1"/>
  <c r="P15" i="4"/>
  <c r="P14" i="4" s="1"/>
  <c r="P13" i="4" s="1"/>
  <c r="S114" i="4"/>
  <c r="S113" i="4" s="1"/>
  <c r="Q114" i="4"/>
  <c r="Q113" i="4" s="1"/>
  <c r="D108" i="4"/>
  <c r="D107" i="4" s="1"/>
  <c r="D98" i="4"/>
  <c r="D97" i="4" s="1"/>
  <c r="O93" i="4"/>
  <c r="M93" i="4"/>
  <c r="D89" i="4"/>
  <c r="D88" i="4" s="1"/>
  <c r="O27" i="4"/>
  <c r="O26" i="4" s="1"/>
  <c r="D76" i="4"/>
  <c r="D75" i="4" s="1"/>
  <c r="O75" i="4"/>
  <c r="O72" i="4"/>
  <c r="O21" i="4"/>
  <c r="O20" i="4" s="1"/>
  <c r="D71" i="4"/>
  <c r="D70" i="4" s="1"/>
  <c r="O70" i="4"/>
  <c r="O66" i="4" s="1"/>
  <c r="O18" i="4"/>
  <c r="U69" i="4"/>
  <c r="U67" i="4" s="1"/>
  <c r="U66" i="4" s="1"/>
  <c r="O12" i="4"/>
  <c r="D69" i="4"/>
  <c r="D18" i="4" s="1"/>
  <c r="N17" i="4"/>
  <c r="N67" i="4"/>
  <c r="D68" i="4"/>
  <c r="J61" i="4"/>
  <c r="M63" i="4"/>
  <c r="J24" i="4"/>
  <c r="J23" i="4" s="1"/>
  <c r="J22" i="4" s="1"/>
  <c r="J62" i="4"/>
  <c r="N62" i="4"/>
  <c r="D21" i="4"/>
  <c r="D20" i="4" s="1"/>
  <c r="D45" i="4"/>
  <c r="T22" i="4"/>
  <c r="R22" i="4"/>
  <c r="P22" i="4"/>
  <c r="H22" i="4"/>
  <c r="F22" i="4"/>
  <c r="O10" i="4"/>
  <c r="N12" i="4"/>
  <c r="D58" i="4"/>
  <c r="D19" i="4" s="1"/>
  <c r="N54" i="4"/>
  <c r="N53" i="4" s="1"/>
  <c r="U17" i="4"/>
  <c r="U41" i="4"/>
  <c r="U40" i="4" s="1"/>
  <c r="K41" i="4"/>
  <c r="K40" i="4" s="1"/>
  <c r="N27" i="4"/>
  <c r="N26" i="4" s="1"/>
  <c r="D27" i="4"/>
  <c r="D26" i="4" s="1"/>
  <c r="L26" i="4"/>
  <c r="L23" i="4"/>
  <c r="L22" i="4" s="1"/>
  <c r="M24" i="4"/>
  <c r="M23" i="4" s="1"/>
  <c r="M22" i="4" s="1"/>
  <c r="E21" i="4"/>
  <c r="N19" i="4"/>
  <c r="J18" i="4"/>
  <c r="M18" i="4" s="1"/>
  <c r="M17" i="4"/>
  <c r="O16" i="4"/>
  <c r="O14" i="4" s="1"/>
  <c r="O13" i="4" s="1"/>
  <c r="N14" i="4"/>
  <c r="L14" i="4"/>
  <c r="L13" i="4" s="1"/>
  <c r="H14" i="4"/>
  <c r="H13" i="4" s="1"/>
  <c r="F14" i="4"/>
  <c r="F13" i="4" s="1"/>
  <c r="U12" i="4"/>
  <c r="E12" i="4"/>
  <c r="E10" i="4" s="1"/>
  <c r="D11" i="4"/>
  <c r="D15" i="4"/>
  <c r="O73" i="4"/>
  <c r="N21" i="4"/>
  <c r="N20" i="4" s="1"/>
  <c r="N70" i="4"/>
  <c r="O24" i="4"/>
  <c r="O23" i="4" s="1"/>
  <c r="O22" i="4" s="1"/>
  <c r="O62" i="4"/>
  <c r="U18" i="4"/>
  <c r="E54" i="4"/>
  <c r="E53" i="4" s="1"/>
  <c r="D49" i="4"/>
  <c r="D48" i="4" s="1"/>
  <c r="D47" i="4" s="1"/>
  <c r="M43" i="4"/>
  <c r="D43" i="4" s="1"/>
  <c r="D42" i="4"/>
  <c r="K12" i="4"/>
  <c r="M12" i="4" s="1"/>
  <c r="M10" i="4" s="1"/>
  <c r="N10" i="4"/>
  <c r="J10" i="4"/>
  <c r="R151" i="1"/>
  <c r="J14" i="4" l="1"/>
  <c r="J13" i="4" s="1"/>
  <c r="D16" i="4"/>
  <c r="D41" i="4"/>
  <c r="D40" i="4" s="1"/>
  <c r="N13" i="4"/>
  <c r="E20" i="4"/>
  <c r="E13" i="4" s="1"/>
  <c r="M21" i="4"/>
  <c r="M20" i="4" s="1"/>
  <c r="K10" i="4"/>
  <c r="M62" i="4"/>
  <c r="D63" i="4"/>
  <c r="M61" i="4"/>
  <c r="D67" i="4"/>
  <c r="D66" i="4" s="1"/>
  <c r="M14" i="4"/>
  <c r="M13" i="4" s="1"/>
  <c r="N22" i="4"/>
  <c r="D72" i="4"/>
  <c r="D93" i="4"/>
  <c r="D99" i="4"/>
  <c r="D100" i="4"/>
  <c r="D12" i="4"/>
  <c r="D17" i="4"/>
  <c r="D14" i="4" s="1"/>
  <c r="D13" i="4" s="1"/>
  <c r="D10" i="4"/>
  <c r="M41" i="4"/>
  <c r="M40" i="4" s="1"/>
  <c r="N66" i="4"/>
  <c r="D54" i="4"/>
  <c r="D53" i="4" s="1"/>
  <c r="D73" i="4"/>
  <c r="U14" i="4"/>
  <c r="U13" i="4" s="1"/>
  <c r="U10" i="4"/>
  <c r="D103" i="4"/>
  <c r="D61" i="4" l="1"/>
  <c r="D24" i="4"/>
  <c r="D23" i="4" s="1"/>
  <c r="D22" i="4" s="1"/>
  <c r="D62" i="4"/>
  <c r="O89" i="7"/>
  <c r="O87" i="7"/>
  <c r="O84" i="7"/>
  <c r="O82" i="7"/>
  <c r="L367" i="2" l="1"/>
  <c r="L376" i="2"/>
  <c r="L63" i="9" l="1"/>
  <c r="W21" i="3"/>
  <c r="U95" i="9" l="1"/>
  <c r="U94" i="9" s="1"/>
  <c r="O100" i="9" l="1"/>
  <c r="O97" i="9"/>
  <c r="M94" i="9"/>
  <c r="N94" i="9"/>
  <c r="O94" i="9"/>
  <c r="D95" i="9"/>
  <c r="D94" i="9" s="1"/>
  <c r="M114" i="9"/>
  <c r="D114" i="9" s="1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U111" i="9"/>
  <c r="U110" i="9" s="1"/>
  <c r="U109" i="9" s="1"/>
  <c r="D111" i="9"/>
  <c r="O110" i="9"/>
  <c r="O109" i="9" s="1"/>
  <c r="N110" i="9"/>
  <c r="N109" i="9" s="1"/>
  <c r="M110" i="9"/>
  <c r="M109" i="9" s="1"/>
  <c r="L110" i="9"/>
  <c r="K110" i="9"/>
  <c r="J110" i="9"/>
  <c r="I110" i="9"/>
  <c r="H110" i="9"/>
  <c r="G110" i="9"/>
  <c r="F110" i="9"/>
  <c r="F109" i="9" s="1"/>
  <c r="E110" i="9"/>
  <c r="D110" i="9"/>
  <c r="D109" i="9" s="1"/>
  <c r="T109" i="9"/>
  <c r="S109" i="9"/>
  <c r="R109" i="9"/>
  <c r="Q109" i="9"/>
  <c r="P109" i="9"/>
  <c r="L109" i="9"/>
  <c r="K109" i="9"/>
  <c r="J109" i="9"/>
  <c r="I109" i="9"/>
  <c r="H109" i="9"/>
  <c r="G109" i="9"/>
  <c r="E109" i="9"/>
  <c r="D112" i="9" l="1"/>
  <c r="D113" i="9"/>
  <c r="D88" i="9"/>
  <c r="D87" i="9" s="1"/>
  <c r="D86" i="9" s="1"/>
  <c r="O87" i="9"/>
  <c r="M91" i="9"/>
  <c r="D91" i="9" s="1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T89" i="9"/>
  <c r="S89" i="9"/>
  <c r="R89" i="9"/>
  <c r="Q89" i="9"/>
  <c r="P89" i="9"/>
  <c r="O89" i="9"/>
  <c r="N89" i="9"/>
  <c r="M89" i="9"/>
  <c r="L89" i="9"/>
  <c r="K89" i="9"/>
  <c r="J89" i="9"/>
  <c r="I89" i="9"/>
  <c r="D89" i="9" s="1"/>
  <c r="H89" i="9"/>
  <c r="G89" i="9"/>
  <c r="F89" i="9"/>
  <c r="E89" i="9"/>
  <c r="U88" i="9"/>
  <c r="U87" i="9"/>
  <c r="U86" i="9" s="1"/>
  <c r="N87" i="9"/>
  <c r="M87" i="9"/>
  <c r="L87" i="9"/>
  <c r="K87" i="9"/>
  <c r="J87" i="9"/>
  <c r="I87" i="9"/>
  <c r="H87" i="9"/>
  <c r="G87" i="9"/>
  <c r="F87" i="9"/>
  <c r="E87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O84" i="9"/>
  <c r="O81" i="9"/>
  <c r="O80" i="9" s="1"/>
  <c r="D90" i="9" l="1"/>
  <c r="P79" i="6"/>
  <c r="O79" i="6"/>
  <c r="L79" i="6"/>
  <c r="O75" i="6"/>
  <c r="O74" i="6"/>
  <c r="E491" i="2" l="1"/>
  <c r="F491" i="2"/>
  <c r="G491" i="2"/>
  <c r="H491" i="2"/>
  <c r="I491" i="2"/>
  <c r="E499" i="2"/>
  <c r="F499" i="2"/>
  <c r="G499" i="2"/>
  <c r="H499" i="2"/>
  <c r="I499" i="2"/>
  <c r="J499" i="2"/>
  <c r="P423" i="2" l="1"/>
  <c r="P479" i="2"/>
  <c r="T31" i="8" l="1"/>
  <c r="S31" i="8"/>
  <c r="T25" i="8"/>
  <c r="S25" i="8"/>
  <c r="N25" i="8"/>
  <c r="T22" i="8"/>
  <c r="T20" i="8"/>
  <c r="S20" i="8"/>
  <c r="T15" i="8"/>
  <c r="S15" i="8"/>
  <c r="N15" i="8"/>
  <c r="O483" i="2" l="1"/>
  <c r="O479" i="2"/>
  <c r="F323" i="2" l="1"/>
  <c r="G323" i="2"/>
  <c r="H323" i="2"/>
  <c r="I323" i="2"/>
  <c r="J323" i="2"/>
  <c r="K323" i="2"/>
  <c r="N323" i="2"/>
  <c r="O323" i="2"/>
  <c r="P323" i="2"/>
  <c r="Q323" i="2"/>
  <c r="R323" i="2"/>
  <c r="S323" i="2"/>
  <c r="T323" i="2"/>
  <c r="F320" i="2"/>
  <c r="G320" i="2"/>
  <c r="H320" i="2"/>
  <c r="K320" i="2"/>
  <c r="L320" i="2"/>
  <c r="N320" i="2"/>
  <c r="O320" i="2"/>
  <c r="P320" i="2"/>
  <c r="Q320" i="2"/>
  <c r="R320" i="2"/>
  <c r="S320" i="2"/>
  <c r="T320" i="2"/>
  <c r="F318" i="2"/>
  <c r="G318" i="2"/>
  <c r="H318" i="2"/>
  <c r="P318" i="2"/>
  <c r="Q318" i="2"/>
  <c r="R318" i="2"/>
  <c r="S318" i="2"/>
  <c r="T318" i="2"/>
  <c r="R423" i="2"/>
  <c r="Q423" i="2"/>
  <c r="O362" i="2"/>
  <c r="N362" i="2"/>
  <c r="P373" i="2"/>
  <c r="J372" i="2"/>
  <c r="I372" i="2"/>
  <c r="O375" i="2"/>
  <c r="O373" i="2" s="1"/>
  <c r="O366" i="2"/>
  <c r="N366" i="2"/>
  <c r="L366" i="2"/>
  <c r="M366" i="2" s="1"/>
  <c r="O364" i="2"/>
  <c r="N364" i="2"/>
  <c r="L364" i="2"/>
  <c r="O484" i="2"/>
  <c r="O480" i="2"/>
  <c r="O475" i="2"/>
  <c r="O120" i="2"/>
  <c r="O118" i="2"/>
  <c r="O115" i="2"/>
  <c r="O113" i="2"/>
  <c r="O203" i="2"/>
  <c r="L200" i="2"/>
  <c r="N269" i="2"/>
  <c r="L269" i="2"/>
  <c r="N215" i="2"/>
  <c r="N210" i="2"/>
  <c r="O207" i="2"/>
  <c r="N207" i="2"/>
  <c r="O228" i="2"/>
  <c r="O221" i="2"/>
  <c r="O219" i="2"/>
  <c r="O187" i="2"/>
  <c r="O175" i="2"/>
  <c r="O150" i="2"/>
  <c r="Q341" i="2"/>
  <c r="Q340" i="2" s="1"/>
  <c r="E342" i="2" l="1"/>
  <c r="E341" i="2" s="1"/>
  <c r="E340" i="2" s="1"/>
  <c r="P341" i="2"/>
  <c r="O341" i="2"/>
  <c r="O340" i="2" s="1"/>
  <c r="N341" i="2"/>
  <c r="N340" i="2" s="1"/>
  <c r="L341" i="2"/>
  <c r="L340" i="2" s="1"/>
  <c r="K341" i="2"/>
  <c r="K340" i="2" s="1"/>
  <c r="J341" i="2"/>
  <c r="J340" i="2" s="1"/>
  <c r="I341" i="2"/>
  <c r="I340" i="2" s="1"/>
  <c r="H341" i="2"/>
  <c r="H340" i="2" s="1"/>
  <c r="G341" i="2"/>
  <c r="G340" i="2" s="1"/>
  <c r="F341" i="2"/>
  <c r="F340" i="2" s="1"/>
  <c r="P340" i="2"/>
  <c r="U339" i="2"/>
  <c r="U338" i="2" s="1"/>
  <c r="E339" i="2"/>
  <c r="M339" i="2" s="1"/>
  <c r="P338" i="2"/>
  <c r="O338" i="2"/>
  <c r="N338" i="2"/>
  <c r="L338" i="2"/>
  <c r="K338" i="2"/>
  <c r="J338" i="2"/>
  <c r="I338" i="2"/>
  <c r="H338" i="2"/>
  <c r="G338" i="2"/>
  <c r="F338" i="2"/>
  <c r="U337" i="2"/>
  <c r="U336" i="2" s="1"/>
  <c r="N337" i="2"/>
  <c r="N336" i="2" s="1"/>
  <c r="N335" i="2" s="1"/>
  <c r="L337" i="2"/>
  <c r="L336" i="2" s="1"/>
  <c r="L335" i="2" s="1"/>
  <c r="E337" i="2"/>
  <c r="P336" i="2"/>
  <c r="O336" i="2"/>
  <c r="K336" i="2"/>
  <c r="K335" i="2" s="1"/>
  <c r="J336" i="2"/>
  <c r="I336" i="2"/>
  <c r="I335" i="2" s="1"/>
  <c r="H336" i="2"/>
  <c r="G336" i="2"/>
  <c r="G335" i="2" s="1"/>
  <c r="F336" i="2"/>
  <c r="E336" i="2"/>
  <c r="H335" i="2"/>
  <c r="F335" i="2" l="1"/>
  <c r="E338" i="2"/>
  <c r="E335" i="2" s="1"/>
  <c r="P335" i="2"/>
  <c r="U335" i="2"/>
  <c r="O335" i="2"/>
  <c r="M337" i="2"/>
  <c r="D337" i="2" s="1"/>
  <c r="D336" i="2" s="1"/>
  <c r="J335" i="2"/>
  <c r="M336" i="2"/>
  <c r="M338" i="2"/>
  <c r="D339" i="2"/>
  <c r="D338" i="2" s="1"/>
  <c r="D342" i="2"/>
  <c r="D341" i="2" s="1"/>
  <c r="D340" i="2" s="1"/>
  <c r="M341" i="2"/>
  <c r="M340" i="2" s="1"/>
  <c r="T16" i="8"/>
  <c r="T26" i="8"/>
  <c r="T32" i="8"/>
  <c r="S32" i="8"/>
  <c r="R32" i="8"/>
  <c r="Q32" i="8"/>
  <c r="P32" i="8"/>
  <c r="S26" i="8"/>
  <c r="R26" i="8"/>
  <c r="Q26" i="8"/>
  <c r="P26" i="8"/>
  <c r="T21" i="8"/>
  <c r="S21" i="8"/>
  <c r="R21" i="8"/>
  <c r="Q21" i="8"/>
  <c r="P21" i="8"/>
  <c r="S16" i="8"/>
  <c r="R16" i="8"/>
  <c r="Q16" i="8"/>
  <c r="P16" i="8"/>
  <c r="D335" i="2" l="1"/>
  <c r="M335" i="2"/>
  <c r="O439" i="2"/>
  <c r="P417" i="2"/>
  <c r="Q417" i="2"/>
  <c r="R417" i="2"/>
  <c r="S417" i="2"/>
  <c r="T417" i="2"/>
  <c r="O417" i="2"/>
  <c r="D504" i="2"/>
  <c r="D503" i="2" s="1"/>
  <c r="D502" i="2" s="1"/>
  <c r="O503" i="2"/>
  <c r="O502" i="2" s="1"/>
  <c r="D496" i="2"/>
  <c r="D495" i="2" s="1"/>
  <c r="D494" i="2" s="1"/>
  <c r="O495" i="2"/>
  <c r="O494" i="2" s="1"/>
  <c r="O411" i="2"/>
  <c r="U411" i="2" s="1"/>
  <c r="U501" i="2"/>
  <c r="D501" i="2"/>
  <c r="O500" i="2"/>
  <c r="O499" i="2" s="1"/>
  <c r="D411" i="2" l="1"/>
  <c r="D417" i="2"/>
  <c r="U413" i="2"/>
  <c r="U493" i="2"/>
  <c r="D493" i="2"/>
  <c r="O492" i="2"/>
  <c r="O491" i="2" s="1"/>
  <c r="O327" i="2"/>
  <c r="O318" i="2" s="1"/>
  <c r="N443" i="2" l="1"/>
  <c r="M97" i="9" l="1"/>
  <c r="N60" i="9"/>
  <c r="D58" i="9"/>
  <c r="D57" i="9" s="1"/>
  <c r="M57" i="9"/>
  <c r="N57" i="9"/>
  <c r="O57" i="9"/>
  <c r="O63" i="9"/>
  <c r="O60" i="9"/>
  <c r="N79" i="6" l="1"/>
  <c r="N73" i="6"/>
  <c r="N74" i="6"/>
  <c r="N75" i="6"/>
  <c r="O76" i="6"/>
  <c r="O73" i="6"/>
  <c r="O89" i="6" l="1"/>
  <c r="N89" i="6"/>
  <c r="L89" i="6"/>
  <c r="O85" i="6"/>
  <c r="N86" i="6"/>
  <c r="N85" i="6"/>
  <c r="O77" i="9" l="1"/>
  <c r="N77" i="9"/>
  <c r="O74" i="9"/>
  <c r="N74" i="9"/>
  <c r="O108" i="8" l="1"/>
  <c r="U309" i="2" l="1"/>
  <c r="U308" i="2" s="1"/>
  <c r="Q308" i="2"/>
  <c r="M313" i="2"/>
  <c r="M311" i="2"/>
  <c r="M308" i="2"/>
  <c r="M306" i="2"/>
  <c r="M305" i="2" s="1"/>
  <c r="Q313" i="2"/>
  <c r="D314" i="2"/>
  <c r="D309" i="2"/>
  <c r="Q305" i="2"/>
  <c r="O249" i="2"/>
  <c r="O246" i="2"/>
  <c r="P244" i="2"/>
  <c r="N306" i="2"/>
  <c r="D306" i="2" s="1"/>
  <c r="U306" i="2"/>
  <c r="U305" i="2" s="1"/>
  <c r="Q310" i="2" l="1"/>
  <c r="M304" i="2"/>
  <c r="M310" i="2"/>
  <c r="U304" i="2"/>
  <c r="Q304" i="2"/>
  <c r="P165" i="8"/>
  <c r="P162" i="8"/>
  <c r="P159" i="8"/>
  <c r="P157" i="8"/>
  <c r="P156" i="8"/>
  <c r="O156" i="8"/>
  <c r="S141" i="8"/>
  <c r="S144" i="8"/>
  <c r="S147" i="8"/>
  <c r="S150" i="8"/>
  <c r="R151" i="8"/>
  <c r="R31" i="8" s="1"/>
  <c r="Q151" i="8"/>
  <c r="Q31" i="8" s="1"/>
  <c r="P151" i="8"/>
  <c r="R148" i="8"/>
  <c r="R25" i="8" s="1"/>
  <c r="Q148" i="8"/>
  <c r="Q25" i="8" s="1"/>
  <c r="P148" i="8"/>
  <c r="P25" i="8" s="1"/>
  <c r="R145" i="8"/>
  <c r="R20" i="8" s="1"/>
  <c r="Q145" i="8"/>
  <c r="Q20" i="8" s="1"/>
  <c r="P145" i="8"/>
  <c r="R143" i="8"/>
  <c r="R15" i="8" s="1"/>
  <c r="Q143" i="8"/>
  <c r="Q15" i="8" s="1"/>
  <c r="P143" i="8"/>
  <c r="P15" i="8" s="1"/>
  <c r="O142" i="8"/>
  <c r="R142" i="8"/>
  <c r="Q142" i="8"/>
  <c r="P142" i="8"/>
  <c r="S146" i="8" l="1"/>
  <c r="S140" i="8"/>
  <c r="P20" i="8"/>
  <c r="P31" i="8"/>
  <c r="O112" i="2"/>
  <c r="N112" i="2"/>
  <c r="L112" i="2"/>
  <c r="Q301" i="2"/>
  <c r="U297" i="2"/>
  <c r="U296" i="2" s="1"/>
  <c r="U294" i="2"/>
  <c r="U293" i="2" s="1"/>
  <c r="Q296" i="2"/>
  <c r="M301" i="2"/>
  <c r="M299" i="2"/>
  <c r="M296" i="2"/>
  <c r="M293" i="2"/>
  <c r="Q293" i="2"/>
  <c r="D302" i="2"/>
  <c r="D300" i="2"/>
  <c r="D297" i="2"/>
  <c r="D295" i="2"/>
  <c r="D294" i="2"/>
  <c r="U278" i="2"/>
  <c r="U277" i="2" s="1"/>
  <c r="U283" i="2"/>
  <c r="U282" i="2"/>
  <c r="Q281" i="2"/>
  <c r="M284" i="2"/>
  <c r="Q285" i="2"/>
  <c r="Q288" i="2"/>
  <c r="D289" i="2"/>
  <c r="D290" i="2"/>
  <c r="D286" i="2"/>
  <c r="D283" i="2"/>
  <c r="D280" i="2"/>
  <c r="D278" i="2"/>
  <c r="F277" i="2"/>
  <c r="G277" i="2"/>
  <c r="J277" i="2"/>
  <c r="K277" i="2"/>
  <c r="L277" i="2"/>
  <c r="M277" i="2"/>
  <c r="M276" i="2" s="1"/>
  <c r="N277" i="2"/>
  <c r="O277" i="2"/>
  <c r="P277" i="2"/>
  <c r="Q277" i="2"/>
  <c r="Q273" i="2"/>
  <c r="Q272" i="2" s="1"/>
  <c r="U269" i="2"/>
  <c r="Q298" i="2" l="1"/>
  <c r="Q276" i="2"/>
  <c r="Q284" i="2"/>
  <c r="U281" i="2"/>
  <c r="U276" i="2" s="1"/>
  <c r="Q292" i="2"/>
  <c r="U292" i="2"/>
  <c r="M292" i="2"/>
  <c r="M298" i="2"/>
  <c r="D69" i="5" l="1"/>
  <c r="O62" i="5"/>
  <c r="N62" i="5"/>
  <c r="M62" i="5"/>
  <c r="D62" i="5"/>
  <c r="D67" i="5"/>
  <c r="D63" i="5"/>
  <c r="D61" i="5"/>
  <c r="D59" i="5"/>
  <c r="D68" i="5"/>
  <c r="N68" i="5"/>
  <c r="M68" i="5"/>
  <c r="R17" i="8" l="1"/>
  <c r="S17" i="8"/>
  <c r="T17" i="8"/>
  <c r="S14" i="8"/>
  <c r="T14" i="8"/>
  <c r="O138" i="8" l="1"/>
  <c r="O135" i="8"/>
  <c r="N135" i="8"/>
  <c r="N97" i="9" l="1"/>
  <c r="F410" i="2" l="1"/>
  <c r="G410" i="2"/>
  <c r="H410" i="2"/>
  <c r="S410" i="2"/>
  <c r="T410" i="2"/>
  <c r="U471" i="2"/>
  <c r="U470" i="2" s="1"/>
  <c r="U469" i="2" s="1"/>
  <c r="L471" i="2"/>
  <c r="K471" i="2"/>
  <c r="J471" i="2"/>
  <c r="R470" i="2"/>
  <c r="Q470" i="2"/>
  <c r="Q469" i="2" s="1"/>
  <c r="P470" i="2"/>
  <c r="P469" i="2" s="1"/>
  <c r="O470" i="2"/>
  <c r="O469" i="2" s="1"/>
  <c r="N470" i="2"/>
  <c r="N469" i="2" s="1"/>
  <c r="L470" i="2"/>
  <c r="K470" i="2"/>
  <c r="K469" i="2" s="1"/>
  <c r="J470" i="2"/>
  <c r="J469" i="2" s="1"/>
  <c r="R469" i="2"/>
  <c r="L469" i="2"/>
  <c r="N508" i="2"/>
  <c r="N500" i="2"/>
  <c r="N499" i="2" s="1"/>
  <c r="Q492" i="2"/>
  <c r="Q491" i="2" s="1"/>
  <c r="P492" i="2"/>
  <c r="P491" i="2" s="1"/>
  <c r="N492" i="2"/>
  <c r="N491" i="2" s="1"/>
  <c r="N463" i="2"/>
  <c r="O459" i="2"/>
  <c r="N459" i="2"/>
  <c r="N455" i="2"/>
  <c r="N452" i="2"/>
  <c r="N451" i="2"/>
  <c r="P439" i="2"/>
  <c r="N439" i="2"/>
  <c r="M470" i="2" l="1"/>
  <c r="M469" i="2" s="1"/>
  <c r="D471" i="2"/>
  <c r="D470" i="2" l="1"/>
  <c r="D469" i="2" s="1"/>
  <c r="N54" i="5"/>
  <c r="O54" i="5"/>
  <c r="P54" i="5"/>
  <c r="Q54" i="5"/>
  <c r="R54" i="5"/>
  <c r="S54" i="5"/>
  <c r="T54" i="5"/>
  <c r="M54" i="5"/>
  <c r="Q260" i="2"/>
  <c r="Q263" i="2"/>
  <c r="Q259" i="2" l="1"/>
  <c r="O86" i="6"/>
  <c r="E20" i="5" l="1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D20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D11" i="5"/>
  <c r="D17" i="5"/>
  <c r="U258" i="2" l="1"/>
  <c r="U254" i="2"/>
  <c r="U253" i="2" s="1"/>
  <c r="U257" i="2"/>
  <c r="D265" i="2"/>
  <c r="M261" i="2"/>
  <c r="M262" i="2"/>
  <c r="L262" i="2" s="1"/>
  <c r="K262" i="2" s="1"/>
  <c r="J262" i="2" s="1"/>
  <c r="I262" i="2" s="1"/>
  <c r="H262" i="2" s="1"/>
  <c r="G262" i="2" s="1"/>
  <c r="F262" i="2" s="1"/>
  <c r="E262" i="2" s="1"/>
  <c r="F263" i="2"/>
  <c r="G263" i="2"/>
  <c r="H263" i="2"/>
  <c r="I263" i="2"/>
  <c r="J263" i="2"/>
  <c r="K263" i="2"/>
  <c r="L263" i="2"/>
  <c r="M263" i="2"/>
  <c r="F257" i="2"/>
  <c r="G257" i="2"/>
  <c r="H257" i="2"/>
  <c r="I257" i="2"/>
  <c r="J257" i="2"/>
  <c r="K257" i="2"/>
  <c r="L257" i="2"/>
  <c r="M257" i="2"/>
  <c r="N257" i="2"/>
  <c r="O257" i="2"/>
  <c r="P257" i="2"/>
  <c r="M253" i="2"/>
  <c r="D258" i="2"/>
  <c r="D257" i="2" s="1"/>
  <c r="D256" i="2"/>
  <c r="D255" i="2"/>
  <c r="D254" i="2"/>
  <c r="U252" i="2" l="1"/>
  <c r="M260" i="2"/>
  <c r="M259" i="2" s="1"/>
  <c r="M252" i="2"/>
  <c r="L261" i="2"/>
  <c r="E56" i="5"/>
  <c r="D56" i="5"/>
  <c r="D55" i="5" s="1"/>
  <c r="D54" i="5" s="1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U53" i="5"/>
  <c r="U52" i="5" s="1"/>
  <c r="U51" i="5" s="1"/>
  <c r="D53" i="5"/>
  <c r="D52" i="5" s="1"/>
  <c r="D51" i="5" s="1"/>
  <c r="E53" i="5"/>
  <c r="T52" i="5"/>
  <c r="S52" i="5"/>
  <c r="R52" i="5"/>
  <c r="Q52" i="5"/>
  <c r="Q51" i="5" s="1"/>
  <c r="P52" i="5"/>
  <c r="O52" i="5"/>
  <c r="N52" i="5"/>
  <c r="M52" i="5"/>
  <c r="L52" i="5"/>
  <c r="K52" i="5"/>
  <c r="J52" i="5"/>
  <c r="I52" i="5"/>
  <c r="H52" i="5"/>
  <c r="G52" i="5"/>
  <c r="F52" i="5"/>
  <c r="P51" i="5"/>
  <c r="O51" i="5"/>
  <c r="N51" i="5"/>
  <c r="M51" i="5"/>
  <c r="L51" i="5"/>
  <c r="K51" i="5"/>
  <c r="J51" i="5"/>
  <c r="I51" i="5"/>
  <c r="H51" i="5"/>
  <c r="G51" i="5"/>
  <c r="F51" i="5"/>
  <c r="E52" i="5" l="1"/>
  <c r="E51" i="5" s="1"/>
  <c r="L260" i="2"/>
  <c r="L259" i="2" s="1"/>
  <c r="K261" i="2"/>
  <c r="K260" i="2" l="1"/>
  <c r="K259" i="2" s="1"/>
  <c r="J261" i="2"/>
  <c r="O121" i="9"/>
  <c r="M121" i="9"/>
  <c r="P121" i="9"/>
  <c r="M64" i="1" s="1"/>
  <c r="Q121" i="9"/>
  <c r="N64" i="1" s="1"/>
  <c r="R121" i="9"/>
  <c r="O64" i="1" s="1"/>
  <c r="S121" i="9"/>
  <c r="P64" i="1" s="1"/>
  <c r="T121" i="9"/>
  <c r="N121" i="9"/>
  <c r="P125" i="9"/>
  <c r="M77" i="1" s="1"/>
  <c r="O125" i="9"/>
  <c r="Q127" i="9"/>
  <c r="R127" i="9"/>
  <c r="S127" i="9"/>
  <c r="T127" i="9"/>
  <c r="E128" i="9"/>
  <c r="E127" i="9" s="1"/>
  <c r="F128" i="9"/>
  <c r="F127" i="9" s="1"/>
  <c r="G128" i="9"/>
  <c r="G127" i="9" s="1"/>
  <c r="H128" i="9"/>
  <c r="H127" i="9" s="1"/>
  <c r="I128" i="9"/>
  <c r="I127" i="9" s="1"/>
  <c r="J128" i="9"/>
  <c r="J127" i="9" s="1"/>
  <c r="K128" i="9"/>
  <c r="K127" i="9" s="1"/>
  <c r="L128" i="9"/>
  <c r="L127" i="9" s="1"/>
  <c r="P128" i="9"/>
  <c r="P127" i="9" s="1"/>
  <c r="M129" i="9"/>
  <c r="N129" i="9"/>
  <c r="N128" i="9" s="1"/>
  <c r="N127" i="9" s="1"/>
  <c r="O129" i="9"/>
  <c r="U129" i="9" s="1"/>
  <c r="U128" i="9" s="1"/>
  <c r="U127" i="9" s="1"/>
  <c r="T132" i="9"/>
  <c r="T131" i="9" s="1"/>
  <c r="S132" i="9"/>
  <c r="R132" i="9"/>
  <c r="R131" i="9" s="1"/>
  <c r="Q132" i="9"/>
  <c r="Q131" i="9" s="1"/>
  <c r="P132" i="9"/>
  <c r="P131" i="9" s="1"/>
  <c r="M136" i="9"/>
  <c r="D136" i="9" s="1"/>
  <c r="T135" i="9"/>
  <c r="T125" i="9" s="1"/>
  <c r="S135" i="9"/>
  <c r="S125" i="9" s="1"/>
  <c r="R135" i="9"/>
  <c r="R125" i="9" s="1"/>
  <c r="Q135" i="9"/>
  <c r="Q125" i="9" s="1"/>
  <c r="P135" i="9"/>
  <c r="O135" i="9"/>
  <c r="O124" i="9" s="1"/>
  <c r="N135" i="9"/>
  <c r="N125" i="9" s="1"/>
  <c r="M135" i="9"/>
  <c r="M125" i="9" s="1"/>
  <c r="L135" i="9"/>
  <c r="L125" i="9" s="1"/>
  <c r="L124" i="9" s="1"/>
  <c r="L123" i="9" s="1"/>
  <c r="K135" i="9"/>
  <c r="K125" i="9" s="1"/>
  <c r="K124" i="9" s="1"/>
  <c r="K123" i="9" s="1"/>
  <c r="J135" i="9"/>
  <c r="J125" i="9" s="1"/>
  <c r="J124" i="9" s="1"/>
  <c r="J123" i="9" s="1"/>
  <c r="I135" i="9"/>
  <c r="I125" i="9" s="1"/>
  <c r="I124" i="9" s="1"/>
  <c r="I123" i="9" s="1"/>
  <c r="H135" i="9"/>
  <c r="H125" i="9" s="1"/>
  <c r="H124" i="9" s="1"/>
  <c r="H123" i="9" s="1"/>
  <c r="G135" i="9"/>
  <c r="G125" i="9" s="1"/>
  <c r="G124" i="9" s="1"/>
  <c r="G123" i="9" s="1"/>
  <c r="F135" i="9"/>
  <c r="F125" i="9" s="1"/>
  <c r="F124" i="9" s="1"/>
  <c r="F123" i="9" s="1"/>
  <c r="E135" i="9"/>
  <c r="E125" i="9" s="1"/>
  <c r="E124" i="9" s="1"/>
  <c r="E123" i="9" s="1"/>
  <c r="T134" i="9"/>
  <c r="S134" i="9"/>
  <c r="R134" i="9"/>
  <c r="Q134" i="9"/>
  <c r="P134" i="9"/>
  <c r="O134" i="9"/>
  <c r="O123" i="9" s="1"/>
  <c r="N134" i="9"/>
  <c r="M134" i="9"/>
  <c r="L134" i="9"/>
  <c r="K134" i="9"/>
  <c r="J134" i="9"/>
  <c r="I134" i="9"/>
  <c r="H134" i="9"/>
  <c r="G134" i="9"/>
  <c r="F134" i="9"/>
  <c r="E134" i="9"/>
  <c r="D133" i="9"/>
  <c r="U133" i="9"/>
  <c r="U132" i="9" s="1"/>
  <c r="U131" i="9" s="1"/>
  <c r="N132" i="9"/>
  <c r="N131" i="9" s="1"/>
  <c r="O132" i="9"/>
  <c r="O131" i="9" s="1"/>
  <c r="M132" i="9"/>
  <c r="M131" i="9" s="1"/>
  <c r="L132" i="9"/>
  <c r="L131" i="9" s="1"/>
  <c r="K132" i="9"/>
  <c r="J132" i="9"/>
  <c r="J131" i="9" s="1"/>
  <c r="I132" i="9"/>
  <c r="H132" i="9"/>
  <c r="H131" i="9" s="1"/>
  <c r="G132" i="9"/>
  <c r="F132" i="9"/>
  <c r="F131" i="9" s="1"/>
  <c r="E132" i="9"/>
  <c r="S131" i="9"/>
  <c r="K131" i="9"/>
  <c r="I131" i="9"/>
  <c r="G131" i="9"/>
  <c r="E131" i="9"/>
  <c r="D134" i="9" l="1"/>
  <c r="N117" i="9"/>
  <c r="P117" i="9"/>
  <c r="S117" i="9"/>
  <c r="Q117" i="9"/>
  <c r="D125" i="9"/>
  <c r="D129" i="9"/>
  <c r="T117" i="9"/>
  <c r="R117" i="9"/>
  <c r="Q124" i="9"/>
  <c r="Q123" i="9" s="1"/>
  <c r="N77" i="1"/>
  <c r="S124" i="9"/>
  <c r="S123" i="9" s="1"/>
  <c r="P77" i="1"/>
  <c r="N122" i="9"/>
  <c r="N120" i="9" s="1"/>
  <c r="D121" i="9"/>
  <c r="Q64" i="1"/>
  <c r="U122" i="9"/>
  <c r="N124" i="9"/>
  <c r="N123" i="9" s="1"/>
  <c r="R124" i="9"/>
  <c r="R123" i="9" s="1"/>
  <c r="O77" i="1"/>
  <c r="T124" i="9"/>
  <c r="T123" i="9" s="1"/>
  <c r="Q77" i="1"/>
  <c r="D135" i="9"/>
  <c r="P124" i="9"/>
  <c r="P123" i="9" s="1"/>
  <c r="U121" i="9"/>
  <c r="J260" i="2"/>
  <c r="J259" i="2" s="1"/>
  <c r="I261" i="2"/>
  <c r="M124" i="9"/>
  <c r="O128" i="9"/>
  <c r="O127" i="9" s="1"/>
  <c r="O117" i="9" s="1"/>
  <c r="U117" i="9" s="1"/>
  <c r="M128" i="9"/>
  <c r="D131" i="9"/>
  <c r="D132" i="9"/>
  <c r="O38" i="3"/>
  <c r="N40" i="3"/>
  <c r="N38" i="3"/>
  <c r="O35" i="3"/>
  <c r="N35" i="3"/>
  <c r="O33" i="3"/>
  <c r="N33" i="3"/>
  <c r="U120" i="9" l="1"/>
  <c r="M127" i="9"/>
  <c r="D127" i="9" s="1"/>
  <c r="D128" i="9"/>
  <c r="M123" i="9"/>
  <c r="D123" i="9" s="1"/>
  <c r="D124" i="9"/>
  <c r="D117" i="9"/>
  <c r="I260" i="2"/>
  <c r="I259" i="2" s="1"/>
  <c r="H261" i="2"/>
  <c r="H260" i="2" l="1"/>
  <c r="H259" i="2" s="1"/>
  <c r="G261" i="2"/>
  <c r="G260" i="2" l="1"/>
  <c r="G259" i="2" s="1"/>
  <c r="F261" i="2"/>
  <c r="O37" i="5"/>
  <c r="P42" i="5"/>
  <c r="O42" i="5"/>
  <c r="F260" i="2" l="1"/>
  <c r="F259" i="2" s="1"/>
  <c r="E261" i="2"/>
  <c r="E260" i="2" s="1"/>
  <c r="Q221" i="1" l="1"/>
  <c r="P221" i="1"/>
  <c r="O370" i="2" l="1"/>
  <c r="O363" i="2"/>
  <c r="K111" i="8" l="1"/>
  <c r="K108" i="8"/>
  <c r="L108" i="8"/>
  <c r="P237" i="2" l="1"/>
  <c r="O237" i="2"/>
  <c r="P240" i="2"/>
  <c r="O416" i="2" l="1"/>
  <c r="P416" i="2"/>
  <c r="Q416" i="2"/>
  <c r="R416" i="2"/>
  <c r="E482" i="2"/>
  <c r="F482" i="2"/>
  <c r="G482" i="2"/>
  <c r="H482" i="2"/>
  <c r="I482" i="2"/>
  <c r="J482" i="2"/>
  <c r="K482" i="2"/>
  <c r="N482" i="2"/>
  <c r="O482" i="2"/>
  <c r="P482" i="2"/>
  <c r="Q482" i="2"/>
  <c r="R482" i="2"/>
  <c r="R481" i="2" s="1"/>
  <c r="S482" i="2"/>
  <c r="T482" i="2"/>
  <c r="D483" i="2"/>
  <c r="D416" i="2" s="1"/>
  <c r="M67" i="8" l="1"/>
  <c r="M64" i="8"/>
  <c r="M60" i="8"/>
  <c r="M57" i="8"/>
  <c r="R176" i="1" l="1"/>
  <c r="R175" i="1"/>
  <c r="R170" i="1"/>
  <c r="R177" i="1"/>
  <c r="R174" i="1"/>
  <c r="R173" i="1"/>
  <c r="R172" i="1"/>
  <c r="R171" i="1"/>
  <c r="R169" i="1"/>
  <c r="R168" i="1"/>
  <c r="R167" i="1"/>
  <c r="R166" i="1"/>
  <c r="S151" i="1"/>
  <c r="S152" i="1"/>
  <c r="S153" i="1"/>
  <c r="S154" i="1"/>
  <c r="S155" i="1"/>
  <c r="S156" i="1"/>
  <c r="S157" i="1"/>
  <c r="S158" i="1"/>
  <c r="S159" i="1"/>
  <c r="S160" i="1"/>
  <c r="S161" i="1"/>
  <c r="R161" i="1"/>
  <c r="R160" i="1"/>
  <c r="R159" i="1"/>
  <c r="R158" i="1"/>
  <c r="R157" i="1"/>
  <c r="R154" i="1"/>
  <c r="R155" i="1"/>
  <c r="R156" i="1"/>
  <c r="R153" i="1"/>
  <c r="R152" i="1"/>
  <c r="N28" i="13" l="1"/>
  <c r="O28" i="13"/>
  <c r="N25" i="13"/>
  <c r="N23" i="13"/>
  <c r="O178" i="1" l="1"/>
  <c r="P178" i="1"/>
  <c r="Q178" i="1"/>
  <c r="J178" i="1"/>
  <c r="J165" i="1"/>
  <c r="J162" i="1"/>
  <c r="J150" i="1"/>
  <c r="B150" i="1"/>
  <c r="C150" i="1"/>
  <c r="D150" i="1"/>
  <c r="E150" i="1"/>
  <c r="F150" i="1"/>
  <c r="G150" i="1"/>
  <c r="H150" i="1"/>
  <c r="I150" i="1"/>
  <c r="J163" i="1" l="1"/>
  <c r="P165" i="1"/>
  <c r="Q165" i="1"/>
  <c r="P150" i="1"/>
  <c r="Q150" i="1"/>
  <c r="P162" i="1"/>
  <c r="Q162" i="1"/>
  <c r="P163" i="1"/>
  <c r="Q163" i="1" l="1"/>
  <c r="H79" i="6" l="1"/>
  <c r="H71" i="6"/>
  <c r="H15" i="6" l="1"/>
  <c r="G15" i="6"/>
  <c r="G16" i="6"/>
  <c r="G21" i="6"/>
  <c r="G20" i="6" s="1"/>
  <c r="G23" i="6"/>
  <c r="G22" i="6" s="1"/>
  <c r="F15" i="6"/>
  <c r="F16" i="6"/>
  <c r="F21" i="6"/>
  <c r="F20" i="6" s="1"/>
  <c r="F23" i="6"/>
  <c r="F22" i="6" s="1"/>
  <c r="G14" i="6" l="1"/>
  <c r="F14" i="6"/>
  <c r="G19" i="6"/>
  <c r="F19" i="6"/>
  <c r="G117" i="9"/>
  <c r="H117" i="9"/>
  <c r="F117" i="9"/>
  <c r="H10" i="7"/>
  <c r="G10" i="7"/>
  <c r="F10" i="7"/>
  <c r="H14" i="7"/>
  <c r="G14" i="7"/>
  <c r="F14" i="7"/>
  <c r="O91" i="5" l="1"/>
  <c r="O95" i="5"/>
  <c r="O94" i="5" s="1"/>
  <c r="O90" i="5" l="1"/>
  <c r="O69" i="1"/>
  <c r="P69" i="1"/>
  <c r="Q69" i="1"/>
  <c r="U212" i="8"/>
  <c r="U219" i="8"/>
  <c r="U159" i="8"/>
  <c r="U157" i="8"/>
  <c r="U156" i="8"/>
  <c r="U145" i="8"/>
  <c r="U143" i="8"/>
  <c r="U142" i="8"/>
  <c r="U135" i="8"/>
  <c r="U111" i="8"/>
  <c r="U108" i="8"/>
  <c r="U98" i="8"/>
  <c r="U60" i="8"/>
  <c r="U59" i="8"/>
  <c r="U57" i="8"/>
  <c r="U56" i="8"/>
  <c r="U43" i="8"/>
  <c r="U41" i="8"/>
  <c r="U39" i="8"/>
  <c r="U37" i="8"/>
  <c r="Q79" i="1" l="1"/>
  <c r="P79" i="1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S65" i="7"/>
  <c r="S63" i="7"/>
  <c r="S62" i="7" s="1"/>
  <c r="S60" i="7"/>
  <c r="S57" i="7"/>
  <c r="S56" i="7" s="1"/>
  <c r="T88" i="7"/>
  <c r="T86" i="7"/>
  <c r="T85" i="7" s="1"/>
  <c r="T83" i="7"/>
  <c r="T81" i="7"/>
  <c r="S88" i="7"/>
  <c r="S86" i="7"/>
  <c r="S85" i="7" s="1"/>
  <c r="S83" i="7"/>
  <c r="S81" i="7"/>
  <c r="S80" i="7" s="1"/>
  <c r="T77" i="7"/>
  <c r="T75" i="7"/>
  <c r="T74" i="7" s="1"/>
  <c r="T72" i="7"/>
  <c r="T69" i="7"/>
  <c r="T68" i="7" s="1"/>
  <c r="S77" i="7"/>
  <c r="S75" i="7"/>
  <c r="S74" i="7" s="1"/>
  <c r="S72" i="7"/>
  <c r="S69" i="7"/>
  <c r="S68" i="7" s="1"/>
  <c r="M76" i="7"/>
  <c r="M78" i="7"/>
  <c r="M75" i="7"/>
  <c r="M73" i="7"/>
  <c r="M72" i="7" s="1"/>
  <c r="M71" i="7"/>
  <c r="M70" i="7"/>
  <c r="D70" i="7" s="1"/>
  <c r="M61" i="7"/>
  <c r="M60" i="7" s="1"/>
  <c r="M59" i="7"/>
  <c r="D59" i="7" s="1"/>
  <c r="M66" i="7"/>
  <c r="M65" i="7" s="1"/>
  <c r="M47" i="7"/>
  <c r="T36" i="7"/>
  <c r="T33" i="7"/>
  <c r="T32" i="7" s="1"/>
  <c r="S36" i="7"/>
  <c r="S33" i="7"/>
  <c r="S32" i="7" s="1"/>
  <c r="T41" i="7"/>
  <c r="T39" i="7"/>
  <c r="T38" i="7" s="1"/>
  <c r="S41" i="7"/>
  <c r="S39" i="7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Q13" i="7"/>
  <c r="R13" i="7"/>
  <c r="S13" i="7"/>
  <c r="T13" i="7"/>
  <c r="P14" i="7"/>
  <c r="Q14" i="7"/>
  <c r="R14" i="7"/>
  <c r="S14" i="7"/>
  <c r="T14" i="7"/>
  <c r="P16" i="7"/>
  <c r="P15" i="7" s="1"/>
  <c r="Q16" i="7"/>
  <c r="R16" i="7"/>
  <c r="S16" i="7"/>
  <c r="T16" i="7"/>
  <c r="P19" i="7"/>
  <c r="P18" i="7" s="1"/>
  <c r="Q19" i="7"/>
  <c r="Q18" i="7" s="1"/>
  <c r="R19" i="7"/>
  <c r="S19" i="7"/>
  <c r="S18" i="7" s="1"/>
  <c r="T19" i="7"/>
  <c r="T18" i="7" s="1"/>
  <c r="P21" i="7"/>
  <c r="P20" i="7" s="1"/>
  <c r="Q21" i="7"/>
  <c r="Q20" i="7" s="1"/>
  <c r="R21" i="7"/>
  <c r="R20" i="7" s="1"/>
  <c r="S21" i="7"/>
  <c r="S20" i="7" s="1"/>
  <c r="T21" i="7"/>
  <c r="T20" i="7" s="1"/>
  <c r="O28" i="1"/>
  <c r="O128" i="1" s="1"/>
  <c r="P28" i="1"/>
  <c r="Q28" i="1"/>
  <c r="S10" i="8"/>
  <c r="T10" i="8"/>
  <c r="S11" i="8"/>
  <c r="T11" i="8"/>
  <c r="S13" i="8"/>
  <c r="T13" i="8"/>
  <c r="S19" i="8"/>
  <c r="P25" i="1" s="1"/>
  <c r="T19" i="8"/>
  <c r="S22" i="8"/>
  <c r="S18" i="8" s="1"/>
  <c r="P34" i="1"/>
  <c r="P139" i="1" s="1"/>
  <c r="P201" i="1" s="1"/>
  <c r="S27" i="8"/>
  <c r="T27" i="8"/>
  <c r="S28" i="8"/>
  <c r="P33" i="1" s="1"/>
  <c r="P134" i="1" s="1"/>
  <c r="T28" i="8"/>
  <c r="P42" i="1"/>
  <c r="P140" i="1" s="1"/>
  <c r="P202" i="1" s="1"/>
  <c r="S33" i="8"/>
  <c r="T33" i="8"/>
  <c r="T30" i="8" s="1"/>
  <c r="Q33" i="1"/>
  <c r="Q134" i="1" s="1"/>
  <c r="Q34" i="1"/>
  <c r="Q42" i="1"/>
  <c r="Q140" i="1" s="1"/>
  <c r="Q202" i="1" s="1"/>
  <c r="P20" i="1"/>
  <c r="Q20" i="1"/>
  <c r="T24" i="8" l="1"/>
  <c r="T9" i="8"/>
  <c r="S9" i="8"/>
  <c r="S38" i="7"/>
  <c r="R18" i="7"/>
  <c r="O78" i="1"/>
  <c r="S15" i="7"/>
  <c r="P72" i="1"/>
  <c r="P71" i="1" s="1"/>
  <c r="Q15" i="7"/>
  <c r="N72" i="1"/>
  <c r="Q12" i="7"/>
  <c r="M77" i="7"/>
  <c r="Q78" i="1"/>
  <c r="Q138" i="1" s="1"/>
  <c r="Q200" i="1" s="1"/>
  <c r="T15" i="7"/>
  <c r="Q72" i="1"/>
  <c r="Q71" i="1" s="1"/>
  <c r="R15" i="7"/>
  <c r="O72" i="1"/>
  <c r="R12" i="7"/>
  <c r="P12" i="7"/>
  <c r="T80" i="7"/>
  <c r="T56" i="7"/>
  <c r="P78" i="1"/>
  <c r="T18" i="8"/>
  <c r="Q25" i="1"/>
  <c r="S30" i="8"/>
  <c r="S24" i="8"/>
  <c r="P128" i="1"/>
  <c r="P190" i="1" s="1"/>
  <c r="Q128" i="1"/>
  <c r="Q190" i="1" s="1"/>
  <c r="P138" i="1"/>
  <c r="P200" i="1" s="1"/>
  <c r="Q139" i="1"/>
  <c r="Q201" i="1" s="1"/>
  <c r="Q196" i="1"/>
  <c r="P196" i="1"/>
  <c r="M74" i="7"/>
  <c r="M69" i="7"/>
  <c r="M68" i="7" s="1"/>
  <c r="T12" i="7"/>
  <c r="S12" i="7"/>
  <c r="S11" i="7" s="1"/>
  <c r="S17" i="7"/>
  <c r="Q17" i="7"/>
  <c r="T11" i="7"/>
  <c r="R11" i="7"/>
  <c r="P11" i="7"/>
  <c r="T17" i="7"/>
  <c r="R17" i="7"/>
  <c r="P17" i="7"/>
  <c r="Q11" i="7"/>
  <c r="T23" i="8"/>
  <c r="T12" i="8"/>
  <c r="S12" i="8"/>
  <c r="U11" i="13"/>
  <c r="U10" i="13"/>
  <c r="U15" i="13"/>
  <c r="U16" i="13"/>
  <c r="U14" i="13"/>
  <c r="U43" i="13"/>
  <c r="U34" i="13"/>
  <c r="U32" i="13"/>
  <c r="U25" i="13"/>
  <c r="U23" i="13"/>
  <c r="D46" i="13"/>
  <c r="D43" i="13"/>
  <c r="D37" i="13"/>
  <c r="D34" i="13"/>
  <c r="D32" i="13"/>
  <c r="D28" i="13"/>
  <c r="D25" i="13"/>
  <c r="D23" i="13"/>
  <c r="S23" i="8" l="1"/>
  <c r="T11" i="13"/>
  <c r="T10" i="13"/>
  <c r="T9" i="13"/>
  <c r="S11" i="13"/>
  <c r="S10" i="13"/>
  <c r="S9" i="13" s="1"/>
  <c r="R11" i="13"/>
  <c r="R10" i="13"/>
  <c r="R9" i="13"/>
  <c r="T19" i="13"/>
  <c r="S19" i="13"/>
  <c r="S18" i="13" s="1"/>
  <c r="S17" i="13" s="1"/>
  <c r="R19" i="13"/>
  <c r="Q19" i="13"/>
  <c r="P19" i="13"/>
  <c r="T18" i="13"/>
  <c r="T17" i="13" s="1"/>
  <c r="R18" i="13"/>
  <c r="Q18" i="13"/>
  <c r="P18" i="13"/>
  <c r="R17" i="13"/>
  <c r="Q17" i="13"/>
  <c r="P17" i="13"/>
  <c r="T16" i="13"/>
  <c r="S16" i="13"/>
  <c r="S15" i="13" s="1"/>
  <c r="S12" i="13" s="1"/>
  <c r="R16" i="13"/>
  <c r="Q16" i="13"/>
  <c r="P16" i="13"/>
  <c r="T15" i="13"/>
  <c r="R15" i="13"/>
  <c r="Q15" i="13"/>
  <c r="P15" i="13"/>
  <c r="T14" i="13"/>
  <c r="S14" i="13"/>
  <c r="R14" i="13"/>
  <c r="Q14" i="13"/>
  <c r="P14" i="13"/>
  <c r="T13" i="13"/>
  <c r="S13" i="13"/>
  <c r="R13" i="13"/>
  <c r="Q13" i="13"/>
  <c r="P13" i="13"/>
  <c r="T12" i="13"/>
  <c r="R12" i="13"/>
  <c r="Q12" i="13"/>
  <c r="P12" i="13"/>
  <c r="M46" i="13"/>
  <c r="M45" i="13" s="1"/>
  <c r="M44" i="13" s="1"/>
  <c r="M42" i="13"/>
  <c r="M40" i="13"/>
  <c r="M39" i="13" s="1"/>
  <c r="M11" i="13" s="1"/>
  <c r="M37" i="13"/>
  <c r="M36" i="13" s="1"/>
  <c r="M35" i="13" s="1"/>
  <c r="M34" i="13"/>
  <c r="M32" i="13"/>
  <c r="M31" i="13" s="1"/>
  <c r="M33" i="13"/>
  <c r="M30" i="13" l="1"/>
  <c r="G20" i="8" l="1"/>
  <c r="H20" i="8"/>
  <c r="E31" i="8"/>
  <c r="F31" i="8"/>
  <c r="G31" i="8"/>
  <c r="H31" i="8"/>
  <c r="F20" i="8" l="1"/>
  <c r="G14" i="8"/>
  <c r="M224" i="8" l="1"/>
  <c r="M223" i="8"/>
  <c r="D223" i="8" s="1"/>
  <c r="M220" i="8"/>
  <c r="M219" i="8"/>
  <c r="D219" i="8" s="1"/>
  <c r="M165" i="8"/>
  <c r="M162" i="8"/>
  <c r="M161" i="8" s="1"/>
  <c r="M159" i="8"/>
  <c r="M157" i="8"/>
  <c r="M156" i="8"/>
  <c r="M164" i="8"/>
  <c r="M158" i="8"/>
  <c r="M155" i="8"/>
  <c r="D165" i="8"/>
  <c r="D162" i="8"/>
  <c r="D159" i="8"/>
  <c r="D157" i="8"/>
  <c r="D156" i="8"/>
  <c r="M151" i="8"/>
  <c r="D151" i="8" s="1"/>
  <c r="M148" i="8"/>
  <c r="M145" i="8"/>
  <c r="D145" i="8" s="1"/>
  <c r="M143" i="8"/>
  <c r="D143" i="8" s="1"/>
  <c r="M142" i="8"/>
  <c r="M135" i="8"/>
  <c r="M134" i="8" s="1"/>
  <c r="M133" i="8" s="1"/>
  <c r="M123" i="8"/>
  <c r="D123" i="8" s="1"/>
  <c r="F102" i="8"/>
  <c r="G102" i="8"/>
  <c r="H102" i="8"/>
  <c r="F96" i="8"/>
  <c r="G96" i="8"/>
  <c r="H96" i="8"/>
  <c r="E96" i="8"/>
  <c r="M91" i="8"/>
  <c r="M90" i="8" s="1"/>
  <c r="D64" i="8"/>
  <c r="D67" i="8"/>
  <c r="D60" i="8"/>
  <c r="D57" i="8"/>
  <c r="M52" i="8"/>
  <c r="D52" i="8" s="1"/>
  <c r="M48" i="8"/>
  <c r="D48" i="8" s="1"/>
  <c r="M41" i="8"/>
  <c r="M189" i="8"/>
  <c r="J70" i="1" s="1"/>
  <c r="M195" i="8"/>
  <c r="J79" i="1" s="1"/>
  <c r="D28" i="3"/>
  <c r="M144" i="8" l="1"/>
  <c r="M141" i="8"/>
  <c r="D142" i="8"/>
  <c r="M150" i="8"/>
  <c r="M147" i="8"/>
  <c r="D148" i="8"/>
  <c r="D41" i="8"/>
  <c r="D135" i="8"/>
  <c r="M218" i="8"/>
  <c r="M217" i="8" s="1"/>
  <c r="M222" i="8"/>
  <c r="M221" i="8" s="1"/>
  <c r="M160" i="8"/>
  <c r="M154" i="8"/>
  <c r="M146" i="8"/>
  <c r="M140" i="8"/>
  <c r="M66" i="5"/>
  <c r="M46" i="5"/>
  <c r="M49" i="5"/>
  <c r="M48" i="5" s="1"/>
  <c r="M47" i="5" s="1"/>
  <c r="M45" i="5"/>
  <c r="M44" i="5" s="1"/>
  <c r="M31" i="5"/>
  <c r="D31" i="5" s="1"/>
  <c r="M24" i="5"/>
  <c r="D24" i="5" s="1"/>
  <c r="M26" i="5"/>
  <c r="D26" i="5" s="1"/>
  <c r="M23" i="5"/>
  <c r="U24" i="5"/>
  <c r="U26" i="5"/>
  <c r="U37" i="5"/>
  <c r="S61" i="5"/>
  <c r="S51" i="5" s="1"/>
  <c r="S11" i="5" s="1"/>
  <c r="T61" i="5"/>
  <c r="T51" i="5" s="1"/>
  <c r="T11" i="5" s="1"/>
  <c r="S15" i="5"/>
  <c r="S14" i="5" s="1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S34" i="5"/>
  <c r="T34" i="5"/>
  <c r="S36" i="5"/>
  <c r="T36" i="5"/>
  <c r="S41" i="5"/>
  <c r="S38" i="5" s="1"/>
  <c r="T41" i="5"/>
  <c r="T38" i="5" s="1"/>
  <c r="S45" i="5"/>
  <c r="T45" i="5"/>
  <c r="S48" i="5"/>
  <c r="S47" i="5" s="1"/>
  <c r="T48" i="5"/>
  <c r="T47" i="5" s="1"/>
  <c r="S65" i="5"/>
  <c r="T65" i="5"/>
  <c r="S67" i="5"/>
  <c r="T67" i="5"/>
  <c r="S73" i="5"/>
  <c r="T73" i="5"/>
  <c r="S70" i="5"/>
  <c r="T70" i="5"/>
  <c r="S69" i="5"/>
  <c r="T69" i="5"/>
  <c r="T91" i="5"/>
  <c r="S91" i="5"/>
  <c r="T85" i="5"/>
  <c r="S85" i="5"/>
  <c r="T98" i="5"/>
  <c r="S98" i="5"/>
  <c r="T97" i="5"/>
  <c r="S97" i="5"/>
  <c r="S19" i="9"/>
  <c r="T19" i="9"/>
  <c r="S18" i="9"/>
  <c r="T18" i="9"/>
  <c r="S17" i="9"/>
  <c r="T17" i="9"/>
  <c r="S15" i="9"/>
  <c r="T15" i="9"/>
  <c r="S14" i="9"/>
  <c r="T14" i="9"/>
  <c r="S13" i="9"/>
  <c r="T13" i="9"/>
  <c r="S12" i="9"/>
  <c r="T12" i="9"/>
  <c r="S11" i="9"/>
  <c r="T11" i="9"/>
  <c r="O25" i="9"/>
  <c r="O23" i="9"/>
  <c r="O22" i="9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Q22" i="9" s="1"/>
  <c r="P25" i="9"/>
  <c r="T23" i="9"/>
  <c r="T22" i="9" s="1"/>
  <c r="S23" i="9"/>
  <c r="R23" i="9"/>
  <c r="R22" i="9" s="1"/>
  <c r="Q23" i="9"/>
  <c r="P23" i="9"/>
  <c r="P22" i="9" s="1"/>
  <c r="O34" i="9"/>
  <c r="O32" i="9"/>
  <c r="T46" i="9"/>
  <c r="T45" i="9" s="1"/>
  <c r="S46" i="9"/>
  <c r="S45" i="9" s="1"/>
  <c r="R46" i="9"/>
  <c r="R45" i="9"/>
  <c r="T43" i="9"/>
  <c r="S43" i="9"/>
  <c r="R43" i="9"/>
  <c r="T41" i="9"/>
  <c r="S41" i="9"/>
  <c r="S40" i="9" s="1"/>
  <c r="R41" i="9"/>
  <c r="T40" i="9"/>
  <c r="R40" i="9"/>
  <c r="O50" i="9"/>
  <c r="O49" i="9" s="1"/>
  <c r="T53" i="9"/>
  <c r="S53" i="9"/>
  <c r="S52" i="9" s="1"/>
  <c r="R53" i="9"/>
  <c r="Q53" i="9"/>
  <c r="Q52" i="9" s="1"/>
  <c r="P53" i="9"/>
  <c r="T52" i="9"/>
  <c r="R52" i="9"/>
  <c r="P52" i="9"/>
  <c r="T50" i="9"/>
  <c r="S50" i="9"/>
  <c r="S49" i="9" s="1"/>
  <c r="R50" i="9"/>
  <c r="Q50" i="9"/>
  <c r="Q49" i="9" s="1"/>
  <c r="P50" i="9"/>
  <c r="T49" i="9"/>
  <c r="R49" i="9"/>
  <c r="P49" i="9"/>
  <c r="T62" i="9"/>
  <c r="S62" i="9"/>
  <c r="S61" i="9" s="1"/>
  <c r="R62" i="9"/>
  <c r="T61" i="9"/>
  <c r="R61" i="9"/>
  <c r="T59" i="9"/>
  <c r="T56" i="9" s="1"/>
  <c r="S59" i="9"/>
  <c r="R59" i="9"/>
  <c r="R56" i="9" s="1"/>
  <c r="S56" i="9"/>
  <c r="T69" i="9"/>
  <c r="T68" i="9" s="1"/>
  <c r="S69" i="9"/>
  <c r="R69" i="9"/>
  <c r="R68" i="9" s="1"/>
  <c r="S68" i="9"/>
  <c r="T65" i="9"/>
  <c r="S65" i="9"/>
  <c r="R65" i="9"/>
  <c r="T76" i="9"/>
  <c r="S76" i="9"/>
  <c r="S75" i="9" s="1"/>
  <c r="R76" i="9"/>
  <c r="T75" i="9"/>
  <c r="R75" i="9"/>
  <c r="T72" i="9"/>
  <c r="S72" i="9"/>
  <c r="R72" i="9"/>
  <c r="S118" i="9"/>
  <c r="T122" i="9"/>
  <c r="S122" i="9"/>
  <c r="S120" i="9" s="1"/>
  <c r="R122" i="9"/>
  <c r="S119" i="9"/>
  <c r="T118" i="9"/>
  <c r="T116" i="9" s="1"/>
  <c r="R118" i="9"/>
  <c r="R116" i="9" s="1"/>
  <c r="S116" i="9"/>
  <c r="U26" i="9"/>
  <c r="M117" i="9"/>
  <c r="M100" i="9"/>
  <c r="M99" i="9" s="1"/>
  <c r="M98" i="9" s="1"/>
  <c r="M96" i="9"/>
  <c r="M93" i="9" s="1"/>
  <c r="T99" i="9"/>
  <c r="T98" i="9" s="1"/>
  <c r="S99" i="9"/>
  <c r="R99" i="9"/>
  <c r="R98" i="9" s="1"/>
  <c r="Q99" i="9"/>
  <c r="Q98" i="9" s="1"/>
  <c r="P99" i="9"/>
  <c r="P98" i="9" s="1"/>
  <c r="S98" i="9"/>
  <c r="T93" i="9"/>
  <c r="S93" i="9"/>
  <c r="R93" i="9"/>
  <c r="Q93" i="9"/>
  <c r="P93" i="9"/>
  <c r="T83" i="9"/>
  <c r="T82" i="9" s="1"/>
  <c r="S83" i="9"/>
  <c r="S82" i="9" s="1"/>
  <c r="R83" i="9"/>
  <c r="R82" i="9" s="1"/>
  <c r="T79" i="9"/>
  <c r="S79" i="9"/>
  <c r="R79" i="9"/>
  <c r="M84" i="9"/>
  <c r="D84" i="9" s="1"/>
  <c r="M81" i="9"/>
  <c r="M80" i="9" s="1"/>
  <c r="M79" i="9" s="1"/>
  <c r="M77" i="9"/>
  <c r="M76" i="9" s="1"/>
  <c r="M75" i="9" s="1"/>
  <c r="M70" i="9"/>
  <c r="M67" i="9"/>
  <c r="M66" i="9" s="1"/>
  <c r="M65" i="9" s="1"/>
  <c r="M69" i="9"/>
  <c r="M68" i="9" s="1"/>
  <c r="T37" i="9"/>
  <c r="T36" i="9" s="1"/>
  <c r="S37" i="9"/>
  <c r="R37" i="9"/>
  <c r="R36" i="9" s="1"/>
  <c r="Q37" i="9"/>
  <c r="Q36" i="9" s="1"/>
  <c r="P37" i="9"/>
  <c r="P36" i="9" s="1"/>
  <c r="S36" i="9"/>
  <c r="T34" i="9"/>
  <c r="S34" i="9"/>
  <c r="R34" i="9"/>
  <c r="Q34" i="9"/>
  <c r="P34" i="9"/>
  <c r="T32" i="9"/>
  <c r="T31" i="9" s="1"/>
  <c r="T10" i="9" s="1"/>
  <c r="S32" i="9"/>
  <c r="R32" i="9"/>
  <c r="Q32" i="9"/>
  <c r="P32" i="9"/>
  <c r="M38" i="9"/>
  <c r="M37" i="9" s="1"/>
  <c r="M36" i="9" s="1"/>
  <c r="S22" i="9" l="1"/>
  <c r="R120" i="9"/>
  <c r="R119" i="9" s="1"/>
  <c r="T120" i="9"/>
  <c r="T119" i="9" s="1"/>
  <c r="T33" i="5"/>
  <c r="M30" i="5"/>
  <c r="M27" i="5" s="1"/>
  <c r="S33" i="5"/>
  <c r="S13" i="5"/>
  <c r="T63" i="5"/>
  <c r="T62" i="5" s="1"/>
  <c r="T44" i="5"/>
  <c r="T10" i="5" s="1"/>
  <c r="T14" i="5"/>
  <c r="T13" i="5" s="1"/>
  <c r="S59" i="5"/>
  <c r="D49" i="5"/>
  <c r="S63" i="5"/>
  <c r="S62" i="5" s="1"/>
  <c r="S44" i="5"/>
  <c r="S10" i="5" s="1"/>
  <c r="T59" i="5"/>
  <c r="M25" i="5"/>
  <c r="M22" i="5" s="1"/>
  <c r="O31" i="9"/>
  <c r="Q31" i="9"/>
  <c r="S31" i="9"/>
  <c r="S10" i="9" s="1"/>
  <c r="P31" i="9"/>
  <c r="R31" i="9"/>
  <c r="R10" i="9" s="1"/>
  <c r="M83" i="9"/>
  <c r="M82" i="9" s="1"/>
  <c r="S9" i="9"/>
  <c r="M122" i="9"/>
  <c r="T9" i="9"/>
  <c r="D100" i="9"/>
  <c r="D38" i="9"/>
  <c r="M118" i="9"/>
  <c r="M116" i="9"/>
  <c r="N75" i="1"/>
  <c r="O75" i="1"/>
  <c r="P75" i="1"/>
  <c r="Q75" i="1"/>
  <c r="N68" i="1"/>
  <c r="O68" i="1"/>
  <c r="P68" i="1"/>
  <c r="Q68" i="1"/>
  <c r="N65" i="1"/>
  <c r="O65" i="1"/>
  <c r="P65" i="1"/>
  <c r="Q65" i="1"/>
  <c r="Q66" i="1"/>
  <c r="Q121" i="1" s="1"/>
  <c r="Q183" i="1" s="1"/>
  <c r="P81" i="1" l="1"/>
  <c r="P80" i="1" s="1"/>
  <c r="Q81" i="1"/>
  <c r="Q80" i="1" s="1"/>
  <c r="M120" i="9"/>
  <c r="U13" i="3"/>
  <c r="U25" i="3"/>
  <c r="U33" i="3"/>
  <c r="U35" i="3"/>
  <c r="U45" i="3"/>
  <c r="U44" i="3"/>
  <c r="U47" i="3"/>
  <c r="U57" i="3"/>
  <c r="U56" i="3"/>
  <c r="U59" i="3"/>
  <c r="U69" i="3"/>
  <c r="U68" i="3"/>
  <c r="U71" i="3"/>
  <c r="U80" i="3"/>
  <c r="U81" i="3"/>
  <c r="M195" i="3"/>
  <c r="M193" i="3"/>
  <c r="M192" i="3"/>
  <c r="U179" i="3"/>
  <c r="U167" i="3"/>
  <c r="T168" i="3"/>
  <c r="S168" i="3"/>
  <c r="R168" i="3"/>
  <c r="T166" i="3"/>
  <c r="S166" i="3"/>
  <c r="R166" i="3"/>
  <c r="T163" i="3"/>
  <c r="S163" i="3"/>
  <c r="R163" i="3"/>
  <c r="T162" i="3"/>
  <c r="S162" i="3"/>
  <c r="R162" i="3"/>
  <c r="U155" i="3"/>
  <c r="U153" i="3"/>
  <c r="T147" i="3"/>
  <c r="S147" i="3"/>
  <c r="T145" i="3"/>
  <c r="S145" i="3"/>
  <c r="T144" i="3"/>
  <c r="S144" i="3"/>
  <c r="U143" i="3"/>
  <c r="U140" i="3"/>
  <c r="Q24" i="3"/>
  <c r="Q23" i="3" s="1"/>
  <c r="R24" i="3"/>
  <c r="R23" i="3" s="1"/>
  <c r="S24" i="3"/>
  <c r="S23" i="3" s="1"/>
  <c r="S9" i="3" s="1"/>
  <c r="S8" i="3" s="1"/>
  <c r="T24" i="3"/>
  <c r="T23" i="3" s="1"/>
  <c r="T9" i="3" s="1"/>
  <c r="T8" i="3" s="1"/>
  <c r="Q27" i="3"/>
  <c r="Q26" i="3" s="1"/>
  <c r="R27" i="3"/>
  <c r="R26" i="3" s="1"/>
  <c r="S27" i="3"/>
  <c r="S26" i="3" s="1"/>
  <c r="T27" i="3"/>
  <c r="T26" i="3" s="1"/>
  <c r="S10" i="3"/>
  <c r="T10" i="3"/>
  <c r="S13" i="3"/>
  <c r="S12" i="3" s="1"/>
  <c r="T13" i="3"/>
  <c r="T12" i="3" s="1"/>
  <c r="S14" i="3"/>
  <c r="T14" i="3"/>
  <c r="S16" i="3"/>
  <c r="S15" i="3" s="1"/>
  <c r="T16" i="3"/>
  <c r="T15" i="3" s="1"/>
  <c r="S19" i="3"/>
  <c r="S18" i="3" s="1"/>
  <c r="T19" i="3"/>
  <c r="T18" i="3" s="1"/>
  <c r="S21" i="3"/>
  <c r="S20" i="3" s="1"/>
  <c r="T21" i="3"/>
  <c r="T20" i="3" s="1"/>
  <c r="S511" i="2"/>
  <c r="S510" i="2" s="1"/>
  <c r="T511" i="2"/>
  <c r="T510" i="2" s="1"/>
  <c r="T317" i="2"/>
  <c r="T322" i="2"/>
  <c r="T321" i="2" s="1"/>
  <c r="S322" i="2"/>
  <c r="S321" i="2" s="1"/>
  <c r="R322" i="2"/>
  <c r="R321" i="2" s="1"/>
  <c r="Q322" i="2"/>
  <c r="Q321" i="2" s="1"/>
  <c r="R317" i="2"/>
  <c r="Q317" i="2"/>
  <c r="S319" i="2"/>
  <c r="R319" i="2"/>
  <c r="U512" i="2"/>
  <c r="U488" i="2"/>
  <c r="T478" i="2"/>
  <c r="T477" i="2" s="1"/>
  <c r="S478" i="2"/>
  <c r="S477" i="2" s="1"/>
  <c r="U480" i="2"/>
  <c r="U475" i="2"/>
  <c r="U464" i="2"/>
  <c r="U463" i="2"/>
  <c r="U451" i="2"/>
  <c r="U452" i="2"/>
  <c r="T450" i="2"/>
  <c r="T449" i="2" s="1"/>
  <c r="S450" i="2"/>
  <c r="S449" i="2" s="1"/>
  <c r="R450" i="2"/>
  <c r="R449" i="2" s="1"/>
  <c r="T454" i="2"/>
  <c r="T453" i="2" s="1"/>
  <c r="S454" i="2"/>
  <c r="S453" i="2" s="1"/>
  <c r="R454" i="2"/>
  <c r="R453" i="2" s="1"/>
  <c r="U443" i="2"/>
  <c r="T442" i="2"/>
  <c r="T441" i="2" s="1"/>
  <c r="S442" i="2"/>
  <c r="S441" i="2" s="1"/>
  <c r="U432" i="2"/>
  <c r="S412" i="2"/>
  <c r="P67" i="1" s="1"/>
  <c r="T412" i="2"/>
  <c r="Q67" i="1" s="1"/>
  <c r="S418" i="2"/>
  <c r="S415" i="2" s="1"/>
  <c r="T418" i="2"/>
  <c r="U400" i="2"/>
  <c r="T399" i="2"/>
  <c r="T397" i="2"/>
  <c r="S399" i="2"/>
  <c r="S397" i="2"/>
  <c r="T402" i="2"/>
  <c r="T401" i="2" s="1"/>
  <c r="S402" i="2"/>
  <c r="S401" i="2" s="1"/>
  <c r="T394" i="2"/>
  <c r="T393" i="2" s="1"/>
  <c r="T392" i="2" s="1"/>
  <c r="T391" i="2"/>
  <c r="T390" i="2" s="1"/>
  <c r="T389" i="2"/>
  <c r="T388" i="2" s="1"/>
  <c r="S394" i="2"/>
  <c r="S393" i="2" s="1"/>
  <c r="S392" i="2" s="1"/>
  <c r="S391" i="2"/>
  <c r="S390" i="2" s="1"/>
  <c r="S389" i="2"/>
  <c r="S388" i="2" s="1"/>
  <c r="R394" i="2"/>
  <c r="R393" i="2" s="1"/>
  <c r="R392" i="2" s="1"/>
  <c r="R391" i="2"/>
  <c r="R390" i="2" s="1"/>
  <c r="R389" i="2"/>
  <c r="R388" i="2" s="1"/>
  <c r="U367" i="2"/>
  <c r="U364" i="2"/>
  <c r="U363" i="2"/>
  <c r="T373" i="2"/>
  <c r="T369" i="2"/>
  <c r="T365" i="2"/>
  <c r="T361" i="2"/>
  <c r="S373" i="2"/>
  <c r="S369" i="2"/>
  <c r="S365" i="2"/>
  <c r="S361" i="2"/>
  <c r="R373" i="2"/>
  <c r="R369" i="2"/>
  <c r="R365" i="2"/>
  <c r="R361" i="2"/>
  <c r="Q373" i="2"/>
  <c r="Q369" i="2"/>
  <c r="Q365" i="2"/>
  <c r="Q361" i="2"/>
  <c r="T351" i="2"/>
  <c r="T22" i="2" s="1"/>
  <c r="Q26" i="1" s="1"/>
  <c r="Q129" i="1" s="1"/>
  <c r="Q191" i="1" s="1"/>
  <c r="T350" i="2"/>
  <c r="T348" i="2"/>
  <c r="T17" i="2" s="1"/>
  <c r="Q22" i="1" s="1"/>
  <c r="Q125" i="1" s="1"/>
  <c r="Q186" i="1" s="1"/>
  <c r="T347" i="2"/>
  <c r="T346" i="2"/>
  <c r="S351" i="2"/>
  <c r="S22" i="2" s="1"/>
  <c r="P26" i="1" s="1"/>
  <c r="P129" i="1" s="1"/>
  <c r="P191" i="1" s="1"/>
  <c r="S350" i="2"/>
  <c r="S348" i="2"/>
  <c r="S17" i="2" s="1"/>
  <c r="P22" i="1" s="1"/>
  <c r="P125" i="1" s="1"/>
  <c r="P186" i="1" s="1"/>
  <c r="S347" i="2"/>
  <c r="S15" i="2" s="1"/>
  <c r="S346" i="2"/>
  <c r="T358" i="2"/>
  <c r="T34" i="2" s="1"/>
  <c r="Q41" i="1" s="1"/>
  <c r="Q144" i="1" s="1"/>
  <c r="Q206" i="1" s="1"/>
  <c r="T357" i="2"/>
  <c r="T355" i="2"/>
  <c r="T27" i="2" s="1"/>
  <c r="Q36" i="1" s="1"/>
  <c r="Q137" i="1" s="1"/>
  <c r="Q199" i="1" s="1"/>
  <c r="T354" i="2"/>
  <c r="T25" i="2" s="1"/>
  <c r="S358" i="2"/>
  <c r="S34" i="2" s="1"/>
  <c r="P41" i="1" s="1"/>
  <c r="P144" i="1" s="1"/>
  <c r="P206" i="1" s="1"/>
  <c r="S357" i="2"/>
  <c r="S355" i="2"/>
  <c r="S27" i="2" s="1"/>
  <c r="P36" i="1" s="1"/>
  <c r="P137" i="1" s="1"/>
  <c r="P199" i="1" s="1"/>
  <c r="S354" i="2"/>
  <c r="S25" i="2" s="1"/>
  <c r="N319" i="2"/>
  <c r="U329" i="2"/>
  <c r="U327" i="2"/>
  <c r="T319" i="2"/>
  <c r="S317" i="2"/>
  <c r="Q319" i="2"/>
  <c r="U244" i="2"/>
  <c r="U271" i="2"/>
  <c r="U230" i="2"/>
  <c r="U228" i="2"/>
  <c r="U210" i="2"/>
  <c r="U208" i="2"/>
  <c r="U200" i="2"/>
  <c r="U198" i="2"/>
  <c r="U189" i="2"/>
  <c r="U187" i="2"/>
  <c r="U178" i="2"/>
  <c r="U176" i="2"/>
  <c r="U175" i="2"/>
  <c r="U168" i="2"/>
  <c r="U166" i="2"/>
  <c r="U147" i="2"/>
  <c r="U145" i="2"/>
  <c r="U134" i="2"/>
  <c r="U136" i="2"/>
  <c r="U133" i="2"/>
  <c r="U126" i="2"/>
  <c r="U124" i="2"/>
  <c r="U102" i="2"/>
  <c r="U99" i="2"/>
  <c r="U98" i="2"/>
  <c r="M86" i="2"/>
  <c r="U86" i="2"/>
  <c r="U83" i="2"/>
  <c r="U84" i="2"/>
  <c r="T81" i="2"/>
  <c r="S81" i="2"/>
  <c r="R81" i="2"/>
  <c r="Q81" i="2"/>
  <c r="T80" i="2"/>
  <c r="S80" i="2"/>
  <c r="R80" i="2"/>
  <c r="Q80" i="2"/>
  <c r="U82" i="2"/>
  <c r="U87" i="2"/>
  <c r="U72" i="2"/>
  <c r="U55" i="2"/>
  <c r="U54" i="2"/>
  <c r="U58" i="2"/>
  <c r="S38" i="2"/>
  <c r="T38" i="2"/>
  <c r="S39" i="2"/>
  <c r="S16" i="2" s="1"/>
  <c r="P21" i="1" s="1"/>
  <c r="T39" i="2"/>
  <c r="T16" i="2" s="1"/>
  <c r="Q21" i="1" s="1"/>
  <c r="S40" i="2"/>
  <c r="S18" i="2" s="1"/>
  <c r="P23" i="1" s="1"/>
  <c r="T40" i="2"/>
  <c r="S42" i="2"/>
  <c r="T42" i="2"/>
  <c r="S45" i="2"/>
  <c r="S26" i="2" s="1"/>
  <c r="P35" i="1" s="1"/>
  <c r="T45" i="2"/>
  <c r="T26" i="2" s="1"/>
  <c r="Q35" i="1" s="1"/>
  <c r="S46" i="2"/>
  <c r="S28" i="2" s="1"/>
  <c r="P37" i="1" s="1"/>
  <c r="P141" i="1" s="1"/>
  <c r="P203" i="1" s="1"/>
  <c r="T46" i="2"/>
  <c r="T28" i="2" s="1"/>
  <c r="Q37" i="1" s="1"/>
  <c r="Q141" i="1" s="1"/>
  <c r="Q203" i="1" s="1"/>
  <c r="S47" i="2"/>
  <c r="S29" i="2" s="1"/>
  <c r="P38" i="1" s="1"/>
  <c r="P142" i="1" s="1"/>
  <c r="P204" i="1" s="1"/>
  <c r="T47" i="2"/>
  <c r="T29" i="2" s="1"/>
  <c r="Q38" i="1" s="1"/>
  <c r="Q142" i="1" s="1"/>
  <c r="Q204" i="1" s="1"/>
  <c r="S49" i="2"/>
  <c r="S31" i="2" s="1"/>
  <c r="T49" i="2"/>
  <c r="T31" i="2" s="1"/>
  <c r="S50" i="2"/>
  <c r="T50" i="2"/>
  <c r="T15" i="2"/>
  <c r="T18" i="2"/>
  <c r="Q23" i="1" s="1"/>
  <c r="M512" i="2"/>
  <c r="M464" i="2"/>
  <c r="D464" i="2" s="1"/>
  <c r="M467" i="2"/>
  <c r="M452" i="2"/>
  <c r="D452" i="2" s="1"/>
  <c r="M455" i="2"/>
  <c r="M439" i="2"/>
  <c r="M423" i="2"/>
  <c r="M403" i="2"/>
  <c r="M400" i="2"/>
  <c r="M398" i="2"/>
  <c r="M376" i="2"/>
  <c r="D376" i="2" s="1"/>
  <c r="M371" i="2"/>
  <c r="D371" i="2" s="1"/>
  <c r="M370" i="2"/>
  <c r="D370" i="2" s="1"/>
  <c r="M367" i="2"/>
  <c r="D367" i="2" s="1"/>
  <c r="M363" i="2"/>
  <c r="D363" i="2" s="1"/>
  <c r="M362" i="2"/>
  <c r="M354" i="2"/>
  <c r="M221" i="2"/>
  <c r="M219" i="2"/>
  <c r="M220" i="2"/>
  <c r="M208" i="2"/>
  <c r="D208" i="2" s="1"/>
  <c r="M91" i="2"/>
  <c r="D91" i="2" s="1"/>
  <c r="M84" i="2"/>
  <c r="D84" i="2" s="1"/>
  <c r="M77" i="2"/>
  <c r="D77" i="2" s="1"/>
  <c r="Q76" i="1" l="1"/>
  <c r="Q74" i="1" s="1"/>
  <c r="Q73" i="1" s="1"/>
  <c r="Q84" i="1" s="1"/>
  <c r="T415" i="2"/>
  <c r="M25" i="2"/>
  <c r="M347" i="2"/>
  <c r="M15" i="2" s="1"/>
  <c r="M351" i="2"/>
  <c r="M22" i="2" s="1"/>
  <c r="J26" i="1" s="1"/>
  <c r="T33" i="2"/>
  <c r="M218" i="2"/>
  <c r="S407" i="2"/>
  <c r="T20" i="2"/>
  <c r="Q27" i="1" s="1"/>
  <c r="Q126" i="1" s="1"/>
  <c r="Q187" i="1" s="1"/>
  <c r="T407" i="2"/>
  <c r="S21" i="2"/>
  <c r="S41" i="2"/>
  <c r="T21" i="2"/>
  <c r="T41" i="2"/>
  <c r="M119" i="9"/>
  <c r="S32" i="2"/>
  <c r="P43" i="1" s="1"/>
  <c r="P143" i="1" s="1"/>
  <c r="P205" i="1" s="1"/>
  <c r="Q136" i="1"/>
  <c r="Q198" i="1" s="1"/>
  <c r="T14" i="2"/>
  <c r="T32" i="2"/>
  <c r="Q43" i="1" s="1"/>
  <c r="Q143" i="1" s="1"/>
  <c r="Q205" i="1" s="1"/>
  <c r="Q368" i="2"/>
  <c r="R360" i="2"/>
  <c r="R11" i="2" s="1"/>
  <c r="R368" i="2"/>
  <c r="S360" i="2"/>
  <c r="S11" i="2" s="1"/>
  <c r="S368" i="2"/>
  <c r="T360" i="2"/>
  <c r="T11" i="2" s="1"/>
  <c r="T368" i="2"/>
  <c r="S14" i="2"/>
  <c r="S396" i="2"/>
  <c r="S10" i="2" s="1"/>
  <c r="T396" i="2"/>
  <c r="T10" i="2" s="1"/>
  <c r="S20" i="2"/>
  <c r="S414" i="2"/>
  <c r="P76" i="1"/>
  <c r="P74" i="1" s="1"/>
  <c r="P73" i="1" s="1"/>
  <c r="P84" i="1" s="1"/>
  <c r="S33" i="2"/>
  <c r="S349" i="2"/>
  <c r="T345" i="2"/>
  <c r="T387" i="2"/>
  <c r="P127" i="1"/>
  <c r="P188" i="1" s="1"/>
  <c r="P124" i="1"/>
  <c r="P185" i="1" s="1"/>
  <c r="J129" i="1"/>
  <c r="Q127" i="1"/>
  <c r="Q188" i="1" s="1"/>
  <c r="Q124" i="1"/>
  <c r="Q185" i="1" s="1"/>
  <c r="T17" i="3"/>
  <c r="T11" i="3"/>
  <c r="S17" i="3"/>
  <c r="S11" i="3"/>
  <c r="S406" i="2"/>
  <c r="T406" i="2"/>
  <c r="T349" i="2"/>
  <c r="Q360" i="2"/>
  <c r="Q11" i="2" s="1"/>
  <c r="M49" i="2"/>
  <c r="M358" i="2"/>
  <c r="M34" i="2" s="1"/>
  <c r="J41" i="1" s="1"/>
  <c r="M389" i="2"/>
  <c r="M388" i="2" s="1"/>
  <c r="M402" i="2"/>
  <c r="M401" i="2" s="1"/>
  <c r="M438" i="2"/>
  <c r="M437" i="2" s="1"/>
  <c r="T37" i="2"/>
  <c r="M394" i="2"/>
  <c r="M393" i="2" s="1"/>
  <c r="M392" i="2" s="1"/>
  <c r="M391" i="2"/>
  <c r="M390" i="2" s="1"/>
  <c r="D400" i="2"/>
  <c r="M422" i="2"/>
  <c r="M421" i="2" s="1"/>
  <c r="M454" i="2"/>
  <c r="M453" i="2" s="1"/>
  <c r="M466" i="2"/>
  <c r="M465" i="2" s="1"/>
  <c r="D467" i="2"/>
  <c r="M511" i="2"/>
  <c r="M510" i="2" s="1"/>
  <c r="D512" i="2"/>
  <c r="S37" i="2"/>
  <c r="M31" i="2"/>
  <c r="S353" i="2"/>
  <c r="S356" i="2"/>
  <c r="T353" i="2"/>
  <c r="T356" i="2"/>
  <c r="S345" i="2"/>
  <c r="R316" i="2"/>
  <c r="T409" i="2"/>
  <c r="T408" i="2" s="1"/>
  <c r="S409" i="2"/>
  <c r="S408" i="2" s="1"/>
  <c r="T414" i="2"/>
  <c r="S387" i="2"/>
  <c r="R387" i="2"/>
  <c r="T316" i="2"/>
  <c r="S316" i="2"/>
  <c r="Q316" i="2"/>
  <c r="T48" i="2"/>
  <c r="T44" i="2"/>
  <c r="S48" i="2"/>
  <c r="S44" i="2"/>
  <c r="T24" i="2"/>
  <c r="T13" i="2"/>
  <c r="S24" i="2"/>
  <c r="M399" i="2"/>
  <c r="M397" i="2"/>
  <c r="M217" i="2"/>
  <c r="T19" i="2" l="1"/>
  <c r="S352" i="2"/>
  <c r="M387" i="2"/>
  <c r="P27" i="1"/>
  <c r="S19" i="2"/>
  <c r="S13" i="2"/>
  <c r="S30" i="2"/>
  <c r="S23" i="2" s="1"/>
  <c r="T344" i="2"/>
  <c r="T9" i="2"/>
  <c r="S9" i="2"/>
  <c r="T30" i="2"/>
  <c r="T23" i="2" s="1"/>
  <c r="S344" i="2"/>
  <c r="T352" i="2"/>
  <c r="P136" i="1"/>
  <c r="P198" i="1" s="1"/>
  <c r="T36" i="2"/>
  <c r="T405" i="2"/>
  <c r="S405" i="2"/>
  <c r="S36" i="2"/>
  <c r="M396" i="2"/>
  <c r="T12" i="2"/>
  <c r="S43" i="2"/>
  <c r="T43" i="2"/>
  <c r="S12" i="2" l="1"/>
  <c r="P126" i="1"/>
  <c r="D189" i="3"/>
  <c r="M181" i="3"/>
  <c r="M175" i="3"/>
  <c r="M169" i="3"/>
  <c r="M163" i="3"/>
  <c r="M143" i="3"/>
  <c r="M142" i="3" s="1"/>
  <c r="M145" i="3"/>
  <c r="M140" i="3"/>
  <c r="M139" i="3" s="1"/>
  <c r="M148" i="3"/>
  <c r="D148" i="3" s="1"/>
  <c r="M133" i="3"/>
  <c r="M100" i="3"/>
  <c r="M99" i="3" s="1"/>
  <c r="M97" i="3"/>
  <c r="M95" i="3"/>
  <c r="M94" i="3" s="1"/>
  <c r="M92" i="3"/>
  <c r="P187" i="1" l="1"/>
  <c r="D140" i="3"/>
  <c r="M91" i="3"/>
  <c r="M147" i="3"/>
  <c r="M144" i="3" s="1"/>
  <c r="D143" i="3"/>
  <c r="M138" i="3"/>
  <c r="M96" i="3"/>
  <c r="M90" i="3"/>
  <c r="M88" i="3"/>
  <c r="D88" i="3" s="1"/>
  <c r="M76" i="3"/>
  <c r="M40" i="3"/>
  <c r="M38" i="3"/>
  <c r="M35" i="3"/>
  <c r="M33" i="3"/>
  <c r="M39" i="3"/>
  <c r="M34" i="3"/>
  <c r="M31" i="3" l="1"/>
  <c r="M37" i="3"/>
  <c r="M36" i="3" s="1"/>
  <c r="M87" i="3"/>
  <c r="M75" i="3"/>
  <c r="M30" i="3"/>
  <c r="N63" i="9"/>
  <c r="M133" i="6" l="1"/>
  <c r="M86" i="6"/>
  <c r="M83" i="6" s="1"/>
  <c r="M82" i="6" s="1"/>
  <c r="M81" i="6" s="1"/>
  <c r="M85" i="6"/>
  <c r="M73" i="6"/>
  <c r="M76" i="6"/>
  <c r="M74" i="6"/>
  <c r="M67" i="6"/>
  <c r="M65" i="6"/>
  <c r="M64" i="6" s="1"/>
  <c r="M62" i="6"/>
  <c r="M60" i="6"/>
  <c r="M59" i="6" s="1"/>
  <c r="M56" i="6"/>
  <c r="M54" i="6"/>
  <c r="M53" i="6" s="1"/>
  <c r="M51" i="6"/>
  <c r="M49" i="6"/>
  <c r="M48" i="6" s="1"/>
  <c r="M45" i="6"/>
  <c r="M43" i="6"/>
  <c r="M42" i="6" s="1"/>
  <c r="M40" i="6"/>
  <c r="M38" i="6"/>
  <c r="M37" i="6" s="1"/>
  <c r="M66" i="6"/>
  <c r="M61" i="6"/>
  <c r="M55" i="6"/>
  <c r="M50" i="6"/>
  <c r="M44" i="6"/>
  <c r="M39" i="6"/>
  <c r="E15" i="6"/>
  <c r="E23" i="6"/>
  <c r="E21" i="6"/>
  <c r="E16" i="6"/>
  <c r="E121" i="6"/>
  <c r="E120" i="6" s="1"/>
  <c r="E119" i="6" s="1"/>
  <c r="P121" i="6"/>
  <c r="P120" i="6" s="1"/>
  <c r="P119" i="6" s="1"/>
  <c r="Q121" i="6"/>
  <c r="Q120" i="6" s="1"/>
  <c r="Q119" i="6" s="1"/>
  <c r="R121" i="6"/>
  <c r="R120" i="6" s="1"/>
  <c r="R119" i="6" s="1"/>
  <c r="S121" i="6"/>
  <c r="S120" i="6" s="1"/>
  <c r="S119" i="6" s="1"/>
  <c r="T121" i="6"/>
  <c r="T120" i="6" s="1"/>
  <c r="T119" i="6" s="1"/>
  <c r="G121" i="6"/>
  <c r="G120" i="6" s="1"/>
  <c r="G119" i="6" s="1"/>
  <c r="H121" i="6"/>
  <c r="H120" i="6" s="1"/>
  <c r="H119" i="6" s="1"/>
  <c r="I121" i="6"/>
  <c r="I120" i="6" s="1"/>
  <c r="I119" i="6" s="1"/>
  <c r="K121" i="6"/>
  <c r="K120" i="6" s="1"/>
  <c r="K119" i="6" s="1"/>
  <c r="L121" i="6"/>
  <c r="L120" i="6" s="1"/>
  <c r="L119" i="6" s="1"/>
  <c r="N121" i="6"/>
  <c r="N120" i="6" s="1"/>
  <c r="O121" i="6"/>
  <c r="O120" i="6" s="1"/>
  <c r="F121" i="6"/>
  <c r="F120" i="6" s="1"/>
  <c r="F119" i="6" s="1"/>
  <c r="E118" i="6"/>
  <c r="E117" i="6"/>
  <c r="K118" i="6"/>
  <c r="L118" i="6"/>
  <c r="F118" i="6"/>
  <c r="G118" i="6"/>
  <c r="H118" i="6"/>
  <c r="I118" i="6"/>
  <c r="E83" i="6"/>
  <c r="E71" i="6"/>
  <c r="D60" i="6"/>
  <c r="D49" i="6"/>
  <c r="U133" i="6"/>
  <c r="U134" i="6"/>
  <c r="T15" i="6"/>
  <c r="Q18" i="1" s="1"/>
  <c r="U95" i="6"/>
  <c r="U93" i="6"/>
  <c r="U84" i="6"/>
  <c r="U76" i="6"/>
  <c r="U72" i="6"/>
  <c r="U62" i="6"/>
  <c r="U60" i="6"/>
  <c r="U51" i="6"/>
  <c r="U49" i="6"/>
  <c r="U40" i="6"/>
  <c r="U38" i="6"/>
  <c r="U29" i="6"/>
  <c r="U27" i="6"/>
  <c r="U48" i="6"/>
  <c r="T136" i="6"/>
  <c r="S136" i="6"/>
  <c r="S135" i="6" s="1"/>
  <c r="R136" i="6"/>
  <c r="Q136" i="6"/>
  <c r="Q135" i="6" s="1"/>
  <c r="P136" i="6"/>
  <c r="T135" i="6"/>
  <c r="R135" i="6"/>
  <c r="P135" i="6"/>
  <c r="T132" i="6"/>
  <c r="T131" i="6" s="1"/>
  <c r="S132" i="6"/>
  <c r="S131" i="6" s="1"/>
  <c r="R132" i="6"/>
  <c r="Q132" i="6"/>
  <c r="Q131" i="6" s="1"/>
  <c r="P132" i="6"/>
  <c r="P131" i="6" s="1"/>
  <c r="R131" i="6"/>
  <c r="Q118" i="6"/>
  <c r="N70" i="1" s="1"/>
  <c r="R118" i="6"/>
  <c r="O70" i="1" s="1"/>
  <c r="S118" i="6"/>
  <c r="P70" i="1" s="1"/>
  <c r="P123" i="1" s="1"/>
  <c r="P189" i="1" s="1"/>
  <c r="T118" i="6"/>
  <c r="Q70" i="1" s="1"/>
  <c r="Q123" i="1" s="1"/>
  <c r="Q189" i="1" s="1"/>
  <c r="S117" i="6"/>
  <c r="P63" i="1" s="1"/>
  <c r="T117" i="6"/>
  <c r="Q63" i="1" s="1"/>
  <c r="S116" i="6"/>
  <c r="S115" i="6" s="1"/>
  <c r="T116" i="6"/>
  <c r="T115" i="6" s="1"/>
  <c r="S114" i="6"/>
  <c r="T114" i="6"/>
  <c r="Q59" i="1" s="1"/>
  <c r="P108" i="6"/>
  <c r="Q108" i="6"/>
  <c r="R108" i="6"/>
  <c r="S108" i="6"/>
  <c r="S107" i="6" s="1"/>
  <c r="T108" i="6"/>
  <c r="R107" i="6"/>
  <c r="T107" i="6"/>
  <c r="P105" i="6"/>
  <c r="Q105" i="6"/>
  <c r="R105" i="6"/>
  <c r="S105" i="6"/>
  <c r="T105" i="6"/>
  <c r="P103" i="6"/>
  <c r="Q103" i="6"/>
  <c r="R103" i="6"/>
  <c r="S103" i="6"/>
  <c r="T103" i="6"/>
  <c r="R99" i="6"/>
  <c r="R92" i="6"/>
  <c r="S92" i="6"/>
  <c r="T92" i="6"/>
  <c r="R94" i="6"/>
  <c r="S94" i="6"/>
  <c r="T94" i="6"/>
  <c r="R97" i="6"/>
  <c r="S97" i="6"/>
  <c r="T97" i="6"/>
  <c r="S99" i="6"/>
  <c r="T99" i="6"/>
  <c r="Q88" i="6"/>
  <c r="R88" i="6"/>
  <c r="S88" i="6"/>
  <c r="T88" i="6"/>
  <c r="Q87" i="6"/>
  <c r="R87" i="6"/>
  <c r="S87" i="6"/>
  <c r="T87" i="6"/>
  <c r="Q82" i="6"/>
  <c r="Q81" i="6" s="1"/>
  <c r="R82" i="6"/>
  <c r="R81" i="6" s="1"/>
  <c r="S82" i="6"/>
  <c r="S81" i="6" s="1"/>
  <c r="T82" i="6"/>
  <c r="T81" i="6" s="1"/>
  <c r="Q70" i="6"/>
  <c r="T70" i="6"/>
  <c r="S70" i="6"/>
  <c r="S69" i="6" s="1"/>
  <c r="R70" i="6"/>
  <c r="T69" i="6"/>
  <c r="R69" i="6"/>
  <c r="Q69" i="6"/>
  <c r="T78" i="6"/>
  <c r="S78" i="6"/>
  <c r="R78" i="6"/>
  <c r="Q78" i="6"/>
  <c r="T77" i="6"/>
  <c r="S77" i="6"/>
  <c r="R77" i="6"/>
  <c r="Q77" i="6"/>
  <c r="D76" i="6"/>
  <c r="D65" i="6"/>
  <c r="D62" i="6"/>
  <c r="D56" i="6"/>
  <c r="D54" i="6"/>
  <c r="D51" i="6"/>
  <c r="D45" i="6"/>
  <c r="D43" i="6"/>
  <c r="D40" i="6"/>
  <c r="D38" i="6"/>
  <c r="S66" i="6"/>
  <c r="T66" i="6"/>
  <c r="S64" i="6"/>
  <c r="T64" i="6"/>
  <c r="S63" i="6"/>
  <c r="T63" i="6"/>
  <c r="S61" i="6"/>
  <c r="T61" i="6"/>
  <c r="S59" i="6"/>
  <c r="S58" i="6" s="1"/>
  <c r="T59" i="6"/>
  <c r="T58" i="6" s="1"/>
  <c r="T55" i="6"/>
  <c r="S55" i="6"/>
  <c r="T53" i="6"/>
  <c r="S53" i="6"/>
  <c r="T52" i="6"/>
  <c r="S52" i="6"/>
  <c r="T50" i="6"/>
  <c r="S50" i="6"/>
  <c r="T48" i="6"/>
  <c r="S48" i="6"/>
  <c r="T47" i="6"/>
  <c r="S47" i="6"/>
  <c r="T37" i="6"/>
  <c r="T44" i="6"/>
  <c r="S44" i="6"/>
  <c r="R44" i="6"/>
  <c r="Q44" i="6"/>
  <c r="T42" i="6"/>
  <c r="S42" i="6"/>
  <c r="R42" i="6"/>
  <c r="Q42" i="6"/>
  <c r="T41" i="6"/>
  <c r="Q97" i="1" s="1"/>
  <c r="Q91" i="1" s="1"/>
  <c r="S41" i="6"/>
  <c r="R41" i="6"/>
  <c r="Q41" i="6"/>
  <c r="T39" i="6"/>
  <c r="T36" i="6" s="1"/>
  <c r="S39" i="6"/>
  <c r="R39" i="6"/>
  <c r="R36" i="6" s="1"/>
  <c r="Q39" i="6"/>
  <c r="S37" i="6"/>
  <c r="S36" i="6" s="1"/>
  <c r="R37" i="6"/>
  <c r="Q37" i="6"/>
  <c r="Q36" i="6"/>
  <c r="T33" i="6"/>
  <c r="S33" i="6"/>
  <c r="R33" i="6"/>
  <c r="Q33" i="6"/>
  <c r="T31" i="6"/>
  <c r="S31" i="6"/>
  <c r="R31" i="6"/>
  <c r="Q31" i="6"/>
  <c r="T30" i="6"/>
  <c r="S30" i="6"/>
  <c r="R30" i="6"/>
  <c r="Q30" i="6"/>
  <c r="T28" i="6"/>
  <c r="S28" i="6"/>
  <c r="R28" i="6"/>
  <c r="Q28" i="6"/>
  <c r="T26" i="6"/>
  <c r="S26" i="6"/>
  <c r="R26" i="6"/>
  <c r="Q26" i="6"/>
  <c r="T25" i="6"/>
  <c r="S25" i="6"/>
  <c r="R25" i="6"/>
  <c r="Q25" i="6"/>
  <c r="T128" i="6"/>
  <c r="T127" i="6" s="1"/>
  <c r="T113" i="6" s="1"/>
  <c r="Q58" i="1" s="1"/>
  <c r="S128" i="6"/>
  <c r="S127" i="6" s="1"/>
  <c r="S113" i="6" s="1"/>
  <c r="P58" i="1" s="1"/>
  <c r="R129" i="6"/>
  <c r="R117" i="6" s="1"/>
  <c r="R116" i="6" s="1"/>
  <c r="R115" i="6" s="1"/>
  <c r="T23" i="6"/>
  <c r="S23" i="6"/>
  <c r="T21" i="6"/>
  <c r="S21" i="6"/>
  <c r="T18" i="6"/>
  <c r="S18" i="6"/>
  <c r="S16" i="6"/>
  <c r="P19" i="1" s="1"/>
  <c r="P122" i="1" s="1"/>
  <c r="P184" i="1" s="1"/>
  <c r="T16" i="6"/>
  <c r="R15" i="6"/>
  <c r="S15" i="6"/>
  <c r="P18" i="1" s="1"/>
  <c r="M36" i="6" l="1"/>
  <c r="M58" i="6"/>
  <c r="Q57" i="1"/>
  <c r="P97" i="1"/>
  <c r="P91" i="1" s="1"/>
  <c r="E18" i="6"/>
  <c r="R96" i="6"/>
  <c r="T102" i="6"/>
  <c r="R102" i="6"/>
  <c r="P120" i="1"/>
  <c r="P182" i="1" s="1"/>
  <c r="P17" i="1"/>
  <c r="T14" i="6"/>
  <c r="Q19" i="1"/>
  <c r="Q122" i="1" s="1"/>
  <c r="Q184" i="1" s="1"/>
  <c r="S17" i="6"/>
  <c r="P29" i="1"/>
  <c r="S20" i="6"/>
  <c r="P32" i="1"/>
  <c r="S22" i="6"/>
  <c r="S19" i="6" s="1"/>
  <c r="P44" i="1"/>
  <c r="P102" i="6"/>
  <c r="T17" i="6"/>
  <c r="Q29" i="1"/>
  <c r="T20" i="6"/>
  <c r="Q32" i="1"/>
  <c r="T22" i="6"/>
  <c r="Q44" i="1"/>
  <c r="Q62" i="1"/>
  <c r="Q61" i="1" s="1"/>
  <c r="Q83" i="1" s="1"/>
  <c r="Q85" i="1"/>
  <c r="Q120" i="1"/>
  <c r="Q17" i="1"/>
  <c r="T96" i="6"/>
  <c r="Q96" i="1" s="1"/>
  <c r="M52" i="6"/>
  <c r="M63" i="6"/>
  <c r="M47" i="6"/>
  <c r="M41" i="6"/>
  <c r="S112" i="6"/>
  <c r="T91" i="6"/>
  <c r="R91" i="6"/>
  <c r="T11" i="6"/>
  <c r="Q13" i="1" s="1"/>
  <c r="Q87" i="1" s="1"/>
  <c r="T112" i="6"/>
  <c r="S102" i="6"/>
  <c r="Q102" i="6"/>
  <c r="S14" i="6"/>
  <c r="S96" i="6"/>
  <c r="P96" i="1" s="1"/>
  <c r="S91" i="6"/>
  <c r="S11" i="6" s="1"/>
  <c r="P13" i="1" s="1"/>
  <c r="P87" i="1" s="1"/>
  <c r="T12" i="6"/>
  <c r="S12" i="6"/>
  <c r="T19" i="6"/>
  <c r="T13" i="6"/>
  <c r="E78" i="5"/>
  <c r="I78" i="5"/>
  <c r="J78" i="5"/>
  <c r="N99" i="5"/>
  <c r="S13" i="6" l="1"/>
  <c r="P90" i="1"/>
  <c r="P95" i="1"/>
  <c r="Q90" i="1"/>
  <c r="Q95" i="1"/>
  <c r="S10" i="6"/>
  <c r="P14" i="1"/>
  <c r="P12" i="1" s="1"/>
  <c r="T10" i="6"/>
  <c r="Q14" i="1"/>
  <c r="P145" i="1"/>
  <c r="P207" i="1" s="1"/>
  <c r="P39" i="1"/>
  <c r="P135" i="1"/>
  <c r="P31" i="1"/>
  <c r="P130" i="1"/>
  <c r="P192" i="1" s="1"/>
  <c r="P24" i="1"/>
  <c r="P16" i="1" s="1"/>
  <c r="P46" i="1" s="1"/>
  <c r="Q182" i="1"/>
  <c r="Q145" i="1"/>
  <c r="Q207" i="1" s="1"/>
  <c r="Q39" i="1"/>
  <c r="Q31" i="1"/>
  <c r="Q135" i="1"/>
  <c r="Q130" i="1"/>
  <c r="Q192" i="1" s="1"/>
  <c r="Q24" i="1"/>
  <c r="Q16" i="1" s="1"/>
  <c r="Q46" i="1" s="1"/>
  <c r="Q104" i="1"/>
  <c r="D97" i="9"/>
  <c r="D96" i="9" s="1"/>
  <c r="D93" i="9" s="1"/>
  <c r="Q30" i="1" l="1"/>
  <c r="Q131" i="1"/>
  <c r="Q47" i="1"/>
  <c r="Q94" i="1"/>
  <c r="P30" i="1"/>
  <c r="Q12" i="1"/>
  <c r="Q105" i="1" s="1"/>
  <c r="Q88" i="1"/>
  <c r="Q86" i="1" s="1"/>
  <c r="Q197" i="1"/>
  <c r="Q208" i="1" s="1"/>
  <c r="Q146" i="1"/>
  <c r="Q119" i="1"/>
  <c r="Q193" i="1"/>
  <c r="P197" i="1"/>
  <c r="P208" i="1" s="1"/>
  <c r="P146" i="1"/>
  <c r="Q129" i="6"/>
  <c r="P129" i="6"/>
  <c r="O129" i="6"/>
  <c r="N129" i="6"/>
  <c r="Q132" i="1" l="1"/>
  <c r="U129" i="6"/>
  <c r="Q181" i="1"/>
  <c r="Q194" i="1"/>
  <c r="P47" i="1"/>
  <c r="P94" i="1"/>
  <c r="Q89" i="1"/>
  <c r="Q133" i="1"/>
  <c r="N118" i="8"/>
  <c r="N32" i="8" s="1"/>
  <c r="N115" i="8"/>
  <c r="N112" i="8"/>
  <c r="N21" i="8" s="1"/>
  <c r="K28" i="1" s="1"/>
  <c r="K128" i="1" s="1"/>
  <c r="N109" i="8"/>
  <c r="N108" i="8"/>
  <c r="N95" i="5"/>
  <c r="N92" i="5"/>
  <c r="N89" i="5"/>
  <c r="N86" i="5"/>
  <c r="N87" i="5"/>
  <c r="Q147" i="1" l="1"/>
  <c r="Q102" i="1"/>
  <c r="Q92" i="1"/>
  <c r="Q210" i="1"/>
  <c r="Q211" i="1" s="1"/>
  <c r="Q195" i="1"/>
  <c r="P89" i="1"/>
  <c r="P133" i="1"/>
  <c r="R439" i="2"/>
  <c r="Q439" i="2"/>
  <c r="U459" i="2"/>
  <c r="R508" i="2"/>
  <c r="R492" i="2"/>
  <c r="R491" i="2" s="1"/>
  <c r="R500" i="2"/>
  <c r="R499" i="2" s="1"/>
  <c r="Q500" i="2"/>
  <c r="Q499" i="2" s="1"/>
  <c r="P500" i="2"/>
  <c r="P195" i="1" l="1"/>
  <c r="P210" i="1"/>
  <c r="P211" i="1" s="1"/>
  <c r="P102" i="1"/>
  <c r="P92" i="1"/>
  <c r="P147" i="1"/>
  <c r="P499" i="2"/>
  <c r="P410" i="2"/>
  <c r="Q410" i="2"/>
  <c r="R410" i="2"/>
  <c r="O37" i="9"/>
  <c r="O36" i="9" s="1"/>
  <c r="D455" i="2" l="1"/>
  <c r="L47" i="3" l="1"/>
  <c r="L52" i="3"/>
  <c r="O95" i="3" l="1"/>
  <c r="N95" i="3"/>
  <c r="D95" i="3" s="1"/>
  <c r="U86" i="6" l="1"/>
  <c r="U74" i="6"/>
  <c r="U85" i="6"/>
  <c r="D85" i="6"/>
  <c r="D74" i="6" l="1"/>
  <c r="D86" i="6"/>
  <c r="N34" i="6"/>
  <c r="N32" i="6"/>
  <c r="N29" i="6"/>
  <c r="N27" i="6"/>
  <c r="R23" i="6" l="1"/>
  <c r="R22" i="6" s="1"/>
  <c r="Q23" i="6"/>
  <c r="R21" i="6"/>
  <c r="Q21" i="6"/>
  <c r="P21" i="6"/>
  <c r="O21" i="6"/>
  <c r="N21" i="6"/>
  <c r="R18" i="6"/>
  <c r="R17" i="6" s="1"/>
  <c r="Q18" i="6"/>
  <c r="P18" i="6"/>
  <c r="R16" i="6"/>
  <c r="R14" i="6" s="1"/>
  <c r="Q16" i="6"/>
  <c r="P16" i="6"/>
  <c r="O16" i="6"/>
  <c r="N16" i="6"/>
  <c r="Q66" i="6"/>
  <c r="R66" i="6"/>
  <c r="Q61" i="6"/>
  <c r="R61" i="6"/>
  <c r="Q64" i="6"/>
  <c r="Q63" i="6" s="1"/>
  <c r="R64" i="6"/>
  <c r="R63" i="6" s="1"/>
  <c r="Q59" i="6"/>
  <c r="Q58" i="6" s="1"/>
  <c r="Q12" i="6" s="1"/>
  <c r="R59" i="6"/>
  <c r="R58" i="6" s="1"/>
  <c r="R12" i="6" s="1"/>
  <c r="D67" i="6"/>
  <c r="P66" i="6"/>
  <c r="O66" i="6"/>
  <c r="N66" i="6"/>
  <c r="L66" i="6"/>
  <c r="K66" i="6"/>
  <c r="J66" i="6"/>
  <c r="I66" i="6"/>
  <c r="H66" i="6"/>
  <c r="G66" i="6"/>
  <c r="F66" i="6"/>
  <c r="E66" i="6"/>
  <c r="P64" i="6"/>
  <c r="P63" i="6" s="1"/>
  <c r="O64" i="6"/>
  <c r="N64" i="6"/>
  <c r="L64" i="6"/>
  <c r="K64" i="6"/>
  <c r="J64" i="6"/>
  <c r="I64" i="6"/>
  <c r="H64" i="6"/>
  <c r="G64" i="6"/>
  <c r="G63" i="6" s="1"/>
  <c r="F64" i="6"/>
  <c r="E64" i="6"/>
  <c r="U61" i="6"/>
  <c r="P61" i="6"/>
  <c r="O61" i="6"/>
  <c r="N61" i="6"/>
  <c r="L61" i="6"/>
  <c r="K61" i="6"/>
  <c r="J61" i="6"/>
  <c r="I61" i="6"/>
  <c r="H61" i="6"/>
  <c r="G61" i="6"/>
  <c r="F61" i="6"/>
  <c r="E61" i="6"/>
  <c r="D59" i="6"/>
  <c r="U59" i="6"/>
  <c r="P59" i="6"/>
  <c r="O59" i="6"/>
  <c r="N59" i="6"/>
  <c r="L59" i="6"/>
  <c r="K59" i="6"/>
  <c r="J59" i="6"/>
  <c r="I59" i="6"/>
  <c r="H59" i="6"/>
  <c r="G59" i="6"/>
  <c r="F59" i="6"/>
  <c r="E59" i="6"/>
  <c r="U58" i="6"/>
  <c r="O58" i="6"/>
  <c r="F58" i="6"/>
  <c r="E50" i="6"/>
  <c r="F50" i="6"/>
  <c r="G50" i="6"/>
  <c r="D55" i="6"/>
  <c r="D53" i="6"/>
  <c r="Q55" i="6"/>
  <c r="R55" i="6"/>
  <c r="Q53" i="6"/>
  <c r="Q52" i="6" s="1"/>
  <c r="R53" i="6"/>
  <c r="R52" i="6" s="1"/>
  <c r="D48" i="6"/>
  <c r="D50" i="6"/>
  <c r="Q50" i="6"/>
  <c r="R50" i="6"/>
  <c r="Q48" i="6"/>
  <c r="Q47" i="6" s="1"/>
  <c r="R48" i="6"/>
  <c r="N58" i="6" l="1"/>
  <c r="P58" i="6"/>
  <c r="E58" i="6"/>
  <c r="G58" i="6"/>
  <c r="I58" i="6"/>
  <c r="F63" i="6"/>
  <c r="J63" i="6"/>
  <c r="L63" i="6"/>
  <c r="O63" i="6"/>
  <c r="H63" i="6"/>
  <c r="H58" i="6"/>
  <c r="K63" i="6"/>
  <c r="I63" i="6"/>
  <c r="U16" i="6"/>
  <c r="D52" i="6"/>
  <c r="D47" i="6"/>
  <c r="R13" i="6"/>
  <c r="K58" i="6"/>
  <c r="R20" i="6"/>
  <c r="J58" i="6"/>
  <c r="L58" i="6"/>
  <c r="N63" i="6"/>
  <c r="R19" i="6"/>
  <c r="D64" i="6"/>
  <c r="E63" i="6"/>
  <c r="D61" i="6"/>
  <c r="D58" i="6" s="1"/>
  <c r="D66" i="6"/>
  <c r="R47" i="6"/>
  <c r="P55" i="6"/>
  <c r="O55" i="6"/>
  <c r="N55" i="6"/>
  <c r="L55" i="6"/>
  <c r="L52" i="6" s="1"/>
  <c r="K55" i="6"/>
  <c r="J55" i="6"/>
  <c r="I55" i="6"/>
  <c r="H55" i="6"/>
  <c r="G55" i="6"/>
  <c r="F55" i="6"/>
  <c r="F52" i="6" s="1"/>
  <c r="E55" i="6"/>
  <c r="P53" i="6"/>
  <c r="O53" i="6"/>
  <c r="N53" i="6"/>
  <c r="N52" i="6" s="1"/>
  <c r="L53" i="6"/>
  <c r="K53" i="6"/>
  <c r="K52" i="6" s="1"/>
  <c r="J53" i="6"/>
  <c r="I53" i="6"/>
  <c r="I52" i="6" s="1"/>
  <c r="H53" i="6"/>
  <c r="G53" i="6"/>
  <c r="G52" i="6" s="1"/>
  <c r="F53" i="6"/>
  <c r="P52" i="6"/>
  <c r="H50" i="6"/>
  <c r="U50" i="6"/>
  <c r="P50" i="6"/>
  <c r="O50" i="6"/>
  <c r="N50" i="6"/>
  <c r="L50" i="6"/>
  <c r="K50" i="6"/>
  <c r="J50" i="6"/>
  <c r="I50" i="6"/>
  <c r="P48" i="6"/>
  <c r="O48" i="6"/>
  <c r="N48" i="6"/>
  <c r="L48" i="6"/>
  <c r="K48" i="6"/>
  <c r="J48" i="6"/>
  <c r="I48" i="6"/>
  <c r="H48" i="6"/>
  <c r="G48" i="6"/>
  <c r="G47" i="6" s="1"/>
  <c r="F48" i="6"/>
  <c r="F47" i="6" s="1"/>
  <c r="E48" i="6"/>
  <c r="E47" i="6" s="1"/>
  <c r="P47" i="6" l="1"/>
  <c r="J52" i="6"/>
  <c r="O52" i="6"/>
  <c r="H52" i="6"/>
  <c r="I47" i="6"/>
  <c r="H47" i="6"/>
  <c r="D63" i="6"/>
  <c r="K47" i="6"/>
  <c r="R11" i="6"/>
  <c r="R10" i="6" s="1"/>
  <c r="U47" i="6"/>
  <c r="L47" i="6"/>
  <c r="N47" i="6"/>
  <c r="O47" i="6"/>
  <c r="J47" i="6"/>
  <c r="E53" i="6"/>
  <c r="U73" i="6"/>
  <c r="D73" i="6" l="1"/>
  <c r="E52" i="6"/>
  <c r="N52" i="3"/>
  <c r="N50" i="3"/>
  <c r="N47" i="3"/>
  <c r="N45" i="3"/>
  <c r="L50" i="3"/>
  <c r="L45" i="3"/>
  <c r="N51" i="9" l="1"/>
  <c r="L51" i="9"/>
  <c r="O54" i="9"/>
  <c r="N54" i="9"/>
  <c r="L54" i="9"/>
  <c r="D77" i="9" l="1"/>
  <c r="O42" i="9" l="1"/>
  <c r="O13" i="9" s="1"/>
  <c r="O12" i="9" s="1"/>
  <c r="N42" i="9"/>
  <c r="O44" i="9"/>
  <c r="O15" i="9" s="1"/>
  <c r="N44" i="9"/>
  <c r="O47" i="9"/>
  <c r="N47" i="9"/>
  <c r="U35" i="5" l="1"/>
  <c r="U34" i="5" s="1"/>
  <c r="Q77" i="8" l="1"/>
  <c r="Q75" i="8"/>
  <c r="Q74" i="8" s="1"/>
  <c r="O78" i="8"/>
  <c r="R10" i="3" l="1"/>
  <c r="R14" i="3"/>
  <c r="R19" i="3"/>
  <c r="R18" i="3" s="1"/>
  <c r="P21" i="3"/>
  <c r="Q21" i="3"/>
  <c r="R21" i="3"/>
  <c r="R20" i="3" s="1"/>
  <c r="P16" i="3"/>
  <c r="Q16" i="3"/>
  <c r="R16" i="3"/>
  <c r="R15" i="3" s="1"/>
  <c r="K13" i="3"/>
  <c r="P13" i="3"/>
  <c r="Q13" i="3"/>
  <c r="R13" i="3"/>
  <c r="R12" i="3" s="1"/>
  <c r="R11" i="3" s="1"/>
  <c r="D139" i="3"/>
  <c r="Q145" i="3"/>
  <c r="Q144" i="3" s="1"/>
  <c r="R145" i="3"/>
  <c r="R144" i="3" s="1"/>
  <c r="Q147" i="3"/>
  <c r="R147" i="3"/>
  <c r="Q142" i="3"/>
  <c r="R142" i="3"/>
  <c r="Q139" i="3"/>
  <c r="R139" i="3"/>
  <c r="Q138" i="3"/>
  <c r="R138" i="3"/>
  <c r="R9" i="3" s="1"/>
  <c r="R8" i="3" s="1"/>
  <c r="D147" i="3"/>
  <c r="P147" i="3"/>
  <c r="O147" i="3"/>
  <c r="N147" i="3"/>
  <c r="L147" i="3"/>
  <c r="K147" i="3"/>
  <c r="J147" i="3"/>
  <c r="I147" i="3"/>
  <c r="H147" i="3"/>
  <c r="G147" i="3"/>
  <c r="F147" i="3"/>
  <c r="E147" i="3"/>
  <c r="D145" i="3"/>
  <c r="D144" i="3" s="1"/>
  <c r="P145" i="3"/>
  <c r="O145" i="3"/>
  <c r="N145" i="3"/>
  <c r="L145" i="3"/>
  <c r="K145" i="3"/>
  <c r="J145" i="3"/>
  <c r="I145" i="3"/>
  <c r="H145" i="3"/>
  <c r="G145" i="3"/>
  <c r="G144" i="3" s="1"/>
  <c r="F145" i="3"/>
  <c r="E145" i="3"/>
  <c r="O144" i="3"/>
  <c r="L144" i="3"/>
  <c r="H144" i="3"/>
  <c r="F144" i="3"/>
  <c r="U142" i="3"/>
  <c r="D142" i="3"/>
  <c r="P142" i="3"/>
  <c r="O142" i="3"/>
  <c r="N142" i="3"/>
  <c r="L142" i="3"/>
  <c r="K142" i="3"/>
  <c r="J142" i="3"/>
  <c r="I142" i="3"/>
  <c r="H142" i="3"/>
  <c r="G142" i="3"/>
  <c r="F142" i="3"/>
  <c r="E142" i="3"/>
  <c r="U141" i="3"/>
  <c r="P139" i="3"/>
  <c r="O139" i="3"/>
  <c r="O138" i="3" s="1"/>
  <c r="N139" i="3"/>
  <c r="L139" i="3"/>
  <c r="L138" i="3" s="1"/>
  <c r="K139" i="3"/>
  <c r="J139" i="3"/>
  <c r="J138" i="3" s="1"/>
  <c r="I139" i="3"/>
  <c r="H139" i="3"/>
  <c r="H138" i="3" s="1"/>
  <c r="G139" i="3"/>
  <c r="F139" i="3"/>
  <c r="F138" i="3" s="1"/>
  <c r="E139" i="3"/>
  <c r="P138" i="3"/>
  <c r="N138" i="3"/>
  <c r="K138" i="3"/>
  <c r="I138" i="3"/>
  <c r="G138" i="3"/>
  <c r="E138" i="3"/>
  <c r="O160" i="3"/>
  <c r="O158" i="3"/>
  <c r="O155" i="3"/>
  <c r="O153" i="3"/>
  <c r="N160" i="3"/>
  <c r="N158" i="3"/>
  <c r="N155" i="3"/>
  <c r="N153" i="3"/>
  <c r="N124" i="3"/>
  <c r="N119" i="3"/>
  <c r="N116" i="3"/>
  <c r="O116" i="3"/>
  <c r="O13" i="3" s="1"/>
  <c r="N112" i="3"/>
  <c r="N110" i="3"/>
  <c r="N107" i="3"/>
  <c r="N105" i="3"/>
  <c r="O92" i="3"/>
  <c r="N92" i="3"/>
  <c r="O86" i="3"/>
  <c r="O83" i="3"/>
  <c r="O81" i="3"/>
  <c r="O80" i="3"/>
  <c r="N86" i="3"/>
  <c r="N83" i="3"/>
  <c r="N81" i="3"/>
  <c r="N80" i="3"/>
  <c r="O74" i="3"/>
  <c r="O71" i="3"/>
  <c r="O69" i="3"/>
  <c r="O68" i="3"/>
  <c r="N74" i="3"/>
  <c r="N71" i="3"/>
  <c r="N69" i="3"/>
  <c r="N68" i="3"/>
  <c r="N28" i="3"/>
  <c r="O25" i="3"/>
  <c r="N25" i="3"/>
  <c r="R17" i="3" l="1"/>
  <c r="J144" i="3"/>
  <c r="D92" i="3"/>
  <c r="N144" i="3"/>
  <c r="K144" i="3"/>
  <c r="I144" i="3"/>
  <c r="E144" i="3"/>
  <c r="D138" i="3"/>
  <c r="P144" i="3"/>
  <c r="O46" i="5"/>
  <c r="U46" i="5" s="1"/>
  <c r="N46" i="5"/>
  <c r="O99" i="5"/>
  <c r="U99" i="5" s="1"/>
  <c r="D46" i="5" l="1"/>
  <c r="O171" i="2"/>
  <c r="N171" i="2"/>
  <c r="J78" i="2"/>
  <c r="J75" i="2"/>
  <c r="J72" i="2"/>
  <c r="J69" i="2"/>
  <c r="O68" i="2"/>
  <c r="U68" i="2" s="1"/>
  <c r="J68" i="2"/>
  <c r="O194" i="2"/>
  <c r="N189" i="2"/>
  <c r="L189" i="2"/>
  <c r="N187" i="2"/>
  <c r="L187" i="2"/>
  <c r="U115" i="2"/>
  <c r="N115" i="2"/>
  <c r="N113" i="2"/>
  <c r="U113" i="2"/>
  <c r="U112" i="2"/>
  <c r="N200" i="2"/>
  <c r="N198" i="2"/>
  <c r="N82" i="2"/>
  <c r="O224" i="2"/>
  <c r="N221" i="2"/>
  <c r="N219" i="2"/>
  <c r="U219" i="2" l="1"/>
  <c r="U221" i="2"/>
  <c r="D219" i="2"/>
  <c r="D221" i="2"/>
  <c r="N103" i="8"/>
  <c r="N97" i="8"/>
  <c r="N101" i="8"/>
  <c r="N26" i="8" s="1"/>
  <c r="N95" i="8"/>
  <c r="N16" i="8" s="1"/>
  <c r="O224" i="8"/>
  <c r="N224" i="8"/>
  <c r="O220" i="8"/>
  <c r="U220" i="8" s="1"/>
  <c r="N220" i="8"/>
  <c r="D220" i="8" s="1"/>
  <c r="O91" i="8"/>
  <c r="N91" i="8"/>
  <c r="O89" i="8"/>
  <c r="N89" i="8"/>
  <c r="O86" i="8"/>
  <c r="N86" i="8"/>
  <c r="O84" i="8"/>
  <c r="N84" i="8"/>
  <c r="P76" i="8"/>
  <c r="N76" i="8"/>
  <c r="P73" i="8"/>
  <c r="N73" i="8"/>
  <c r="P71" i="8"/>
  <c r="N71" i="8"/>
  <c r="D91" i="8" l="1"/>
  <c r="N96" i="8"/>
  <c r="N20" i="8"/>
  <c r="N102" i="8"/>
  <c r="N31" i="8"/>
  <c r="D224" i="8"/>
  <c r="O54" i="7"/>
  <c r="N54" i="7"/>
  <c r="O52" i="7"/>
  <c r="N52" i="7"/>
  <c r="O49" i="7"/>
  <c r="N49" i="7"/>
  <c r="O46" i="7"/>
  <c r="N46" i="7"/>
  <c r="O47" i="7"/>
  <c r="N47" i="7"/>
  <c r="D47" i="7" s="1"/>
  <c r="H13" i="7" l="1"/>
  <c r="G13" i="7"/>
  <c r="F13" i="7"/>
  <c r="R57" i="7"/>
  <c r="Q57" i="7"/>
  <c r="P57" i="7"/>
  <c r="J57" i="7"/>
  <c r="I57" i="7"/>
  <c r="H57" i="7"/>
  <c r="G57" i="7"/>
  <c r="F57" i="7"/>
  <c r="E57" i="7"/>
  <c r="O66" i="7"/>
  <c r="N66" i="7"/>
  <c r="D66" i="7" s="1"/>
  <c r="O64" i="7"/>
  <c r="N64" i="7"/>
  <c r="O61" i="7"/>
  <c r="N61" i="7"/>
  <c r="D61" i="7" s="1"/>
  <c r="O58" i="7"/>
  <c r="O57" i="7" s="1"/>
  <c r="N58" i="7"/>
  <c r="N57" i="7" s="1"/>
  <c r="U75" i="6" l="1"/>
  <c r="O104" i="6"/>
  <c r="U104" i="6" s="1"/>
  <c r="N104" i="6"/>
  <c r="O109" i="6" l="1"/>
  <c r="O23" i="6" s="1"/>
  <c r="N109" i="6"/>
  <c r="N23" i="6" s="1"/>
  <c r="O106" i="6"/>
  <c r="U106" i="6" s="1"/>
  <c r="N106" i="6"/>
  <c r="O42" i="13" l="1"/>
  <c r="O40" i="13"/>
  <c r="O39" i="13"/>
  <c r="N43" i="13"/>
  <c r="O37" i="13"/>
  <c r="N37" i="13"/>
  <c r="O34" i="13"/>
  <c r="N34" i="13"/>
  <c r="O32" i="13"/>
  <c r="N32" i="13"/>
  <c r="O42" i="7" l="1"/>
  <c r="O40" i="7"/>
  <c r="N42" i="7"/>
  <c r="N40" i="7"/>
  <c r="O37" i="7"/>
  <c r="N37" i="7"/>
  <c r="O35" i="7"/>
  <c r="N35" i="7"/>
  <c r="O34" i="7"/>
  <c r="O13" i="7" s="1"/>
  <c r="N34" i="7"/>
  <c r="N13" i="7" s="1"/>
  <c r="H89" i="13" l="1"/>
  <c r="L45" i="13"/>
  <c r="K45" i="13"/>
  <c r="J45" i="13"/>
  <c r="I45" i="13"/>
  <c r="H45" i="13"/>
  <c r="G45" i="13"/>
  <c r="F45" i="13"/>
  <c r="E45" i="13"/>
  <c r="D45" i="13"/>
  <c r="D44" i="13" s="1"/>
  <c r="L44" i="13"/>
  <c r="K44" i="13"/>
  <c r="J44" i="13"/>
  <c r="I44" i="13"/>
  <c r="H44" i="13"/>
  <c r="G44" i="13"/>
  <c r="F44" i="13"/>
  <c r="E44" i="13"/>
  <c r="U42" i="13"/>
  <c r="N42" i="13"/>
  <c r="L42" i="13"/>
  <c r="K42" i="13"/>
  <c r="J42" i="13"/>
  <c r="I42" i="13"/>
  <c r="H42" i="13"/>
  <c r="G42" i="13"/>
  <c r="F42" i="13"/>
  <c r="E42" i="13"/>
  <c r="D42" i="13"/>
  <c r="U41" i="13"/>
  <c r="D41" i="13"/>
  <c r="U40" i="13"/>
  <c r="N40" i="13"/>
  <c r="L40" i="13"/>
  <c r="K40" i="13"/>
  <c r="J40" i="13"/>
  <c r="I40" i="13"/>
  <c r="H40" i="13"/>
  <c r="G40" i="13"/>
  <c r="F40" i="13"/>
  <c r="E40" i="13"/>
  <c r="D40" i="13"/>
  <c r="U39" i="13"/>
  <c r="N39" i="13"/>
  <c r="L39" i="13"/>
  <c r="K39" i="13"/>
  <c r="J39" i="13"/>
  <c r="I39" i="13"/>
  <c r="H39" i="13"/>
  <c r="G39" i="13"/>
  <c r="F39" i="13"/>
  <c r="E39" i="13"/>
  <c r="D36" i="13"/>
  <c r="D35" i="13" s="1"/>
  <c r="O36" i="13"/>
  <c r="N36" i="13"/>
  <c r="N35" i="13" s="1"/>
  <c r="L36" i="13"/>
  <c r="K36" i="13"/>
  <c r="K35" i="13" s="1"/>
  <c r="J36" i="13"/>
  <c r="I36" i="13"/>
  <c r="I35" i="13" s="1"/>
  <c r="H36" i="13"/>
  <c r="G36" i="13"/>
  <c r="G35" i="13" s="1"/>
  <c r="F36" i="13"/>
  <c r="E36" i="13"/>
  <c r="E35" i="13" s="1"/>
  <c r="O35" i="13"/>
  <c r="L35" i="13"/>
  <c r="J35" i="13"/>
  <c r="H35" i="13"/>
  <c r="F35" i="13"/>
  <c r="U33" i="13"/>
  <c r="O33" i="13"/>
  <c r="N33" i="13"/>
  <c r="L33" i="13"/>
  <c r="K33" i="13"/>
  <c r="J33" i="13"/>
  <c r="I33" i="13"/>
  <c r="H33" i="13"/>
  <c r="G33" i="13"/>
  <c r="F33" i="13"/>
  <c r="E33" i="13"/>
  <c r="D33" i="13"/>
  <c r="U31" i="13"/>
  <c r="U30" i="13" s="1"/>
  <c r="O31" i="13"/>
  <c r="O30" i="13" s="1"/>
  <c r="O10" i="13" s="1"/>
  <c r="N31" i="13"/>
  <c r="L31" i="13"/>
  <c r="K31" i="13"/>
  <c r="J31" i="13"/>
  <c r="I31" i="13"/>
  <c r="H31" i="13"/>
  <c r="G31" i="13"/>
  <c r="F31" i="13"/>
  <c r="E31" i="13"/>
  <c r="D31" i="13"/>
  <c r="N30" i="13"/>
  <c r="L30" i="13"/>
  <c r="K30" i="13"/>
  <c r="J30" i="13"/>
  <c r="I30" i="13"/>
  <c r="H30" i="13"/>
  <c r="G30" i="13"/>
  <c r="F30" i="13"/>
  <c r="E30" i="13"/>
  <c r="L28" i="13"/>
  <c r="M28" i="13" s="1"/>
  <c r="O27" i="13"/>
  <c r="O26" i="13" s="1"/>
  <c r="N27" i="13"/>
  <c r="N26" i="13" s="1"/>
  <c r="L27" i="13"/>
  <c r="L26" i="13" s="1"/>
  <c r="K27" i="13"/>
  <c r="J27" i="13"/>
  <c r="J26" i="13" s="1"/>
  <c r="I27" i="13"/>
  <c r="H27" i="13"/>
  <c r="H26" i="13" s="1"/>
  <c r="G27" i="13"/>
  <c r="F27" i="13"/>
  <c r="F26" i="13" s="1"/>
  <c r="E27" i="13"/>
  <c r="K26" i="13"/>
  <c r="I26" i="13"/>
  <c r="G26" i="13"/>
  <c r="E26" i="13"/>
  <c r="L25" i="13"/>
  <c r="K25" i="13"/>
  <c r="U24" i="13"/>
  <c r="N24" i="13"/>
  <c r="L24" i="13"/>
  <c r="K24" i="13"/>
  <c r="J24" i="13"/>
  <c r="I24" i="13"/>
  <c r="H24" i="13"/>
  <c r="G24" i="13"/>
  <c r="F24" i="13"/>
  <c r="E24" i="13"/>
  <c r="U22" i="13"/>
  <c r="U21" i="13" s="1"/>
  <c r="L23" i="13"/>
  <c r="L22" i="13" s="1"/>
  <c r="L21" i="13" s="1"/>
  <c r="L10" i="13" s="1"/>
  <c r="L9" i="13" s="1"/>
  <c r="K23" i="13"/>
  <c r="D22" i="13"/>
  <c r="N22" i="13"/>
  <c r="K22" i="13"/>
  <c r="K21" i="13" s="1"/>
  <c r="K10" i="13" s="1"/>
  <c r="K9" i="13" s="1"/>
  <c r="J22" i="13"/>
  <c r="I22" i="13"/>
  <c r="I21" i="13" s="1"/>
  <c r="I10" i="13" s="1"/>
  <c r="I9" i="13" s="1"/>
  <c r="H22" i="13"/>
  <c r="G22" i="13"/>
  <c r="G21" i="13" s="1"/>
  <c r="G10" i="13" s="1"/>
  <c r="G9" i="13" s="1"/>
  <c r="F22" i="13"/>
  <c r="E22" i="13"/>
  <c r="E21" i="13" s="1"/>
  <c r="E10" i="13" s="1"/>
  <c r="E9" i="13" s="1"/>
  <c r="J21" i="13"/>
  <c r="H21" i="13"/>
  <c r="F21" i="13"/>
  <c r="O19" i="13"/>
  <c r="O18" i="13" s="1"/>
  <c r="O17" i="13" s="1"/>
  <c r="N19" i="13"/>
  <c r="L19" i="13"/>
  <c r="K19" i="13"/>
  <c r="J19" i="13"/>
  <c r="I19" i="13"/>
  <c r="H19" i="13"/>
  <c r="G19" i="13"/>
  <c r="F19" i="13"/>
  <c r="E19" i="13"/>
  <c r="L18" i="13"/>
  <c r="K18" i="13"/>
  <c r="J18" i="13"/>
  <c r="I18" i="13"/>
  <c r="H18" i="13"/>
  <c r="G18" i="13"/>
  <c r="F18" i="13"/>
  <c r="E18" i="13"/>
  <c r="L17" i="13"/>
  <c r="K17" i="13"/>
  <c r="J17" i="13"/>
  <c r="I17" i="13"/>
  <c r="H17" i="13"/>
  <c r="G17" i="13"/>
  <c r="F17" i="13"/>
  <c r="E17" i="13"/>
  <c r="O16" i="13"/>
  <c r="O15" i="13" s="1"/>
  <c r="N16" i="13"/>
  <c r="L16" i="13"/>
  <c r="K16" i="13"/>
  <c r="J16" i="13"/>
  <c r="I16" i="13"/>
  <c r="H16" i="13"/>
  <c r="G16" i="13"/>
  <c r="F16" i="13"/>
  <c r="E16" i="13"/>
  <c r="L15" i="13"/>
  <c r="K15" i="13"/>
  <c r="J15" i="13"/>
  <c r="I15" i="13"/>
  <c r="H15" i="13"/>
  <c r="G15" i="13"/>
  <c r="F15" i="13"/>
  <c r="E15" i="13"/>
  <c r="O14" i="13"/>
  <c r="N14" i="13"/>
  <c r="L14" i="13"/>
  <c r="K14" i="13"/>
  <c r="J14" i="13"/>
  <c r="I14" i="13"/>
  <c r="H14" i="13"/>
  <c r="G14" i="13"/>
  <c r="F14" i="13"/>
  <c r="E14" i="13"/>
  <c r="O13" i="13"/>
  <c r="N13" i="13"/>
  <c r="L13" i="13"/>
  <c r="K13" i="13"/>
  <c r="J13" i="13"/>
  <c r="I13" i="13"/>
  <c r="H13" i="13"/>
  <c r="G13" i="13"/>
  <c r="F13" i="13"/>
  <c r="E13" i="13"/>
  <c r="L12" i="13"/>
  <c r="K12" i="13"/>
  <c r="J12" i="13"/>
  <c r="I12" i="13"/>
  <c r="H12" i="13"/>
  <c r="G12" i="13"/>
  <c r="F12" i="13"/>
  <c r="E12" i="13"/>
  <c r="Q11" i="13"/>
  <c r="P11" i="13"/>
  <c r="O11" i="13"/>
  <c r="N11" i="13"/>
  <c r="L11" i="13"/>
  <c r="K11" i="13"/>
  <c r="J11" i="13"/>
  <c r="I11" i="13"/>
  <c r="H11" i="13"/>
  <c r="G11" i="13"/>
  <c r="F11" i="13"/>
  <c r="E11" i="13"/>
  <c r="Q10" i="13"/>
  <c r="P10" i="13"/>
  <c r="J10" i="13"/>
  <c r="H10" i="13"/>
  <c r="H9" i="13" s="1"/>
  <c r="F10" i="13"/>
  <c r="Q9" i="13"/>
  <c r="P9" i="13"/>
  <c r="J9" i="13"/>
  <c r="F9" i="13"/>
  <c r="N21" i="13" l="1"/>
  <c r="O12" i="13"/>
  <c r="M23" i="13"/>
  <c r="M25" i="13"/>
  <c r="D27" i="13"/>
  <c r="D26" i="13" s="1"/>
  <c r="N10" i="13"/>
  <c r="D14" i="13"/>
  <c r="D13" i="13" s="1"/>
  <c r="M27" i="13"/>
  <c r="M26" i="13" s="1"/>
  <c r="M19" i="13"/>
  <c r="M18" i="13" s="1"/>
  <c r="M17" i="13" s="1"/>
  <c r="D39" i="13"/>
  <c r="D11" i="13" s="1"/>
  <c r="N18" i="13"/>
  <c r="N17" i="13" s="1"/>
  <c r="D19" i="13"/>
  <c r="D18" i="13" s="1"/>
  <c r="D17" i="13" s="1"/>
  <c r="N15" i="13"/>
  <c r="N12" i="13" s="1"/>
  <c r="D30" i="13"/>
  <c r="U9" i="13"/>
  <c r="O9" i="13"/>
  <c r="U13" i="13"/>
  <c r="U12" i="13" s="1"/>
  <c r="N9" i="13"/>
  <c r="D24" i="13"/>
  <c r="D21" i="13" s="1"/>
  <c r="D10" i="13" s="1"/>
  <c r="D9" i="13" s="1"/>
  <c r="D16" i="13"/>
  <c r="D15" i="13" s="1"/>
  <c r="L118" i="9"/>
  <c r="J118" i="9"/>
  <c r="Q122" i="9"/>
  <c r="Q120" i="9" s="1"/>
  <c r="P122" i="9"/>
  <c r="P120" i="9" s="1"/>
  <c r="O122" i="9"/>
  <c r="N119" i="9"/>
  <c r="L122" i="9"/>
  <c r="L120" i="9" s="1"/>
  <c r="L119" i="9" s="1"/>
  <c r="K122" i="9"/>
  <c r="K120" i="9" s="1"/>
  <c r="K119" i="9" s="1"/>
  <c r="J122" i="9"/>
  <c r="I122" i="9"/>
  <c r="I120" i="9" s="1"/>
  <c r="I119" i="9" s="1"/>
  <c r="H122" i="9"/>
  <c r="H120" i="9" s="1"/>
  <c r="H119" i="9" s="1"/>
  <c r="G122" i="9"/>
  <c r="G120" i="9" s="1"/>
  <c r="G119" i="9" s="1"/>
  <c r="F122" i="9"/>
  <c r="E122" i="9"/>
  <c r="E120" i="9" s="1"/>
  <c r="E119" i="9" s="1"/>
  <c r="Q119" i="9"/>
  <c r="J120" i="9"/>
  <c r="J119" i="9" s="1"/>
  <c r="F120" i="9"/>
  <c r="F119" i="9" s="1"/>
  <c r="P119" i="9"/>
  <c r="Q118" i="9"/>
  <c r="U118" i="9" s="1"/>
  <c r="K118" i="9"/>
  <c r="I118" i="9"/>
  <c r="E118" i="9"/>
  <c r="N116" i="9"/>
  <c r="L117" i="9"/>
  <c r="K117" i="9"/>
  <c r="J117" i="9"/>
  <c r="I117" i="9"/>
  <c r="G116" i="9"/>
  <c r="E117" i="9"/>
  <c r="P116" i="9"/>
  <c r="Q106" i="9"/>
  <c r="Q105" i="9" s="1"/>
  <c r="P106" i="9"/>
  <c r="O106" i="9"/>
  <c r="O105" i="9" s="1"/>
  <c r="N106" i="9"/>
  <c r="N105" i="9" s="1"/>
  <c r="L106" i="9"/>
  <c r="L105" i="9" s="1"/>
  <c r="K106" i="9"/>
  <c r="K105" i="9" s="1"/>
  <c r="J106" i="9"/>
  <c r="J105" i="9" s="1"/>
  <c r="I106" i="9"/>
  <c r="I105" i="9" s="1"/>
  <c r="H106" i="9"/>
  <c r="H105" i="9" s="1"/>
  <c r="G106" i="9"/>
  <c r="G105" i="9" s="1"/>
  <c r="F106" i="9"/>
  <c r="F105" i="9" s="1"/>
  <c r="E106" i="9"/>
  <c r="E105" i="9" s="1"/>
  <c r="D106" i="9"/>
  <c r="D105" i="9" s="1"/>
  <c r="P105" i="9"/>
  <c r="Q103" i="9"/>
  <c r="Q102" i="9" s="1"/>
  <c r="P103" i="9"/>
  <c r="P102" i="9" s="1"/>
  <c r="O103" i="9"/>
  <c r="N103" i="9"/>
  <c r="N102" i="9" s="1"/>
  <c r="L103" i="9"/>
  <c r="L102" i="9" s="1"/>
  <c r="K103" i="9"/>
  <c r="K102" i="9" s="1"/>
  <c r="J103" i="9"/>
  <c r="I103" i="9"/>
  <c r="I102" i="9" s="1"/>
  <c r="H103" i="9"/>
  <c r="H102" i="9" s="1"/>
  <c r="G103" i="9"/>
  <c r="G102" i="9" s="1"/>
  <c r="F103" i="9"/>
  <c r="F102" i="9" s="1"/>
  <c r="E103" i="9"/>
  <c r="E102" i="9" s="1"/>
  <c r="D103" i="9"/>
  <c r="D102" i="9" s="1"/>
  <c r="O102" i="9"/>
  <c r="J102" i="9"/>
  <c r="O99" i="9"/>
  <c r="O98" i="9" s="1"/>
  <c r="N99" i="9"/>
  <c r="N98" i="9" s="1"/>
  <c r="L99" i="9"/>
  <c r="L98" i="9" s="1"/>
  <c r="K99" i="9"/>
  <c r="J99" i="9"/>
  <c r="J98" i="9" s="1"/>
  <c r="I99" i="9"/>
  <c r="H99" i="9"/>
  <c r="H98" i="9" s="1"/>
  <c r="G99" i="9"/>
  <c r="F99" i="9"/>
  <c r="F98" i="9" s="1"/>
  <c r="E99" i="9"/>
  <c r="E98" i="9" s="1"/>
  <c r="K98" i="9"/>
  <c r="G98" i="9"/>
  <c r="U97" i="9"/>
  <c r="U96" i="9" s="1"/>
  <c r="U93" i="9" s="1"/>
  <c r="O96" i="9"/>
  <c r="O93" i="9" s="1"/>
  <c r="L96" i="9"/>
  <c r="L93" i="9" s="1"/>
  <c r="K96" i="9"/>
  <c r="K93" i="9" s="1"/>
  <c r="J96" i="9"/>
  <c r="I96" i="9"/>
  <c r="I93" i="9" s="1"/>
  <c r="H96" i="9"/>
  <c r="H93" i="9" s="1"/>
  <c r="G96" i="9"/>
  <c r="G93" i="9" s="1"/>
  <c r="F96" i="9"/>
  <c r="F93" i="9" s="1"/>
  <c r="E96" i="9"/>
  <c r="E93" i="9" s="1"/>
  <c r="J93" i="9"/>
  <c r="Q83" i="9"/>
  <c r="Q82" i="9" s="1"/>
  <c r="P83" i="9"/>
  <c r="P82" i="9" s="1"/>
  <c r="O83" i="9"/>
  <c r="O82" i="9" s="1"/>
  <c r="N83" i="9"/>
  <c r="N82" i="9" s="1"/>
  <c r="L83" i="9"/>
  <c r="L82" i="9" s="1"/>
  <c r="K83" i="9"/>
  <c r="K82" i="9" s="1"/>
  <c r="J83" i="9"/>
  <c r="J82" i="9" s="1"/>
  <c r="I83" i="9"/>
  <c r="H83" i="9"/>
  <c r="H82" i="9" s="1"/>
  <c r="G83" i="9"/>
  <c r="G82" i="9" s="1"/>
  <c r="F83" i="9"/>
  <c r="F82" i="9" s="1"/>
  <c r="E83" i="9"/>
  <c r="E82" i="9" s="1"/>
  <c r="U81" i="9"/>
  <c r="N81" i="9"/>
  <c r="D81" i="9" s="1"/>
  <c r="U80" i="9"/>
  <c r="N80" i="9"/>
  <c r="N79" i="9" s="1"/>
  <c r="L80" i="9"/>
  <c r="L79" i="9" s="1"/>
  <c r="K80" i="9"/>
  <c r="K79" i="9" s="1"/>
  <c r="J80" i="9"/>
  <c r="J79" i="9" s="1"/>
  <c r="I80" i="9"/>
  <c r="I79" i="9" s="1"/>
  <c r="H80" i="9"/>
  <c r="H79" i="9" s="1"/>
  <c r="G80" i="9"/>
  <c r="G79" i="9" s="1"/>
  <c r="F80" i="9"/>
  <c r="F79" i="9" s="1"/>
  <c r="E80" i="9"/>
  <c r="E79" i="9" s="1"/>
  <c r="U79" i="9"/>
  <c r="Q79" i="9"/>
  <c r="P79" i="9"/>
  <c r="O79" i="9"/>
  <c r="O76" i="9"/>
  <c r="O75" i="9" s="1"/>
  <c r="D76" i="9"/>
  <c r="D75" i="9" s="1"/>
  <c r="Q76" i="9"/>
  <c r="Q75" i="9" s="1"/>
  <c r="P76" i="9"/>
  <c r="P75" i="9" s="1"/>
  <c r="N76" i="9"/>
  <c r="N75" i="9" s="1"/>
  <c r="L76" i="9"/>
  <c r="L75" i="9" s="1"/>
  <c r="K76" i="9"/>
  <c r="K75" i="9" s="1"/>
  <c r="J76" i="9"/>
  <c r="I76" i="9"/>
  <c r="I75" i="9" s="1"/>
  <c r="H76" i="9"/>
  <c r="H75" i="9" s="1"/>
  <c r="G76" i="9"/>
  <c r="G75" i="9" s="1"/>
  <c r="F76" i="9"/>
  <c r="F75" i="9" s="1"/>
  <c r="E76" i="9"/>
  <c r="E75" i="9" s="1"/>
  <c r="J75" i="9"/>
  <c r="U74" i="9"/>
  <c r="U73" i="9" s="1"/>
  <c r="U72" i="9" s="1"/>
  <c r="N73" i="9"/>
  <c r="N72" i="9" s="1"/>
  <c r="L74" i="9"/>
  <c r="M74" i="9" s="1"/>
  <c r="O73" i="9"/>
  <c r="O72" i="9" s="1"/>
  <c r="K73" i="9"/>
  <c r="K72" i="9" s="1"/>
  <c r="J73" i="9"/>
  <c r="J72" i="9" s="1"/>
  <c r="I73" i="9"/>
  <c r="I72" i="9" s="1"/>
  <c r="H73" i="9"/>
  <c r="G73" i="9"/>
  <c r="G72" i="9" s="1"/>
  <c r="F73" i="9"/>
  <c r="F72" i="9" s="1"/>
  <c r="E73" i="9"/>
  <c r="E72" i="9" s="1"/>
  <c r="Q72" i="9"/>
  <c r="P72" i="9"/>
  <c r="H72" i="9"/>
  <c r="O70" i="9"/>
  <c r="O19" i="9" s="1"/>
  <c r="Q69" i="9"/>
  <c r="P69" i="9"/>
  <c r="P68" i="9" s="1"/>
  <c r="N69" i="9"/>
  <c r="N68" i="9" s="1"/>
  <c r="L69" i="9"/>
  <c r="L68" i="9" s="1"/>
  <c r="K69" i="9"/>
  <c r="K68" i="9" s="1"/>
  <c r="J69" i="9"/>
  <c r="J68" i="9" s="1"/>
  <c r="I69" i="9"/>
  <c r="I68" i="9" s="1"/>
  <c r="H69" i="9"/>
  <c r="H68" i="9" s="1"/>
  <c r="G69" i="9"/>
  <c r="G68" i="9" s="1"/>
  <c r="F69" i="9"/>
  <c r="F68" i="9" s="1"/>
  <c r="E69" i="9"/>
  <c r="E68" i="9" s="1"/>
  <c r="Q68" i="9"/>
  <c r="U67" i="9"/>
  <c r="U66" i="9" s="1"/>
  <c r="U65" i="9" s="1"/>
  <c r="N67" i="9"/>
  <c r="D67" i="9" s="1"/>
  <c r="D66" i="9" s="1"/>
  <c r="D65" i="9" s="1"/>
  <c r="L66" i="9"/>
  <c r="L65" i="9" s="1"/>
  <c r="K66" i="9"/>
  <c r="K65" i="9" s="1"/>
  <c r="J66" i="9"/>
  <c r="J65" i="9" s="1"/>
  <c r="I66" i="9"/>
  <c r="I65" i="9" s="1"/>
  <c r="H66" i="9"/>
  <c r="H65" i="9" s="1"/>
  <c r="G66" i="9"/>
  <c r="G65" i="9" s="1"/>
  <c r="F66" i="9"/>
  <c r="F65" i="9" s="1"/>
  <c r="E66" i="9"/>
  <c r="E65" i="9" s="1"/>
  <c r="Q65" i="9"/>
  <c r="Q10" i="9" s="1"/>
  <c r="P65" i="9"/>
  <c r="P10" i="9" s="1"/>
  <c r="O65" i="9"/>
  <c r="O10" i="9" s="1"/>
  <c r="O62" i="9"/>
  <c r="O61" i="9" s="1"/>
  <c r="K63" i="9"/>
  <c r="M63" i="9" s="1"/>
  <c r="Q62" i="9"/>
  <c r="Q61" i="9" s="1"/>
  <c r="P62" i="9"/>
  <c r="P61" i="9" s="1"/>
  <c r="N62" i="9"/>
  <c r="N61" i="9" s="1"/>
  <c r="J62" i="9"/>
  <c r="J61" i="9" s="1"/>
  <c r="I62" i="9"/>
  <c r="I61" i="9" s="1"/>
  <c r="H62" i="9"/>
  <c r="H61" i="9" s="1"/>
  <c r="G62" i="9"/>
  <c r="G61" i="9" s="1"/>
  <c r="F62" i="9"/>
  <c r="F61" i="9" s="1"/>
  <c r="E62" i="9"/>
  <c r="E61" i="9" s="1"/>
  <c r="U60" i="9"/>
  <c r="L60" i="9"/>
  <c r="K60" i="9"/>
  <c r="K59" i="9" s="1"/>
  <c r="K56" i="9" s="1"/>
  <c r="Q59" i="9"/>
  <c r="Q56" i="9" s="1"/>
  <c r="P59" i="9"/>
  <c r="P56" i="9" s="1"/>
  <c r="O59" i="9"/>
  <c r="O56" i="9" s="1"/>
  <c r="N59" i="9"/>
  <c r="N56" i="9" s="1"/>
  <c r="J59" i="9"/>
  <c r="J56" i="9" s="1"/>
  <c r="I59" i="9"/>
  <c r="I56" i="9" s="1"/>
  <c r="H59" i="9"/>
  <c r="G59" i="9"/>
  <c r="G56" i="9" s="1"/>
  <c r="F59" i="9"/>
  <c r="F56" i="9" s="1"/>
  <c r="E59" i="9"/>
  <c r="E56" i="9" s="1"/>
  <c r="H56" i="9"/>
  <c r="L53" i="9"/>
  <c r="L52" i="9" s="1"/>
  <c r="K54" i="9"/>
  <c r="M54" i="9" s="1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U51" i="9"/>
  <c r="K51" i="9"/>
  <c r="U50" i="9"/>
  <c r="N50" i="9"/>
  <c r="N49" i="9" s="1"/>
  <c r="L50" i="9"/>
  <c r="L49" i="9" s="1"/>
  <c r="K50" i="9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U49" i="9"/>
  <c r="K49" i="9"/>
  <c r="O46" i="9"/>
  <c r="L47" i="9"/>
  <c r="K47" i="9"/>
  <c r="Q46" i="9"/>
  <c r="P46" i="9"/>
  <c r="P45" i="9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F45" i="9" s="1"/>
  <c r="E46" i="9"/>
  <c r="E45" i="9" s="1"/>
  <c r="Q45" i="9"/>
  <c r="O45" i="9"/>
  <c r="J45" i="9"/>
  <c r="U44" i="9"/>
  <c r="U43" i="9" s="1"/>
  <c r="L44" i="9"/>
  <c r="K44" i="9"/>
  <c r="Q43" i="9"/>
  <c r="P43" i="9"/>
  <c r="O43" i="9"/>
  <c r="K43" i="9"/>
  <c r="J43" i="9"/>
  <c r="I43" i="9"/>
  <c r="H43" i="9"/>
  <c r="G43" i="9"/>
  <c r="F43" i="9"/>
  <c r="E43" i="9"/>
  <c r="U42" i="9"/>
  <c r="U41" i="9" s="1"/>
  <c r="L42" i="9"/>
  <c r="K42" i="9"/>
  <c r="Q41" i="9"/>
  <c r="P41" i="9"/>
  <c r="O41" i="9"/>
  <c r="O40" i="9" s="1"/>
  <c r="O9" i="9" s="1"/>
  <c r="O8" i="9" s="1"/>
  <c r="J41" i="9"/>
  <c r="J40" i="9" s="1"/>
  <c r="I41" i="9"/>
  <c r="I40" i="9" s="1"/>
  <c r="H41" i="9"/>
  <c r="H40" i="9" s="1"/>
  <c r="G41" i="9"/>
  <c r="F41" i="9"/>
  <c r="F40" i="9" s="1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U35" i="9"/>
  <c r="U34" i="9" s="1"/>
  <c r="N35" i="9"/>
  <c r="L35" i="9"/>
  <c r="M35" i="9" s="1"/>
  <c r="K34" i="9"/>
  <c r="J34" i="9"/>
  <c r="I34" i="9"/>
  <c r="H34" i="9"/>
  <c r="G34" i="9"/>
  <c r="F34" i="9"/>
  <c r="E34" i="9"/>
  <c r="U33" i="9"/>
  <c r="U32" i="9" s="1"/>
  <c r="N33" i="9"/>
  <c r="L33" i="9"/>
  <c r="M33" i="9" s="1"/>
  <c r="K32" i="9"/>
  <c r="K31" i="9" s="1"/>
  <c r="K10" i="9" s="1"/>
  <c r="J32" i="9"/>
  <c r="I32" i="9"/>
  <c r="I31" i="9" s="1"/>
  <c r="I10" i="9" s="1"/>
  <c r="H32" i="9"/>
  <c r="G32" i="9"/>
  <c r="G31" i="9" s="1"/>
  <c r="G10" i="9" s="1"/>
  <c r="F32" i="9"/>
  <c r="E32" i="9"/>
  <c r="E31" i="9" s="1"/>
  <c r="E10" i="9" s="1"/>
  <c r="O28" i="9"/>
  <c r="O27" i="9" s="1"/>
  <c r="L29" i="9"/>
  <c r="K29" i="9"/>
  <c r="K28" i="9" s="1"/>
  <c r="K27" i="9" s="1"/>
  <c r="J29" i="9"/>
  <c r="J28" i="9" s="1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U25" i="9"/>
  <c r="L26" i="9"/>
  <c r="L25" i="9" s="1"/>
  <c r="K26" i="9"/>
  <c r="K25" i="9" s="1"/>
  <c r="J26" i="9"/>
  <c r="I25" i="9"/>
  <c r="H25" i="9"/>
  <c r="G25" i="9"/>
  <c r="F25" i="9"/>
  <c r="E25" i="9"/>
  <c r="U24" i="9"/>
  <c r="L24" i="9"/>
  <c r="K24" i="9"/>
  <c r="K23" i="9" s="1"/>
  <c r="J24" i="9"/>
  <c r="U23" i="9"/>
  <c r="I23" i="9"/>
  <c r="I22" i="9" s="1"/>
  <c r="H23" i="9"/>
  <c r="G23" i="9"/>
  <c r="G22" i="9" s="1"/>
  <c r="F23" i="9"/>
  <c r="E23" i="9"/>
  <c r="E22" i="9" s="1"/>
  <c r="R20" i="9"/>
  <c r="Q20" i="9"/>
  <c r="P20" i="9"/>
  <c r="O20" i="9"/>
  <c r="N20" i="9"/>
  <c r="L20" i="9"/>
  <c r="K20" i="9"/>
  <c r="J20" i="9"/>
  <c r="I20" i="9"/>
  <c r="H20" i="9"/>
  <c r="G20" i="9"/>
  <c r="F20" i="9"/>
  <c r="E20" i="9"/>
  <c r="R19" i="9"/>
  <c r="R18" i="9" s="1"/>
  <c r="R17" i="9" s="1"/>
  <c r="Q19" i="9"/>
  <c r="Q18" i="9" s="1"/>
  <c r="Q17" i="9" s="1"/>
  <c r="P19" i="9"/>
  <c r="P18" i="9" s="1"/>
  <c r="P17" i="9" s="1"/>
  <c r="N19" i="9"/>
  <c r="N18" i="9" s="1"/>
  <c r="N17" i="9" s="1"/>
  <c r="I19" i="9"/>
  <c r="I18" i="9" s="1"/>
  <c r="I17" i="9" s="1"/>
  <c r="H19" i="9"/>
  <c r="G19" i="9"/>
  <c r="G18" i="9" s="1"/>
  <c r="G17" i="9" s="1"/>
  <c r="F19" i="9"/>
  <c r="E19" i="9"/>
  <c r="E18" i="9" s="1"/>
  <c r="E17" i="9" s="1"/>
  <c r="R16" i="9"/>
  <c r="Q16" i="9"/>
  <c r="P16" i="9"/>
  <c r="O16" i="9"/>
  <c r="O14" i="9" s="1"/>
  <c r="O11" i="9" s="1"/>
  <c r="N16" i="9"/>
  <c r="L16" i="9"/>
  <c r="K16" i="9"/>
  <c r="J16" i="9"/>
  <c r="I16" i="9"/>
  <c r="H16" i="9"/>
  <c r="G16" i="9"/>
  <c r="F16" i="9"/>
  <c r="E16" i="9"/>
  <c r="R15" i="9"/>
  <c r="Q15" i="9"/>
  <c r="P15" i="9"/>
  <c r="J15" i="9"/>
  <c r="I15" i="9"/>
  <c r="H15" i="9"/>
  <c r="G15" i="9"/>
  <c r="F15" i="9"/>
  <c r="E15" i="9"/>
  <c r="R13" i="9"/>
  <c r="R12" i="9" s="1"/>
  <c r="Q13" i="9"/>
  <c r="Q12" i="9" s="1"/>
  <c r="P13" i="9"/>
  <c r="P12" i="9" s="1"/>
  <c r="K13" i="9"/>
  <c r="K12" i="9" s="1"/>
  <c r="I13" i="9"/>
  <c r="I12" i="9" s="1"/>
  <c r="H13" i="9"/>
  <c r="G13" i="9"/>
  <c r="F13" i="9"/>
  <c r="E13" i="9"/>
  <c r="E12" i="9" s="1"/>
  <c r="H12" i="9"/>
  <c r="R9" i="9"/>
  <c r="O222" i="8"/>
  <c r="O221" i="8" s="1"/>
  <c r="N222" i="8"/>
  <c r="L222" i="8"/>
  <c r="L221" i="8" s="1"/>
  <c r="K222" i="8"/>
  <c r="J222" i="8"/>
  <c r="J221" i="8" s="1"/>
  <c r="I222" i="8"/>
  <c r="H222" i="8"/>
  <c r="H221" i="8" s="1"/>
  <c r="G222" i="8"/>
  <c r="F222" i="8"/>
  <c r="F221" i="8" s="1"/>
  <c r="E222" i="8"/>
  <c r="D222" i="8"/>
  <c r="D221" i="8" s="1"/>
  <c r="N221" i="8"/>
  <c r="K221" i="8"/>
  <c r="I221" i="8"/>
  <c r="G221" i="8"/>
  <c r="E221" i="8"/>
  <c r="U218" i="8"/>
  <c r="U217" i="8" s="1"/>
  <c r="O218" i="8"/>
  <c r="O217" i="8" s="1"/>
  <c r="O183" i="8" s="1"/>
  <c r="N218" i="8"/>
  <c r="N217" i="8" s="1"/>
  <c r="L218" i="8"/>
  <c r="K218" i="8"/>
  <c r="K217" i="8" s="1"/>
  <c r="J218" i="8"/>
  <c r="J217" i="8" s="1"/>
  <c r="I218" i="8"/>
  <c r="I217" i="8" s="1"/>
  <c r="H218" i="8"/>
  <c r="G218" i="8"/>
  <c r="G217" i="8" s="1"/>
  <c r="F218" i="8"/>
  <c r="F217" i="8" s="1"/>
  <c r="E218" i="8"/>
  <c r="E217" i="8" s="1"/>
  <c r="L217" i="8"/>
  <c r="H217" i="8"/>
  <c r="N215" i="8"/>
  <c r="L215" i="8"/>
  <c r="M215" i="8" s="1"/>
  <c r="N214" i="8"/>
  <c r="K214" i="8"/>
  <c r="J214" i="8"/>
  <c r="I214" i="8"/>
  <c r="H214" i="8"/>
  <c r="G214" i="8"/>
  <c r="F214" i="8"/>
  <c r="E214" i="8"/>
  <c r="N213" i="8"/>
  <c r="K213" i="8"/>
  <c r="J213" i="8"/>
  <c r="I213" i="8"/>
  <c r="H213" i="8"/>
  <c r="G213" i="8"/>
  <c r="F213" i="8"/>
  <c r="E213" i="8"/>
  <c r="U211" i="8"/>
  <c r="U210" i="8" s="1"/>
  <c r="N212" i="8"/>
  <c r="L212" i="8"/>
  <c r="M212" i="8" s="1"/>
  <c r="K211" i="8"/>
  <c r="K210" i="8" s="1"/>
  <c r="J211" i="8"/>
  <c r="J210" i="8" s="1"/>
  <c r="I211" i="8"/>
  <c r="H211" i="8"/>
  <c r="H210" i="8" s="1"/>
  <c r="G211" i="8"/>
  <c r="G210" i="8" s="1"/>
  <c r="F211" i="8"/>
  <c r="F210" i="8" s="1"/>
  <c r="E211" i="8"/>
  <c r="I210" i="8"/>
  <c r="E210" i="8"/>
  <c r="D208" i="8"/>
  <c r="D207" i="8"/>
  <c r="L206" i="8"/>
  <c r="K206" i="8"/>
  <c r="K205" i="8" s="1"/>
  <c r="J206" i="8"/>
  <c r="I206" i="8"/>
  <c r="I205" i="8" s="1"/>
  <c r="H206" i="8"/>
  <c r="G206" i="8"/>
  <c r="G205" i="8" s="1"/>
  <c r="F206" i="8"/>
  <c r="F205" i="8" s="1"/>
  <c r="E206" i="8"/>
  <c r="E205" i="8" s="1"/>
  <c r="L205" i="8"/>
  <c r="J205" i="8"/>
  <c r="H205" i="8"/>
  <c r="D204" i="8"/>
  <c r="P203" i="8"/>
  <c r="O203" i="8"/>
  <c r="N203" i="8"/>
  <c r="L203" i="8"/>
  <c r="K203" i="8"/>
  <c r="J203" i="8"/>
  <c r="I203" i="8"/>
  <c r="H203" i="8"/>
  <c r="E203" i="8"/>
  <c r="D203" i="8"/>
  <c r="D202" i="8"/>
  <c r="D201" i="8"/>
  <c r="D200" i="8"/>
  <c r="L199" i="8"/>
  <c r="K199" i="8"/>
  <c r="J199" i="8"/>
  <c r="J198" i="8" s="1"/>
  <c r="I199" i="8"/>
  <c r="H199" i="8"/>
  <c r="H198" i="8" s="1"/>
  <c r="G199" i="8"/>
  <c r="F199" i="8"/>
  <c r="F198" i="8" s="1"/>
  <c r="E199" i="8"/>
  <c r="L198" i="8"/>
  <c r="G198" i="8"/>
  <c r="O196" i="8"/>
  <c r="L77" i="1" s="1"/>
  <c r="N196" i="8"/>
  <c r="K77" i="1" s="1"/>
  <c r="K196" i="8"/>
  <c r="J196" i="8"/>
  <c r="I196" i="8"/>
  <c r="H196" i="8"/>
  <c r="G196" i="8"/>
  <c r="F196" i="8"/>
  <c r="E196" i="8"/>
  <c r="O195" i="8"/>
  <c r="N195" i="8"/>
  <c r="L195" i="8"/>
  <c r="K195" i="8"/>
  <c r="J195" i="8"/>
  <c r="J192" i="8" s="1"/>
  <c r="I195" i="8"/>
  <c r="H195" i="8"/>
  <c r="H192" i="8" s="1"/>
  <c r="H191" i="8" s="1"/>
  <c r="G195" i="8"/>
  <c r="F195" i="8"/>
  <c r="F192" i="8" s="1"/>
  <c r="F191" i="8" s="1"/>
  <c r="E195" i="8"/>
  <c r="E192" i="8" s="1"/>
  <c r="E191" i="8" s="1"/>
  <c r="D195" i="8"/>
  <c r="N192" i="8"/>
  <c r="N191" i="8" s="1"/>
  <c r="J191" i="8"/>
  <c r="O190" i="8"/>
  <c r="N190" i="8"/>
  <c r="K64" i="1" s="1"/>
  <c r="L190" i="8"/>
  <c r="K190" i="8"/>
  <c r="J190" i="8"/>
  <c r="I190" i="8"/>
  <c r="H190" i="8"/>
  <c r="G190" i="8"/>
  <c r="F190" i="8"/>
  <c r="E190" i="8"/>
  <c r="O189" i="8"/>
  <c r="N189" i="8"/>
  <c r="L189" i="8"/>
  <c r="L185" i="8" s="1"/>
  <c r="L184" i="8" s="1"/>
  <c r="K189" i="8"/>
  <c r="J189" i="8"/>
  <c r="J185" i="8" s="1"/>
  <c r="J184" i="8" s="1"/>
  <c r="I189" i="8"/>
  <c r="H189" i="8"/>
  <c r="H185" i="8" s="1"/>
  <c r="H184" i="8" s="1"/>
  <c r="G189" i="8"/>
  <c r="F189" i="8"/>
  <c r="F185" i="8" s="1"/>
  <c r="F184" i="8" s="1"/>
  <c r="E189" i="8"/>
  <c r="D189" i="8"/>
  <c r="U188" i="8"/>
  <c r="U187" i="8"/>
  <c r="U186" i="8"/>
  <c r="N185" i="8"/>
  <c r="N184" i="8" s="1"/>
  <c r="K185" i="8"/>
  <c r="K184" i="8" s="1"/>
  <c r="I185" i="8"/>
  <c r="I184" i="8" s="1"/>
  <c r="G185" i="8"/>
  <c r="G184" i="8" s="1"/>
  <c r="E185" i="8"/>
  <c r="E184" i="8" s="1"/>
  <c r="R183" i="8"/>
  <c r="Q183" i="8"/>
  <c r="P183" i="8"/>
  <c r="U182" i="8"/>
  <c r="R181" i="8"/>
  <c r="Q181" i="8"/>
  <c r="P181" i="8"/>
  <c r="D179" i="8"/>
  <c r="D178" i="8"/>
  <c r="L177" i="8"/>
  <c r="K177" i="8"/>
  <c r="J177" i="8"/>
  <c r="I177" i="8"/>
  <c r="E177" i="8"/>
  <c r="D176" i="8"/>
  <c r="D175" i="8"/>
  <c r="L174" i="8"/>
  <c r="K174" i="8"/>
  <c r="K173" i="8" s="1"/>
  <c r="J174" i="8"/>
  <c r="I174" i="8"/>
  <c r="I173" i="8" s="1"/>
  <c r="E174" i="8"/>
  <c r="L173" i="8"/>
  <c r="E173" i="8"/>
  <c r="D172" i="8"/>
  <c r="D171" i="8" s="1"/>
  <c r="L171" i="8"/>
  <c r="K171" i="8"/>
  <c r="J171" i="8"/>
  <c r="I171" i="8"/>
  <c r="H171" i="8"/>
  <c r="E171" i="8"/>
  <c r="D170" i="8"/>
  <c r="D169" i="8"/>
  <c r="L168" i="8"/>
  <c r="L167" i="8" s="1"/>
  <c r="K168" i="8"/>
  <c r="J168" i="8"/>
  <c r="J167" i="8" s="1"/>
  <c r="I168" i="8"/>
  <c r="H168" i="8"/>
  <c r="H167" i="8" s="1"/>
  <c r="G168" i="8"/>
  <c r="F168" i="8"/>
  <c r="F167" i="8" s="1"/>
  <c r="E168" i="8"/>
  <c r="D168" i="8"/>
  <c r="G167" i="8"/>
  <c r="R164" i="8"/>
  <c r="Q164" i="8"/>
  <c r="P164" i="8"/>
  <c r="O164" i="8"/>
  <c r="N164" i="8"/>
  <c r="L164" i="8"/>
  <c r="K164" i="8"/>
  <c r="J164" i="8"/>
  <c r="I164" i="8"/>
  <c r="H164" i="8"/>
  <c r="G164" i="8"/>
  <c r="F164" i="8"/>
  <c r="E164" i="8"/>
  <c r="D164" i="8"/>
  <c r="D163" i="8"/>
  <c r="R161" i="8"/>
  <c r="Q161" i="8"/>
  <c r="P161" i="8"/>
  <c r="O161" i="8"/>
  <c r="N161" i="8"/>
  <c r="L161" i="8"/>
  <c r="K161" i="8"/>
  <c r="J161" i="8"/>
  <c r="I161" i="8"/>
  <c r="H161" i="8"/>
  <c r="G161" i="8"/>
  <c r="F161" i="8"/>
  <c r="E161" i="8"/>
  <c r="D161" i="8"/>
  <c r="R160" i="8"/>
  <c r="Q160" i="8"/>
  <c r="P160" i="8"/>
  <c r="O160" i="8"/>
  <c r="N160" i="8"/>
  <c r="L160" i="8"/>
  <c r="K160" i="8"/>
  <c r="J160" i="8"/>
  <c r="I160" i="8"/>
  <c r="U158" i="8"/>
  <c r="R158" i="8"/>
  <c r="Q158" i="8"/>
  <c r="P158" i="8"/>
  <c r="O158" i="8"/>
  <c r="N158" i="8"/>
  <c r="L158" i="8"/>
  <c r="K158" i="8"/>
  <c r="J158" i="8"/>
  <c r="I158" i="8"/>
  <c r="H158" i="8"/>
  <c r="G158" i="8"/>
  <c r="F158" i="8"/>
  <c r="E158" i="8"/>
  <c r="D158" i="8"/>
  <c r="D155" i="8"/>
  <c r="U155" i="8"/>
  <c r="R155" i="8"/>
  <c r="Q155" i="8"/>
  <c r="Q154" i="8" s="1"/>
  <c r="P155" i="8"/>
  <c r="O155" i="8"/>
  <c r="N155" i="8"/>
  <c r="L155" i="8"/>
  <c r="L154" i="8" s="1"/>
  <c r="K155" i="8"/>
  <c r="J155" i="8"/>
  <c r="J154" i="8" s="1"/>
  <c r="I155" i="8"/>
  <c r="H155" i="8"/>
  <c r="H154" i="8" s="1"/>
  <c r="G155" i="8"/>
  <c r="F155" i="8"/>
  <c r="F154" i="8" s="1"/>
  <c r="E155" i="8"/>
  <c r="O154" i="8"/>
  <c r="D152" i="8"/>
  <c r="R150" i="8"/>
  <c r="Q150" i="8"/>
  <c r="P150" i="8"/>
  <c r="O150" i="8"/>
  <c r="N150" i="8"/>
  <c r="L150" i="8"/>
  <c r="K150" i="8"/>
  <c r="J150" i="8"/>
  <c r="I150" i="8"/>
  <c r="H150" i="8"/>
  <c r="G150" i="8"/>
  <c r="F150" i="8"/>
  <c r="E150" i="8"/>
  <c r="D150" i="8"/>
  <c r="D149" i="8"/>
  <c r="R147" i="8"/>
  <c r="Q147" i="8"/>
  <c r="P147" i="8"/>
  <c r="O147" i="8"/>
  <c r="N147" i="8"/>
  <c r="L147" i="8"/>
  <c r="K147" i="8"/>
  <c r="J147" i="8"/>
  <c r="I147" i="8"/>
  <c r="H147" i="8"/>
  <c r="G147" i="8"/>
  <c r="F147" i="8"/>
  <c r="E147" i="8"/>
  <c r="D147" i="8"/>
  <c r="R146" i="8"/>
  <c r="O146" i="8"/>
  <c r="N146" i="8"/>
  <c r="L146" i="8"/>
  <c r="K146" i="8"/>
  <c r="J146" i="8"/>
  <c r="I146" i="8"/>
  <c r="U144" i="8"/>
  <c r="R144" i="8"/>
  <c r="Q144" i="8"/>
  <c r="P144" i="8"/>
  <c r="O144" i="8"/>
  <c r="N144" i="8"/>
  <c r="L144" i="8"/>
  <c r="K144" i="8"/>
  <c r="J144" i="8"/>
  <c r="I144" i="8"/>
  <c r="H144" i="8"/>
  <c r="G144" i="8"/>
  <c r="F144" i="8"/>
  <c r="E144" i="8"/>
  <c r="D144" i="8"/>
  <c r="U141" i="8"/>
  <c r="R141" i="8"/>
  <c r="Q141" i="8"/>
  <c r="P141" i="8"/>
  <c r="O141" i="8"/>
  <c r="N141" i="8"/>
  <c r="L141" i="8"/>
  <c r="K141" i="8"/>
  <c r="J141" i="8"/>
  <c r="I141" i="8"/>
  <c r="H141" i="8"/>
  <c r="H140" i="8" s="1"/>
  <c r="G141" i="8"/>
  <c r="F141" i="8"/>
  <c r="F140" i="8" s="1"/>
  <c r="E141" i="8"/>
  <c r="J140" i="8"/>
  <c r="K138" i="8"/>
  <c r="M138" i="8" s="1"/>
  <c r="O137" i="8"/>
  <c r="O136" i="8" s="1"/>
  <c r="N137" i="8"/>
  <c r="L137" i="8"/>
  <c r="L136" i="8" s="1"/>
  <c r="J137" i="8"/>
  <c r="J136" i="8" s="1"/>
  <c r="I137" i="8"/>
  <c r="H137" i="8"/>
  <c r="H136" i="8" s="1"/>
  <c r="G137" i="8"/>
  <c r="G136" i="8" s="1"/>
  <c r="F137" i="8"/>
  <c r="F136" i="8" s="1"/>
  <c r="E137" i="8"/>
  <c r="E136" i="8" s="1"/>
  <c r="N136" i="8"/>
  <c r="I136" i="8"/>
  <c r="U134" i="8"/>
  <c r="U133" i="8" s="1"/>
  <c r="O134" i="8"/>
  <c r="N134" i="8"/>
  <c r="N133" i="8" s="1"/>
  <c r="L134" i="8"/>
  <c r="K134" i="8"/>
  <c r="K133" i="8" s="1"/>
  <c r="J134" i="8"/>
  <c r="I134" i="8"/>
  <c r="I133" i="8" s="1"/>
  <c r="H134" i="8"/>
  <c r="G134" i="8"/>
  <c r="G133" i="8" s="1"/>
  <c r="F134" i="8"/>
  <c r="E134" i="8"/>
  <c r="E133" i="8" s="1"/>
  <c r="O133" i="8"/>
  <c r="L133" i="8"/>
  <c r="J133" i="8"/>
  <c r="H133" i="8"/>
  <c r="F133" i="8"/>
  <c r="L131" i="8"/>
  <c r="I131" i="8"/>
  <c r="O130" i="8"/>
  <c r="N130" i="8"/>
  <c r="L130" i="8"/>
  <c r="K130" i="8"/>
  <c r="J130" i="8"/>
  <c r="H130" i="8"/>
  <c r="G130" i="8"/>
  <c r="F130" i="8"/>
  <c r="E130" i="8"/>
  <c r="L129" i="8"/>
  <c r="M129" i="8" s="1"/>
  <c r="O128" i="8"/>
  <c r="N128" i="8"/>
  <c r="N127" i="8" s="1"/>
  <c r="L128" i="8"/>
  <c r="L127" i="8" s="1"/>
  <c r="K128" i="8"/>
  <c r="K127" i="8" s="1"/>
  <c r="J128" i="8"/>
  <c r="I128" i="8"/>
  <c r="H128" i="8"/>
  <c r="H127" i="8" s="1"/>
  <c r="G128" i="8"/>
  <c r="F128" i="8"/>
  <c r="E128" i="8"/>
  <c r="O127" i="8"/>
  <c r="J127" i="8"/>
  <c r="U126" i="8"/>
  <c r="L126" i="8"/>
  <c r="M126" i="8" s="1"/>
  <c r="U125" i="8"/>
  <c r="O125" i="8"/>
  <c r="N125" i="8"/>
  <c r="L125" i="8"/>
  <c r="K125" i="8"/>
  <c r="J125" i="8"/>
  <c r="I125" i="8"/>
  <c r="H125" i="8"/>
  <c r="G125" i="8"/>
  <c r="F125" i="8"/>
  <c r="E125" i="8"/>
  <c r="U124" i="8"/>
  <c r="L124" i="8"/>
  <c r="M124" i="8" s="1"/>
  <c r="U123" i="8"/>
  <c r="O122" i="8"/>
  <c r="O121" i="8" s="1"/>
  <c r="N122" i="8"/>
  <c r="K122" i="8"/>
  <c r="K121" i="8" s="1"/>
  <c r="J122" i="8"/>
  <c r="I122" i="8"/>
  <c r="I121" i="8" s="1"/>
  <c r="H122" i="8"/>
  <c r="G122" i="8"/>
  <c r="G121" i="8" s="1"/>
  <c r="F122" i="8"/>
  <c r="E122" i="8"/>
  <c r="E121" i="8" s="1"/>
  <c r="J121" i="8"/>
  <c r="H121" i="8"/>
  <c r="F121" i="8"/>
  <c r="L119" i="8"/>
  <c r="K119" i="8"/>
  <c r="I119" i="8"/>
  <c r="E119" i="8"/>
  <c r="O118" i="8"/>
  <c r="O32" i="8" s="1"/>
  <c r="L118" i="8"/>
  <c r="L32" i="8" s="1"/>
  <c r="K118" i="8"/>
  <c r="J118" i="8"/>
  <c r="E118" i="8"/>
  <c r="O117" i="8"/>
  <c r="N117" i="8"/>
  <c r="L117" i="8"/>
  <c r="H117" i="8"/>
  <c r="G117" i="8"/>
  <c r="F117" i="8"/>
  <c r="L116" i="8"/>
  <c r="K116" i="8"/>
  <c r="I116" i="8"/>
  <c r="E116" i="8"/>
  <c r="M116" i="8" s="1"/>
  <c r="O115" i="8"/>
  <c r="L115" i="8"/>
  <c r="K115" i="8"/>
  <c r="J115" i="8"/>
  <c r="I115" i="8"/>
  <c r="N114" i="8"/>
  <c r="N113" i="8" s="1"/>
  <c r="I114" i="8"/>
  <c r="H114" i="8"/>
  <c r="G114" i="8"/>
  <c r="G113" i="8" s="1"/>
  <c r="F114" i="8"/>
  <c r="E114" i="8"/>
  <c r="F113" i="8"/>
  <c r="O112" i="8"/>
  <c r="L112" i="8"/>
  <c r="K112" i="8"/>
  <c r="K21" i="8" s="1"/>
  <c r="J112" i="8"/>
  <c r="I112" i="8"/>
  <c r="E111" i="8"/>
  <c r="O110" i="8"/>
  <c r="N110" i="8"/>
  <c r="L110" i="8"/>
  <c r="K110" i="8"/>
  <c r="J110" i="8"/>
  <c r="I110" i="8"/>
  <c r="H110" i="8"/>
  <c r="G110" i="8"/>
  <c r="F110" i="8"/>
  <c r="E110" i="8"/>
  <c r="O109" i="8"/>
  <c r="U109" i="8" s="1"/>
  <c r="U107" i="8" s="1"/>
  <c r="L109" i="8"/>
  <c r="K109" i="8"/>
  <c r="K107" i="8" s="1"/>
  <c r="K106" i="8" s="1"/>
  <c r="J109" i="8"/>
  <c r="I109" i="8"/>
  <c r="M109" i="8" s="1"/>
  <c r="D109" i="8" s="1"/>
  <c r="N107" i="8"/>
  <c r="N106" i="8" s="1"/>
  <c r="J108" i="8"/>
  <c r="I108" i="8"/>
  <c r="H108" i="8"/>
  <c r="H14" i="8" s="1"/>
  <c r="F108" i="8"/>
  <c r="F14" i="8" s="1"/>
  <c r="O107" i="8"/>
  <c r="O106" i="8" s="1"/>
  <c r="L107" i="8"/>
  <c r="J107" i="8"/>
  <c r="J106" i="8" s="1"/>
  <c r="G107" i="8"/>
  <c r="G106" i="8" s="1"/>
  <c r="I104" i="8"/>
  <c r="O103" i="8"/>
  <c r="L103" i="8"/>
  <c r="L102" i="8" s="1"/>
  <c r="K103" i="8"/>
  <c r="K102" i="8" s="1"/>
  <c r="J103" i="8"/>
  <c r="E102" i="8"/>
  <c r="O101" i="8"/>
  <c r="L101" i="8"/>
  <c r="L100" i="8" s="1"/>
  <c r="K101" i="8"/>
  <c r="K100" i="8" s="1"/>
  <c r="J101" i="8"/>
  <c r="J100" i="8" s="1"/>
  <c r="I101" i="8"/>
  <c r="N100" i="8"/>
  <c r="N99" i="8" s="1"/>
  <c r="I100" i="8"/>
  <c r="H100" i="8"/>
  <c r="H99" i="8" s="1"/>
  <c r="E100" i="8"/>
  <c r="I98" i="8"/>
  <c r="O97" i="8"/>
  <c r="U97" i="8" s="1"/>
  <c r="L97" i="8"/>
  <c r="L96" i="8" s="1"/>
  <c r="K97" i="8"/>
  <c r="K96" i="8" s="1"/>
  <c r="J97" i="8"/>
  <c r="O95" i="8"/>
  <c r="L95" i="8"/>
  <c r="L94" i="8" s="1"/>
  <c r="L93" i="8" s="1"/>
  <c r="K95" i="8"/>
  <c r="J95" i="8"/>
  <c r="J94" i="8" s="1"/>
  <c r="I95" i="8"/>
  <c r="I94" i="8" s="1"/>
  <c r="N94" i="8"/>
  <c r="K94" i="8"/>
  <c r="H94" i="8"/>
  <c r="H93" i="8" s="1"/>
  <c r="E94" i="8"/>
  <c r="E93" i="8" s="1"/>
  <c r="D90" i="8"/>
  <c r="Q90" i="8"/>
  <c r="P90" i="8"/>
  <c r="O90" i="8"/>
  <c r="N90" i="8"/>
  <c r="L90" i="8"/>
  <c r="K90" i="8"/>
  <c r="J90" i="8"/>
  <c r="I90" i="8"/>
  <c r="H90" i="8"/>
  <c r="G90" i="8"/>
  <c r="F90" i="8"/>
  <c r="E90" i="8"/>
  <c r="Q89" i="8"/>
  <c r="P89" i="8"/>
  <c r="P88" i="8" s="1"/>
  <c r="P87" i="8" s="1"/>
  <c r="L89" i="8"/>
  <c r="M89" i="8" s="1"/>
  <c r="Q88" i="8"/>
  <c r="Q87" i="8" s="1"/>
  <c r="O88" i="8"/>
  <c r="O87" i="8" s="1"/>
  <c r="N88" i="8"/>
  <c r="N87" i="8" s="1"/>
  <c r="L88" i="8"/>
  <c r="L87" i="8" s="1"/>
  <c r="K88" i="8"/>
  <c r="K87" i="8" s="1"/>
  <c r="J88" i="8"/>
  <c r="J87" i="8" s="1"/>
  <c r="I88" i="8"/>
  <c r="I87" i="8" s="1"/>
  <c r="H88" i="8"/>
  <c r="H87" i="8" s="1"/>
  <c r="G88" i="8"/>
  <c r="G87" i="8" s="1"/>
  <c r="F88" i="8"/>
  <c r="F87" i="8" s="1"/>
  <c r="E88" i="8"/>
  <c r="E87" i="8" s="1"/>
  <c r="Q86" i="8"/>
  <c r="U86" i="8" s="1"/>
  <c r="U85" i="8" s="1"/>
  <c r="L86" i="8"/>
  <c r="L85" i="8" s="1"/>
  <c r="K86" i="8"/>
  <c r="P85" i="8"/>
  <c r="O85" i="8"/>
  <c r="J85" i="8"/>
  <c r="I85" i="8"/>
  <c r="H85" i="8"/>
  <c r="G85" i="8"/>
  <c r="F85" i="8"/>
  <c r="E85" i="8"/>
  <c r="Q84" i="8"/>
  <c r="Q83" i="8" s="1"/>
  <c r="P84" i="8"/>
  <c r="L84" i="8"/>
  <c r="M84" i="8" s="1"/>
  <c r="O83" i="8"/>
  <c r="N83" i="8"/>
  <c r="K83" i="8"/>
  <c r="J83" i="8"/>
  <c r="I83" i="8"/>
  <c r="I82" i="8" s="1"/>
  <c r="H83" i="8"/>
  <c r="G83" i="8"/>
  <c r="F83" i="8"/>
  <c r="E83" i="8"/>
  <c r="E82" i="8" s="1"/>
  <c r="G82" i="8"/>
  <c r="D80" i="8"/>
  <c r="N79" i="8"/>
  <c r="L79" i="8"/>
  <c r="K79" i="8"/>
  <c r="J79" i="8"/>
  <c r="I79" i="8"/>
  <c r="H79" i="8"/>
  <c r="E79" i="8"/>
  <c r="D79" i="8"/>
  <c r="O77" i="8"/>
  <c r="N78" i="8"/>
  <c r="J78" i="8"/>
  <c r="P77" i="8"/>
  <c r="L77" i="8"/>
  <c r="K77" i="8"/>
  <c r="J77" i="8"/>
  <c r="I77" i="8"/>
  <c r="H77" i="8"/>
  <c r="G77" i="8"/>
  <c r="F77" i="8"/>
  <c r="E77" i="8"/>
  <c r="O76" i="8"/>
  <c r="O27" i="8" s="1"/>
  <c r="L76" i="8"/>
  <c r="L27" i="8" s="1"/>
  <c r="K76" i="8"/>
  <c r="P75" i="8"/>
  <c r="N75" i="8"/>
  <c r="L75" i="8"/>
  <c r="L74" i="8" s="1"/>
  <c r="K75" i="8"/>
  <c r="J75" i="8"/>
  <c r="J74" i="8" s="1"/>
  <c r="I75" i="8"/>
  <c r="H75" i="8"/>
  <c r="H74" i="8" s="1"/>
  <c r="G75" i="8"/>
  <c r="F75" i="8"/>
  <c r="F74" i="8" s="1"/>
  <c r="E75" i="8"/>
  <c r="P74" i="8"/>
  <c r="K74" i="8"/>
  <c r="I74" i="8"/>
  <c r="G74" i="8"/>
  <c r="E74" i="8"/>
  <c r="O73" i="8"/>
  <c r="U73" i="8" s="1"/>
  <c r="U22" i="8" s="1"/>
  <c r="L73" i="8"/>
  <c r="L72" i="8" s="1"/>
  <c r="K73" i="8"/>
  <c r="J73" i="8"/>
  <c r="M73" i="8" s="1"/>
  <c r="P72" i="8"/>
  <c r="N72" i="8"/>
  <c r="K72" i="8"/>
  <c r="I72" i="8"/>
  <c r="H72" i="8"/>
  <c r="G72" i="8"/>
  <c r="F72" i="8"/>
  <c r="E72" i="8"/>
  <c r="O71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F69" i="8" s="1"/>
  <c r="E70" i="8"/>
  <c r="H69" i="8"/>
  <c r="K66" i="8"/>
  <c r="M66" i="8" s="1"/>
  <c r="M65" i="8" s="1"/>
  <c r="O65" i="8"/>
  <c r="N65" i="8"/>
  <c r="L65" i="8"/>
  <c r="J65" i="8"/>
  <c r="I65" i="8"/>
  <c r="H65" i="8"/>
  <c r="G65" i="8"/>
  <c r="F65" i="8"/>
  <c r="E65" i="8"/>
  <c r="K63" i="8"/>
  <c r="M63" i="8" s="1"/>
  <c r="M62" i="8" s="1"/>
  <c r="M61" i="8" s="1"/>
  <c r="O62" i="8"/>
  <c r="N62" i="8"/>
  <c r="L62" i="8"/>
  <c r="J62" i="8"/>
  <c r="J61" i="8" s="1"/>
  <c r="I62" i="8"/>
  <c r="H62" i="8"/>
  <c r="H61" i="8" s="1"/>
  <c r="G62" i="8"/>
  <c r="F62" i="8"/>
  <c r="F61" i="8" s="1"/>
  <c r="E62" i="8"/>
  <c r="N61" i="8"/>
  <c r="G61" i="8"/>
  <c r="K59" i="8"/>
  <c r="U58" i="8"/>
  <c r="O58" i="8"/>
  <c r="N58" i="8"/>
  <c r="L58" i="8"/>
  <c r="J58" i="8"/>
  <c r="I58" i="8"/>
  <c r="H58" i="8"/>
  <c r="G58" i="8"/>
  <c r="F58" i="8"/>
  <c r="E58" i="8"/>
  <c r="K56" i="8"/>
  <c r="M56" i="8" s="1"/>
  <c r="M55" i="8" s="1"/>
  <c r="U55" i="8"/>
  <c r="O55" i="8"/>
  <c r="N55" i="8"/>
  <c r="L55" i="8"/>
  <c r="J55" i="8"/>
  <c r="J54" i="8" s="1"/>
  <c r="I55" i="8"/>
  <c r="H55" i="8"/>
  <c r="H54" i="8" s="1"/>
  <c r="G55" i="8"/>
  <c r="F55" i="8"/>
  <c r="E55" i="8"/>
  <c r="U54" i="8"/>
  <c r="I51" i="8"/>
  <c r="E51" i="8"/>
  <c r="O50" i="8"/>
  <c r="L50" i="8"/>
  <c r="L49" i="8" s="1"/>
  <c r="K50" i="8"/>
  <c r="J50" i="8"/>
  <c r="O49" i="8"/>
  <c r="N49" i="8"/>
  <c r="K49" i="8"/>
  <c r="I49" i="8"/>
  <c r="H49" i="8"/>
  <c r="G49" i="8"/>
  <c r="F49" i="8"/>
  <c r="I47" i="8"/>
  <c r="E47" i="8"/>
  <c r="O46" i="8"/>
  <c r="O25" i="8" s="1"/>
  <c r="L46" i="8"/>
  <c r="L25" i="8" s="1"/>
  <c r="K46" i="8"/>
  <c r="K45" i="8" s="1"/>
  <c r="K44" i="8" s="1"/>
  <c r="J46" i="8"/>
  <c r="N45" i="8"/>
  <c r="I45" i="8"/>
  <c r="I44" i="8" s="1"/>
  <c r="H45" i="8"/>
  <c r="H44" i="8" s="1"/>
  <c r="G45" i="8"/>
  <c r="F45" i="8"/>
  <c r="N44" i="8"/>
  <c r="I43" i="8"/>
  <c r="E43" i="8"/>
  <c r="O42" i="8"/>
  <c r="L42" i="8"/>
  <c r="K42" i="8"/>
  <c r="J42" i="8"/>
  <c r="L40" i="8"/>
  <c r="H40" i="8"/>
  <c r="G40" i="8"/>
  <c r="F40" i="8"/>
  <c r="I39" i="8"/>
  <c r="I36" i="8" s="1"/>
  <c r="E39" i="8"/>
  <c r="O38" i="8"/>
  <c r="O36" i="8" s="1"/>
  <c r="L38" i="8"/>
  <c r="K38" i="8"/>
  <c r="K36" i="8" s="1"/>
  <c r="J38" i="8"/>
  <c r="J37" i="8"/>
  <c r="N36" i="8"/>
  <c r="L36" i="8"/>
  <c r="H36" i="8"/>
  <c r="H35" i="8" s="1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M42" i="1"/>
  <c r="M140" i="1" s="1"/>
  <c r="M202" i="1" s="1"/>
  <c r="K32" i="8"/>
  <c r="H32" i="8"/>
  <c r="H30" i="8" s="1"/>
  <c r="G32" i="8"/>
  <c r="F32" i="8"/>
  <c r="F30" i="8" s="1"/>
  <c r="E32" i="8"/>
  <c r="L31" i="8"/>
  <c r="K31" i="8"/>
  <c r="J31" i="8"/>
  <c r="I31" i="8"/>
  <c r="E30" i="8"/>
  <c r="R28" i="8"/>
  <c r="O33" i="1" s="1"/>
  <c r="Q28" i="8"/>
  <c r="P28" i="8"/>
  <c r="O28" i="8"/>
  <c r="N28" i="8"/>
  <c r="L28" i="8"/>
  <c r="K28" i="8"/>
  <c r="J28" i="8"/>
  <c r="I28" i="8"/>
  <c r="H28" i="8"/>
  <c r="G28" i="8"/>
  <c r="F28" i="8"/>
  <c r="E28" i="8"/>
  <c r="R27" i="8"/>
  <c r="Q27" i="8"/>
  <c r="P27" i="8"/>
  <c r="N27" i="8"/>
  <c r="K27" i="8"/>
  <c r="J27" i="8"/>
  <c r="I27" i="8"/>
  <c r="H27" i="8"/>
  <c r="G27" i="8"/>
  <c r="F27" i="8"/>
  <c r="E27" i="8"/>
  <c r="K26" i="8"/>
  <c r="I26" i="8"/>
  <c r="H26" i="8"/>
  <c r="G26" i="8"/>
  <c r="F26" i="8"/>
  <c r="E26" i="8"/>
  <c r="I25" i="8"/>
  <c r="H25" i="8"/>
  <c r="G25" i="8"/>
  <c r="F25" i="8"/>
  <c r="E25" i="8"/>
  <c r="F24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N28" i="1"/>
  <c r="N128" i="1" s="1"/>
  <c r="N190" i="1" s="1"/>
  <c r="M28" i="1"/>
  <c r="M128" i="1" s="1"/>
  <c r="M190" i="1" s="1"/>
  <c r="L21" i="8"/>
  <c r="J21" i="8"/>
  <c r="H21" i="8"/>
  <c r="G21" i="8"/>
  <c r="F21" i="8"/>
  <c r="E21" i="8"/>
  <c r="L20" i="8"/>
  <c r="J20" i="8"/>
  <c r="I20" i="8"/>
  <c r="E20" i="8"/>
  <c r="U19" i="8"/>
  <c r="R19" i="8"/>
  <c r="O25" i="1" s="1"/>
  <c r="Q19" i="8"/>
  <c r="N25" i="1" s="1"/>
  <c r="P19" i="8"/>
  <c r="M25" i="1" s="1"/>
  <c r="O19" i="8"/>
  <c r="N19" i="8"/>
  <c r="K25" i="1" s="1"/>
  <c r="L19" i="8"/>
  <c r="I25" i="1" s="1"/>
  <c r="K19" i="8"/>
  <c r="H25" i="1" s="1"/>
  <c r="J19" i="8"/>
  <c r="G25" i="1" s="1"/>
  <c r="I19" i="8"/>
  <c r="F25" i="1" s="1"/>
  <c r="H19" i="8"/>
  <c r="G19" i="8"/>
  <c r="F19" i="8"/>
  <c r="E19" i="8"/>
  <c r="L18" i="8"/>
  <c r="Q17" i="8"/>
  <c r="O17" i="8"/>
  <c r="N17" i="8"/>
  <c r="L17" i="8"/>
  <c r="K17" i="8"/>
  <c r="J17" i="8"/>
  <c r="I17" i="8"/>
  <c r="H17" i="8"/>
  <c r="G17" i="8"/>
  <c r="F17" i="8"/>
  <c r="E17" i="8"/>
  <c r="L16" i="8"/>
  <c r="J16" i="8"/>
  <c r="H16" i="8"/>
  <c r="G16" i="8"/>
  <c r="F16" i="8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H13" i="8"/>
  <c r="F1" i="8"/>
  <c r="N89" i="7"/>
  <c r="L89" i="7"/>
  <c r="K89" i="7"/>
  <c r="H89" i="7"/>
  <c r="R88" i="7"/>
  <c r="Q88" i="7"/>
  <c r="P88" i="7"/>
  <c r="O88" i="7"/>
  <c r="L88" i="7"/>
  <c r="J88" i="7"/>
  <c r="J85" i="7" s="1"/>
  <c r="I88" i="7"/>
  <c r="E88" i="7"/>
  <c r="E85" i="7" s="1"/>
  <c r="N87" i="7"/>
  <c r="L87" i="7"/>
  <c r="L86" i="7" s="1"/>
  <c r="L85" i="7" s="1"/>
  <c r="K87" i="7"/>
  <c r="R86" i="7"/>
  <c r="R85" i="7" s="1"/>
  <c r="Q86" i="7"/>
  <c r="P86" i="7"/>
  <c r="P85" i="7" s="1"/>
  <c r="O86" i="7"/>
  <c r="N86" i="7"/>
  <c r="J86" i="7"/>
  <c r="I86" i="7"/>
  <c r="H86" i="7"/>
  <c r="G86" i="7"/>
  <c r="F86" i="7"/>
  <c r="E86" i="7"/>
  <c r="I85" i="7"/>
  <c r="N84" i="7"/>
  <c r="N83" i="7" s="1"/>
  <c r="L84" i="7"/>
  <c r="K84" i="7"/>
  <c r="U83" i="7"/>
  <c r="R83" i="7"/>
  <c r="Q83" i="7"/>
  <c r="P83" i="7"/>
  <c r="O83" i="7"/>
  <c r="L83" i="7"/>
  <c r="J83" i="7"/>
  <c r="I83" i="7"/>
  <c r="E83" i="7"/>
  <c r="N82" i="7"/>
  <c r="N81" i="7" s="1"/>
  <c r="L82" i="7"/>
  <c r="L81" i="7" s="1"/>
  <c r="K82" i="7"/>
  <c r="R81" i="7"/>
  <c r="R80" i="7" s="1"/>
  <c r="Q81" i="7"/>
  <c r="P81" i="7"/>
  <c r="P80" i="7" s="1"/>
  <c r="K81" i="7"/>
  <c r="J81" i="7"/>
  <c r="I81" i="7"/>
  <c r="I80" i="7" s="1"/>
  <c r="E81" i="7"/>
  <c r="O78" i="7"/>
  <c r="O77" i="7" s="1"/>
  <c r="N78" i="7"/>
  <c r="R77" i="7"/>
  <c r="Q77" i="7"/>
  <c r="P77" i="7"/>
  <c r="L77" i="7"/>
  <c r="K77" i="7"/>
  <c r="J77" i="7"/>
  <c r="I77" i="7"/>
  <c r="E77" i="7"/>
  <c r="O76" i="7"/>
  <c r="O75" i="7" s="1"/>
  <c r="N76" i="7"/>
  <c r="R75" i="7"/>
  <c r="Q75" i="7"/>
  <c r="Q74" i="7" s="1"/>
  <c r="P75" i="7"/>
  <c r="L75" i="7"/>
  <c r="K75" i="7"/>
  <c r="J75" i="7"/>
  <c r="I75" i="7"/>
  <c r="E75" i="7"/>
  <c r="H74" i="7"/>
  <c r="G74" i="7"/>
  <c r="F74" i="7"/>
  <c r="O73" i="7"/>
  <c r="O72" i="7" s="1"/>
  <c r="N73" i="7"/>
  <c r="N72" i="7" s="1"/>
  <c r="U72" i="7"/>
  <c r="R72" i="7"/>
  <c r="Q72" i="7"/>
  <c r="P72" i="7"/>
  <c r="L72" i="7"/>
  <c r="K72" i="7"/>
  <c r="J72" i="7"/>
  <c r="I72" i="7"/>
  <c r="E72" i="7"/>
  <c r="O71" i="7"/>
  <c r="U71" i="7" s="1"/>
  <c r="U69" i="7" s="1"/>
  <c r="U68" i="7" s="1"/>
  <c r="N71" i="7"/>
  <c r="R69" i="7"/>
  <c r="Q69" i="7"/>
  <c r="Q68" i="7" s="1"/>
  <c r="P69" i="7"/>
  <c r="L69" i="7"/>
  <c r="K69" i="7"/>
  <c r="J69" i="7"/>
  <c r="J68" i="7" s="1"/>
  <c r="I69" i="7"/>
  <c r="H69" i="7"/>
  <c r="G69" i="7"/>
  <c r="F69" i="7"/>
  <c r="E69" i="7"/>
  <c r="L68" i="7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L64" i="7"/>
  <c r="M64" i="7" s="1"/>
  <c r="R63" i="7"/>
  <c r="Q63" i="7"/>
  <c r="Q62" i="7" s="1"/>
  <c r="P63" i="7"/>
  <c r="P62" i="7" s="1"/>
  <c r="O63" i="7"/>
  <c r="O62" i="7" s="1"/>
  <c r="N63" i="7"/>
  <c r="N62" i="7" s="1"/>
  <c r="L63" i="7"/>
  <c r="L62" i="7" s="1"/>
  <c r="K63" i="7"/>
  <c r="K62" i="7" s="1"/>
  <c r="J63" i="7"/>
  <c r="J62" i="7" s="1"/>
  <c r="R62" i="7"/>
  <c r="I62" i="7"/>
  <c r="G62" i="7"/>
  <c r="E62" i="7"/>
  <c r="D60" i="7"/>
  <c r="U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U58" i="7"/>
  <c r="U57" i="7" s="1"/>
  <c r="U56" i="7" s="1"/>
  <c r="L58" i="7"/>
  <c r="L57" i="7" s="1"/>
  <c r="K58" i="7"/>
  <c r="M58" i="7" s="1"/>
  <c r="R56" i="7"/>
  <c r="N56" i="7"/>
  <c r="Q56" i="7"/>
  <c r="L56" i="7"/>
  <c r="G56" i="7"/>
  <c r="O53" i="7"/>
  <c r="L54" i="7"/>
  <c r="K54" i="7"/>
  <c r="E54" i="7"/>
  <c r="R53" i="7"/>
  <c r="Q53" i="7"/>
  <c r="P53" i="7"/>
  <c r="L53" i="7"/>
  <c r="J53" i="7"/>
  <c r="I53" i="7"/>
  <c r="L52" i="7"/>
  <c r="L51" i="7" s="1"/>
  <c r="K52" i="7"/>
  <c r="R51" i="7"/>
  <c r="Q51" i="7"/>
  <c r="P51" i="7"/>
  <c r="O51" i="7"/>
  <c r="N51" i="7"/>
  <c r="K51" i="7"/>
  <c r="J51" i="7"/>
  <c r="I51" i="7"/>
  <c r="H51" i="7"/>
  <c r="H50" i="7" s="1"/>
  <c r="G51" i="7"/>
  <c r="F51" i="7"/>
  <c r="F50" i="7" s="1"/>
  <c r="E51" i="7"/>
  <c r="I50" i="7"/>
  <c r="G50" i="7"/>
  <c r="N48" i="7"/>
  <c r="L49" i="7"/>
  <c r="L48" i="7" s="1"/>
  <c r="K49" i="7"/>
  <c r="K48" i="7" s="1"/>
  <c r="E49" i="7"/>
  <c r="U48" i="7"/>
  <c r="R48" i="7"/>
  <c r="Q48" i="7"/>
  <c r="P48" i="7"/>
  <c r="O48" i="7"/>
  <c r="J48" i="7"/>
  <c r="I48" i="7"/>
  <c r="E48" i="7"/>
  <c r="U46" i="7"/>
  <c r="U45" i="7" s="1"/>
  <c r="U44" i="7" s="1"/>
  <c r="L46" i="7"/>
  <c r="K46" i="7"/>
  <c r="K45" i="7" s="1"/>
  <c r="I46" i="7"/>
  <c r="I45" i="7" s="1"/>
  <c r="E46" i="7"/>
  <c r="R45" i="7"/>
  <c r="R44" i="7" s="1"/>
  <c r="Q45" i="7"/>
  <c r="P45" i="7"/>
  <c r="P44" i="7" s="1"/>
  <c r="O45" i="7"/>
  <c r="O44" i="7" s="1"/>
  <c r="N45" i="7"/>
  <c r="L45" i="7"/>
  <c r="J45" i="7"/>
  <c r="J44" i="7" s="1"/>
  <c r="N41" i="7"/>
  <c r="L42" i="7"/>
  <c r="K42" i="7"/>
  <c r="K41" i="7" s="1"/>
  <c r="J42" i="7"/>
  <c r="E42" i="7"/>
  <c r="R41" i="7"/>
  <c r="Q41" i="7"/>
  <c r="P41" i="7"/>
  <c r="O41" i="7"/>
  <c r="L41" i="7"/>
  <c r="J41" i="7"/>
  <c r="I41" i="7"/>
  <c r="L40" i="7"/>
  <c r="L39" i="7" s="1"/>
  <c r="K40" i="7"/>
  <c r="R39" i="7"/>
  <c r="Q39" i="7"/>
  <c r="P39" i="7"/>
  <c r="O39" i="7"/>
  <c r="N39" i="7"/>
  <c r="K39" i="7"/>
  <c r="J39" i="7"/>
  <c r="I39" i="7"/>
  <c r="H39" i="7"/>
  <c r="H38" i="7" s="1"/>
  <c r="G39" i="7"/>
  <c r="F39" i="7"/>
  <c r="F38" i="7" s="1"/>
  <c r="E39" i="7"/>
  <c r="P38" i="7"/>
  <c r="G38" i="7"/>
  <c r="O36" i="7"/>
  <c r="L37" i="7"/>
  <c r="L36" i="7" s="1"/>
  <c r="K37" i="7"/>
  <c r="K36" i="7" s="1"/>
  <c r="J37" i="7"/>
  <c r="J36" i="7" s="1"/>
  <c r="I37" i="7"/>
  <c r="I36" i="7" s="1"/>
  <c r="E37" i="7"/>
  <c r="U36" i="7"/>
  <c r="R36" i="7"/>
  <c r="Q36" i="7"/>
  <c r="P36" i="7"/>
  <c r="U35" i="7"/>
  <c r="U33" i="7" s="1"/>
  <c r="U32" i="7" s="1"/>
  <c r="L35" i="7"/>
  <c r="K35" i="7"/>
  <c r="J35" i="7"/>
  <c r="N33" i="7"/>
  <c r="L34" i="7"/>
  <c r="L13" i="7" s="1"/>
  <c r="K34" i="7"/>
  <c r="K13" i="7" s="1"/>
  <c r="J34" i="7"/>
  <c r="J13" i="7" s="1"/>
  <c r="I34" i="7"/>
  <c r="E34" i="7"/>
  <c r="R33" i="7"/>
  <c r="R32" i="7" s="1"/>
  <c r="Q33" i="7"/>
  <c r="P33" i="7"/>
  <c r="P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/>
  <c r="D26" i="7" s="1"/>
  <c r="U26" i="7"/>
  <c r="L26" i="7"/>
  <c r="J26" i="7"/>
  <c r="I26" i="7"/>
  <c r="E26" i="7"/>
  <c r="O25" i="7"/>
  <c r="U25" i="7" s="1"/>
  <c r="N25" i="7"/>
  <c r="L25" i="7"/>
  <c r="K25" i="7"/>
  <c r="J25" i="7"/>
  <c r="E25" i="7"/>
  <c r="U24" i="7"/>
  <c r="U23" i="7" s="1"/>
  <c r="R24" i="7"/>
  <c r="R23" i="7" s="1"/>
  <c r="Q24" i="7"/>
  <c r="P24" i="7"/>
  <c r="P23" i="7" s="1"/>
  <c r="O24" i="7"/>
  <c r="O23" i="7" s="1"/>
  <c r="N24" i="7"/>
  <c r="N23" i="7" s="1"/>
  <c r="L24" i="7"/>
  <c r="L23" i="7" s="1"/>
  <c r="K24" i="7"/>
  <c r="J24" i="7"/>
  <c r="J23" i="7" s="1"/>
  <c r="I24" i="7"/>
  <c r="Q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K18" i="7" s="1"/>
  <c r="J19" i="7"/>
  <c r="J18" i="7" s="1"/>
  <c r="I19" i="7"/>
  <c r="I18" i="7" s="1"/>
  <c r="H19" i="7"/>
  <c r="G19" i="7"/>
  <c r="F19" i="7"/>
  <c r="E19" i="7"/>
  <c r="E18" i="7" s="1"/>
  <c r="G18" i="7"/>
  <c r="K16" i="7"/>
  <c r="K15" i="7" s="1"/>
  <c r="J16" i="7"/>
  <c r="J15" i="7" s="1"/>
  <c r="I16" i="7"/>
  <c r="I15" i="7" s="1"/>
  <c r="H16" i="7"/>
  <c r="G16" i="7"/>
  <c r="F16" i="7"/>
  <c r="E16" i="7"/>
  <c r="E15" i="7" s="1"/>
  <c r="U15" i="7"/>
  <c r="H15" i="7"/>
  <c r="H11" i="7" s="1"/>
  <c r="G15" i="7"/>
  <c r="F15" i="7"/>
  <c r="I14" i="7"/>
  <c r="E14" i="7"/>
  <c r="H12" i="7"/>
  <c r="F12" i="7"/>
  <c r="F11" i="7" s="1"/>
  <c r="L10" i="7"/>
  <c r="L8" i="7" s="1"/>
  <c r="J10" i="7"/>
  <c r="J8" i="7" s="1"/>
  <c r="I10" i="7"/>
  <c r="I8" i="7" s="1"/>
  <c r="H8" i="7"/>
  <c r="F8" i="7"/>
  <c r="G8" i="7"/>
  <c r="J137" i="6"/>
  <c r="M137" i="6" s="1"/>
  <c r="O136" i="6"/>
  <c r="O135" i="6" s="1"/>
  <c r="N136" i="6"/>
  <c r="L136" i="6"/>
  <c r="L135" i="6" s="1"/>
  <c r="K136" i="6"/>
  <c r="J136" i="6"/>
  <c r="J135" i="6" s="1"/>
  <c r="I136" i="6"/>
  <c r="I135" i="6" s="1"/>
  <c r="H136" i="6"/>
  <c r="H135" i="6" s="1"/>
  <c r="G136" i="6"/>
  <c r="G135" i="6" s="1"/>
  <c r="F136" i="6"/>
  <c r="F135" i="6" s="1"/>
  <c r="E136" i="6"/>
  <c r="N135" i="6"/>
  <c r="K135" i="6"/>
  <c r="E135" i="6"/>
  <c r="J134" i="6"/>
  <c r="M134" i="6" s="1"/>
  <c r="N133" i="6"/>
  <c r="O132" i="6"/>
  <c r="O131" i="6" s="1"/>
  <c r="L132" i="6"/>
  <c r="L131" i="6" s="1"/>
  <c r="K132" i="6"/>
  <c r="I132" i="6"/>
  <c r="H132" i="6"/>
  <c r="H131" i="6" s="1"/>
  <c r="G132" i="6"/>
  <c r="G131" i="6" s="1"/>
  <c r="F132" i="6"/>
  <c r="F131" i="6" s="1"/>
  <c r="E132" i="6"/>
  <c r="K131" i="6"/>
  <c r="I131" i="6"/>
  <c r="E131" i="6"/>
  <c r="N128" i="6"/>
  <c r="N127" i="6" s="1"/>
  <c r="L129" i="6"/>
  <c r="L128" i="6" s="1"/>
  <c r="L127" i="6" s="1"/>
  <c r="K129" i="6"/>
  <c r="J129" i="6"/>
  <c r="M129" i="6" s="1"/>
  <c r="M128" i="6" s="1"/>
  <c r="M127" i="6" s="1"/>
  <c r="R128" i="6"/>
  <c r="R127" i="6" s="1"/>
  <c r="R113" i="6" s="1"/>
  <c r="Q128" i="6"/>
  <c r="P128" i="6"/>
  <c r="P127" i="6" s="1"/>
  <c r="P113" i="6" s="1"/>
  <c r="K128" i="6"/>
  <c r="K127" i="6" s="1"/>
  <c r="K113" i="6" s="1"/>
  <c r="I128" i="6"/>
  <c r="I127" i="6" s="1"/>
  <c r="H128" i="6"/>
  <c r="H127" i="6" s="1"/>
  <c r="H113" i="6" s="1"/>
  <c r="G128" i="6"/>
  <c r="G127" i="6" s="1"/>
  <c r="F128" i="6"/>
  <c r="F127" i="6" s="1"/>
  <c r="F113" i="6" s="1"/>
  <c r="E128" i="6"/>
  <c r="E127" i="6" s="1"/>
  <c r="Q127" i="6"/>
  <c r="P125" i="6"/>
  <c r="O125" i="6"/>
  <c r="N125" i="6"/>
  <c r="L125" i="6"/>
  <c r="L124" i="6" s="1"/>
  <c r="L123" i="6" s="1"/>
  <c r="L114" i="6" s="1"/>
  <c r="K125" i="6"/>
  <c r="K124" i="6" s="1"/>
  <c r="K123" i="6" s="1"/>
  <c r="K114" i="6" s="1"/>
  <c r="J125" i="6"/>
  <c r="J124" i="6" s="1"/>
  <c r="J123" i="6" s="1"/>
  <c r="J114" i="6" s="1"/>
  <c r="I125" i="6"/>
  <c r="P124" i="6"/>
  <c r="P123" i="6" s="1"/>
  <c r="P114" i="6" s="1"/>
  <c r="H124" i="6"/>
  <c r="G124" i="6"/>
  <c r="G123" i="6" s="1"/>
  <c r="G114" i="6" s="1"/>
  <c r="F124" i="6"/>
  <c r="F123" i="6" s="1"/>
  <c r="F114" i="6" s="1"/>
  <c r="E124" i="6"/>
  <c r="E123" i="6" s="1"/>
  <c r="E114" i="6" s="1"/>
  <c r="H123" i="6"/>
  <c r="H114" i="6" s="1"/>
  <c r="N119" i="6"/>
  <c r="O119" i="6"/>
  <c r="P118" i="6"/>
  <c r="M70" i="1" s="1"/>
  <c r="O118" i="6"/>
  <c r="N118" i="6"/>
  <c r="Q117" i="6"/>
  <c r="Q116" i="6" s="1"/>
  <c r="Q115" i="6" s="1"/>
  <c r="O117" i="6"/>
  <c r="K117" i="6"/>
  <c r="K116" i="6" s="1"/>
  <c r="K115" i="6" s="1"/>
  <c r="H117" i="6"/>
  <c r="H116" i="6" s="1"/>
  <c r="H115" i="6" s="1"/>
  <c r="G117" i="6"/>
  <c r="G116" i="6" s="1"/>
  <c r="G115" i="6" s="1"/>
  <c r="F117" i="6"/>
  <c r="F116" i="6" s="1"/>
  <c r="F115" i="6" s="1"/>
  <c r="R114" i="6"/>
  <c r="Q114" i="6"/>
  <c r="Q113" i="6"/>
  <c r="L113" i="6"/>
  <c r="N108" i="6"/>
  <c r="N107" i="6" s="1"/>
  <c r="L109" i="6"/>
  <c r="K109" i="6"/>
  <c r="K108" i="6" s="1"/>
  <c r="K107" i="6" s="1"/>
  <c r="J109" i="6"/>
  <c r="O108" i="6"/>
  <c r="O107" i="6" s="1"/>
  <c r="L108" i="6"/>
  <c r="L107" i="6" s="1"/>
  <c r="I108" i="6"/>
  <c r="I107" i="6" s="1"/>
  <c r="H108" i="6"/>
  <c r="H107" i="6" s="1"/>
  <c r="G108" i="6"/>
  <c r="G107" i="6" s="1"/>
  <c r="F108" i="6"/>
  <c r="F107" i="6" s="1"/>
  <c r="E108" i="6"/>
  <c r="E107" i="6" s="1"/>
  <c r="Q107" i="6"/>
  <c r="P107" i="6"/>
  <c r="U105" i="6"/>
  <c r="L106" i="6"/>
  <c r="L105" i="6" s="1"/>
  <c r="K106" i="6"/>
  <c r="K105" i="6" s="1"/>
  <c r="J106" i="6"/>
  <c r="J105" i="6" s="1"/>
  <c r="O105" i="6"/>
  <c r="N105" i="6"/>
  <c r="I105" i="6"/>
  <c r="H105" i="6"/>
  <c r="G105" i="6"/>
  <c r="F105" i="6"/>
  <c r="E105" i="6"/>
  <c r="L104" i="6"/>
  <c r="K104" i="6"/>
  <c r="K15" i="6" s="1"/>
  <c r="J104" i="6"/>
  <c r="O103" i="6"/>
  <c r="J103" i="6"/>
  <c r="I103" i="6"/>
  <c r="H103" i="6"/>
  <c r="G103" i="6"/>
  <c r="F103" i="6"/>
  <c r="E103" i="6"/>
  <c r="O99" i="6"/>
  <c r="L100" i="6"/>
  <c r="L99" i="6" s="1"/>
  <c r="K100" i="6"/>
  <c r="M100" i="6" s="1"/>
  <c r="M99" i="6" s="1"/>
  <c r="Q99" i="6"/>
  <c r="P99" i="6"/>
  <c r="N99" i="6"/>
  <c r="J99" i="6"/>
  <c r="I99" i="6"/>
  <c r="H99" i="6"/>
  <c r="G99" i="6"/>
  <c r="F99" i="6"/>
  <c r="E99" i="6"/>
  <c r="L98" i="6"/>
  <c r="K98" i="6"/>
  <c r="Q97" i="6"/>
  <c r="P97" i="6"/>
  <c r="N97" i="6"/>
  <c r="J97" i="6"/>
  <c r="I97" i="6"/>
  <c r="H97" i="6"/>
  <c r="G97" i="6"/>
  <c r="F97" i="6"/>
  <c r="E97" i="6"/>
  <c r="U94" i="6"/>
  <c r="L95" i="6"/>
  <c r="L94" i="6" s="1"/>
  <c r="K95" i="6"/>
  <c r="E94" i="6"/>
  <c r="Q94" i="6"/>
  <c r="P94" i="6"/>
  <c r="O94" i="6"/>
  <c r="N94" i="6"/>
  <c r="J94" i="6"/>
  <c r="I94" i="6"/>
  <c r="H94" i="6"/>
  <c r="G94" i="6"/>
  <c r="F94" i="6"/>
  <c r="K93" i="6"/>
  <c r="K92" i="6" s="1"/>
  <c r="U92" i="6"/>
  <c r="Q92" i="6"/>
  <c r="Q91" i="6" s="1"/>
  <c r="P92" i="6"/>
  <c r="O92" i="6"/>
  <c r="N92" i="6"/>
  <c r="L92" i="6"/>
  <c r="J92" i="6"/>
  <c r="I92" i="6"/>
  <c r="H92" i="6"/>
  <c r="H91" i="6" s="1"/>
  <c r="G92" i="6"/>
  <c r="F92" i="6"/>
  <c r="F91" i="6" s="1"/>
  <c r="P89" i="6"/>
  <c r="P23" i="6" s="1"/>
  <c r="N88" i="6"/>
  <c r="N87" i="6" s="1"/>
  <c r="K89" i="6"/>
  <c r="M89" i="6" s="1"/>
  <c r="M88" i="6" s="1"/>
  <c r="M87" i="6" s="1"/>
  <c r="O88" i="6"/>
  <c r="O87" i="6" s="1"/>
  <c r="L88" i="6"/>
  <c r="L87" i="6" s="1"/>
  <c r="J88" i="6"/>
  <c r="J87" i="6" s="1"/>
  <c r="I88" i="6"/>
  <c r="I87" i="6" s="1"/>
  <c r="H88" i="6"/>
  <c r="H87" i="6" s="1"/>
  <c r="G88" i="6"/>
  <c r="G87" i="6" s="1"/>
  <c r="F88" i="6"/>
  <c r="F87" i="6" s="1"/>
  <c r="E88" i="6"/>
  <c r="E87" i="6" s="1"/>
  <c r="O83" i="6"/>
  <c r="U83" i="6" s="1"/>
  <c r="L83" i="6"/>
  <c r="K83" i="6"/>
  <c r="K82" i="6" s="1"/>
  <c r="K81" i="6" s="1"/>
  <c r="J83" i="6"/>
  <c r="J82" i="6" s="1"/>
  <c r="J81" i="6" s="1"/>
  <c r="I83" i="6"/>
  <c r="I82" i="6" s="1"/>
  <c r="I81" i="6" s="1"/>
  <c r="G82" i="6"/>
  <c r="G81" i="6" s="1"/>
  <c r="P82" i="6"/>
  <c r="L82" i="6"/>
  <c r="L81" i="6" s="1"/>
  <c r="H82" i="6"/>
  <c r="H81" i="6" s="1"/>
  <c r="F82" i="6"/>
  <c r="F81" i="6" s="1"/>
  <c r="E82" i="6"/>
  <c r="E81" i="6" s="1"/>
  <c r="P81" i="6"/>
  <c r="L78" i="6"/>
  <c r="L77" i="6" s="1"/>
  <c r="K79" i="6"/>
  <c r="K78" i="6" s="1"/>
  <c r="K77" i="6" s="1"/>
  <c r="J79" i="6"/>
  <c r="J78" i="6" s="1"/>
  <c r="J77" i="6" s="1"/>
  <c r="I79" i="6"/>
  <c r="P78" i="6"/>
  <c r="P77" i="6" s="1"/>
  <c r="N78" i="6"/>
  <c r="N77" i="6" s="1"/>
  <c r="H78" i="6"/>
  <c r="H77" i="6" s="1"/>
  <c r="G78" i="6"/>
  <c r="G77" i="6" s="1"/>
  <c r="F78" i="6"/>
  <c r="F77" i="6" s="1"/>
  <c r="E78" i="6"/>
  <c r="E77" i="6" s="1"/>
  <c r="L75" i="6"/>
  <c r="L71" i="6" s="1"/>
  <c r="K75" i="6"/>
  <c r="O71" i="6"/>
  <c r="U71" i="6" s="1"/>
  <c r="J71" i="6"/>
  <c r="I71" i="6"/>
  <c r="H70" i="6"/>
  <c r="H69" i="6" s="1"/>
  <c r="G71" i="6"/>
  <c r="F71" i="6"/>
  <c r="P70" i="6"/>
  <c r="P69" i="6" s="1"/>
  <c r="E70" i="6"/>
  <c r="E69" i="6" s="1"/>
  <c r="P44" i="6"/>
  <c r="O44" i="6"/>
  <c r="N44" i="6"/>
  <c r="L44" i="6"/>
  <c r="K44" i="6"/>
  <c r="J44" i="6"/>
  <c r="I44" i="6"/>
  <c r="H44" i="6"/>
  <c r="G44" i="6"/>
  <c r="F44" i="6"/>
  <c r="E44" i="6"/>
  <c r="P42" i="6"/>
  <c r="O42" i="6"/>
  <c r="N42" i="6"/>
  <c r="L42" i="6"/>
  <c r="K42" i="6"/>
  <c r="J42" i="6"/>
  <c r="I42" i="6"/>
  <c r="H42" i="6"/>
  <c r="G42" i="6"/>
  <c r="F42" i="6"/>
  <c r="E42" i="6"/>
  <c r="U39" i="6"/>
  <c r="P39" i="6"/>
  <c r="O39" i="6"/>
  <c r="N39" i="6"/>
  <c r="L39" i="6"/>
  <c r="K39" i="6"/>
  <c r="J39" i="6"/>
  <c r="I39" i="6"/>
  <c r="H39" i="6"/>
  <c r="G39" i="6"/>
  <c r="F39" i="6"/>
  <c r="E39" i="6"/>
  <c r="U37" i="6"/>
  <c r="U36" i="6" s="1"/>
  <c r="D37" i="6"/>
  <c r="P37" i="6"/>
  <c r="O37" i="6"/>
  <c r="N37" i="6"/>
  <c r="L37" i="6"/>
  <c r="K37" i="6"/>
  <c r="J37" i="6"/>
  <c r="I37" i="6"/>
  <c r="H37" i="6"/>
  <c r="G37" i="6"/>
  <c r="F37" i="6"/>
  <c r="G36" i="6"/>
  <c r="L34" i="6"/>
  <c r="L23" i="6" s="1"/>
  <c r="K34" i="6"/>
  <c r="K23" i="6" s="1"/>
  <c r="J34" i="6"/>
  <c r="I34" i="6"/>
  <c r="M34" i="6" s="1"/>
  <c r="H34" i="6"/>
  <c r="H23" i="6" s="1"/>
  <c r="H22" i="6" s="1"/>
  <c r="P33" i="6"/>
  <c r="O33" i="6"/>
  <c r="N33" i="6"/>
  <c r="L33" i="6"/>
  <c r="K33" i="6"/>
  <c r="J33" i="6"/>
  <c r="I33" i="6"/>
  <c r="H33" i="6"/>
  <c r="G33" i="6"/>
  <c r="F33" i="6"/>
  <c r="L32" i="6"/>
  <c r="K32" i="6"/>
  <c r="J32" i="6"/>
  <c r="J21" i="6" s="1"/>
  <c r="J20" i="6" s="1"/>
  <c r="I32" i="6"/>
  <c r="H32" i="6"/>
  <c r="H21" i="6" s="1"/>
  <c r="P31" i="6"/>
  <c r="O31" i="6"/>
  <c r="N31" i="6"/>
  <c r="J31" i="6"/>
  <c r="G31" i="6"/>
  <c r="F31" i="6"/>
  <c r="L29" i="6"/>
  <c r="K29" i="6"/>
  <c r="K28" i="6" s="1"/>
  <c r="J29" i="6"/>
  <c r="I29" i="6"/>
  <c r="H29" i="6"/>
  <c r="H18" i="6" s="1"/>
  <c r="H17" i="6" s="1"/>
  <c r="P28" i="6"/>
  <c r="O28" i="6"/>
  <c r="N28" i="6"/>
  <c r="G28" i="6"/>
  <c r="F28" i="6"/>
  <c r="L27" i="6"/>
  <c r="L16" i="6" s="1"/>
  <c r="K27" i="6"/>
  <c r="K16" i="6" s="1"/>
  <c r="J27" i="6"/>
  <c r="J16" i="6" s="1"/>
  <c r="I27" i="6"/>
  <c r="H27" i="6"/>
  <c r="H16" i="6" s="1"/>
  <c r="H14" i="6" s="1"/>
  <c r="H13" i="6" s="1"/>
  <c r="P26" i="6"/>
  <c r="O26" i="6"/>
  <c r="N26" i="6"/>
  <c r="G26" i="6"/>
  <c r="F26" i="6"/>
  <c r="N22" i="6"/>
  <c r="Q22" i="6"/>
  <c r="P20" i="6"/>
  <c r="N20" i="6"/>
  <c r="Q20" i="6"/>
  <c r="Q15" i="6"/>
  <c r="P15" i="6"/>
  <c r="O15" i="6"/>
  <c r="N15" i="6"/>
  <c r="J15" i="6"/>
  <c r="I15" i="6"/>
  <c r="L99" i="5"/>
  <c r="M99" i="5" s="1"/>
  <c r="U98" i="5"/>
  <c r="U97" i="5" s="1"/>
  <c r="R98" i="5"/>
  <c r="R97" i="5" s="1"/>
  <c r="Q98" i="5"/>
  <c r="P98" i="5"/>
  <c r="P97" i="5" s="1"/>
  <c r="O98" i="5"/>
  <c r="N98" i="5"/>
  <c r="N97" i="5" s="1"/>
  <c r="K98" i="5"/>
  <c r="J98" i="5"/>
  <c r="J97" i="5" s="1"/>
  <c r="I98" i="5"/>
  <c r="H98" i="5"/>
  <c r="H97" i="5" s="1"/>
  <c r="G98" i="5"/>
  <c r="F98" i="5"/>
  <c r="F97" i="5" s="1"/>
  <c r="E98" i="5"/>
  <c r="Q97" i="5"/>
  <c r="O97" i="5"/>
  <c r="K97" i="5"/>
  <c r="I97" i="5"/>
  <c r="G97" i="5"/>
  <c r="E97" i="5"/>
  <c r="N74" i="5"/>
  <c r="N73" i="5" s="1"/>
  <c r="L95" i="5"/>
  <c r="M95" i="5" s="1"/>
  <c r="K95" i="5"/>
  <c r="K94" i="5" s="1"/>
  <c r="L94" i="5"/>
  <c r="J94" i="5"/>
  <c r="J90" i="5" s="1"/>
  <c r="I94" i="5"/>
  <c r="I90" i="5" s="1"/>
  <c r="E94" i="5"/>
  <c r="N93" i="5"/>
  <c r="N72" i="5" s="1"/>
  <c r="L93" i="5"/>
  <c r="M93" i="5" s="1"/>
  <c r="N71" i="5"/>
  <c r="L92" i="5"/>
  <c r="K92" i="5"/>
  <c r="K91" i="5" s="1"/>
  <c r="R91" i="5"/>
  <c r="Q91" i="5"/>
  <c r="P91" i="5"/>
  <c r="N91" i="5"/>
  <c r="J91" i="5"/>
  <c r="I91" i="5"/>
  <c r="H91" i="5"/>
  <c r="G91" i="5"/>
  <c r="F91" i="5"/>
  <c r="E91" i="5"/>
  <c r="E90" i="5"/>
  <c r="L89" i="5"/>
  <c r="M89" i="5" s="1"/>
  <c r="K89" i="5"/>
  <c r="U88" i="5"/>
  <c r="N88" i="5"/>
  <c r="L88" i="5"/>
  <c r="K88" i="5"/>
  <c r="J88" i="5"/>
  <c r="I88" i="5"/>
  <c r="E88" i="5"/>
  <c r="U87" i="5"/>
  <c r="U85" i="5" s="1"/>
  <c r="U84" i="5" s="1"/>
  <c r="N65" i="5"/>
  <c r="L87" i="5"/>
  <c r="M87" i="5" s="1"/>
  <c r="L86" i="5"/>
  <c r="K86" i="5"/>
  <c r="K85" i="5" s="1"/>
  <c r="K84" i="5" s="1"/>
  <c r="R85" i="5"/>
  <c r="Q85" i="5"/>
  <c r="P85" i="5"/>
  <c r="O85" i="5"/>
  <c r="J85" i="5"/>
  <c r="I85" i="5"/>
  <c r="I84" i="5" s="1"/>
  <c r="H85" i="5"/>
  <c r="G85" i="5"/>
  <c r="F85" i="5"/>
  <c r="E85" i="5"/>
  <c r="J84" i="5"/>
  <c r="E84" i="5"/>
  <c r="D82" i="5"/>
  <c r="K81" i="5"/>
  <c r="J81" i="5"/>
  <c r="K80" i="5"/>
  <c r="U78" i="5"/>
  <c r="U77" i="5" s="1"/>
  <c r="U76" i="5" s="1"/>
  <c r="R77" i="5"/>
  <c r="Q77" i="5"/>
  <c r="Q76" i="5" s="1"/>
  <c r="P77" i="5"/>
  <c r="O77" i="5"/>
  <c r="O76" i="5" s="1"/>
  <c r="N77" i="5"/>
  <c r="L77" i="5"/>
  <c r="L76" i="5" s="1"/>
  <c r="K77" i="5"/>
  <c r="J77" i="5"/>
  <c r="J76" i="5" s="1"/>
  <c r="H77" i="5"/>
  <c r="G77" i="5"/>
  <c r="G76" i="5" s="1"/>
  <c r="F77" i="5"/>
  <c r="E77" i="5"/>
  <c r="E76" i="5" s="1"/>
  <c r="R76" i="5"/>
  <c r="P76" i="5"/>
  <c r="N76" i="5"/>
  <c r="K76" i="5"/>
  <c r="H76" i="5"/>
  <c r="F76" i="5"/>
  <c r="Q74" i="5"/>
  <c r="P74" i="5"/>
  <c r="P73" i="5" s="1"/>
  <c r="O74" i="5"/>
  <c r="L74" i="5"/>
  <c r="L73" i="5" s="1"/>
  <c r="J74" i="5"/>
  <c r="I74" i="5"/>
  <c r="I73" i="5" s="1"/>
  <c r="H74" i="5"/>
  <c r="G74" i="5"/>
  <c r="G73" i="5" s="1"/>
  <c r="F74" i="5"/>
  <c r="E74" i="5"/>
  <c r="E73" i="5" s="1"/>
  <c r="R73" i="5"/>
  <c r="Q73" i="5"/>
  <c r="O73" i="5"/>
  <c r="J73" i="5"/>
  <c r="H73" i="5"/>
  <c r="F73" i="5"/>
  <c r="Q72" i="5"/>
  <c r="N78" i="1" s="1"/>
  <c r="N138" i="1" s="1"/>
  <c r="N200" i="1" s="1"/>
  <c r="P72" i="5"/>
  <c r="M78" i="1" s="1"/>
  <c r="M138" i="1" s="1"/>
  <c r="M200" i="1" s="1"/>
  <c r="O72" i="5"/>
  <c r="K72" i="5"/>
  <c r="J72" i="5"/>
  <c r="I72" i="5"/>
  <c r="H72" i="5"/>
  <c r="G72" i="5"/>
  <c r="F72" i="5"/>
  <c r="E72" i="5"/>
  <c r="Q71" i="5"/>
  <c r="P71" i="5"/>
  <c r="O71" i="5"/>
  <c r="J71" i="5"/>
  <c r="I71" i="5"/>
  <c r="H71" i="5"/>
  <c r="H70" i="5" s="1"/>
  <c r="G71" i="5"/>
  <c r="F71" i="5"/>
  <c r="E71" i="5"/>
  <c r="R70" i="5"/>
  <c r="R69" i="5" s="1"/>
  <c r="P68" i="5"/>
  <c r="M72" i="1" s="1"/>
  <c r="M71" i="1" s="1"/>
  <c r="O68" i="5"/>
  <c r="N67" i="5"/>
  <c r="L68" i="5"/>
  <c r="L67" i="5" s="1"/>
  <c r="K68" i="5"/>
  <c r="K67" i="5" s="1"/>
  <c r="R67" i="5"/>
  <c r="Q67" i="5"/>
  <c r="O67" i="5"/>
  <c r="Q66" i="5"/>
  <c r="P66" i="5"/>
  <c r="O66" i="5"/>
  <c r="N66" i="5"/>
  <c r="L66" i="5"/>
  <c r="K66" i="5"/>
  <c r="J66" i="5"/>
  <c r="H66" i="5"/>
  <c r="G66" i="5"/>
  <c r="F66" i="5"/>
  <c r="E66" i="5"/>
  <c r="R65" i="5"/>
  <c r="Q65" i="5"/>
  <c r="P65" i="5"/>
  <c r="O65" i="5"/>
  <c r="K65" i="5"/>
  <c r="J65" i="5"/>
  <c r="I65" i="5"/>
  <c r="H65" i="5"/>
  <c r="G65" i="5"/>
  <c r="F65" i="5"/>
  <c r="E65" i="5"/>
  <c r="Q64" i="5"/>
  <c r="N69" i="1" s="1"/>
  <c r="P64" i="5"/>
  <c r="M69" i="1" s="1"/>
  <c r="O64" i="5"/>
  <c r="L69" i="1" s="1"/>
  <c r="N64" i="5"/>
  <c r="K64" i="5"/>
  <c r="J64" i="5"/>
  <c r="I64" i="5"/>
  <c r="H64" i="5"/>
  <c r="G64" i="5"/>
  <c r="F64" i="5"/>
  <c r="E64" i="5"/>
  <c r="R61" i="5"/>
  <c r="R51" i="5" s="1"/>
  <c r="R11" i="5" s="1"/>
  <c r="Q61" i="5"/>
  <c r="P61" i="5"/>
  <c r="O61" i="5"/>
  <c r="K61" i="5"/>
  <c r="K54" i="5" s="1"/>
  <c r="J61" i="5"/>
  <c r="H61" i="5"/>
  <c r="G61" i="5"/>
  <c r="F61" i="5"/>
  <c r="E61" i="5"/>
  <c r="U60" i="5"/>
  <c r="E49" i="5"/>
  <c r="D48" i="5" s="1"/>
  <c r="D47" i="5" s="1"/>
  <c r="R48" i="5"/>
  <c r="Q48" i="5"/>
  <c r="Q47" i="5" s="1"/>
  <c r="P48" i="5"/>
  <c r="P47" i="5" s="1"/>
  <c r="O48" i="5"/>
  <c r="O47" i="5" s="1"/>
  <c r="N48" i="5"/>
  <c r="L48" i="5"/>
  <c r="L47" i="5" s="1"/>
  <c r="K48" i="5"/>
  <c r="K47" i="5" s="1"/>
  <c r="J48" i="5"/>
  <c r="J47" i="5" s="1"/>
  <c r="I48" i="5"/>
  <c r="H48" i="5"/>
  <c r="H47" i="5" s="1"/>
  <c r="G48" i="5"/>
  <c r="G47" i="5" s="1"/>
  <c r="F48" i="5"/>
  <c r="F47" i="5" s="1"/>
  <c r="R47" i="5"/>
  <c r="N47" i="5"/>
  <c r="I47" i="5"/>
  <c r="E46" i="5"/>
  <c r="D45" i="5" s="1"/>
  <c r="D44" i="5" s="1"/>
  <c r="U45" i="5"/>
  <c r="U44" i="5" s="1"/>
  <c r="R45" i="5"/>
  <c r="R44" i="5" s="1"/>
  <c r="Q45" i="5"/>
  <c r="Q44" i="5" s="1"/>
  <c r="P45" i="5"/>
  <c r="P44" i="5" s="1"/>
  <c r="O45" i="5"/>
  <c r="O44" i="5" s="1"/>
  <c r="N45" i="5"/>
  <c r="N44" i="5" s="1"/>
  <c r="L45" i="5"/>
  <c r="L44" i="5" s="1"/>
  <c r="K45" i="5"/>
  <c r="K44" i="5" s="1"/>
  <c r="J45" i="5"/>
  <c r="I45" i="5"/>
  <c r="I44" i="5" s="1"/>
  <c r="H45" i="5"/>
  <c r="H44" i="5" s="1"/>
  <c r="G45" i="5"/>
  <c r="G44" i="5" s="1"/>
  <c r="F45" i="5"/>
  <c r="F44" i="5" s="1"/>
  <c r="J44" i="5"/>
  <c r="N41" i="5"/>
  <c r="L42" i="5"/>
  <c r="M42" i="5" s="1"/>
  <c r="E42" i="5"/>
  <c r="E41" i="5" s="1"/>
  <c r="R41" i="5"/>
  <c r="Q41" i="5"/>
  <c r="P41" i="5"/>
  <c r="O41" i="5"/>
  <c r="L41" i="5"/>
  <c r="K41" i="5"/>
  <c r="J41" i="5"/>
  <c r="I41" i="5"/>
  <c r="H41" i="5"/>
  <c r="G41" i="5"/>
  <c r="F41" i="5"/>
  <c r="E40" i="5"/>
  <c r="D40" i="5" s="1"/>
  <c r="R39" i="5"/>
  <c r="R38" i="5" s="1"/>
  <c r="Q39" i="5"/>
  <c r="Q38" i="5" s="1"/>
  <c r="P39" i="5"/>
  <c r="P38" i="5" s="1"/>
  <c r="O39" i="5"/>
  <c r="O38" i="5" s="1"/>
  <c r="N39" i="5"/>
  <c r="L39" i="5"/>
  <c r="K39" i="5"/>
  <c r="J39" i="5"/>
  <c r="I39" i="5"/>
  <c r="H39" i="5"/>
  <c r="G39" i="5"/>
  <c r="F39" i="5"/>
  <c r="L37" i="5"/>
  <c r="L36" i="5" s="1"/>
  <c r="E37" i="5"/>
  <c r="R36" i="5"/>
  <c r="Q36" i="5"/>
  <c r="P36" i="5"/>
  <c r="O36" i="5"/>
  <c r="N36" i="5"/>
  <c r="K36" i="5"/>
  <c r="J36" i="5"/>
  <c r="I36" i="5"/>
  <c r="H36" i="5"/>
  <c r="G36" i="5"/>
  <c r="F36" i="5"/>
  <c r="L35" i="5"/>
  <c r="M35" i="5" s="1"/>
  <c r="E35" i="5"/>
  <c r="E34" i="5" s="1"/>
  <c r="R34" i="5"/>
  <c r="Q34" i="5"/>
  <c r="Q33" i="5" s="1"/>
  <c r="P34" i="5"/>
  <c r="O34" i="5"/>
  <c r="N34" i="5"/>
  <c r="K34" i="5"/>
  <c r="K33" i="5" s="1"/>
  <c r="J34" i="5"/>
  <c r="I34" i="5"/>
  <c r="I33" i="5" s="1"/>
  <c r="H34" i="5"/>
  <c r="G34" i="5"/>
  <c r="G33" i="5" s="1"/>
  <c r="F34" i="5"/>
  <c r="R33" i="5"/>
  <c r="E31" i="5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U25" i="5"/>
  <c r="E26" i="5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R14" i="5" s="1"/>
  <c r="Q15" i="5"/>
  <c r="Q14" i="5" s="1"/>
  <c r="P15" i="5"/>
  <c r="P14" i="5" s="1"/>
  <c r="O15" i="5"/>
  <c r="O14" i="5" s="1"/>
  <c r="L15" i="5"/>
  <c r="L14" i="5" s="1"/>
  <c r="K15" i="5"/>
  <c r="K14" i="5" s="1"/>
  <c r="J15" i="5"/>
  <c r="J14" i="5" s="1"/>
  <c r="I15" i="5"/>
  <c r="I14" i="5" s="1"/>
  <c r="H15" i="5"/>
  <c r="H14" i="5" s="1"/>
  <c r="H13" i="5" s="1"/>
  <c r="G15" i="5"/>
  <c r="G14" i="5" s="1"/>
  <c r="F15" i="5"/>
  <c r="F14" i="5" s="1"/>
  <c r="F13" i="5" s="1"/>
  <c r="J13" i="5"/>
  <c r="U12" i="5"/>
  <c r="F81" i="1"/>
  <c r="F80" i="1" s="1"/>
  <c r="M75" i="1"/>
  <c r="I75" i="1"/>
  <c r="L68" i="1"/>
  <c r="D65" i="1"/>
  <c r="N196" i="3"/>
  <c r="N195" i="3" s="1"/>
  <c r="K196" i="3"/>
  <c r="E196" i="3"/>
  <c r="Q195" i="3"/>
  <c r="P195" i="3"/>
  <c r="O195" i="3"/>
  <c r="L195" i="3"/>
  <c r="K195" i="3"/>
  <c r="J195" i="3"/>
  <c r="I195" i="3"/>
  <c r="H195" i="3"/>
  <c r="H192" i="3" s="1"/>
  <c r="G195" i="3"/>
  <c r="F195" i="3"/>
  <c r="F192" i="3" s="1"/>
  <c r="E194" i="3"/>
  <c r="D194" i="3"/>
  <c r="D193" i="3" s="1"/>
  <c r="Q193" i="3"/>
  <c r="P193" i="3"/>
  <c r="P192" i="3" s="1"/>
  <c r="O193" i="3"/>
  <c r="N193" i="3"/>
  <c r="L193" i="3"/>
  <c r="K193" i="3"/>
  <c r="K192" i="3" s="1"/>
  <c r="J193" i="3"/>
  <c r="I193" i="3"/>
  <c r="I192" i="3" s="1"/>
  <c r="H193" i="3"/>
  <c r="G193" i="3"/>
  <c r="G192" i="3" s="1"/>
  <c r="F193" i="3"/>
  <c r="E193" i="3"/>
  <c r="Q192" i="3"/>
  <c r="O192" i="3"/>
  <c r="U191" i="3"/>
  <c r="N191" i="3"/>
  <c r="E191" i="3"/>
  <c r="M191" i="3" s="1"/>
  <c r="U190" i="3"/>
  <c r="Q190" i="3"/>
  <c r="P190" i="3"/>
  <c r="O190" i="3"/>
  <c r="N190" i="3"/>
  <c r="L190" i="3"/>
  <c r="K190" i="3"/>
  <c r="J190" i="3"/>
  <c r="I190" i="3"/>
  <c r="H190" i="3"/>
  <c r="G190" i="3"/>
  <c r="F190" i="3"/>
  <c r="U189" i="3"/>
  <c r="E189" i="3"/>
  <c r="U188" i="3"/>
  <c r="E188" i="3"/>
  <c r="M188" i="3" s="1"/>
  <c r="U187" i="3"/>
  <c r="U186" i="3" s="1"/>
  <c r="Q187" i="3"/>
  <c r="P187" i="3"/>
  <c r="P186" i="3" s="1"/>
  <c r="O187" i="3"/>
  <c r="N187" i="3"/>
  <c r="N186" i="3" s="1"/>
  <c r="L187" i="3"/>
  <c r="K187" i="3"/>
  <c r="K186" i="3" s="1"/>
  <c r="J187" i="3"/>
  <c r="I187" i="3"/>
  <c r="I186" i="3" s="1"/>
  <c r="H187" i="3"/>
  <c r="G187" i="3"/>
  <c r="G186" i="3" s="1"/>
  <c r="F187" i="3"/>
  <c r="Q186" i="3"/>
  <c r="O186" i="3"/>
  <c r="L186" i="3"/>
  <c r="J186" i="3"/>
  <c r="H186" i="3"/>
  <c r="F186" i="3"/>
  <c r="N184" i="3"/>
  <c r="N183" i="3" s="1"/>
  <c r="L184" i="3"/>
  <c r="K184" i="3"/>
  <c r="E184" i="3"/>
  <c r="Q183" i="3"/>
  <c r="P183" i="3"/>
  <c r="O183" i="3"/>
  <c r="K183" i="3"/>
  <c r="J183" i="3"/>
  <c r="I183" i="3"/>
  <c r="H183" i="3"/>
  <c r="G183" i="3"/>
  <c r="F183" i="3"/>
  <c r="E182" i="3"/>
  <c r="D182" i="3" s="1"/>
  <c r="D181" i="3" s="1"/>
  <c r="Q181" i="3"/>
  <c r="P181" i="3"/>
  <c r="O181" i="3"/>
  <c r="N181" i="3"/>
  <c r="L181" i="3"/>
  <c r="K181" i="3"/>
  <c r="J181" i="3"/>
  <c r="I181" i="3"/>
  <c r="H181" i="3"/>
  <c r="G181" i="3"/>
  <c r="F181" i="3"/>
  <c r="U178" i="3"/>
  <c r="N179" i="3"/>
  <c r="L179" i="3"/>
  <c r="K179" i="3"/>
  <c r="E179" i="3"/>
  <c r="Q178" i="3"/>
  <c r="P178" i="3"/>
  <c r="O178" i="3"/>
  <c r="N178" i="3"/>
  <c r="L178" i="3"/>
  <c r="K178" i="3"/>
  <c r="J178" i="3"/>
  <c r="I178" i="3"/>
  <c r="H178" i="3"/>
  <c r="G178" i="3"/>
  <c r="F178" i="3"/>
  <c r="U177" i="3"/>
  <c r="E177" i="3"/>
  <c r="D177" i="3" s="1"/>
  <c r="U176" i="3"/>
  <c r="U175" i="3" s="1"/>
  <c r="E176" i="3"/>
  <c r="D176" i="3"/>
  <c r="Q175" i="3"/>
  <c r="P175" i="3"/>
  <c r="P174" i="3" s="1"/>
  <c r="O175" i="3"/>
  <c r="N175" i="3"/>
  <c r="L175" i="3"/>
  <c r="K175" i="3"/>
  <c r="K174" i="3" s="1"/>
  <c r="J175" i="3"/>
  <c r="I175" i="3"/>
  <c r="H175" i="3"/>
  <c r="G175" i="3"/>
  <c r="G174" i="3" s="1"/>
  <c r="F175" i="3"/>
  <c r="N174" i="3"/>
  <c r="I174" i="3"/>
  <c r="O172" i="3"/>
  <c r="O171" i="3" s="1"/>
  <c r="N172" i="3"/>
  <c r="L172" i="3"/>
  <c r="M172" i="3" s="1"/>
  <c r="K172" i="3"/>
  <c r="P171" i="3"/>
  <c r="N171" i="3"/>
  <c r="K171" i="3"/>
  <c r="J171" i="3"/>
  <c r="I171" i="3"/>
  <c r="H171" i="3"/>
  <c r="G171" i="3"/>
  <c r="F171" i="3"/>
  <c r="E171" i="3"/>
  <c r="E170" i="3"/>
  <c r="D170" i="3" s="1"/>
  <c r="D169" i="3" s="1"/>
  <c r="P169" i="3"/>
  <c r="P168" i="3" s="1"/>
  <c r="O169" i="3"/>
  <c r="N169" i="3"/>
  <c r="L169" i="3"/>
  <c r="K169" i="3"/>
  <c r="K168" i="3" s="1"/>
  <c r="J169" i="3"/>
  <c r="J168" i="3" s="1"/>
  <c r="I169" i="3"/>
  <c r="H169" i="3"/>
  <c r="H168" i="3" s="1"/>
  <c r="G169" i="3"/>
  <c r="G168" i="3" s="1"/>
  <c r="F169" i="3"/>
  <c r="F168" i="3" s="1"/>
  <c r="E169" i="3"/>
  <c r="Q168" i="3"/>
  <c r="N168" i="3"/>
  <c r="I168" i="3"/>
  <c r="E168" i="3"/>
  <c r="O167" i="3"/>
  <c r="U166" i="3" s="1"/>
  <c r="N167" i="3"/>
  <c r="L167" i="3"/>
  <c r="K167" i="3"/>
  <c r="E167" i="3"/>
  <c r="Q166" i="3"/>
  <c r="P166" i="3"/>
  <c r="O166" i="3"/>
  <c r="N166" i="3"/>
  <c r="L166" i="3"/>
  <c r="K166" i="3"/>
  <c r="J166" i="3"/>
  <c r="I166" i="3"/>
  <c r="H166" i="3"/>
  <c r="G166" i="3"/>
  <c r="F166" i="3"/>
  <c r="U165" i="3"/>
  <c r="E165" i="3"/>
  <c r="D165" i="3" s="1"/>
  <c r="U164" i="3"/>
  <c r="E164" i="3"/>
  <c r="D164" i="3" s="1"/>
  <c r="U163" i="3"/>
  <c r="Q163" i="3"/>
  <c r="P163" i="3"/>
  <c r="O163" i="3"/>
  <c r="N163" i="3"/>
  <c r="L163" i="3"/>
  <c r="K163" i="3"/>
  <c r="J163" i="3"/>
  <c r="I163" i="3"/>
  <c r="H163" i="3"/>
  <c r="G163" i="3"/>
  <c r="F163" i="3"/>
  <c r="I162" i="3"/>
  <c r="N159" i="3"/>
  <c r="L160" i="3"/>
  <c r="K160" i="3"/>
  <c r="K159" i="3" s="1"/>
  <c r="I160" i="3"/>
  <c r="I159" i="3" s="1"/>
  <c r="E160" i="3"/>
  <c r="Q159" i="3"/>
  <c r="P159" i="3"/>
  <c r="O159" i="3"/>
  <c r="J159" i="3"/>
  <c r="H159" i="3"/>
  <c r="G159" i="3"/>
  <c r="F159" i="3"/>
  <c r="L158" i="3"/>
  <c r="K158" i="3"/>
  <c r="I158" i="3"/>
  <c r="I157" i="3" s="1"/>
  <c r="I156" i="3" s="1"/>
  <c r="E158" i="3"/>
  <c r="Q157" i="3"/>
  <c r="P157" i="3"/>
  <c r="P156" i="3" s="1"/>
  <c r="O157" i="3"/>
  <c r="N157" i="3"/>
  <c r="N156" i="3" s="1"/>
  <c r="K157" i="3"/>
  <c r="J157" i="3"/>
  <c r="H157" i="3"/>
  <c r="G157" i="3"/>
  <c r="G156" i="3" s="1"/>
  <c r="F157" i="3"/>
  <c r="F156" i="3" s="1"/>
  <c r="E157" i="3"/>
  <c r="O156" i="3"/>
  <c r="J156" i="3"/>
  <c r="U154" i="3"/>
  <c r="L155" i="3"/>
  <c r="L154" i="3" s="1"/>
  <c r="K155" i="3"/>
  <c r="K16" i="3" s="1"/>
  <c r="I155" i="3"/>
  <c r="I154" i="3" s="1"/>
  <c r="E155" i="3"/>
  <c r="P154" i="3"/>
  <c r="O154" i="3"/>
  <c r="N154" i="3"/>
  <c r="K154" i="3"/>
  <c r="J154" i="3"/>
  <c r="H154" i="3"/>
  <c r="G154" i="3"/>
  <c r="F154" i="3"/>
  <c r="E154" i="3"/>
  <c r="L153" i="3"/>
  <c r="K153" i="3"/>
  <c r="I153" i="3"/>
  <c r="I151" i="3" s="1"/>
  <c r="E153" i="3"/>
  <c r="U152" i="3"/>
  <c r="E152" i="3"/>
  <c r="D152" i="3"/>
  <c r="P151" i="3"/>
  <c r="N151" i="3"/>
  <c r="K151" i="3"/>
  <c r="J151" i="3"/>
  <c r="J150" i="3" s="1"/>
  <c r="H151" i="3"/>
  <c r="G151" i="3"/>
  <c r="G150" i="3" s="1"/>
  <c r="F151" i="3"/>
  <c r="E151" i="3"/>
  <c r="K150" i="3"/>
  <c r="L136" i="3"/>
  <c r="E136" i="3"/>
  <c r="E135" i="3" s="1"/>
  <c r="E132" i="3" s="1"/>
  <c r="P135" i="3"/>
  <c r="O135" i="3"/>
  <c r="N135" i="3"/>
  <c r="L135" i="3"/>
  <c r="K135" i="3"/>
  <c r="J135" i="3"/>
  <c r="I135" i="3"/>
  <c r="H135" i="3"/>
  <c r="G135" i="3"/>
  <c r="F135" i="3"/>
  <c r="E134" i="3"/>
  <c r="D134" i="3"/>
  <c r="P133" i="3"/>
  <c r="O133" i="3"/>
  <c r="N133" i="3"/>
  <c r="L133" i="3"/>
  <c r="K133" i="3"/>
  <c r="J133" i="3"/>
  <c r="I133" i="3"/>
  <c r="H133" i="3"/>
  <c r="G133" i="3"/>
  <c r="F133" i="3"/>
  <c r="E133" i="3"/>
  <c r="D133" i="3"/>
  <c r="P132" i="3"/>
  <c r="O132" i="3"/>
  <c r="N132" i="3"/>
  <c r="L132" i="3"/>
  <c r="K132" i="3"/>
  <c r="J132" i="3"/>
  <c r="I132" i="3"/>
  <c r="H132" i="3"/>
  <c r="G132" i="3"/>
  <c r="F132" i="3"/>
  <c r="U131" i="3"/>
  <c r="L131" i="3"/>
  <c r="M131" i="3" s="1"/>
  <c r="E131" i="3"/>
  <c r="U130" i="3"/>
  <c r="P130" i="3"/>
  <c r="O130" i="3"/>
  <c r="N130" i="3"/>
  <c r="L130" i="3"/>
  <c r="K130" i="3"/>
  <c r="J130" i="3"/>
  <c r="I130" i="3"/>
  <c r="H130" i="3"/>
  <c r="G130" i="3"/>
  <c r="F130" i="3"/>
  <c r="E130" i="3"/>
  <c r="U129" i="3"/>
  <c r="E129" i="3"/>
  <c r="U128" i="3"/>
  <c r="U127" i="3" s="1"/>
  <c r="U126" i="3" s="1"/>
  <c r="L128" i="3"/>
  <c r="E128" i="3"/>
  <c r="P127" i="3"/>
  <c r="P126" i="3" s="1"/>
  <c r="P10" i="3" s="1"/>
  <c r="O127" i="3"/>
  <c r="O126" i="3" s="1"/>
  <c r="N127" i="3"/>
  <c r="K127" i="3"/>
  <c r="J127" i="3"/>
  <c r="I127" i="3"/>
  <c r="H127" i="3"/>
  <c r="G127" i="3"/>
  <c r="F127" i="3"/>
  <c r="K126" i="3"/>
  <c r="K10" i="3" s="1"/>
  <c r="O124" i="3"/>
  <c r="L124" i="3"/>
  <c r="J124" i="3"/>
  <c r="I124" i="3"/>
  <c r="I123" i="3" s="1"/>
  <c r="H124" i="3"/>
  <c r="H21" i="3" s="1"/>
  <c r="G124" i="3"/>
  <c r="G21" i="3" s="1"/>
  <c r="F124" i="3"/>
  <c r="F21" i="3" s="1"/>
  <c r="E124" i="3"/>
  <c r="P123" i="3"/>
  <c r="N123" i="3"/>
  <c r="K123" i="3"/>
  <c r="J123" i="3"/>
  <c r="H123" i="3"/>
  <c r="F123" i="3"/>
  <c r="J122" i="3"/>
  <c r="I122" i="3"/>
  <c r="I121" i="3" s="1"/>
  <c r="E122" i="3"/>
  <c r="P121" i="3"/>
  <c r="P120" i="3" s="1"/>
  <c r="O121" i="3"/>
  <c r="N121" i="3"/>
  <c r="L121" i="3"/>
  <c r="K121" i="3"/>
  <c r="K120" i="3" s="1"/>
  <c r="H121" i="3"/>
  <c r="G121" i="3"/>
  <c r="F121" i="3"/>
  <c r="E121" i="3"/>
  <c r="H120" i="3"/>
  <c r="O119" i="3"/>
  <c r="L119" i="3"/>
  <c r="J119" i="3"/>
  <c r="I119" i="3"/>
  <c r="I118" i="3" s="1"/>
  <c r="H119" i="3"/>
  <c r="H16" i="3" s="1"/>
  <c r="G119" i="3"/>
  <c r="F119" i="3"/>
  <c r="F16" i="3" s="1"/>
  <c r="E119" i="3"/>
  <c r="P118" i="3"/>
  <c r="N118" i="3"/>
  <c r="K118" i="3"/>
  <c r="J118" i="3"/>
  <c r="H118" i="3"/>
  <c r="F118" i="3"/>
  <c r="U117" i="3"/>
  <c r="J117" i="3"/>
  <c r="I117" i="3"/>
  <c r="E117" i="3"/>
  <c r="U116" i="3"/>
  <c r="U115" i="3" s="1"/>
  <c r="O115" i="3"/>
  <c r="L116" i="3"/>
  <c r="J116" i="3"/>
  <c r="I116" i="3"/>
  <c r="H116" i="3"/>
  <c r="G116" i="3"/>
  <c r="G13" i="3" s="1"/>
  <c r="F116" i="3"/>
  <c r="P115" i="3"/>
  <c r="N115" i="3"/>
  <c r="N114" i="3" s="1"/>
  <c r="K115" i="3"/>
  <c r="I115" i="3"/>
  <c r="G115" i="3"/>
  <c r="L112" i="3"/>
  <c r="J112" i="3"/>
  <c r="I112" i="3"/>
  <c r="E112" i="3"/>
  <c r="P111" i="3"/>
  <c r="O111" i="3"/>
  <c r="N111" i="3"/>
  <c r="L111" i="3"/>
  <c r="K111" i="3"/>
  <c r="J111" i="3"/>
  <c r="H111" i="3"/>
  <c r="G111" i="3"/>
  <c r="F111" i="3"/>
  <c r="E111" i="3"/>
  <c r="L110" i="3"/>
  <c r="J110" i="3"/>
  <c r="J109" i="3" s="1"/>
  <c r="I110" i="3"/>
  <c r="E110" i="3"/>
  <c r="P109" i="3"/>
  <c r="O109" i="3"/>
  <c r="N109" i="3"/>
  <c r="N108" i="3" s="1"/>
  <c r="L109" i="3"/>
  <c r="K109" i="3"/>
  <c r="I109" i="3"/>
  <c r="H109" i="3"/>
  <c r="G109" i="3"/>
  <c r="G108" i="3" s="1"/>
  <c r="F109" i="3"/>
  <c r="E109" i="3"/>
  <c r="E108" i="3" s="1"/>
  <c r="P108" i="3"/>
  <c r="K108" i="3"/>
  <c r="U107" i="3"/>
  <c r="U106" i="3" s="1"/>
  <c r="L107" i="3"/>
  <c r="J107" i="3"/>
  <c r="J106" i="3" s="1"/>
  <c r="I107" i="3"/>
  <c r="E107" i="3"/>
  <c r="P106" i="3"/>
  <c r="O106" i="3"/>
  <c r="N106" i="3"/>
  <c r="L106" i="3"/>
  <c r="K106" i="3"/>
  <c r="I106" i="3"/>
  <c r="H106" i="3"/>
  <c r="G106" i="3"/>
  <c r="F106" i="3"/>
  <c r="U105" i="3"/>
  <c r="U103" i="3" s="1"/>
  <c r="L105" i="3"/>
  <c r="J105" i="3"/>
  <c r="I105" i="3"/>
  <c r="I103" i="3" s="1"/>
  <c r="I102" i="3" s="1"/>
  <c r="E105" i="3"/>
  <c r="E104" i="3"/>
  <c r="D104" i="3" s="1"/>
  <c r="P103" i="3"/>
  <c r="O103" i="3"/>
  <c r="O102" i="3" s="1"/>
  <c r="N103" i="3"/>
  <c r="K103" i="3"/>
  <c r="J103" i="3"/>
  <c r="H103" i="3"/>
  <c r="H102" i="3" s="1"/>
  <c r="G103" i="3"/>
  <c r="F103" i="3"/>
  <c r="F102" i="3" s="1"/>
  <c r="E103" i="3"/>
  <c r="K102" i="3"/>
  <c r="O100" i="3"/>
  <c r="O99" i="3" s="1"/>
  <c r="N100" i="3"/>
  <c r="N99" i="3" s="1"/>
  <c r="N96" i="3" s="1"/>
  <c r="Q99" i="3"/>
  <c r="P99" i="3"/>
  <c r="L99" i="3"/>
  <c r="D98" i="3"/>
  <c r="Q97" i="3"/>
  <c r="P97" i="3"/>
  <c r="O97" i="3"/>
  <c r="O96" i="3" s="1"/>
  <c r="N97" i="3"/>
  <c r="L97" i="3"/>
  <c r="L96" i="3" s="1"/>
  <c r="D97" i="3"/>
  <c r="Q96" i="3"/>
  <c r="D94" i="3"/>
  <c r="Q94" i="3"/>
  <c r="P94" i="3"/>
  <c r="N94" i="3"/>
  <c r="L94" i="3"/>
  <c r="U93" i="3"/>
  <c r="D93" i="3"/>
  <c r="U92" i="3"/>
  <c r="Q91" i="3"/>
  <c r="Q90" i="3" s="1"/>
  <c r="P91" i="3"/>
  <c r="O91" i="3"/>
  <c r="N91" i="3"/>
  <c r="L91" i="3"/>
  <c r="L90" i="3"/>
  <c r="Q87" i="3"/>
  <c r="P87" i="3"/>
  <c r="O87" i="3"/>
  <c r="N87" i="3"/>
  <c r="L87" i="3"/>
  <c r="D87" i="3"/>
  <c r="N85" i="3"/>
  <c r="L86" i="3"/>
  <c r="M86" i="3" s="1"/>
  <c r="Q85" i="3"/>
  <c r="P85" i="3"/>
  <c r="O85" i="3"/>
  <c r="O84" i="3" s="1"/>
  <c r="Q84" i="3"/>
  <c r="U83" i="3"/>
  <c r="U82" i="3" s="1"/>
  <c r="L83" i="3"/>
  <c r="Q82" i="3"/>
  <c r="P82" i="3"/>
  <c r="O82" i="3"/>
  <c r="L81" i="3"/>
  <c r="M81" i="3" s="1"/>
  <c r="D81" i="3" s="1"/>
  <c r="U79" i="3"/>
  <c r="U78" i="3" s="1"/>
  <c r="L80" i="3"/>
  <c r="M80" i="3" s="1"/>
  <c r="Q79" i="3"/>
  <c r="P79" i="3"/>
  <c r="P78" i="3" s="1"/>
  <c r="O79" i="3"/>
  <c r="N79" i="3"/>
  <c r="O78" i="3"/>
  <c r="O76" i="3"/>
  <c r="N76" i="3"/>
  <c r="N75" i="3" s="1"/>
  <c r="P75" i="3"/>
  <c r="O75" i="3"/>
  <c r="L75" i="3"/>
  <c r="K75" i="3"/>
  <c r="J75" i="3"/>
  <c r="I75" i="3"/>
  <c r="H75" i="3"/>
  <c r="G75" i="3"/>
  <c r="F75" i="3"/>
  <c r="E75" i="3"/>
  <c r="O73" i="3"/>
  <c r="O72" i="3" s="1"/>
  <c r="N73" i="3"/>
  <c r="L74" i="3"/>
  <c r="P73" i="3"/>
  <c r="L73" i="3"/>
  <c r="L72" i="3" s="1"/>
  <c r="K73" i="3"/>
  <c r="J73" i="3"/>
  <c r="J72" i="3" s="1"/>
  <c r="I73" i="3"/>
  <c r="H73" i="3"/>
  <c r="H72" i="3" s="1"/>
  <c r="G73" i="3"/>
  <c r="F73" i="3"/>
  <c r="F72" i="3" s="1"/>
  <c r="E73" i="3"/>
  <c r="P72" i="3"/>
  <c r="K72" i="3"/>
  <c r="I72" i="3"/>
  <c r="G72" i="3"/>
  <c r="E72" i="3"/>
  <c r="U70" i="3"/>
  <c r="N70" i="3"/>
  <c r="L71" i="3"/>
  <c r="P70" i="3"/>
  <c r="L70" i="3"/>
  <c r="K70" i="3"/>
  <c r="J70" i="3"/>
  <c r="I70" i="3"/>
  <c r="H70" i="3"/>
  <c r="G70" i="3"/>
  <c r="F70" i="3"/>
  <c r="E70" i="3"/>
  <c r="L69" i="3"/>
  <c r="M69" i="3" s="1"/>
  <c r="D69" i="3" s="1"/>
  <c r="U67" i="3"/>
  <c r="L68" i="3"/>
  <c r="M68" i="3" s="1"/>
  <c r="P67" i="3"/>
  <c r="O67" i="3"/>
  <c r="K67" i="3"/>
  <c r="K66" i="3" s="1"/>
  <c r="J67" i="3"/>
  <c r="I67" i="3"/>
  <c r="I66" i="3" s="1"/>
  <c r="H67" i="3"/>
  <c r="G67" i="3"/>
  <c r="G66" i="3" s="1"/>
  <c r="F67" i="3"/>
  <c r="E67" i="3"/>
  <c r="E66" i="3" s="1"/>
  <c r="N64" i="3"/>
  <c r="L64" i="3"/>
  <c r="K64" i="3"/>
  <c r="J64" i="3"/>
  <c r="J21" i="3" s="1"/>
  <c r="I64" i="3"/>
  <c r="I63" i="3" s="1"/>
  <c r="E64" i="3"/>
  <c r="E63" i="3" s="1"/>
  <c r="P63" i="3"/>
  <c r="O63" i="3"/>
  <c r="L63" i="3"/>
  <c r="H63" i="3"/>
  <c r="G63" i="3"/>
  <c r="F63" i="3"/>
  <c r="N62" i="3"/>
  <c r="N61" i="3" s="1"/>
  <c r="L62" i="3"/>
  <c r="J62" i="3"/>
  <c r="J61" i="3" s="1"/>
  <c r="I62" i="3"/>
  <c r="E62" i="3"/>
  <c r="P61" i="3"/>
  <c r="O61" i="3"/>
  <c r="L61" i="3"/>
  <c r="K61" i="3"/>
  <c r="H61" i="3"/>
  <c r="H60" i="3" s="1"/>
  <c r="G61" i="3"/>
  <c r="F61" i="3"/>
  <c r="L60" i="3"/>
  <c r="F60" i="3"/>
  <c r="N59" i="3"/>
  <c r="N58" i="3" s="1"/>
  <c r="L59" i="3"/>
  <c r="J59" i="3"/>
  <c r="J16" i="3" s="1"/>
  <c r="I59" i="3"/>
  <c r="I58" i="3" s="1"/>
  <c r="E59" i="3"/>
  <c r="U58" i="3"/>
  <c r="P58" i="3"/>
  <c r="O58" i="3"/>
  <c r="L58" i="3"/>
  <c r="K58" i="3"/>
  <c r="J58" i="3"/>
  <c r="H58" i="3"/>
  <c r="G58" i="3"/>
  <c r="F58" i="3"/>
  <c r="E58" i="3"/>
  <c r="N57" i="3"/>
  <c r="L57" i="3"/>
  <c r="J57" i="3"/>
  <c r="I57" i="3"/>
  <c r="E57" i="3"/>
  <c r="N56" i="3"/>
  <c r="N13" i="3" s="1"/>
  <c r="L56" i="3"/>
  <c r="J56" i="3"/>
  <c r="J13" i="3" s="1"/>
  <c r="I56" i="3"/>
  <c r="E56" i="3"/>
  <c r="U55" i="3"/>
  <c r="U54" i="3" s="1"/>
  <c r="P55" i="3"/>
  <c r="O55" i="3"/>
  <c r="L55" i="3"/>
  <c r="K55" i="3"/>
  <c r="J55" i="3"/>
  <c r="H55" i="3"/>
  <c r="H54" i="3" s="1"/>
  <c r="G55" i="3"/>
  <c r="G54" i="3" s="1"/>
  <c r="F55" i="3"/>
  <c r="F54" i="3" s="1"/>
  <c r="E55" i="3"/>
  <c r="E54" i="3" s="1"/>
  <c r="P54" i="3"/>
  <c r="K54" i="3"/>
  <c r="I52" i="3"/>
  <c r="L51" i="3"/>
  <c r="K51" i="3"/>
  <c r="J51" i="3"/>
  <c r="H51" i="3"/>
  <c r="G51" i="3"/>
  <c r="F51" i="3"/>
  <c r="E51" i="3"/>
  <c r="I50" i="3"/>
  <c r="M50" i="3" s="1"/>
  <c r="L49" i="3"/>
  <c r="K49" i="3"/>
  <c r="J49" i="3"/>
  <c r="H49" i="3"/>
  <c r="H48" i="3" s="1"/>
  <c r="G49" i="3"/>
  <c r="F49" i="3"/>
  <c r="E49" i="3"/>
  <c r="F48" i="3"/>
  <c r="I47" i="3"/>
  <c r="U46" i="3"/>
  <c r="N46" i="3"/>
  <c r="L46" i="3"/>
  <c r="K46" i="3"/>
  <c r="J46" i="3"/>
  <c r="I46" i="3"/>
  <c r="H46" i="3"/>
  <c r="G46" i="3"/>
  <c r="F46" i="3"/>
  <c r="E46" i="3"/>
  <c r="I45" i="3"/>
  <c r="E44" i="3"/>
  <c r="L43" i="3"/>
  <c r="L42" i="3" s="1"/>
  <c r="K43" i="3"/>
  <c r="J43" i="3"/>
  <c r="J42" i="3" s="1"/>
  <c r="H43" i="3"/>
  <c r="H42" i="3" s="1"/>
  <c r="G43" i="3"/>
  <c r="F43" i="3"/>
  <c r="F42" i="3" s="1"/>
  <c r="W42" i="3"/>
  <c r="O40" i="3"/>
  <c r="O39" i="3" s="1"/>
  <c r="L39" i="3"/>
  <c r="K39" i="3"/>
  <c r="J39" i="3"/>
  <c r="J36" i="3" s="1"/>
  <c r="I39" i="3"/>
  <c r="H39" i="3"/>
  <c r="G39" i="3"/>
  <c r="F39" i="3"/>
  <c r="F36" i="3" s="1"/>
  <c r="E39" i="3"/>
  <c r="O37" i="3"/>
  <c r="O36" i="3" s="1"/>
  <c r="N37" i="3"/>
  <c r="L37" i="3"/>
  <c r="K37" i="3"/>
  <c r="K36" i="3" s="1"/>
  <c r="J37" i="3"/>
  <c r="I37" i="3"/>
  <c r="I36" i="3" s="1"/>
  <c r="H37" i="3"/>
  <c r="G37" i="3"/>
  <c r="G36" i="3" s="1"/>
  <c r="F37" i="3"/>
  <c r="E37" i="3"/>
  <c r="E36" i="3" s="1"/>
  <c r="H36" i="3"/>
  <c r="D35" i="3"/>
  <c r="U34" i="3"/>
  <c r="O34" i="3"/>
  <c r="L34" i="3"/>
  <c r="K34" i="3"/>
  <c r="J34" i="3"/>
  <c r="I34" i="3"/>
  <c r="H34" i="3"/>
  <c r="G34" i="3"/>
  <c r="F34" i="3"/>
  <c r="E34" i="3"/>
  <c r="U31" i="3"/>
  <c r="U30" i="3" s="1"/>
  <c r="D33" i="3"/>
  <c r="E32" i="3"/>
  <c r="O31" i="3"/>
  <c r="L31" i="3"/>
  <c r="K31" i="3"/>
  <c r="K30" i="3" s="1"/>
  <c r="J31" i="3"/>
  <c r="I31" i="3"/>
  <c r="I30" i="3" s="1"/>
  <c r="H31" i="3"/>
  <c r="G31" i="3"/>
  <c r="G30" i="3" s="1"/>
  <c r="F31" i="3"/>
  <c r="O30" i="3"/>
  <c r="W30" i="3" s="1"/>
  <c r="E28" i="3"/>
  <c r="E27" i="3" s="1"/>
  <c r="E26" i="3" s="1"/>
  <c r="P27" i="3"/>
  <c r="P26" i="3" s="1"/>
  <c r="O27" i="3"/>
  <c r="N27" i="3"/>
  <c r="N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F27" i="3"/>
  <c r="O26" i="3"/>
  <c r="F26" i="3"/>
  <c r="U24" i="3"/>
  <c r="U23" i="3" s="1"/>
  <c r="L25" i="3"/>
  <c r="M25" i="3" s="1"/>
  <c r="E25" i="3"/>
  <c r="P24" i="3"/>
  <c r="P23" i="3" s="1"/>
  <c r="O24" i="3"/>
  <c r="O23" i="3" s="1"/>
  <c r="N24" i="3"/>
  <c r="L24" i="3"/>
  <c r="L23" i="3" s="1"/>
  <c r="K24" i="3"/>
  <c r="K23" i="3" s="1"/>
  <c r="J24" i="3"/>
  <c r="J23" i="3" s="1"/>
  <c r="I24" i="3"/>
  <c r="H24" i="3"/>
  <c r="H23" i="3" s="1"/>
  <c r="G24" i="3"/>
  <c r="G23" i="3" s="1"/>
  <c r="F24" i="3"/>
  <c r="F23" i="3" s="1"/>
  <c r="E24" i="3"/>
  <c r="N23" i="3"/>
  <c r="I23" i="3"/>
  <c r="E23" i="3"/>
  <c r="Q20" i="3"/>
  <c r="J20" i="3"/>
  <c r="H20" i="3"/>
  <c r="F20" i="3"/>
  <c r="P20" i="3"/>
  <c r="Q19" i="3"/>
  <c r="Q18" i="3" s="1"/>
  <c r="P19" i="3"/>
  <c r="O19" i="3"/>
  <c r="O18" i="3" s="1"/>
  <c r="L19" i="3"/>
  <c r="L18" i="3" s="1"/>
  <c r="K19" i="3"/>
  <c r="J19" i="3"/>
  <c r="J18" i="3" s="1"/>
  <c r="J17" i="3" s="1"/>
  <c r="H19" i="3"/>
  <c r="H18" i="3" s="1"/>
  <c r="H17" i="3" s="1"/>
  <c r="G19" i="3"/>
  <c r="F19" i="3"/>
  <c r="F18" i="3" s="1"/>
  <c r="P18" i="3"/>
  <c r="P17" i="3" s="1"/>
  <c r="K18" i="3"/>
  <c r="G18" i="3"/>
  <c r="Q17" i="3"/>
  <c r="F17" i="3"/>
  <c r="P15" i="3"/>
  <c r="K15" i="3"/>
  <c r="F15" i="3"/>
  <c r="Q15" i="3"/>
  <c r="J15" i="3"/>
  <c r="H15" i="3"/>
  <c r="Q14" i="3"/>
  <c r="Q12" i="3" s="1"/>
  <c r="P14" i="3"/>
  <c r="K14" i="3"/>
  <c r="K12" i="3" s="1"/>
  <c r="K11" i="3" s="1"/>
  <c r="J14" i="3"/>
  <c r="I14" i="3"/>
  <c r="H14" i="3"/>
  <c r="G14" i="3"/>
  <c r="G12" i="3" s="1"/>
  <c r="F14" i="3"/>
  <c r="E14" i="3"/>
  <c r="J12" i="3"/>
  <c r="P12" i="3"/>
  <c r="P11" i="3" s="1"/>
  <c r="X11" i="3"/>
  <c r="Q10" i="3"/>
  <c r="O10" i="3"/>
  <c r="X8" i="3"/>
  <c r="U511" i="2"/>
  <c r="R511" i="2"/>
  <c r="Q511" i="2"/>
  <c r="P511" i="2"/>
  <c r="O511" i="2"/>
  <c r="N511" i="2"/>
  <c r="L511" i="2"/>
  <c r="D511" i="2"/>
  <c r="U510" i="2"/>
  <c r="R510" i="2"/>
  <c r="Q510" i="2"/>
  <c r="P510" i="2"/>
  <c r="O510" i="2"/>
  <c r="N510" i="2"/>
  <c r="L510" i="2"/>
  <c r="D510" i="2"/>
  <c r="O508" i="2"/>
  <c r="N507" i="2"/>
  <c r="N506" i="2" s="1"/>
  <c r="L508" i="2"/>
  <c r="L507" i="2" s="1"/>
  <c r="L506" i="2" s="1"/>
  <c r="R507" i="2"/>
  <c r="R506" i="2" s="1"/>
  <c r="Q507" i="2"/>
  <c r="Q506" i="2" s="1"/>
  <c r="P507" i="2"/>
  <c r="P506" i="2" s="1"/>
  <c r="O507" i="2"/>
  <c r="O506" i="2" s="1"/>
  <c r="Q498" i="2"/>
  <c r="L500" i="2"/>
  <c r="L499" i="2" s="1"/>
  <c r="K500" i="2"/>
  <c r="K499" i="2" s="1"/>
  <c r="R498" i="2"/>
  <c r="P498" i="2"/>
  <c r="N498" i="2"/>
  <c r="K498" i="2"/>
  <c r="J498" i="2"/>
  <c r="R490" i="2"/>
  <c r="P490" i="2"/>
  <c r="L492" i="2"/>
  <c r="L491" i="2" s="1"/>
  <c r="K492" i="2"/>
  <c r="J492" i="2"/>
  <c r="Q490" i="2"/>
  <c r="L490" i="2"/>
  <c r="U487" i="2"/>
  <c r="U486" i="2" s="1"/>
  <c r="N488" i="2"/>
  <c r="L488" i="2"/>
  <c r="M488" i="2" s="1"/>
  <c r="L484" i="2"/>
  <c r="P481" i="2"/>
  <c r="M100" i="1" s="1"/>
  <c r="O481" i="2"/>
  <c r="L100" i="1" s="1"/>
  <c r="N481" i="2"/>
  <c r="K100" i="1" s="1"/>
  <c r="H481" i="2"/>
  <c r="G481" i="2"/>
  <c r="D100" i="1" s="1"/>
  <c r="F481" i="2"/>
  <c r="C100" i="1" s="1"/>
  <c r="Q481" i="2"/>
  <c r="N100" i="1" s="1"/>
  <c r="L480" i="2"/>
  <c r="M480" i="2" s="1"/>
  <c r="D480" i="2" s="1"/>
  <c r="L479" i="2"/>
  <c r="M479" i="2" s="1"/>
  <c r="D479" i="2" s="1"/>
  <c r="R478" i="2"/>
  <c r="Q478" i="2"/>
  <c r="Q477" i="2" s="1"/>
  <c r="P478" i="2"/>
  <c r="P477" i="2" s="1"/>
  <c r="N478" i="2"/>
  <c r="N477" i="2" s="1"/>
  <c r="R477" i="2"/>
  <c r="L475" i="2"/>
  <c r="K475" i="2"/>
  <c r="K474" i="2" s="1"/>
  <c r="K473" i="2" s="1"/>
  <c r="J475" i="2"/>
  <c r="J474" i="2" s="1"/>
  <c r="J473" i="2" s="1"/>
  <c r="U474" i="2"/>
  <c r="U473" i="2" s="1"/>
  <c r="R474" i="2"/>
  <c r="R473" i="2" s="1"/>
  <c r="Q474" i="2"/>
  <c r="P474" i="2"/>
  <c r="P473" i="2" s="1"/>
  <c r="O474" i="2"/>
  <c r="O473" i="2" s="1"/>
  <c r="L474" i="2"/>
  <c r="L473" i="2" s="1"/>
  <c r="Q473" i="2"/>
  <c r="D466" i="2"/>
  <c r="D465" i="2" s="1"/>
  <c r="Q466" i="2"/>
  <c r="P466" i="2"/>
  <c r="P465" i="2" s="1"/>
  <c r="O466" i="2"/>
  <c r="O465" i="2" s="1"/>
  <c r="N466" i="2"/>
  <c r="N465" i="2" s="1"/>
  <c r="L466" i="2"/>
  <c r="L465" i="2" s="1"/>
  <c r="K466" i="2"/>
  <c r="K465" i="2" s="1"/>
  <c r="J466" i="2"/>
  <c r="J465" i="2" s="1"/>
  <c r="I466" i="2"/>
  <c r="I465" i="2" s="1"/>
  <c r="H466" i="2"/>
  <c r="H465" i="2" s="1"/>
  <c r="G466" i="2"/>
  <c r="G465" i="2" s="1"/>
  <c r="F466" i="2"/>
  <c r="F465" i="2" s="1"/>
  <c r="E466" i="2"/>
  <c r="E465" i="2" s="1"/>
  <c r="Q465" i="2"/>
  <c r="U462" i="2"/>
  <c r="U461" i="2" s="1"/>
  <c r="L463" i="2"/>
  <c r="L462" i="2" s="1"/>
  <c r="L461" i="2" s="1"/>
  <c r="J463" i="2"/>
  <c r="E463" i="2"/>
  <c r="E462" i="2" s="1"/>
  <c r="E461" i="2" s="1"/>
  <c r="Q462" i="2"/>
  <c r="P462" i="2"/>
  <c r="P461" i="2" s="1"/>
  <c r="O462" i="2"/>
  <c r="O461" i="2" s="1"/>
  <c r="N462" i="2"/>
  <c r="N461" i="2" s="1"/>
  <c r="K462" i="2"/>
  <c r="K461" i="2" s="1"/>
  <c r="I462" i="2"/>
  <c r="I461" i="2" s="1"/>
  <c r="H462" i="2"/>
  <c r="H461" i="2" s="1"/>
  <c r="G462" i="2"/>
  <c r="G461" i="2" s="1"/>
  <c r="F462" i="2"/>
  <c r="F461" i="2" s="1"/>
  <c r="U458" i="2"/>
  <c r="U457" i="2" s="1"/>
  <c r="N458" i="2"/>
  <c r="N457" i="2" s="1"/>
  <c r="L459" i="2"/>
  <c r="I459" i="2"/>
  <c r="I458" i="2" s="1"/>
  <c r="I457" i="2" s="1"/>
  <c r="E459" i="2"/>
  <c r="E458" i="2" s="1"/>
  <c r="E457" i="2" s="1"/>
  <c r="P458" i="2"/>
  <c r="P457" i="2" s="1"/>
  <c r="O458" i="2"/>
  <c r="O457" i="2" s="1"/>
  <c r="W457" i="2" s="1"/>
  <c r="K458" i="2"/>
  <c r="K457" i="2" s="1"/>
  <c r="J458" i="2"/>
  <c r="J457" i="2" s="1"/>
  <c r="H458" i="2"/>
  <c r="H457" i="2" s="1"/>
  <c r="G458" i="2"/>
  <c r="G457" i="2" s="1"/>
  <c r="F458" i="2"/>
  <c r="F457" i="2" s="1"/>
  <c r="D454" i="2"/>
  <c r="D453" i="2" s="1"/>
  <c r="Q454" i="2"/>
  <c r="Q453" i="2" s="1"/>
  <c r="P454" i="2"/>
  <c r="O454" i="2"/>
  <c r="O453" i="2" s="1"/>
  <c r="L454" i="2"/>
  <c r="L453" i="2" s="1"/>
  <c r="K454" i="2"/>
  <c r="J454" i="2"/>
  <c r="J453" i="2" s="1"/>
  <c r="I454" i="2"/>
  <c r="I453" i="2" s="1"/>
  <c r="H454" i="2"/>
  <c r="H453" i="2" s="1"/>
  <c r="G454" i="2"/>
  <c r="G453" i="2" s="1"/>
  <c r="F454" i="2"/>
  <c r="F453" i="2" s="1"/>
  <c r="E454" i="2"/>
  <c r="E453" i="2" s="1"/>
  <c r="P453" i="2"/>
  <c r="K453" i="2"/>
  <c r="U450" i="2"/>
  <c r="U449" i="2" s="1"/>
  <c r="L451" i="2"/>
  <c r="L450" i="2" s="1"/>
  <c r="L449" i="2" s="1"/>
  <c r="K451" i="2"/>
  <c r="K450" i="2" s="1"/>
  <c r="K449" i="2" s="1"/>
  <c r="I451" i="2"/>
  <c r="I410" i="2" s="1"/>
  <c r="E451" i="2"/>
  <c r="Q450" i="2"/>
  <c r="Q449" i="2" s="1"/>
  <c r="P450" i="2"/>
  <c r="O450" i="2"/>
  <c r="O449" i="2" s="1"/>
  <c r="J450" i="2"/>
  <c r="J449" i="2" s="1"/>
  <c r="H450" i="2"/>
  <c r="H449" i="2" s="1"/>
  <c r="G450" i="2"/>
  <c r="G449" i="2" s="1"/>
  <c r="F450" i="2"/>
  <c r="F449" i="2" s="1"/>
  <c r="P449" i="2"/>
  <c r="U447" i="2"/>
  <c r="U446" i="2" s="1"/>
  <c r="U445" i="2" s="1"/>
  <c r="U442" i="2"/>
  <c r="U441" i="2" s="1"/>
  <c r="L443" i="2"/>
  <c r="K443" i="2"/>
  <c r="E443" i="2"/>
  <c r="E442" i="2" s="1"/>
  <c r="E441" i="2" s="1"/>
  <c r="R442" i="2"/>
  <c r="R441" i="2" s="1"/>
  <c r="Q442" i="2"/>
  <c r="Q441" i="2" s="1"/>
  <c r="P442" i="2"/>
  <c r="P441" i="2" s="1"/>
  <c r="O442" i="2"/>
  <c r="O441" i="2" s="1"/>
  <c r="W441" i="2" s="1"/>
  <c r="J442" i="2"/>
  <c r="J441" i="2" s="1"/>
  <c r="I442" i="2"/>
  <c r="I441" i="2" s="1"/>
  <c r="H442" i="2"/>
  <c r="H441" i="2" s="1"/>
  <c r="G442" i="2"/>
  <c r="G441" i="2" s="1"/>
  <c r="F442" i="2"/>
  <c r="F441" i="2" s="1"/>
  <c r="R438" i="2"/>
  <c r="R437" i="2" s="1"/>
  <c r="Q438" i="2"/>
  <c r="O438" i="2"/>
  <c r="O437" i="2" s="1"/>
  <c r="N438" i="2"/>
  <c r="N437" i="2" s="1"/>
  <c r="L438" i="2"/>
  <c r="L437" i="2" s="1"/>
  <c r="K438" i="2"/>
  <c r="K437" i="2" s="1"/>
  <c r="J438" i="2"/>
  <c r="J437" i="2" s="1"/>
  <c r="Q437" i="2"/>
  <c r="E435" i="2"/>
  <c r="P434" i="2"/>
  <c r="P433" i="2" s="1"/>
  <c r="O434" i="2"/>
  <c r="O433" i="2" s="1"/>
  <c r="N434" i="2"/>
  <c r="N433" i="2" s="1"/>
  <c r="L434" i="2"/>
  <c r="L433" i="2" s="1"/>
  <c r="K434" i="2"/>
  <c r="K433" i="2" s="1"/>
  <c r="J434" i="2"/>
  <c r="J433" i="2" s="1"/>
  <c r="I434" i="2"/>
  <c r="I433" i="2" s="1"/>
  <c r="H434" i="2"/>
  <c r="H433" i="2" s="1"/>
  <c r="G434" i="2"/>
  <c r="G433" i="2" s="1"/>
  <c r="F434" i="2"/>
  <c r="F433" i="2" s="1"/>
  <c r="E432" i="2"/>
  <c r="M432" i="2" s="1"/>
  <c r="D432" i="2" s="1"/>
  <c r="O431" i="2"/>
  <c r="N431" i="2"/>
  <c r="E431" i="2"/>
  <c r="P430" i="2"/>
  <c r="L430" i="2"/>
  <c r="L429" i="2" s="1"/>
  <c r="K430" i="2"/>
  <c r="K429" i="2" s="1"/>
  <c r="J430" i="2"/>
  <c r="J429" i="2" s="1"/>
  <c r="I430" i="2"/>
  <c r="I429" i="2" s="1"/>
  <c r="H430" i="2"/>
  <c r="H429" i="2" s="1"/>
  <c r="G430" i="2"/>
  <c r="G429" i="2" s="1"/>
  <c r="F430" i="2"/>
  <c r="F429" i="2" s="1"/>
  <c r="P429" i="2"/>
  <c r="O423" i="2"/>
  <c r="O410" i="2" s="1"/>
  <c r="R422" i="2"/>
  <c r="R421" i="2" s="1"/>
  <c r="Q422" i="2"/>
  <c r="Q421" i="2" s="1"/>
  <c r="P422" i="2"/>
  <c r="P421" i="2" s="1"/>
  <c r="L422" i="2"/>
  <c r="L421" i="2" s="1"/>
  <c r="K422" i="2"/>
  <c r="J422" i="2"/>
  <c r="J421" i="2" s="1"/>
  <c r="I422" i="2"/>
  <c r="I421" i="2" s="1"/>
  <c r="H422" i="2"/>
  <c r="H421" i="2" s="1"/>
  <c r="H406" i="2" s="1"/>
  <c r="G422" i="2"/>
  <c r="G421" i="2" s="1"/>
  <c r="G406" i="2" s="1"/>
  <c r="F422" i="2"/>
  <c r="F421" i="2" s="1"/>
  <c r="F406" i="2" s="1"/>
  <c r="C58" i="1" s="1"/>
  <c r="E422" i="2"/>
  <c r="E421" i="2" s="1"/>
  <c r="E406" i="2" s="1"/>
  <c r="N421" i="2"/>
  <c r="K421" i="2"/>
  <c r="R418" i="2"/>
  <c r="Q418" i="2"/>
  <c r="P418" i="2"/>
  <c r="O418" i="2"/>
  <c r="N418" i="2"/>
  <c r="N415" i="2" s="1"/>
  <c r="L418" i="2"/>
  <c r="K418" i="2"/>
  <c r="J418" i="2"/>
  <c r="I418" i="2"/>
  <c r="H418" i="2"/>
  <c r="G418" i="2"/>
  <c r="F418" i="2"/>
  <c r="U412" i="2"/>
  <c r="R412" i="2"/>
  <c r="O67" i="1" s="1"/>
  <c r="Q412" i="2"/>
  <c r="N67" i="1" s="1"/>
  <c r="P412" i="2"/>
  <c r="M67" i="1" s="1"/>
  <c r="O412" i="2"/>
  <c r="L67" i="1" s="1"/>
  <c r="N412" i="2"/>
  <c r="K412" i="2"/>
  <c r="H67" i="1" s="1"/>
  <c r="J412" i="2"/>
  <c r="G67" i="1" s="1"/>
  <c r="I412" i="2"/>
  <c r="F67" i="1" s="1"/>
  <c r="H412" i="2"/>
  <c r="E67" i="1" s="1"/>
  <c r="G412" i="2"/>
  <c r="D67" i="1" s="1"/>
  <c r="F412" i="2"/>
  <c r="C67" i="1" s="1"/>
  <c r="N63" i="1"/>
  <c r="H409" i="2"/>
  <c r="H408" i="2" s="1"/>
  <c r="D63" i="1"/>
  <c r="I406" i="2"/>
  <c r="N403" i="2"/>
  <c r="D403" i="2" s="1"/>
  <c r="D402" i="2" s="1"/>
  <c r="D401" i="2" s="1"/>
  <c r="R402" i="2"/>
  <c r="Q402" i="2"/>
  <c r="Q401" i="2" s="1"/>
  <c r="P402" i="2"/>
  <c r="P401" i="2" s="1"/>
  <c r="O402" i="2"/>
  <c r="O401" i="2" s="1"/>
  <c r="R401" i="2"/>
  <c r="U399" i="2"/>
  <c r="R399" i="2"/>
  <c r="Q399" i="2"/>
  <c r="P399" i="2"/>
  <c r="O399" i="2"/>
  <c r="N399" i="2"/>
  <c r="O398" i="2"/>
  <c r="N398" i="2"/>
  <c r="R397" i="2"/>
  <c r="Q397" i="2"/>
  <c r="P397" i="2"/>
  <c r="Q394" i="2"/>
  <c r="Q393" i="2" s="1"/>
  <c r="Q392" i="2" s="1"/>
  <c r="P394" i="2"/>
  <c r="P393" i="2" s="1"/>
  <c r="P392" i="2" s="1"/>
  <c r="O394" i="2"/>
  <c r="O393" i="2" s="1"/>
  <c r="O392" i="2" s="1"/>
  <c r="Q391" i="2"/>
  <c r="Q390" i="2" s="1"/>
  <c r="P391" i="2"/>
  <c r="P390" i="2" s="1"/>
  <c r="O391" i="2"/>
  <c r="O20" i="2" s="1"/>
  <c r="N391" i="2"/>
  <c r="N20" i="2" s="1"/>
  <c r="Q389" i="2"/>
  <c r="Q388" i="2" s="1"/>
  <c r="P389" i="2"/>
  <c r="O385" i="2"/>
  <c r="O384" i="2" s="1"/>
  <c r="O383" i="2" s="1"/>
  <c r="N385" i="2"/>
  <c r="N384" i="2" s="1"/>
  <c r="N383" i="2" s="1"/>
  <c r="E385" i="2"/>
  <c r="P384" i="2"/>
  <c r="P383" i="2" s="1"/>
  <c r="L384" i="2"/>
  <c r="L383" i="2" s="1"/>
  <c r="K384" i="2"/>
  <c r="K383" i="2" s="1"/>
  <c r="J384" i="2"/>
  <c r="J383" i="2" s="1"/>
  <c r="I384" i="2"/>
  <c r="I383" i="2" s="1"/>
  <c r="H384" i="2"/>
  <c r="H383" i="2" s="1"/>
  <c r="G384" i="2"/>
  <c r="G383" i="2" s="1"/>
  <c r="F384" i="2"/>
  <c r="F383" i="2" s="1"/>
  <c r="O382" i="2"/>
  <c r="O381" i="2" s="1"/>
  <c r="N382" i="2"/>
  <c r="N381" i="2" s="1"/>
  <c r="I382" i="2"/>
  <c r="I350" i="2" s="1"/>
  <c r="E382" i="2"/>
  <c r="E350" i="2" s="1"/>
  <c r="P381" i="2"/>
  <c r="L381" i="2"/>
  <c r="K381" i="2"/>
  <c r="J381" i="2"/>
  <c r="I381" i="2"/>
  <c r="H381" i="2"/>
  <c r="G381" i="2"/>
  <c r="F381" i="2"/>
  <c r="O380" i="2"/>
  <c r="O346" i="2" s="1"/>
  <c r="N380" i="2"/>
  <c r="I380" i="2"/>
  <c r="E380" i="2"/>
  <c r="E379" i="2" s="1"/>
  <c r="P379" i="2"/>
  <c r="P378" i="2" s="1"/>
  <c r="N379" i="2"/>
  <c r="L379" i="2"/>
  <c r="K379" i="2"/>
  <c r="J379" i="2"/>
  <c r="H379" i="2"/>
  <c r="H378" i="2" s="1"/>
  <c r="H10" i="2" s="1"/>
  <c r="G379" i="2"/>
  <c r="F379" i="2"/>
  <c r="F378" i="2" s="1"/>
  <c r="F10" i="2" s="1"/>
  <c r="N375" i="2"/>
  <c r="N373" i="2" s="1"/>
  <c r="L375" i="2"/>
  <c r="D374" i="2"/>
  <c r="K373" i="2"/>
  <c r="J373" i="2"/>
  <c r="I373" i="2"/>
  <c r="H373" i="2"/>
  <c r="G373" i="2"/>
  <c r="F373" i="2"/>
  <c r="E373" i="2"/>
  <c r="N372" i="2"/>
  <c r="N369" i="2" s="1"/>
  <c r="L372" i="2"/>
  <c r="P369" i="2"/>
  <c r="O369" i="2"/>
  <c r="O368" i="2" s="1"/>
  <c r="K369" i="2"/>
  <c r="J369" i="2"/>
  <c r="I369" i="2"/>
  <c r="H369" i="2"/>
  <c r="G369" i="2"/>
  <c r="F369" i="2"/>
  <c r="E369" i="2"/>
  <c r="O350" i="2"/>
  <c r="L350" i="2"/>
  <c r="P365" i="2"/>
  <c r="O365" i="2"/>
  <c r="N365" i="2"/>
  <c r="L365" i="2"/>
  <c r="K365" i="2"/>
  <c r="J365" i="2"/>
  <c r="I365" i="2"/>
  <c r="H365" i="2"/>
  <c r="G365" i="2"/>
  <c r="F365" i="2"/>
  <c r="E365" i="2"/>
  <c r="L348" i="2"/>
  <c r="L17" i="2" s="1"/>
  <c r="I22" i="1" s="1"/>
  <c r="O361" i="2"/>
  <c r="O360" i="2" s="1"/>
  <c r="N346" i="2"/>
  <c r="P361" i="2"/>
  <c r="L361" i="2"/>
  <c r="K361" i="2"/>
  <c r="J361" i="2"/>
  <c r="I361" i="2"/>
  <c r="H361" i="2"/>
  <c r="G361" i="2"/>
  <c r="F361" i="2"/>
  <c r="E361" i="2"/>
  <c r="R358" i="2"/>
  <c r="R34" i="2" s="1"/>
  <c r="O41" i="1" s="1"/>
  <c r="O144" i="1" s="1"/>
  <c r="O206" i="1" s="1"/>
  <c r="Q358" i="2"/>
  <c r="Q34" i="2" s="1"/>
  <c r="N41" i="1" s="1"/>
  <c r="N144" i="1" s="1"/>
  <c r="N206" i="1" s="1"/>
  <c r="P358" i="2"/>
  <c r="P34" i="2" s="1"/>
  <c r="M41" i="1" s="1"/>
  <c r="M144" i="1" s="1"/>
  <c r="M206" i="1" s="1"/>
  <c r="O358" i="2"/>
  <c r="O34" i="2" s="1"/>
  <c r="L41" i="1" s="1"/>
  <c r="L144" i="1" s="1"/>
  <c r="L206" i="1" s="1"/>
  <c r="N358" i="2"/>
  <c r="N34" i="2" s="1"/>
  <c r="K41" i="1" s="1"/>
  <c r="K144" i="1" s="1"/>
  <c r="K206" i="1" s="1"/>
  <c r="L358" i="2"/>
  <c r="L34" i="2" s="1"/>
  <c r="I41" i="1" s="1"/>
  <c r="I144" i="1" s="1"/>
  <c r="I206" i="1" s="1"/>
  <c r="K358" i="2"/>
  <c r="K34" i="2" s="1"/>
  <c r="J358" i="2"/>
  <c r="J34" i="2" s="1"/>
  <c r="G41" i="1" s="1"/>
  <c r="G144" i="1" s="1"/>
  <c r="G206" i="1" s="1"/>
  <c r="I358" i="2"/>
  <c r="I34" i="2" s="1"/>
  <c r="F41" i="1" s="1"/>
  <c r="F144" i="1" s="1"/>
  <c r="F206" i="1" s="1"/>
  <c r="H358" i="2"/>
  <c r="H34" i="2" s="1"/>
  <c r="E41" i="1" s="1"/>
  <c r="E144" i="1" s="1"/>
  <c r="E206" i="1" s="1"/>
  <c r="G358" i="2"/>
  <c r="G34" i="2" s="1"/>
  <c r="D41" i="1" s="1"/>
  <c r="D144" i="1" s="1"/>
  <c r="D206" i="1" s="1"/>
  <c r="F358" i="2"/>
  <c r="F34" i="2" s="1"/>
  <c r="C41" i="1" s="1"/>
  <c r="C144" i="1" s="1"/>
  <c r="C206" i="1" s="1"/>
  <c r="E358" i="2"/>
  <c r="E34" i="2" s="1"/>
  <c r="B41" i="1" s="1"/>
  <c r="B144" i="1" s="1"/>
  <c r="B206" i="1" s="1"/>
  <c r="R357" i="2"/>
  <c r="Q357" i="2"/>
  <c r="P357" i="2"/>
  <c r="K357" i="2"/>
  <c r="K356" i="2" s="1"/>
  <c r="J357" i="2"/>
  <c r="I357" i="2"/>
  <c r="I356" i="2" s="1"/>
  <c r="H357" i="2"/>
  <c r="G357" i="2"/>
  <c r="G356" i="2" s="1"/>
  <c r="F357" i="2"/>
  <c r="R355" i="2"/>
  <c r="R27" i="2" s="1"/>
  <c r="O36" i="1" s="1"/>
  <c r="O137" i="1" s="1"/>
  <c r="O199" i="1" s="1"/>
  <c r="Q355" i="2"/>
  <c r="Q27" i="2" s="1"/>
  <c r="N36" i="1" s="1"/>
  <c r="N137" i="1" s="1"/>
  <c r="N199" i="1" s="1"/>
  <c r="P355" i="2"/>
  <c r="P27" i="2" s="1"/>
  <c r="M36" i="1" s="1"/>
  <c r="M137" i="1" s="1"/>
  <c r="M199" i="1" s="1"/>
  <c r="O355" i="2"/>
  <c r="O27" i="2" s="1"/>
  <c r="L36" i="1" s="1"/>
  <c r="L137" i="1" s="1"/>
  <c r="L199" i="1" s="1"/>
  <c r="K355" i="2"/>
  <c r="J355" i="2"/>
  <c r="J27" i="2" s="1"/>
  <c r="G36" i="1" s="1"/>
  <c r="I355" i="2"/>
  <c r="I27" i="2" s="1"/>
  <c r="F36" i="1" s="1"/>
  <c r="H355" i="2"/>
  <c r="H27" i="2" s="1"/>
  <c r="E36" i="1" s="1"/>
  <c r="G355" i="2"/>
  <c r="G27" i="2" s="1"/>
  <c r="D36" i="1" s="1"/>
  <c r="F355" i="2"/>
  <c r="F27" i="2" s="1"/>
  <c r="E355" i="2"/>
  <c r="E27" i="2" s="1"/>
  <c r="B36" i="1" s="1"/>
  <c r="R354" i="2"/>
  <c r="R25" i="2" s="1"/>
  <c r="O32" i="1" s="1"/>
  <c r="Q354" i="2"/>
  <c r="Q25" i="2" s="1"/>
  <c r="N32" i="1" s="1"/>
  <c r="P354" i="2"/>
  <c r="P25" i="2" s="1"/>
  <c r="M32" i="1" s="1"/>
  <c r="O354" i="2"/>
  <c r="O25" i="2" s="1"/>
  <c r="N354" i="2"/>
  <c r="L354" i="2"/>
  <c r="L25" i="2" s="1"/>
  <c r="K354" i="2"/>
  <c r="K25" i="2" s="1"/>
  <c r="J354" i="2"/>
  <c r="J25" i="2" s="1"/>
  <c r="I354" i="2"/>
  <c r="I25" i="2" s="1"/>
  <c r="H354" i="2"/>
  <c r="H25" i="2" s="1"/>
  <c r="E32" i="1" s="1"/>
  <c r="G354" i="2"/>
  <c r="G25" i="2" s="1"/>
  <c r="D32" i="1" s="1"/>
  <c r="F354" i="2"/>
  <c r="F25" i="2" s="1"/>
  <c r="E354" i="2"/>
  <c r="E25" i="2" s="1"/>
  <c r="R351" i="2"/>
  <c r="R22" i="2" s="1"/>
  <c r="O26" i="1" s="1"/>
  <c r="O129" i="1" s="1"/>
  <c r="O191" i="1" s="1"/>
  <c r="Q351" i="2"/>
  <c r="P351" i="2"/>
  <c r="P22" i="2" s="1"/>
  <c r="M26" i="1" s="1"/>
  <c r="M129" i="1" s="1"/>
  <c r="M191" i="1" s="1"/>
  <c r="O351" i="2"/>
  <c r="O22" i="2" s="1"/>
  <c r="L26" i="1" s="1"/>
  <c r="N351" i="2"/>
  <c r="N22" i="2" s="1"/>
  <c r="K26" i="1" s="1"/>
  <c r="L351" i="2"/>
  <c r="L22" i="2" s="1"/>
  <c r="I26" i="1" s="1"/>
  <c r="I129" i="1" s="1"/>
  <c r="I191" i="1" s="1"/>
  <c r="K351" i="2"/>
  <c r="K22" i="2" s="1"/>
  <c r="H26" i="1" s="1"/>
  <c r="H129" i="1" s="1"/>
  <c r="H191" i="1" s="1"/>
  <c r="J351" i="2"/>
  <c r="J22" i="2" s="1"/>
  <c r="G26" i="1" s="1"/>
  <c r="G129" i="1" s="1"/>
  <c r="G191" i="1" s="1"/>
  <c r="I351" i="2"/>
  <c r="I22" i="2" s="1"/>
  <c r="F26" i="1" s="1"/>
  <c r="F129" i="1" s="1"/>
  <c r="F191" i="1" s="1"/>
  <c r="H351" i="2"/>
  <c r="H22" i="2" s="1"/>
  <c r="E26" i="1" s="1"/>
  <c r="E129" i="1" s="1"/>
  <c r="E191" i="1" s="1"/>
  <c r="G351" i="2"/>
  <c r="G22" i="2" s="1"/>
  <c r="F351" i="2"/>
  <c r="F22" i="2" s="1"/>
  <c r="C26" i="1" s="1"/>
  <c r="C129" i="1" s="1"/>
  <c r="C191" i="1" s="1"/>
  <c r="E351" i="2"/>
  <c r="E22" i="2" s="1"/>
  <c r="B26" i="1" s="1"/>
  <c r="B129" i="1" s="1"/>
  <c r="B191" i="1" s="1"/>
  <c r="R350" i="2"/>
  <c r="Q350" i="2"/>
  <c r="P350" i="2"/>
  <c r="K350" i="2"/>
  <c r="J350" i="2"/>
  <c r="H350" i="2"/>
  <c r="G350" i="2"/>
  <c r="F350" i="2"/>
  <c r="R348" i="2"/>
  <c r="R17" i="2" s="1"/>
  <c r="O22" i="1" s="1"/>
  <c r="Q348" i="2"/>
  <c r="Q17" i="2" s="1"/>
  <c r="N22" i="1" s="1"/>
  <c r="N125" i="1" s="1"/>
  <c r="P348" i="2"/>
  <c r="P17" i="2" s="1"/>
  <c r="O348" i="2"/>
  <c r="O17" i="2" s="1"/>
  <c r="L22" i="1" s="1"/>
  <c r="N348" i="2"/>
  <c r="N17" i="2" s="1"/>
  <c r="K22" i="1" s="1"/>
  <c r="K348" i="2"/>
  <c r="J348" i="2"/>
  <c r="J17" i="2" s="1"/>
  <c r="G22" i="1" s="1"/>
  <c r="I348" i="2"/>
  <c r="I17" i="2" s="1"/>
  <c r="F22" i="1" s="1"/>
  <c r="H348" i="2"/>
  <c r="H17" i="2" s="1"/>
  <c r="E22" i="1" s="1"/>
  <c r="G348" i="2"/>
  <c r="G17" i="2" s="1"/>
  <c r="D22" i="1" s="1"/>
  <c r="F348" i="2"/>
  <c r="F17" i="2" s="1"/>
  <c r="C22" i="1" s="1"/>
  <c r="E348" i="2"/>
  <c r="E17" i="2" s="1"/>
  <c r="B22" i="1" s="1"/>
  <c r="R347" i="2"/>
  <c r="R15" i="2" s="1"/>
  <c r="O19" i="1" s="1"/>
  <c r="Q347" i="2"/>
  <c r="Q15" i="2" s="1"/>
  <c r="N19" i="1" s="1"/>
  <c r="P347" i="2"/>
  <c r="P15" i="2" s="1"/>
  <c r="M19" i="1" s="1"/>
  <c r="O347" i="2"/>
  <c r="O15" i="2" s="1"/>
  <c r="N347" i="2"/>
  <c r="N15" i="2" s="1"/>
  <c r="L347" i="2"/>
  <c r="L15" i="2" s="1"/>
  <c r="K347" i="2"/>
  <c r="K15" i="2" s="1"/>
  <c r="H19" i="1" s="1"/>
  <c r="J347" i="2"/>
  <c r="J15" i="2" s="1"/>
  <c r="G19" i="1" s="1"/>
  <c r="I347" i="2"/>
  <c r="I15" i="2" s="1"/>
  <c r="H347" i="2"/>
  <c r="H15" i="2" s="1"/>
  <c r="E19" i="1" s="1"/>
  <c r="G347" i="2"/>
  <c r="G15" i="2" s="1"/>
  <c r="D19" i="1" s="1"/>
  <c r="F347" i="2"/>
  <c r="F15" i="2" s="1"/>
  <c r="C19" i="1" s="1"/>
  <c r="E347" i="2"/>
  <c r="E15" i="2" s="1"/>
  <c r="R346" i="2"/>
  <c r="Q346" i="2"/>
  <c r="P346" i="2"/>
  <c r="L346" i="2"/>
  <c r="K346" i="2"/>
  <c r="J346" i="2"/>
  <c r="H346" i="2"/>
  <c r="G346" i="2"/>
  <c r="F346" i="2"/>
  <c r="L332" i="2"/>
  <c r="L323" i="2" s="1"/>
  <c r="E332" i="2"/>
  <c r="E323" i="2" s="1"/>
  <c r="E32" i="2" s="1"/>
  <c r="P331" i="2"/>
  <c r="P330" i="2" s="1"/>
  <c r="O331" i="2"/>
  <c r="O330" i="2" s="1"/>
  <c r="N331" i="2"/>
  <c r="N330" i="2" s="1"/>
  <c r="K331" i="2"/>
  <c r="J331" i="2"/>
  <c r="J330" i="2" s="1"/>
  <c r="I331" i="2"/>
  <c r="I330" i="2" s="1"/>
  <c r="H331" i="2"/>
  <c r="H330" i="2" s="1"/>
  <c r="G331" i="2"/>
  <c r="G330" i="2" s="1"/>
  <c r="F331" i="2"/>
  <c r="F330" i="2" s="1"/>
  <c r="K330" i="2"/>
  <c r="U328" i="2"/>
  <c r="J329" i="2"/>
  <c r="I329" i="2"/>
  <c r="E329" i="2"/>
  <c r="P328" i="2"/>
  <c r="O328" i="2"/>
  <c r="N328" i="2"/>
  <c r="L328" i="2"/>
  <c r="K328" i="2"/>
  <c r="J328" i="2"/>
  <c r="I328" i="2"/>
  <c r="H328" i="2"/>
  <c r="G328" i="2"/>
  <c r="F328" i="2"/>
  <c r="U326" i="2"/>
  <c r="N327" i="2"/>
  <c r="N318" i="2" s="1"/>
  <c r="L327" i="2"/>
  <c r="L318" i="2" s="1"/>
  <c r="K327" i="2"/>
  <c r="K318" i="2" s="1"/>
  <c r="J327" i="2"/>
  <c r="J318" i="2" s="1"/>
  <c r="I327" i="2"/>
  <c r="I318" i="2" s="1"/>
  <c r="E327" i="2"/>
  <c r="E318" i="2" s="1"/>
  <c r="P326" i="2"/>
  <c r="O326" i="2"/>
  <c r="N326" i="2"/>
  <c r="H326" i="2"/>
  <c r="G326" i="2"/>
  <c r="F326" i="2"/>
  <c r="P322" i="2"/>
  <c r="P321" i="2" s="1"/>
  <c r="K322" i="2"/>
  <c r="K321" i="2" s="1"/>
  <c r="J322" i="2"/>
  <c r="J321" i="2" s="1"/>
  <c r="I322" i="2"/>
  <c r="I321" i="2" s="1"/>
  <c r="H322" i="2"/>
  <c r="H321" i="2" s="1"/>
  <c r="G322" i="2"/>
  <c r="G321" i="2" s="1"/>
  <c r="E322" i="2"/>
  <c r="E321" i="2" s="1"/>
  <c r="O322" i="2"/>
  <c r="O321" i="2" s="1"/>
  <c r="F322" i="2"/>
  <c r="F321" i="2" s="1"/>
  <c r="P319" i="2"/>
  <c r="U320" i="2"/>
  <c r="L319" i="2"/>
  <c r="K319" i="2"/>
  <c r="H319" i="2"/>
  <c r="G319" i="2"/>
  <c r="F319" i="2"/>
  <c r="H317" i="2"/>
  <c r="F317" i="2"/>
  <c r="P317" i="2"/>
  <c r="G317" i="2"/>
  <c r="O248" i="2"/>
  <c r="O247" i="2" s="1"/>
  <c r="E249" i="2"/>
  <c r="M249" i="2" s="1"/>
  <c r="P248" i="2"/>
  <c r="N248" i="2"/>
  <c r="L248" i="2"/>
  <c r="K248" i="2"/>
  <c r="J248" i="2"/>
  <c r="I248" i="2"/>
  <c r="H248" i="2"/>
  <c r="G248" i="2"/>
  <c r="F248" i="2"/>
  <c r="E248" i="2"/>
  <c r="P247" i="2"/>
  <c r="N247" i="2"/>
  <c r="L247" i="2"/>
  <c r="K247" i="2"/>
  <c r="J247" i="2"/>
  <c r="I247" i="2"/>
  <c r="H247" i="2"/>
  <c r="G247" i="2"/>
  <c r="F247" i="2"/>
  <c r="E247" i="2"/>
  <c r="I246" i="2"/>
  <c r="I245" i="2" s="1"/>
  <c r="E246" i="2"/>
  <c r="P245" i="2"/>
  <c r="O245" i="2"/>
  <c r="N245" i="2"/>
  <c r="L245" i="2"/>
  <c r="K245" i="2"/>
  <c r="J245" i="2"/>
  <c r="H245" i="2"/>
  <c r="G245" i="2"/>
  <c r="F245" i="2"/>
  <c r="E245" i="2"/>
  <c r="U243" i="2"/>
  <c r="I244" i="2"/>
  <c r="I243" i="2" s="1"/>
  <c r="E244" i="2"/>
  <c r="P243" i="2"/>
  <c r="O243" i="2"/>
  <c r="N243" i="2"/>
  <c r="L243" i="2"/>
  <c r="K243" i="2"/>
  <c r="J243" i="2"/>
  <c r="H243" i="2"/>
  <c r="G243" i="2"/>
  <c r="F243" i="2"/>
  <c r="N240" i="2"/>
  <c r="L240" i="2"/>
  <c r="P239" i="2"/>
  <c r="P238" i="2" s="1"/>
  <c r="O239" i="2"/>
  <c r="O238" i="2" s="1"/>
  <c r="N239" i="2"/>
  <c r="N238" i="2" s="1"/>
  <c r="N237" i="2"/>
  <c r="L237" i="2"/>
  <c r="M237" i="2" s="1"/>
  <c r="P236" i="2"/>
  <c r="P235" i="2" s="1"/>
  <c r="E274" i="2"/>
  <c r="P273" i="2"/>
  <c r="O273" i="2"/>
  <c r="O272" i="2" s="1"/>
  <c r="N273" i="2"/>
  <c r="N272" i="2" s="1"/>
  <c r="L273" i="2"/>
  <c r="L272" i="2" s="1"/>
  <c r="K273" i="2"/>
  <c r="K272" i="2" s="1"/>
  <c r="J273" i="2"/>
  <c r="J272" i="2" s="1"/>
  <c r="I273" i="2"/>
  <c r="I272" i="2" s="1"/>
  <c r="H273" i="2"/>
  <c r="H272" i="2" s="1"/>
  <c r="G273" i="2"/>
  <c r="G272" i="2" s="1"/>
  <c r="F273" i="2"/>
  <c r="F272" i="2" s="1"/>
  <c r="P272" i="2"/>
  <c r="I271" i="2"/>
  <c r="I270" i="2" s="1"/>
  <c r="E271" i="2"/>
  <c r="E270" i="2" s="1"/>
  <c r="U270" i="2"/>
  <c r="P270" i="2"/>
  <c r="O270" i="2"/>
  <c r="N270" i="2"/>
  <c r="L270" i="2"/>
  <c r="K270" i="2"/>
  <c r="J270" i="2"/>
  <c r="H270" i="2"/>
  <c r="G270" i="2"/>
  <c r="F270" i="2"/>
  <c r="U268" i="2"/>
  <c r="L268" i="2"/>
  <c r="I269" i="2"/>
  <c r="I268" i="2" s="1"/>
  <c r="E269" i="2"/>
  <c r="E268" i="2" s="1"/>
  <c r="P268" i="2"/>
  <c r="O268" i="2"/>
  <c r="K268" i="2"/>
  <c r="J268" i="2"/>
  <c r="H268" i="2"/>
  <c r="G268" i="2"/>
  <c r="F268" i="2"/>
  <c r="E233" i="2"/>
  <c r="E232" i="2" s="1"/>
  <c r="E231" i="2" s="1"/>
  <c r="P232" i="2"/>
  <c r="P231" i="2" s="1"/>
  <c r="O232" i="2"/>
  <c r="O231" i="2" s="1"/>
  <c r="N232" i="2"/>
  <c r="N231" i="2" s="1"/>
  <c r="L232" i="2"/>
  <c r="L231" i="2" s="1"/>
  <c r="K232" i="2"/>
  <c r="K231" i="2" s="1"/>
  <c r="J232" i="2"/>
  <c r="J231" i="2" s="1"/>
  <c r="I232" i="2"/>
  <c r="I231" i="2" s="1"/>
  <c r="H232" i="2"/>
  <c r="H231" i="2" s="1"/>
  <c r="G232" i="2"/>
  <c r="G231" i="2" s="1"/>
  <c r="F232" i="2"/>
  <c r="F231" i="2" s="1"/>
  <c r="U229" i="2"/>
  <c r="E230" i="2"/>
  <c r="P229" i="2"/>
  <c r="O229" i="2"/>
  <c r="N229" i="2"/>
  <c r="L229" i="2"/>
  <c r="K229" i="2"/>
  <c r="J229" i="2"/>
  <c r="I229" i="2"/>
  <c r="H229" i="2"/>
  <c r="G229" i="2"/>
  <c r="F229" i="2"/>
  <c r="U227" i="2"/>
  <c r="N228" i="2"/>
  <c r="L228" i="2"/>
  <c r="L227" i="2" s="1"/>
  <c r="I228" i="2"/>
  <c r="I227" i="2" s="1"/>
  <c r="E228" i="2"/>
  <c r="P227" i="2"/>
  <c r="O227" i="2"/>
  <c r="N227" i="2"/>
  <c r="K227" i="2"/>
  <c r="J227" i="2"/>
  <c r="H227" i="2"/>
  <c r="G227" i="2"/>
  <c r="F227" i="2"/>
  <c r="E224" i="2"/>
  <c r="P223" i="2"/>
  <c r="P222" i="2" s="1"/>
  <c r="O223" i="2"/>
  <c r="O222" i="2" s="1"/>
  <c r="N223" i="2"/>
  <c r="N222" i="2" s="1"/>
  <c r="L223" i="2"/>
  <c r="L222" i="2" s="1"/>
  <c r="K223" i="2"/>
  <c r="K222" i="2" s="1"/>
  <c r="J223" i="2"/>
  <c r="J222" i="2" s="1"/>
  <c r="I223" i="2"/>
  <c r="I222" i="2" s="1"/>
  <c r="H223" i="2"/>
  <c r="H222" i="2" s="1"/>
  <c r="G223" i="2"/>
  <c r="G222" i="2" s="1"/>
  <c r="F223" i="2"/>
  <c r="F222" i="2" s="1"/>
  <c r="U220" i="2"/>
  <c r="P220" i="2"/>
  <c r="O220" i="2"/>
  <c r="N220" i="2"/>
  <c r="L220" i="2"/>
  <c r="K220" i="2"/>
  <c r="J220" i="2"/>
  <c r="I220" i="2"/>
  <c r="H220" i="2"/>
  <c r="G220" i="2"/>
  <c r="F220" i="2"/>
  <c r="E220" i="2"/>
  <c r="D220" i="2"/>
  <c r="U218" i="2"/>
  <c r="P218" i="2"/>
  <c r="O218" i="2"/>
  <c r="N218" i="2"/>
  <c r="L218" i="2"/>
  <c r="K218" i="2"/>
  <c r="J218" i="2"/>
  <c r="I218" i="2"/>
  <c r="H218" i="2"/>
  <c r="G218" i="2"/>
  <c r="F218" i="2"/>
  <c r="E218" i="2"/>
  <c r="O215" i="2"/>
  <c r="L215" i="2"/>
  <c r="E215" i="2"/>
  <c r="P214" i="2"/>
  <c r="O214" i="2"/>
  <c r="N214" i="2"/>
  <c r="K214" i="2"/>
  <c r="J214" i="2"/>
  <c r="I214" i="2"/>
  <c r="H214" i="2"/>
  <c r="G214" i="2"/>
  <c r="F214" i="2"/>
  <c r="E214" i="2"/>
  <c r="E213" i="2"/>
  <c r="E212" i="2" s="1"/>
  <c r="P212" i="2"/>
  <c r="O212" i="2"/>
  <c r="N212" i="2"/>
  <c r="L212" i="2"/>
  <c r="K212" i="2"/>
  <c r="J212" i="2"/>
  <c r="I212" i="2"/>
  <c r="H212" i="2"/>
  <c r="G212" i="2"/>
  <c r="F212" i="2"/>
  <c r="U209" i="2"/>
  <c r="L210" i="2"/>
  <c r="P209" i="2"/>
  <c r="O209" i="2"/>
  <c r="K209" i="2"/>
  <c r="J209" i="2"/>
  <c r="I209" i="2"/>
  <c r="H209" i="2"/>
  <c r="G209" i="2"/>
  <c r="F209" i="2"/>
  <c r="E209" i="2"/>
  <c r="L207" i="2"/>
  <c r="L206" i="2" s="1"/>
  <c r="E207" i="2"/>
  <c r="E206" i="2" s="1"/>
  <c r="P206" i="2"/>
  <c r="N206" i="2"/>
  <c r="K206" i="2"/>
  <c r="J206" i="2"/>
  <c r="I206" i="2"/>
  <c r="H206" i="2"/>
  <c r="G206" i="2"/>
  <c r="F206" i="2"/>
  <c r="N203" i="2"/>
  <c r="N202" i="2" s="1"/>
  <c r="N201" i="2" s="1"/>
  <c r="L203" i="2"/>
  <c r="E203" i="2"/>
  <c r="E202" i="2" s="1"/>
  <c r="E201" i="2" s="1"/>
  <c r="P202" i="2"/>
  <c r="P201" i="2" s="1"/>
  <c r="O202" i="2"/>
  <c r="O201" i="2" s="1"/>
  <c r="K202" i="2"/>
  <c r="K201" i="2" s="1"/>
  <c r="J202" i="2"/>
  <c r="J201" i="2" s="1"/>
  <c r="I202" i="2"/>
  <c r="I201" i="2" s="1"/>
  <c r="H202" i="2"/>
  <c r="H201" i="2" s="1"/>
  <c r="G202" i="2"/>
  <c r="G201" i="2" s="1"/>
  <c r="F202" i="2"/>
  <c r="F201" i="2" s="1"/>
  <c r="U199" i="2"/>
  <c r="L199" i="2"/>
  <c r="K200" i="2"/>
  <c r="K199" i="2" s="1"/>
  <c r="J200" i="2"/>
  <c r="J199" i="2" s="1"/>
  <c r="I200" i="2"/>
  <c r="I199" i="2" s="1"/>
  <c r="E200" i="2"/>
  <c r="P199" i="2"/>
  <c r="O199" i="2"/>
  <c r="H199" i="2"/>
  <c r="G199" i="2"/>
  <c r="F199" i="2"/>
  <c r="K198" i="2"/>
  <c r="M198" i="2" s="1"/>
  <c r="U197" i="2"/>
  <c r="P197" i="2"/>
  <c r="O197" i="2"/>
  <c r="N197" i="2"/>
  <c r="L197" i="2"/>
  <c r="K197" i="2"/>
  <c r="J197" i="2"/>
  <c r="I197" i="2"/>
  <c r="H197" i="2"/>
  <c r="G197" i="2"/>
  <c r="G196" i="2" s="1"/>
  <c r="F197" i="2"/>
  <c r="E197" i="2"/>
  <c r="O193" i="2"/>
  <c r="N194" i="2"/>
  <c r="N193" i="2" s="1"/>
  <c r="L194" i="2"/>
  <c r="J194" i="2"/>
  <c r="E194" i="2"/>
  <c r="P193" i="2"/>
  <c r="K193" i="2"/>
  <c r="I193" i="2"/>
  <c r="H193" i="2"/>
  <c r="G193" i="2"/>
  <c r="F193" i="2"/>
  <c r="L192" i="2"/>
  <c r="L191" i="2" s="1"/>
  <c r="E192" i="2"/>
  <c r="E191" i="2" s="1"/>
  <c r="P191" i="2"/>
  <c r="O191" i="2"/>
  <c r="N191" i="2"/>
  <c r="K191" i="2"/>
  <c r="J191" i="2"/>
  <c r="I191" i="2"/>
  <c r="H191" i="2"/>
  <c r="G191" i="2"/>
  <c r="F191" i="2"/>
  <c r="U188" i="2"/>
  <c r="K189" i="2"/>
  <c r="J189" i="2"/>
  <c r="I189" i="2"/>
  <c r="E189" i="2"/>
  <c r="E188" i="2" s="1"/>
  <c r="P188" i="2"/>
  <c r="O188" i="2"/>
  <c r="K188" i="2"/>
  <c r="H188" i="2"/>
  <c r="G188" i="2"/>
  <c r="F188" i="2"/>
  <c r="K187" i="2"/>
  <c r="M187" i="2" s="1"/>
  <c r="U186" i="2"/>
  <c r="P186" i="2"/>
  <c r="O186" i="2"/>
  <c r="N186" i="2"/>
  <c r="L186" i="2"/>
  <c r="K186" i="2"/>
  <c r="J186" i="2"/>
  <c r="I186" i="2"/>
  <c r="H186" i="2"/>
  <c r="G186" i="2"/>
  <c r="F186" i="2"/>
  <c r="E186" i="2"/>
  <c r="L183" i="2"/>
  <c r="J183" i="2"/>
  <c r="E183" i="2"/>
  <c r="P182" i="2"/>
  <c r="O182" i="2"/>
  <c r="N182" i="2"/>
  <c r="K182" i="2"/>
  <c r="J182" i="2"/>
  <c r="I182" i="2"/>
  <c r="H182" i="2"/>
  <c r="G182" i="2"/>
  <c r="F182" i="2"/>
  <c r="E182" i="2"/>
  <c r="L181" i="2"/>
  <c r="L180" i="2" s="1"/>
  <c r="E181" i="2"/>
  <c r="P180" i="2"/>
  <c r="O180" i="2"/>
  <c r="O179" i="2" s="1"/>
  <c r="N180" i="2"/>
  <c r="K180" i="2"/>
  <c r="J180" i="2"/>
  <c r="J179" i="2" s="1"/>
  <c r="I180" i="2"/>
  <c r="H180" i="2"/>
  <c r="G180" i="2"/>
  <c r="F180" i="2"/>
  <c r="F179" i="2" s="1"/>
  <c r="E180" i="2"/>
  <c r="H179" i="2"/>
  <c r="K178" i="2"/>
  <c r="I178" i="2"/>
  <c r="I177" i="2" s="1"/>
  <c r="E178" i="2"/>
  <c r="U177" i="2"/>
  <c r="P177" i="2"/>
  <c r="O177" i="2"/>
  <c r="N177" i="2"/>
  <c r="L177" i="2"/>
  <c r="K177" i="2"/>
  <c r="J177" i="2"/>
  <c r="H177" i="2"/>
  <c r="G177" i="2"/>
  <c r="F177" i="2"/>
  <c r="K176" i="2"/>
  <c r="K39" i="2" s="1"/>
  <c r="K16" i="2" s="1"/>
  <c r="H21" i="1" s="1"/>
  <c r="N175" i="2"/>
  <c r="N174" i="2" s="1"/>
  <c r="N173" i="2" s="1"/>
  <c r="L175" i="2"/>
  <c r="L174" i="2" s="1"/>
  <c r="L173" i="2" s="1"/>
  <c r="K175" i="2"/>
  <c r="P174" i="2"/>
  <c r="O174" i="2"/>
  <c r="J174" i="2"/>
  <c r="I174" i="2"/>
  <c r="H174" i="2"/>
  <c r="G174" i="2"/>
  <c r="F174" i="2"/>
  <c r="E174" i="2"/>
  <c r="L171" i="2"/>
  <c r="E171" i="2"/>
  <c r="P170" i="2"/>
  <c r="P169" i="2" s="1"/>
  <c r="O170" i="2"/>
  <c r="O169" i="2" s="1"/>
  <c r="N170" i="2"/>
  <c r="K170" i="2"/>
  <c r="J170" i="2"/>
  <c r="I170" i="2"/>
  <c r="H170" i="2"/>
  <c r="G170" i="2"/>
  <c r="F170" i="2"/>
  <c r="E170" i="2"/>
  <c r="N169" i="2"/>
  <c r="K169" i="2"/>
  <c r="J169" i="2"/>
  <c r="I169" i="2"/>
  <c r="H169" i="2"/>
  <c r="G169" i="2"/>
  <c r="F169" i="2"/>
  <c r="E169" i="2"/>
  <c r="N168" i="2"/>
  <c r="L168" i="2"/>
  <c r="J168" i="2"/>
  <c r="J167" i="2" s="1"/>
  <c r="I168" i="2"/>
  <c r="I167" i="2" s="1"/>
  <c r="E168" i="2"/>
  <c r="U167" i="2"/>
  <c r="P167" i="2"/>
  <c r="O167" i="2"/>
  <c r="N167" i="2"/>
  <c r="L167" i="2"/>
  <c r="K167" i="2"/>
  <c r="H167" i="2"/>
  <c r="G167" i="2"/>
  <c r="F167" i="2"/>
  <c r="U165" i="2"/>
  <c r="N166" i="2"/>
  <c r="L166" i="2"/>
  <c r="L165" i="2" s="1"/>
  <c r="J166" i="2"/>
  <c r="J165" i="2" s="1"/>
  <c r="I166" i="2"/>
  <c r="E166" i="2"/>
  <c r="E165" i="2" s="1"/>
  <c r="P165" i="2"/>
  <c r="O165" i="2"/>
  <c r="O164" i="2" s="1"/>
  <c r="K165" i="2"/>
  <c r="K164" i="2" s="1"/>
  <c r="H165" i="2"/>
  <c r="H164" i="2" s="1"/>
  <c r="G165" i="2"/>
  <c r="G164" i="2" s="1"/>
  <c r="F165" i="2"/>
  <c r="F164" i="2" s="1"/>
  <c r="P164" i="2"/>
  <c r="E162" i="2"/>
  <c r="D162" i="2" s="1"/>
  <c r="D161" i="2" s="1"/>
  <c r="P161" i="2"/>
  <c r="O161" i="2"/>
  <c r="N161" i="2"/>
  <c r="L161" i="2"/>
  <c r="K161" i="2"/>
  <c r="J161" i="2"/>
  <c r="I161" i="2"/>
  <c r="H161" i="2"/>
  <c r="G161" i="2"/>
  <c r="F161" i="2"/>
  <c r="E160" i="2"/>
  <c r="D160" i="2" s="1"/>
  <c r="D159" i="2" s="1"/>
  <c r="P159" i="2"/>
  <c r="O159" i="2"/>
  <c r="N159" i="2"/>
  <c r="L159" i="2"/>
  <c r="K159" i="2"/>
  <c r="J159" i="2"/>
  <c r="I159" i="2"/>
  <c r="H159" i="2"/>
  <c r="G159" i="2"/>
  <c r="F159" i="2"/>
  <c r="E157" i="2"/>
  <c r="D157" i="2" s="1"/>
  <c r="D156" i="2" s="1"/>
  <c r="P156" i="2"/>
  <c r="O156" i="2"/>
  <c r="N156" i="2"/>
  <c r="L156" i="2"/>
  <c r="K156" i="2"/>
  <c r="J156" i="2"/>
  <c r="I156" i="2"/>
  <c r="H156" i="2"/>
  <c r="G156" i="2"/>
  <c r="F156" i="2"/>
  <c r="E155" i="2"/>
  <c r="D155" i="2" s="1"/>
  <c r="E154" i="2"/>
  <c r="D154" i="2" s="1"/>
  <c r="P153" i="2"/>
  <c r="O153" i="2"/>
  <c r="O152" i="2" s="1"/>
  <c r="N153" i="2"/>
  <c r="L153" i="2"/>
  <c r="L152" i="2" s="1"/>
  <c r="K153" i="2"/>
  <c r="J153" i="2"/>
  <c r="J152" i="2" s="1"/>
  <c r="I153" i="2"/>
  <c r="H153" i="2"/>
  <c r="H152" i="2" s="1"/>
  <c r="G153" i="2"/>
  <c r="F153" i="2"/>
  <c r="F152" i="2" s="1"/>
  <c r="N150" i="2"/>
  <c r="N149" i="2" s="1"/>
  <c r="N148" i="2" s="1"/>
  <c r="L150" i="2"/>
  <c r="L149" i="2" s="1"/>
  <c r="L148" i="2" s="1"/>
  <c r="J150" i="2"/>
  <c r="J149" i="2" s="1"/>
  <c r="J148" i="2" s="1"/>
  <c r="E150" i="2"/>
  <c r="E149" i="2" s="1"/>
  <c r="E148" i="2" s="1"/>
  <c r="P149" i="2"/>
  <c r="P148" i="2" s="1"/>
  <c r="O149" i="2"/>
  <c r="O148" i="2" s="1"/>
  <c r="K149" i="2"/>
  <c r="K148" i="2" s="1"/>
  <c r="I149" i="2"/>
  <c r="I148" i="2" s="1"/>
  <c r="H149" i="2"/>
  <c r="H148" i="2" s="1"/>
  <c r="G149" i="2"/>
  <c r="G148" i="2" s="1"/>
  <c r="F149" i="2"/>
  <c r="F148" i="2" s="1"/>
  <c r="U146" i="2"/>
  <c r="N147" i="2"/>
  <c r="J147" i="2"/>
  <c r="I147" i="2"/>
  <c r="E147" i="2"/>
  <c r="P146" i="2"/>
  <c r="O146" i="2"/>
  <c r="K146" i="2"/>
  <c r="J146" i="2"/>
  <c r="H146" i="2"/>
  <c r="G146" i="2"/>
  <c r="F146" i="2"/>
  <c r="E146" i="2"/>
  <c r="U144" i="2"/>
  <c r="U143" i="2" s="1"/>
  <c r="N145" i="2"/>
  <c r="J145" i="2"/>
  <c r="E145" i="2"/>
  <c r="E144" i="2" s="1"/>
  <c r="P144" i="2"/>
  <c r="O144" i="2"/>
  <c r="K144" i="2"/>
  <c r="I144" i="2"/>
  <c r="H144" i="2"/>
  <c r="G144" i="2"/>
  <c r="F144" i="2"/>
  <c r="I314" i="2"/>
  <c r="I313" i="2" s="1"/>
  <c r="E314" i="2"/>
  <c r="P313" i="2"/>
  <c r="O313" i="2"/>
  <c r="N313" i="2"/>
  <c r="L313" i="2"/>
  <c r="K313" i="2"/>
  <c r="J313" i="2"/>
  <c r="H313" i="2"/>
  <c r="G313" i="2"/>
  <c r="F313" i="2"/>
  <c r="E312" i="2"/>
  <c r="D312" i="2" s="1"/>
  <c r="D311" i="2" s="1"/>
  <c r="P311" i="2"/>
  <c r="O311" i="2"/>
  <c r="N311" i="2"/>
  <c r="L311" i="2"/>
  <c r="K311" i="2"/>
  <c r="J311" i="2"/>
  <c r="I311" i="2"/>
  <c r="H311" i="2"/>
  <c r="G311" i="2"/>
  <c r="F311" i="2"/>
  <c r="E309" i="2"/>
  <c r="D308" i="2" s="1"/>
  <c r="P308" i="2"/>
  <c r="O308" i="2"/>
  <c r="N308" i="2"/>
  <c r="L308" i="2"/>
  <c r="K308" i="2"/>
  <c r="J308" i="2"/>
  <c r="I308" i="2"/>
  <c r="H308" i="2"/>
  <c r="G308" i="2"/>
  <c r="F308" i="2"/>
  <c r="D307" i="2"/>
  <c r="P305" i="2"/>
  <c r="O305" i="2"/>
  <c r="L305" i="2"/>
  <c r="K305" i="2"/>
  <c r="J305" i="2"/>
  <c r="I305" i="2"/>
  <c r="H305" i="2"/>
  <c r="G305" i="2"/>
  <c r="F305" i="2"/>
  <c r="E305" i="2"/>
  <c r="K141" i="2"/>
  <c r="E141" i="2"/>
  <c r="P140" i="2"/>
  <c r="O140" i="2"/>
  <c r="N140" i="2"/>
  <c r="L140" i="2"/>
  <c r="J140" i="2"/>
  <c r="I140" i="2"/>
  <c r="H140" i="2"/>
  <c r="G140" i="2"/>
  <c r="F140" i="2"/>
  <c r="E140" i="2"/>
  <c r="I139" i="2"/>
  <c r="I45" i="2" s="1"/>
  <c r="I26" i="2" s="1"/>
  <c r="F35" i="1" s="1"/>
  <c r="E139" i="2"/>
  <c r="E138" i="2" s="1"/>
  <c r="E137" i="2" s="1"/>
  <c r="P138" i="2"/>
  <c r="P137" i="2" s="1"/>
  <c r="O138" i="2"/>
  <c r="N138" i="2"/>
  <c r="N137" i="2" s="1"/>
  <c r="L138" i="2"/>
  <c r="K138" i="2"/>
  <c r="J138" i="2"/>
  <c r="I138" i="2"/>
  <c r="H138" i="2"/>
  <c r="G138" i="2"/>
  <c r="F138" i="2"/>
  <c r="U135" i="2"/>
  <c r="J136" i="2"/>
  <c r="J135" i="2" s="1"/>
  <c r="I136" i="2"/>
  <c r="I135" i="2" s="1"/>
  <c r="E136" i="2"/>
  <c r="E135" i="2" s="1"/>
  <c r="P135" i="2"/>
  <c r="O135" i="2"/>
  <c r="N135" i="2"/>
  <c r="L135" i="2"/>
  <c r="K135" i="2"/>
  <c r="H135" i="2"/>
  <c r="G135" i="2"/>
  <c r="F135" i="2"/>
  <c r="E134" i="2"/>
  <c r="N133" i="2"/>
  <c r="L133" i="2"/>
  <c r="J133" i="2"/>
  <c r="J132" i="2" s="1"/>
  <c r="I133" i="2"/>
  <c r="E133" i="2"/>
  <c r="U132" i="2"/>
  <c r="U131" i="2" s="1"/>
  <c r="P132" i="2"/>
  <c r="O132" i="2"/>
  <c r="N132" i="2"/>
  <c r="L132" i="2"/>
  <c r="K132" i="2"/>
  <c r="I132" i="2"/>
  <c r="H132" i="2"/>
  <c r="G132" i="2"/>
  <c r="F132" i="2"/>
  <c r="E302" i="2"/>
  <c r="P301" i="2"/>
  <c r="O301" i="2"/>
  <c r="N301" i="2"/>
  <c r="L301" i="2"/>
  <c r="K301" i="2"/>
  <c r="J301" i="2"/>
  <c r="I301" i="2"/>
  <c r="H301" i="2"/>
  <c r="G301" i="2"/>
  <c r="F301" i="2"/>
  <c r="E300" i="2"/>
  <c r="P299" i="2"/>
  <c r="O299" i="2"/>
  <c r="N299" i="2"/>
  <c r="L299" i="2"/>
  <c r="K299" i="2"/>
  <c r="J299" i="2"/>
  <c r="I299" i="2"/>
  <c r="H299" i="2"/>
  <c r="G299" i="2"/>
  <c r="F299" i="2"/>
  <c r="D296" i="2"/>
  <c r="P296" i="2"/>
  <c r="O296" i="2"/>
  <c r="N296" i="2"/>
  <c r="L296" i="2"/>
  <c r="K296" i="2"/>
  <c r="J296" i="2"/>
  <c r="I296" i="2"/>
  <c r="H296" i="2"/>
  <c r="G296" i="2"/>
  <c r="F296" i="2"/>
  <c r="E296" i="2"/>
  <c r="P293" i="2"/>
  <c r="O293" i="2"/>
  <c r="N293" i="2"/>
  <c r="L293" i="2"/>
  <c r="K293" i="2"/>
  <c r="J293" i="2"/>
  <c r="I293" i="2"/>
  <c r="H293" i="2"/>
  <c r="G293" i="2"/>
  <c r="F293" i="2"/>
  <c r="E293" i="2"/>
  <c r="N129" i="2"/>
  <c r="L129" i="2"/>
  <c r="J129" i="2"/>
  <c r="J128" i="2" s="1"/>
  <c r="J127" i="2" s="1"/>
  <c r="I129" i="2"/>
  <c r="E129" i="2"/>
  <c r="P128" i="2"/>
  <c r="P127" i="2" s="1"/>
  <c r="O128" i="2"/>
  <c r="O127" i="2" s="1"/>
  <c r="L128" i="2"/>
  <c r="L127" i="2" s="1"/>
  <c r="K128" i="2"/>
  <c r="K127" i="2" s="1"/>
  <c r="H128" i="2"/>
  <c r="H127" i="2" s="1"/>
  <c r="G128" i="2"/>
  <c r="G127" i="2" s="1"/>
  <c r="F128" i="2"/>
  <c r="F127" i="2" s="1"/>
  <c r="U125" i="2"/>
  <c r="H126" i="2"/>
  <c r="H125" i="2" s="1"/>
  <c r="G126" i="2"/>
  <c r="P125" i="2"/>
  <c r="O125" i="2"/>
  <c r="N125" i="2"/>
  <c r="L125" i="2"/>
  <c r="K125" i="2"/>
  <c r="J125" i="2"/>
  <c r="I125" i="2"/>
  <c r="F125" i="2"/>
  <c r="U123" i="2"/>
  <c r="N124" i="2"/>
  <c r="L124" i="2"/>
  <c r="L123" i="2" s="1"/>
  <c r="H124" i="2"/>
  <c r="H38" i="2" s="1"/>
  <c r="G124" i="2"/>
  <c r="G38" i="2" s="1"/>
  <c r="P123" i="2"/>
  <c r="O123" i="2"/>
  <c r="N123" i="2"/>
  <c r="K123" i="2"/>
  <c r="K122" i="2" s="1"/>
  <c r="J123" i="2"/>
  <c r="J122" i="2" s="1"/>
  <c r="I123" i="2"/>
  <c r="I122" i="2" s="1"/>
  <c r="H123" i="2"/>
  <c r="F123" i="2"/>
  <c r="N120" i="2"/>
  <c r="N119" i="2" s="1"/>
  <c r="L120" i="2"/>
  <c r="E120" i="2"/>
  <c r="P119" i="2"/>
  <c r="O119" i="2"/>
  <c r="L119" i="2"/>
  <c r="K119" i="2"/>
  <c r="J119" i="2"/>
  <c r="I119" i="2"/>
  <c r="H119" i="2"/>
  <c r="G119" i="2"/>
  <c r="F119" i="2"/>
  <c r="N118" i="2"/>
  <c r="N117" i="2" s="1"/>
  <c r="L118" i="2"/>
  <c r="L117" i="2" s="1"/>
  <c r="L116" i="2" s="1"/>
  <c r="E118" i="2"/>
  <c r="E117" i="2" s="1"/>
  <c r="P117" i="2"/>
  <c r="O117" i="2"/>
  <c r="K117" i="2"/>
  <c r="J117" i="2"/>
  <c r="I117" i="2"/>
  <c r="H117" i="2"/>
  <c r="G117" i="2"/>
  <c r="F117" i="2"/>
  <c r="E115" i="2"/>
  <c r="E114" i="2" s="1"/>
  <c r="U114" i="2"/>
  <c r="P114" i="2"/>
  <c r="O114" i="2"/>
  <c r="N114" i="2"/>
  <c r="L114" i="2"/>
  <c r="K114" i="2"/>
  <c r="J114" i="2"/>
  <c r="I114" i="2"/>
  <c r="H114" i="2"/>
  <c r="G114" i="2"/>
  <c r="F114" i="2"/>
  <c r="E113" i="2"/>
  <c r="E112" i="2"/>
  <c r="U111" i="2"/>
  <c r="P111" i="2"/>
  <c r="O111" i="2"/>
  <c r="N111" i="2"/>
  <c r="L111" i="2"/>
  <c r="K111" i="2"/>
  <c r="J111" i="2"/>
  <c r="I111" i="2"/>
  <c r="H111" i="2"/>
  <c r="G111" i="2"/>
  <c r="F111" i="2"/>
  <c r="L108" i="2"/>
  <c r="E107" i="2"/>
  <c r="D107" i="2" s="1"/>
  <c r="P106" i="2"/>
  <c r="O106" i="2"/>
  <c r="N106" i="2"/>
  <c r="K106" i="2"/>
  <c r="J106" i="2"/>
  <c r="I106" i="2"/>
  <c r="H106" i="2"/>
  <c r="G106" i="2"/>
  <c r="F106" i="2"/>
  <c r="E106" i="2"/>
  <c r="L105" i="2"/>
  <c r="L104" i="2" s="1"/>
  <c r="J105" i="2"/>
  <c r="J46" i="2" s="1"/>
  <c r="J28" i="2" s="1"/>
  <c r="G37" i="1" s="1"/>
  <c r="E105" i="2"/>
  <c r="P104" i="2"/>
  <c r="O104" i="2"/>
  <c r="N104" i="2"/>
  <c r="K104" i="2"/>
  <c r="J104" i="2"/>
  <c r="I104" i="2"/>
  <c r="H104" i="2"/>
  <c r="G104" i="2"/>
  <c r="F104" i="2"/>
  <c r="E104" i="2"/>
  <c r="J102" i="2"/>
  <c r="J100" i="2" s="1"/>
  <c r="I102" i="2"/>
  <c r="U101" i="2"/>
  <c r="U100" i="2" s="1"/>
  <c r="D101" i="2"/>
  <c r="P100" i="2"/>
  <c r="O100" i="2"/>
  <c r="N100" i="2"/>
  <c r="L100" i="2"/>
  <c r="K100" i="2"/>
  <c r="H100" i="2"/>
  <c r="G100" i="2"/>
  <c r="F100" i="2"/>
  <c r="E100" i="2"/>
  <c r="J99" i="2"/>
  <c r="J40" i="2" s="1"/>
  <c r="J18" i="2" s="1"/>
  <c r="G23" i="1" s="1"/>
  <c r="G127" i="1" s="1"/>
  <c r="G188" i="1" s="1"/>
  <c r="I99" i="2"/>
  <c r="N98" i="2"/>
  <c r="L98" i="2"/>
  <c r="L97" i="2" s="1"/>
  <c r="J98" i="2"/>
  <c r="J97" i="2" s="1"/>
  <c r="E98" i="2"/>
  <c r="E97" i="2" s="1"/>
  <c r="E96" i="2" s="1"/>
  <c r="P97" i="2"/>
  <c r="O97" i="2"/>
  <c r="K97" i="2"/>
  <c r="H97" i="2"/>
  <c r="G97" i="2"/>
  <c r="F97" i="2"/>
  <c r="E289" i="2"/>
  <c r="P288" i="2"/>
  <c r="O288" i="2"/>
  <c r="N288" i="2"/>
  <c r="L288" i="2"/>
  <c r="K288" i="2"/>
  <c r="J288" i="2"/>
  <c r="I288" i="2"/>
  <c r="H288" i="2"/>
  <c r="G288" i="2"/>
  <c r="F288" i="2"/>
  <c r="D287" i="2"/>
  <c r="E286" i="2"/>
  <c r="P285" i="2"/>
  <c r="O285" i="2"/>
  <c r="N285" i="2"/>
  <c r="L285" i="2"/>
  <c r="K285" i="2"/>
  <c r="J285" i="2"/>
  <c r="I285" i="2"/>
  <c r="H285" i="2"/>
  <c r="G285" i="2"/>
  <c r="F285" i="2"/>
  <c r="E283" i="2"/>
  <c r="D281" i="2" s="1"/>
  <c r="P281" i="2"/>
  <c r="P276" i="2" s="1"/>
  <c r="O281" i="2"/>
  <c r="O276" i="2" s="1"/>
  <c r="N281" i="2"/>
  <c r="N276" i="2" s="1"/>
  <c r="L281" i="2"/>
  <c r="L276" i="2" s="1"/>
  <c r="K281" i="2"/>
  <c r="K276" i="2" s="1"/>
  <c r="J281" i="2"/>
  <c r="J276" i="2" s="1"/>
  <c r="I281" i="2"/>
  <c r="H281" i="2"/>
  <c r="G281" i="2"/>
  <c r="G276" i="2" s="1"/>
  <c r="F281" i="2"/>
  <c r="F276" i="2" s="1"/>
  <c r="I279" i="2"/>
  <c r="I277" i="2" s="1"/>
  <c r="H279" i="2"/>
  <c r="L94" i="2"/>
  <c r="E94" i="2"/>
  <c r="D93" i="2"/>
  <c r="P92" i="2"/>
  <c r="O92" i="2"/>
  <c r="N92" i="2"/>
  <c r="L92" i="2"/>
  <c r="K92" i="2"/>
  <c r="J92" i="2"/>
  <c r="I92" i="2"/>
  <c r="H92" i="2"/>
  <c r="G92" i="2"/>
  <c r="F92" i="2"/>
  <c r="L90" i="2"/>
  <c r="P89" i="2"/>
  <c r="O89" i="2"/>
  <c r="N89" i="2"/>
  <c r="K89" i="2"/>
  <c r="K88" i="2" s="1"/>
  <c r="J89" i="2"/>
  <c r="I89" i="2"/>
  <c r="H89" i="2"/>
  <c r="G89" i="2"/>
  <c r="G88" i="2" s="1"/>
  <c r="F89" i="2"/>
  <c r="E89" i="2"/>
  <c r="K87" i="2"/>
  <c r="U85" i="2"/>
  <c r="D86" i="2"/>
  <c r="P85" i="2"/>
  <c r="O85" i="2"/>
  <c r="N85" i="2"/>
  <c r="L85" i="2"/>
  <c r="J85" i="2"/>
  <c r="I85" i="2"/>
  <c r="H85" i="2"/>
  <c r="G85" i="2"/>
  <c r="F85" i="2"/>
  <c r="E85" i="2"/>
  <c r="K83" i="2"/>
  <c r="K40" i="2" s="1"/>
  <c r="K18" i="2" s="1"/>
  <c r="H23" i="1" s="1"/>
  <c r="H127" i="1" s="1"/>
  <c r="H188" i="1" s="1"/>
  <c r="L82" i="2"/>
  <c r="K82" i="2"/>
  <c r="P81" i="2"/>
  <c r="O81" i="2"/>
  <c r="L81" i="2"/>
  <c r="L80" i="2" s="1"/>
  <c r="J81" i="2"/>
  <c r="J80" i="2" s="1"/>
  <c r="I81" i="2"/>
  <c r="I80" i="2" s="1"/>
  <c r="H81" i="2"/>
  <c r="H80" i="2" s="1"/>
  <c r="G81" i="2"/>
  <c r="G80" i="2" s="1"/>
  <c r="F81" i="2"/>
  <c r="F80" i="2" s="1"/>
  <c r="E81" i="2"/>
  <c r="E80" i="2" s="1"/>
  <c r="L78" i="2"/>
  <c r="L76" i="2" s="1"/>
  <c r="E78" i="2"/>
  <c r="P76" i="2"/>
  <c r="O76" i="2"/>
  <c r="N76" i="2"/>
  <c r="K76" i="2"/>
  <c r="J76" i="2"/>
  <c r="I76" i="2"/>
  <c r="H76" i="2"/>
  <c r="G76" i="2"/>
  <c r="F76" i="2"/>
  <c r="L75" i="2"/>
  <c r="P74" i="2"/>
  <c r="O74" i="2"/>
  <c r="N74" i="2"/>
  <c r="K74" i="2"/>
  <c r="K73" i="2" s="1"/>
  <c r="J74" i="2"/>
  <c r="J73" i="2" s="1"/>
  <c r="I74" i="2"/>
  <c r="I73" i="2" s="1"/>
  <c r="H74" i="2"/>
  <c r="H73" i="2" s="1"/>
  <c r="G74" i="2"/>
  <c r="G73" i="2" s="1"/>
  <c r="F74" i="2"/>
  <c r="F73" i="2" s="1"/>
  <c r="E74" i="2"/>
  <c r="J70" i="2"/>
  <c r="E72" i="2"/>
  <c r="M72" i="2" s="1"/>
  <c r="U71" i="2"/>
  <c r="E71" i="2"/>
  <c r="D71" i="2" s="1"/>
  <c r="P70" i="2"/>
  <c r="O70" i="2"/>
  <c r="N70" i="2"/>
  <c r="L70" i="2"/>
  <c r="K70" i="2"/>
  <c r="I70" i="2"/>
  <c r="H70" i="2"/>
  <c r="G70" i="2"/>
  <c r="F70" i="2"/>
  <c r="E70" i="2"/>
  <c r="U69" i="2"/>
  <c r="E69" i="2"/>
  <c r="N68" i="2"/>
  <c r="L68" i="2"/>
  <c r="M68" i="2" s="1"/>
  <c r="P67" i="2"/>
  <c r="O67" i="2"/>
  <c r="O66" i="2" s="1"/>
  <c r="K67" i="2"/>
  <c r="K66" i="2" s="1"/>
  <c r="J67" i="2"/>
  <c r="I67" i="2"/>
  <c r="H67" i="2"/>
  <c r="G67" i="2"/>
  <c r="F67" i="2"/>
  <c r="P66" i="2"/>
  <c r="E265" i="2"/>
  <c r="E263" i="2" s="1"/>
  <c r="E259" i="2" s="1"/>
  <c r="D264" i="2"/>
  <c r="P263" i="2"/>
  <c r="O263" i="2"/>
  <c r="N263" i="2"/>
  <c r="D262" i="2"/>
  <c r="D261" i="2"/>
  <c r="P260" i="2"/>
  <c r="O260" i="2"/>
  <c r="N260" i="2"/>
  <c r="E258" i="2"/>
  <c r="E257" i="2" s="1"/>
  <c r="E255" i="2"/>
  <c r="E253" i="2" s="1"/>
  <c r="P253" i="2"/>
  <c r="O253" i="2"/>
  <c r="N253" i="2"/>
  <c r="L253" i="2"/>
  <c r="K253" i="2"/>
  <c r="J253" i="2"/>
  <c r="I253" i="2"/>
  <c r="H253" i="2"/>
  <c r="G253" i="2"/>
  <c r="F253" i="2"/>
  <c r="L64" i="2"/>
  <c r="E64" i="2"/>
  <c r="D63" i="2"/>
  <c r="P62" i="2"/>
  <c r="O62" i="2"/>
  <c r="N62" i="2"/>
  <c r="L62" i="2"/>
  <c r="K62" i="2"/>
  <c r="J62" i="2"/>
  <c r="I62" i="2"/>
  <c r="H62" i="2"/>
  <c r="G62" i="2"/>
  <c r="F62" i="2"/>
  <c r="L61" i="2"/>
  <c r="M61" i="2" s="1"/>
  <c r="P60" i="2"/>
  <c r="O60" i="2"/>
  <c r="N60" i="2"/>
  <c r="L60" i="2"/>
  <c r="K60" i="2"/>
  <c r="J60" i="2"/>
  <c r="I60" i="2"/>
  <c r="H60" i="2"/>
  <c r="G60" i="2"/>
  <c r="F60" i="2"/>
  <c r="E60" i="2"/>
  <c r="I58" i="2"/>
  <c r="I56" i="2" s="1"/>
  <c r="H58" i="2"/>
  <c r="G58" i="2"/>
  <c r="G56" i="2" s="1"/>
  <c r="U57" i="2"/>
  <c r="U56" i="2" s="1"/>
  <c r="E57" i="2"/>
  <c r="D57" i="2" s="1"/>
  <c r="P56" i="2"/>
  <c r="O56" i="2"/>
  <c r="N56" i="2"/>
  <c r="L56" i="2"/>
  <c r="K56" i="2"/>
  <c r="J56" i="2"/>
  <c r="F56" i="2"/>
  <c r="I55" i="2"/>
  <c r="I53" i="2" s="1"/>
  <c r="H55" i="2"/>
  <c r="G55" i="2"/>
  <c r="G53" i="2" s="1"/>
  <c r="N54" i="2"/>
  <c r="L54" i="2"/>
  <c r="M54" i="2" s="1"/>
  <c r="P53" i="2"/>
  <c r="O53" i="2"/>
  <c r="K53" i="2"/>
  <c r="J53" i="2"/>
  <c r="H53" i="2"/>
  <c r="F53" i="2"/>
  <c r="R50" i="2"/>
  <c r="Q50" i="2"/>
  <c r="P50" i="2"/>
  <c r="H50" i="2"/>
  <c r="G50" i="2"/>
  <c r="F50" i="2"/>
  <c r="R49" i="2"/>
  <c r="R31" i="2" s="1"/>
  <c r="Q49" i="2"/>
  <c r="Q31" i="2" s="1"/>
  <c r="P49" i="2"/>
  <c r="P31" i="2" s="1"/>
  <c r="M40" i="1" s="1"/>
  <c r="O49" i="2"/>
  <c r="O31" i="2" s="1"/>
  <c r="L40" i="1" s="1"/>
  <c r="N49" i="2"/>
  <c r="N31" i="2" s="1"/>
  <c r="K40" i="1" s="1"/>
  <c r="L49" i="2"/>
  <c r="L31" i="2" s="1"/>
  <c r="I40" i="1" s="1"/>
  <c r="K49" i="2"/>
  <c r="K31" i="2" s="1"/>
  <c r="H40" i="1" s="1"/>
  <c r="J49" i="2"/>
  <c r="I49" i="2"/>
  <c r="I31" i="2" s="1"/>
  <c r="F40" i="1" s="1"/>
  <c r="H49" i="2"/>
  <c r="G49" i="2"/>
  <c r="G48" i="2" s="1"/>
  <c r="F49" i="2"/>
  <c r="F31" i="2" s="1"/>
  <c r="C40" i="1" s="1"/>
  <c r="R47" i="2"/>
  <c r="R29" i="2" s="1"/>
  <c r="O38" i="1" s="1"/>
  <c r="O142" i="1" s="1"/>
  <c r="O204" i="1" s="1"/>
  <c r="Q47" i="2"/>
  <c r="Q29" i="2" s="1"/>
  <c r="N38" i="1" s="1"/>
  <c r="N142" i="1" s="1"/>
  <c r="N204" i="1" s="1"/>
  <c r="P47" i="2"/>
  <c r="P29" i="2" s="1"/>
  <c r="M38" i="1" s="1"/>
  <c r="M142" i="1" s="1"/>
  <c r="M204" i="1" s="1"/>
  <c r="O47" i="2"/>
  <c r="O29" i="2" s="1"/>
  <c r="L38" i="1" s="1"/>
  <c r="L142" i="1" s="1"/>
  <c r="L204" i="1" s="1"/>
  <c r="N47" i="2"/>
  <c r="N29" i="2" s="1"/>
  <c r="K38" i="1" s="1"/>
  <c r="K47" i="2"/>
  <c r="K29" i="2" s="1"/>
  <c r="H38" i="1" s="1"/>
  <c r="H142" i="1" s="1"/>
  <c r="H204" i="1" s="1"/>
  <c r="J47" i="2"/>
  <c r="J29" i="2" s="1"/>
  <c r="G38" i="1" s="1"/>
  <c r="G142" i="1" s="1"/>
  <c r="G204" i="1" s="1"/>
  <c r="I47" i="2"/>
  <c r="I29" i="2" s="1"/>
  <c r="F38" i="1" s="1"/>
  <c r="F142" i="1" s="1"/>
  <c r="F204" i="1" s="1"/>
  <c r="H47" i="2"/>
  <c r="H29" i="2" s="1"/>
  <c r="E38" i="1" s="1"/>
  <c r="E142" i="1" s="1"/>
  <c r="E204" i="1" s="1"/>
  <c r="G47" i="2"/>
  <c r="G29" i="2" s="1"/>
  <c r="D38" i="1" s="1"/>
  <c r="D142" i="1" s="1"/>
  <c r="D204" i="1" s="1"/>
  <c r="F47" i="2"/>
  <c r="F29" i="2" s="1"/>
  <c r="C38" i="1" s="1"/>
  <c r="C142" i="1" s="1"/>
  <c r="C204" i="1" s="1"/>
  <c r="R46" i="2"/>
  <c r="R28" i="2" s="1"/>
  <c r="O37" i="1" s="1"/>
  <c r="O141" i="1" s="1"/>
  <c r="O203" i="1" s="1"/>
  <c r="Q46" i="2"/>
  <c r="Q28" i="2" s="1"/>
  <c r="N37" i="1" s="1"/>
  <c r="N141" i="1" s="1"/>
  <c r="N203" i="1" s="1"/>
  <c r="P46" i="2"/>
  <c r="P28" i="2" s="1"/>
  <c r="M37" i="1" s="1"/>
  <c r="O46" i="2"/>
  <c r="O28" i="2" s="1"/>
  <c r="L37" i="1" s="1"/>
  <c r="K46" i="2"/>
  <c r="K28" i="2" s="1"/>
  <c r="H37" i="1" s="1"/>
  <c r="I46" i="2"/>
  <c r="I28" i="2" s="1"/>
  <c r="F37" i="1" s="1"/>
  <c r="H46" i="2"/>
  <c r="H28" i="2" s="1"/>
  <c r="E37" i="1" s="1"/>
  <c r="G46" i="2"/>
  <c r="G28" i="2" s="1"/>
  <c r="D37" i="1" s="1"/>
  <c r="F46" i="2"/>
  <c r="F28" i="2" s="1"/>
  <c r="C37" i="1" s="1"/>
  <c r="R45" i="2"/>
  <c r="R26" i="2" s="1"/>
  <c r="O35" i="1" s="1"/>
  <c r="Q45" i="2"/>
  <c r="Q26" i="2" s="1"/>
  <c r="N35" i="1" s="1"/>
  <c r="P45" i="2"/>
  <c r="P26" i="2" s="1"/>
  <c r="M35" i="1" s="1"/>
  <c r="O45" i="2"/>
  <c r="O26" i="2" s="1"/>
  <c r="L35" i="1" s="1"/>
  <c r="N45" i="2"/>
  <c r="N26" i="2" s="1"/>
  <c r="K35" i="1" s="1"/>
  <c r="K45" i="2"/>
  <c r="K26" i="2" s="1"/>
  <c r="H35" i="1" s="1"/>
  <c r="J45" i="2"/>
  <c r="J26" i="2" s="1"/>
  <c r="G35" i="1" s="1"/>
  <c r="H45" i="2"/>
  <c r="H26" i="2" s="1"/>
  <c r="E35" i="1" s="1"/>
  <c r="G45" i="2"/>
  <c r="G26" i="2" s="1"/>
  <c r="D35" i="1" s="1"/>
  <c r="F45" i="2"/>
  <c r="F26" i="2" s="1"/>
  <c r="C35" i="1" s="1"/>
  <c r="R42" i="2"/>
  <c r="R41" i="2" s="1"/>
  <c r="Q42" i="2"/>
  <c r="Q41" i="2" s="1"/>
  <c r="P42" i="2"/>
  <c r="P41" i="2" s="1"/>
  <c r="O42" i="2"/>
  <c r="O41" i="2" s="1"/>
  <c r="F42" i="2"/>
  <c r="F41" i="2" s="1"/>
  <c r="R40" i="2"/>
  <c r="R18" i="2" s="1"/>
  <c r="O23" i="1" s="1"/>
  <c r="Q40" i="2"/>
  <c r="Q18" i="2" s="1"/>
  <c r="N23" i="1" s="1"/>
  <c r="P40" i="2"/>
  <c r="P18" i="2" s="1"/>
  <c r="M23" i="1" s="1"/>
  <c r="O40" i="2"/>
  <c r="O18" i="2" s="1"/>
  <c r="L23" i="1" s="1"/>
  <c r="L127" i="1" s="1"/>
  <c r="N40" i="2"/>
  <c r="N18" i="2" s="1"/>
  <c r="K23" i="1" s="1"/>
  <c r="L40" i="2"/>
  <c r="L18" i="2" s="1"/>
  <c r="I23" i="1" s="1"/>
  <c r="I127" i="1" s="1"/>
  <c r="I188" i="1" s="1"/>
  <c r="G40" i="2"/>
  <c r="G18" i="2" s="1"/>
  <c r="D23" i="1" s="1"/>
  <c r="D127" i="1" s="1"/>
  <c r="D188" i="1" s="1"/>
  <c r="F40" i="2"/>
  <c r="F18" i="2" s="1"/>
  <c r="C23" i="1" s="1"/>
  <c r="C127" i="1" s="1"/>
  <c r="C188" i="1" s="1"/>
  <c r="R39" i="2"/>
  <c r="R16" i="2" s="1"/>
  <c r="O21" i="1" s="1"/>
  <c r="Q39" i="2"/>
  <c r="P39" i="2"/>
  <c r="P16" i="2" s="1"/>
  <c r="M21" i="1" s="1"/>
  <c r="O39" i="2"/>
  <c r="O16" i="2" s="1"/>
  <c r="L21" i="1" s="1"/>
  <c r="N39" i="2"/>
  <c r="N16" i="2" s="1"/>
  <c r="K21" i="1" s="1"/>
  <c r="L39" i="2"/>
  <c r="L16" i="2" s="1"/>
  <c r="I21" i="1" s="1"/>
  <c r="J39" i="2"/>
  <c r="J16" i="2" s="1"/>
  <c r="G21" i="1" s="1"/>
  <c r="I39" i="2"/>
  <c r="I16" i="2" s="1"/>
  <c r="F21" i="1" s="1"/>
  <c r="H39" i="2"/>
  <c r="H16" i="2" s="1"/>
  <c r="E21" i="1" s="1"/>
  <c r="G39" i="2"/>
  <c r="G16" i="2" s="1"/>
  <c r="D21" i="1" s="1"/>
  <c r="F39" i="2"/>
  <c r="F16" i="2" s="1"/>
  <c r="C21" i="1" s="1"/>
  <c r="R38" i="2"/>
  <c r="Q38" i="2"/>
  <c r="P38" i="2"/>
  <c r="F38" i="2"/>
  <c r="R32" i="2"/>
  <c r="O43" i="1" s="1"/>
  <c r="O143" i="1" s="1"/>
  <c r="O205" i="1" s="1"/>
  <c r="K32" i="2"/>
  <c r="J32" i="2"/>
  <c r="G43" i="1" s="1"/>
  <c r="G143" i="1" s="1"/>
  <c r="G205" i="1" s="1"/>
  <c r="I32" i="2"/>
  <c r="F43" i="1" s="1"/>
  <c r="F143" i="1" s="1"/>
  <c r="F205" i="1" s="1"/>
  <c r="H32" i="2"/>
  <c r="E43" i="1" s="1"/>
  <c r="E143" i="1" s="1"/>
  <c r="E205" i="1" s="1"/>
  <c r="G32" i="2"/>
  <c r="D43" i="1" s="1"/>
  <c r="D143" i="1" s="1"/>
  <c r="D205" i="1" s="1"/>
  <c r="F32" i="2"/>
  <c r="C43" i="1" s="1"/>
  <c r="C143" i="1" s="1"/>
  <c r="C205" i="1" s="1"/>
  <c r="K27" i="2"/>
  <c r="H36" i="1" s="1"/>
  <c r="Q22" i="2"/>
  <c r="N26" i="1" s="1"/>
  <c r="N129" i="1" s="1"/>
  <c r="N191" i="1" s="1"/>
  <c r="R20" i="2"/>
  <c r="L20" i="2"/>
  <c r="K20" i="2"/>
  <c r="H27" i="1" s="1"/>
  <c r="H126" i="1" s="1"/>
  <c r="H187" i="1" s="1"/>
  <c r="H20" i="2"/>
  <c r="E27" i="1" s="1"/>
  <c r="E126" i="1" s="1"/>
  <c r="E187" i="1" s="1"/>
  <c r="G20" i="2"/>
  <c r="D27" i="1" s="1"/>
  <c r="D126" i="1" s="1"/>
  <c r="D187" i="1" s="1"/>
  <c r="F20" i="2"/>
  <c r="C27" i="1" s="1"/>
  <c r="C126" i="1" s="1"/>
  <c r="C187" i="1" s="1"/>
  <c r="K17" i="2"/>
  <c r="H22" i="1" s="1"/>
  <c r="R224" i="1"/>
  <c r="R178" i="1"/>
  <c r="N178" i="1"/>
  <c r="M178" i="1"/>
  <c r="L178" i="1"/>
  <c r="K178" i="1"/>
  <c r="I178" i="1"/>
  <c r="H178" i="1"/>
  <c r="G178" i="1"/>
  <c r="F178" i="1"/>
  <c r="E178" i="1"/>
  <c r="D178" i="1"/>
  <c r="C178" i="1"/>
  <c r="B178" i="1"/>
  <c r="R165" i="1"/>
  <c r="O165" i="1"/>
  <c r="N165" i="1"/>
  <c r="M165" i="1"/>
  <c r="L165" i="1"/>
  <c r="K165" i="1"/>
  <c r="I165" i="1"/>
  <c r="H165" i="1"/>
  <c r="G165" i="1"/>
  <c r="F165" i="1"/>
  <c r="E165" i="1"/>
  <c r="D165" i="1"/>
  <c r="C165" i="1"/>
  <c r="B165" i="1"/>
  <c r="S162" i="1"/>
  <c r="R162" i="1"/>
  <c r="O162" i="1"/>
  <c r="N162" i="1"/>
  <c r="M162" i="1"/>
  <c r="L162" i="1"/>
  <c r="K162" i="1"/>
  <c r="I162" i="1"/>
  <c r="H162" i="1"/>
  <c r="G162" i="1"/>
  <c r="F162" i="1"/>
  <c r="E162" i="1"/>
  <c r="D162" i="1"/>
  <c r="C162" i="1"/>
  <c r="B162" i="1"/>
  <c r="S150" i="1"/>
  <c r="R150" i="1"/>
  <c r="O150" i="1"/>
  <c r="N150" i="1"/>
  <c r="M150" i="1"/>
  <c r="L150" i="1"/>
  <c r="K150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O100" i="1"/>
  <c r="H100" i="1"/>
  <c r="G100" i="1"/>
  <c r="F100" i="1"/>
  <c r="E100" i="1"/>
  <c r="B100" i="1"/>
  <c r="O81" i="1"/>
  <c r="N81" i="1"/>
  <c r="M81" i="1"/>
  <c r="G81" i="1"/>
  <c r="E81" i="1"/>
  <c r="E80" i="1" s="1"/>
  <c r="C81" i="1"/>
  <c r="C80" i="1" s="1"/>
  <c r="O80" i="1"/>
  <c r="N80" i="1"/>
  <c r="M80" i="1"/>
  <c r="G80" i="1"/>
  <c r="O79" i="1"/>
  <c r="N79" i="1"/>
  <c r="M79" i="1"/>
  <c r="L79" i="1"/>
  <c r="K79" i="1"/>
  <c r="I79" i="1"/>
  <c r="H79" i="1"/>
  <c r="G79" i="1"/>
  <c r="F79" i="1"/>
  <c r="E79" i="1"/>
  <c r="D79" i="1"/>
  <c r="C79" i="1"/>
  <c r="B79" i="1"/>
  <c r="O138" i="1"/>
  <c r="O200" i="1" s="1"/>
  <c r="H78" i="1"/>
  <c r="H138" i="1" s="1"/>
  <c r="H200" i="1" s="1"/>
  <c r="G78" i="1"/>
  <c r="G138" i="1" s="1"/>
  <c r="G200" i="1" s="1"/>
  <c r="F78" i="1"/>
  <c r="F138" i="1" s="1"/>
  <c r="F200" i="1" s="1"/>
  <c r="E78" i="1"/>
  <c r="E138" i="1" s="1"/>
  <c r="E200" i="1" s="1"/>
  <c r="D78" i="1"/>
  <c r="D138" i="1" s="1"/>
  <c r="D200" i="1" s="1"/>
  <c r="C78" i="1"/>
  <c r="C138" i="1" s="1"/>
  <c r="C200" i="1" s="1"/>
  <c r="B78" i="1"/>
  <c r="B138" i="1" s="1"/>
  <c r="H77" i="1"/>
  <c r="G77" i="1"/>
  <c r="F77" i="1"/>
  <c r="E77" i="1"/>
  <c r="D77" i="1"/>
  <c r="C77" i="1"/>
  <c r="B77" i="1"/>
  <c r="G76" i="1"/>
  <c r="H75" i="1"/>
  <c r="F75" i="1"/>
  <c r="D75" i="1"/>
  <c r="B75" i="1"/>
  <c r="O71" i="1"/>
  <c r="N71" i="1"/>
  <c r="H72" i="1"/>
  <c r="H71" i="1" s="1"/>
  <c r="G72" i="1"/>
  <c r="F72" i="1"/>
  <c r="F71" i="1" s="1"/>
  <c r="E72" i="1"/>
  <c r="E71" i="1" s="1"/>
  <c r="D72" i="1"/>
  <c r="D71" i="1" s="1"/>
  <c r="C72" i="1"/>
  <c r="C71" i="1" s="1"/>
  <c r="S71" i="1"/>
  <c r="G71" i="1"/>
  <c r="L70" i="1"/>
  <c r="K70" i="1"/>
  <c r="I70" i="1"/>
  <c r="H70" i="1"/>
  <c r="G70" i="1"/>
  <c r="F70" i="1"/>
  <c r="E70" i="1"/>
  <c r="D70" i="1"/>
  <c r="C70" i="1"/>
  <c r="B70" i="1"/>
  <c r="K69" i="1"/>
  <c r="H69" i="1"/>
  <c r="G69" i="1"/>
  <c r="F69" i="1"/>
  <c r="E69" i="1"/>
  <c r="D69" i="1"/>
  <c r="C69" i="1"/>
  <c r="B69" i="1"/>
  <c r="M68" i="1"/>
  <c r="K68" i="1"/>
  <c r="I68" i="1"/>
  <c r="H68" i="1"/>
  <c r="G68" i="1"/>
  <c r="F68" i="1"/>
  <c r="E68" i="1"/>
  <c r="D68" i="1"/>
  <c r="C68" i="1"/>
  <c r="B68" i="1"/>
  <c r="M66" i="1"/>
  <c r="F66" i="1"/>
  <c r="F121" i="1" s="1"/>
  <c r="F183" i="1" s="1"/>
  <c r="M65" i="1"/>
  <c r="L65" i="1"/>
  <c r="K65" i="1"/>
  <c r="I65" i="1"/>
  <c r="H65" i="1"/>
  <c r="G65" i="1"/>
  <c r="E65" i="1"/>
  <c r="C65" i="1"/>
  <c r="I64" i="1"/>
  <c r="H64" i="1"/>
  <c r="G64" i="1"/>
  <c r="F64" i="1"/>
  <c r="E64" i="1"/>
  <c r="D64" i="1"/>
  <c r="C64" i="1"/>
  <c r="B64" i="1"/>
  <c r="O63" i="1"/>
  <c r="E63" i="1"/>
  <c r="C63" i="1"/>
  <c r="O42" i="1"/>
  <c r="O140" i="1" s="1"/>
  <c r="O202" i="1" s="1"/>
  <c r="N42" i="1"/>
  <c r="N140" i="1" s="1"/>
  <c r="N202" i="1" s="1"/>
  <c r="L42" i="1"/>
  <c r="L140" i="1" s="1"/>
  <c r="L202" i="1" s="1"/>
  <c r="K42" i="1"/>
  <c r="K140" i="1" s="1"/>
  <c r="K202" i="1" s="1"/>
  <c r="I42" i="1"/>
  <c r="I140" i="1" s="1"/>
  <c r="I202" i="1" s="1"/>
  <c r="H42" i="1"/>
  <c r="H140" i="1" s="1"/>
  <c r="H202" i="1" s="1"/>
  <c r="E42" i="1"/>
  <c r="E140" i="1" s="1"/>
  <c r="E202" i="1" s="1"/>
  <c r="D42" i="1"/>
  <c r="D140" i="1" s="1"/>
  <c r="D202" i="1" s="1"/>
  <c r="C42" i="1"/>
  <c r="C140" i="1" s="1"/>
  <c r="C202" i="1" s="1"/>
  <c r="B42" i="1"/>
  <c r="B140" i="1" s="1"/>
  <c r="H41" i="1"/>
  <c r="H144" i="1" s="1"/>
  <c r="H206" i="1" s="1"/>
  <c r="C36" i="1"/>
  <c r="O34" i="1"/>
  <c r="N34" i="1"/>
  <c r="M34" i="1"/>
  <c r="H34" i="1"/>
  <c r="F34" i="1"/>
  <c r="E34" i="1"/>
  <c r="D34" i="1"/>
  <c r="C34" i="1"/>
  <c r="B34" i="1"/>
  <c r="O134" i="1"/>
  <c r="N33" i="1"/>
  <c r="N134" i="1" s="1"/>
  <c r="M33" i="1"/>
  <c r="M134" i="1" s="1"/>
  <c r="L33" i="1"/>
  <c r="K33" i="1"/>
  <c r="K134" i="1" s="1"/>
  <c r="I33" i="1"/>
  <c r="I134" i="1" s="1"/>
  <c r="H33" i="1"/>
  <c r="H134" i="1" s="1"/>
  <c r="G33" i="1"/>
  <c r="G134" i="1" s="1"/>
  <c r="F33" i="1"/>
  <c r="F134" i="1" s="1"/>
  <c r="E33" i="1"/>
  <c r="E134" i="1" s="1"/>
  <c r="D33" i="1"/>
  <c r="D134" i="1" s="1"/>
  <c r="C33" i="1"/>
  <c r="C134" i="1" s="1"/>
  <c r="B33" i="1"/>
  <c r="B134" i="1" s="1"/>
  <c r="C32" i="1"/>
  <c r="O190" i="1"/>
  <c r="I28" i="1"/>
  <c r="I128" i="1" s="1"/>
  <c r="I190" i="1" s="1"/>
  <c r="H28" i="1"/>
  <c r="H128" i="1" s="1"/>
  <c r="H190" i="1" s="1"/>
  <c r="G28" i="1"/>
  <c r="G128" i="1" s="1"/>
  <c r="G190" i="1" s="1"/>
  <c r="E28" i="1"/>
  <c r="E128" i="1" s="1"/>
  <c r="E190" i="1" s="1"/>
  <c r="D28" i="1"/>
  <c r="D128" i="1" s="1"/>
  <c r="D190" i="1" s="1"/>
  <c r="C28" i="1"/>
  <c r="C128" i="1" s="1"/>
  <c r="C190" i="1" s="1"/>
  <c r="B28" i="1"/>
  <c r="B128" i="1" s="1"/>
  <c r="D26" i="1"/>
  <c r="D129" i="1" s="1"/>
  <c r="D191" i="1" s="1"/>
  <c r="E25" i="1"/>
  <c r="D25" i="1"/>
  <c r="C25" i="1"/>
  <c r="B25" i="1"/>
  <c r="O20" i="1"/>
  <c r="N20" i="1"/>
  <c r="M20" i="1"/>
  <c r="I20" i="1"/>
  <c r="G20" i="1"/>
  <c r="G123" i="1" s="1"/>
  <c r="G189" i="1" s="1"/>
  <c r="E20" i="1"/>
  <c r="D20" i="1"/>
  <c r="D123" i="1" s="1"/>
  <c r="D189" i="1" s="1"/>
  <c r="C20" i="1"/>
  <c r="M112" i="8" l="1"/>
  <c r="E127" i="8"/>
  <c r="E146" i="8"/>
  <c r="M50" i="8"/>
  <c r="Q85" i="8"/>
  <c r="Q82" i="8" s="1"/>
  <c r="G127" i="8"/>
  <c r="K114" i="8"/>
  <c r="L140" i="8"/>
  <c r="M51" i="8"/>
  <c r="E160" i="8"/>
  <c r="G30" i="8"/>
  <c r="L54" i="8"/>
  <c r="L99" i="8"/>
  <c r="D167" i="8"/>
  <c r="M39" i="8"/>
  <c r="M47" i="8"/>
  <c r="J49" i="8"/>
  <c r="O54" i="8"/>
  <c r="E69" i="8"/>
  <c r="G69" i="8"/>
  <c r="I69" i="8"/>
  <c r="U71" i="8"/>
  <c r="U70" i="8" s="1"/>
  <c r="M76" i="8"/>
  <c r="F82" i="8"/>
  <c r="H82" i="8"/>
  <c r="J82" i="8"/>
  <c r="U84" i="8"/>
  <c r="M86" i="8"/>
  <c r="O94" i="8"/>
  <c r="O16" i="8"/>
  <c r="L20" i="1" s="1"/>
  <c r="U95" i="8"/>
  <c r="U16" i="8" s="1"/>
  <c r="E99" i="8"/>
  <c r="O100" i="8"/>
  <c r="O26" i="8"/>
  <c r="H107" i="8"/>
  <c r="H106" i="8" s="1"/>
  <c r="I107" i="8"/>
  <c r="I106" i="8" s="1"/>
  <c r="Q140" i="8"/>
  <c r="Q10" i="8" s="1"/>
  <c r="P146" i="8"/>
  <c r="J173" i="8"/>
  <c r="D177" i="8"/>
  <c r="L25" i="1"/>
  <c r="S25" i="1" s="1"/>
  <c r="H10" i="8"/>
  <c r="O15" i="8"/>
  <c r="U38" i="8"/>
  <c r="U15" i="8" s="1"/>
  <c r="O20" i="8"/>
  <c r="U42" i="8"/>
  <c r="U20" i="8" s="1"/>
  <c r="M59" i="8"/>
  <c r="M58" i="8" s="1"/>
  <c r="M54" i="8" s="1"/>
  <c r="K58" i="8"/>
  <c r="O102" i="8"/>
  <c r="O31" i="8"/>
  <c r="O21" i="8"/>
  <c r="U112" i="8"/>
  <c r="U21" i="8" s="1"/>
  <c r="U122" i="8"/>
  <c r="U121" i="8" s="1"/>
  <c r="U14" i="8"/>
  <c r="M131" i="8"/>
  <c r="Q146" i="8"/>
  <c r="O185" i="8"/>
  <c r="O184" i="8" s="1"/>
  <c r="U189" i="8"/>
  <c r="L64" i="1"/>
  <c r="U190" i="8"/>
  <c r="G17" i="7"/>
  <c r="K33" i="7"/>
  <c r="K32" i="7" s="1"/>
  <c r="I44" i="7"/>
  <c r="E68" i="7"/>
  <c r="L74" i="7"/>
  <c r="M40" i="7"/>
  <c r="D40" i="7" s="1"/>
  <c r="D39" i="7" s="1"/>
  <c r="I23" i="7"/>
  <c r="M52" i="7"/>
  <c r="D52" i="7" s="1"/>
  <c r="D51" i="7" s="1"/>
  <c r="M54" i="7"/>
  <c r="O69" i="7"/>
  <c r="O68" i="7" s="1"/>
  <c r="D71" i="7"/>
  <c r="M37" i="7"/>
  <c r="M39" i="7"/>
  <c r="M49" i="7"/>
  <c r="D54" i="7"/>
  <c r="D53" i="7" s="1"/>
  <c r="M53" i="7"/>
  <c r="D76" i="7"/>
  <c r="D75" i="7" s="1"/>
  <c r="D78" i="7"/>
  <c r="M82" i="7"/>
  <c r="M84" i="7"/>
  <c r="K88" i="7"/>
  <c r="M89" i="7"/>
  <c r="M25" i="7"/>
  <c r="E13" i="7"/>
  <c r="M34" i="7"/>
  <c r="M35" i="7"/>
  <c r="E36" i="7"/>
  <c r="M42" i="7"/>
  <c r="M46" i="7"/>
  <c r="P50" i="7"/>
  <c r="R50" i="7"/>
  <c r="M57" i="7"/>
  <c r="M56" i="7" s="1"/>
  <c r="D58" i="7"/>
  <c r="D57" i="7" s="1"/>
  <c r="D56" i="7" s="1"/>
  <c r="M63" i="7"/>
  <c r="M62" i="7" s="1"/>
  <c r="D64" i="7"/>
  <c r="D63" i="7" s="1"/>
  <c r="D62" i="7" s="1"/>
  <c r="N16" i="7"/>
  <c r="N15" i="7" s="1"/>
  <c r="D73" i="7"/>
  <c r="M87" i="7"/>
  <c r="M79" i="6"/>
  <c r="M78" i="6" s="1"/>
  <c r="M77" i="6" s="1"/>
  <c r="N30" i="6"/>
  <c r="M104" i="6"/>
  <c r="O41" i="6"/>
  <c r="P36" i="6"/>
  <c r="P12" i="6" s="1"/>
  <c r="H41" i="6"/>
  <c r="J41" i="6"/>
  <c r="L41" i="6"/>
  <c r="U15" i="6"/>
  <c r="I36" i="6"/>
  <c r="K36" i="6"/>
  <c r="N36" i="6"/>
  <c r="H20" i="6"/>
  <c r="H19" i="6"/>
  <c r="G70" i="6"/>
  <c r="G69" i="6" s="1"/>
  <c r="G18" i="6"/>
  <c r="G17" i="6" s="1"/>
  <c r="G13" i="6" s="1"/>
  <c r="N25" i="6"/>
  <c r="P25" i="6"/>
  <c r="M27" i="6"/>
  <c r="F70" i="6"/>
  <c r="F69" i="6" s="1"/>
  <c r="F18" i="6"/>
  <c r="F17" i="6" s="1"/>
  <c r="F13" i="6" s="1"/>
  <c r="P88" i="6"/>
  <c r="P87" i="6" s="1"/>
  <c r="M125" i="6"/>
  <c r="C75" i="1"/>
  <c r="E75" i="1"/>
  <c r="G75" i="1"/>
  <c r="B81" i="1"/>
  <c r="B80" i="1" s="1"/>
  <c r="D81" i="1"/>
  <c r="D80" i="1" s="1"/>
  <c r="L81" i="1"/>
  <c r="L80" i="1" s="1"/>
  <c r="L75" i="1"/>
  <c r="W506" i="2"/>
  <c r="W473" i="2"/>
  <c r="W66" i="2"/>
  <c r="W449" i="2"/>
  <c r="W461" i="2"/>
  <c r="W510" i="2"/>
  <c r="F205" i="2"/>
  <c r="H205" i="2"/>
  <c r="J205" i="2"/>
  <c r="Q20" i="2"/>
  <c r="F14" i="2"/>
  <c r="E39" i="2"/>
  <c r="E16" i="2" s="1"/>
  <c r="B21" i="1" s="1"/>
  <c r="G205" i="2"/>
  <c r="I205" i="2"/>
  <c r="K205" i="2"/>
  <c r="P205" i="2"/>
  <c r="S146" i="1"/>
  <c r="I320" i="2"/>
  <c r="I319" i="2" s="1"/>
  <c r="N25" i="2"/>
  <c r="D354" i="2"/>
  <c r="F415" i="2"/>
  <c r="F414" i="2" s="1"/>
  <c r="H415" i="2"/>
  <c r="H414" i="2" s="1"/>
  <c r="J415" i="2"/>
  <c r="J414" i="2" s="1"/>
  <c r="G101" i="1" s="1"/>
  <c r="G99" i="1" s="1"/>
  <c r="L415" i="2"/>
  <c r="L414" i="2" s="1"/>
  <c r="L76" i="1"/>
  <c r="L136" i="1" s="1"/>
  <c r="L198" i="1" s="1"/>
  <c r="O415" i="2"/>
  <c r="Q415" i="2"/>
  <c r="Q414" i="2" s="1"/>
  <c r="N101" i="1" s="1"/>
  <c r="N99" i="1" s="1"/>
  <c r="K491" i="2"/>
  <c r="K490" i="2" s="1"/>
  <c r="K406" i="2" s="1"/>
  <c r="H58" i="1" s="1"/>
  <c r="J320" i="2"/>
  <c r="J319" i="2" s="1"/>
  <c r="M375" i="2"/>
  <c r="M373" i="2" s="1"/>
  <c r="L373" i="2"/>
  <c r="G415" i="2"/>
  <c r="G414" i="2" s="1"/>
  <c r="I415" i="2"/>
  <c r="I414" i="2" s="1"/>
  <c r="K415" i="2"/>
  <c r="K414" i="2" s="1"/>
  <c r="P415" i="2"/>
  <c r="P414" i="2" s="1"/>
  <c r="O76" i="1"/>
  <c r="O74" i="1" s="1"/>
  <c r="O73" i="1" s="1"/>
  <c r="R415" i="2"/>
  <c r="J491" i="2"/>
  <c r="J490" i="2" s="1"/>
  <c r="J406" i="2" s="1"/>
  <c r="E14" i="9"/>
  <c r="I14" i="9"/>
  <c r="I11" i="9" s="1"/>
  <c r="O69" i="9"/>
  <c r="O68" i="9" s="1"/>
  <c r="N13" i="9"/>
  <c r="N12" i="9" s="1"/>
  <c r="K116" i="9"/>
  <c r="E320" i="2"/>
  <c r="E319" i="2" s="1"/>
  <c r="C76" i="1"/>
  <c r="C74" i="1" s="1"/>
  <c r="C73" i="1" s="1"/>
  <c r="C84" i="1" s="1"/>
  <c r="P33" i="2"/>
  <c r="R33" i="2"/>
  <c r="O44" i="1" s="1"/>
  <c r="O145" i="1" s="1"/>
  <c r="O207" i="1" s="1"/>
  <c r="E410" i="2"/>
  <c r="P304" i="2"/>
  <c r="H116" i="2"/>
  <c r="G267" i="2"/>
  <c r="J267" i="2"/>
  <c r="L267" i="2"/>
  <c r="F267" i="2"/>
  <c r="H267" i="2"/>
  <c r="K267" i="2"/>
  <c r="I276" i="2"/>
  <c r="F284" i="2"/>
  <c r="H284" i="2"/>
  <c r="J284" i="2"/>
  <c r="L284" i="2"/>
  <c r="E279" i="2"/>
  <c r="E277" i="2" s="1"/>
  <c r="H277" i="2"/>
  <c r="H276" i="2" s="1"/>
  <c r="G284" i="2"/>
  <c r="I284" i="2"/>
  <c r="K284" i="2"/>
  <c r="P21" i="2"/>
  <c r="M29" i="1" s="1"/>
  <c r="M130" i="1" s="1"/>
  <c r="R30" i="8"/>
  <c r="P30" i="8"/>
  <c r="O140" i="8"/>
  <c r="L28" i="1"/>
  <c r="J20" i="2"/>
  <c r="G27" i="1" s="1"/>
  <c r="G126" i="1" s="1"/>
  <c r="G187" i="1" s="1"/>
  <c r="P32" i="2"/>
  <c r="M43" i="1" s="1"/>
  <c r="M143" i="1" s="1"/>
  <c r="M205" i="1" s="1"/>
  <c r="R14" i="2"/>
  <c r="O18" i="1" s="1"/>
  <c r="O120" i="1" s="1"/>
  <c r="O182" i="1" s="1"/>
  <c r="G33" i="2"/>
  <c r="H14" i="2"/>
  <c r="E76" i="1"/>
  <c r="I76" i="1"/>
  <c r="N76" i="1"/>
  <c r="N74" i="1" s="1"/>
  <c r="N73" i="1" s="1"/>
  <c r="N84" i="1" s="1"/>
  <c r="O32" i="2"/>
  <c r="L43" i="1" s="1"/>
  <c r="L143" i="1" s="1"/>
  <c r="L205" i="1" s="1"/>
  <c r="Q32" i="2"/>
  <c r="N43" i="1" s="1"/>
  <c r="N143" i="1" s="1"/>
  <c r="N205" i="1" s="1"/>
  <c r="G14" i="2"/>
  <c r="G13" i="2" s="1"/>
  <c r="O50" i="2"/>
  <c r="F137" i="1"/>
  <c r="F199" i="1" s="1"/>
  <c r="H137" i="1"/>
  <c r="H199" i="1" s="1"/>
  <c r="B137" i="1"/>
  <c r="B199" i="1" s="1"/>
  <c r="H40" i="2"/>
  <c r="H18" i="2" s="1"/>
  <c r="E23" i="1" s="1"/>
  <c r="E127" i="1" s="1"/>
  <c r="E188" i="1" s="1"/>
  <c r="D137" i="1"/>
  <c r="D199" i="1" s="1"/>
  <c r="C125" i="1"/>
  <c r="C186" i="1" s="1"/>
  <c r="E125" i="1"/>
  <c r="E186" i="1" s="1"/>
  <c r="D76" i="1"/>
  <c r="D74" i="1" s="1"/>
  <c r="D73" i="1" s="1"/>
  <c r="D84" i="1" s="1"/>
  <c r="F76" i="1"/>
  <c r="F136" i="1" s="1"/>
  <c r="F198" i="1" s="1"/>
  <c r="H76" i="1"/>
  <c r="H74" i="1" s="1"/>
  <c r="K76" i="1"/>
  <c r="K136" i="1" s="1"/>
  <c r="K198" i="1" s="1"/>
  <c r="M76" i="1"/>
  <c r="M74" i="1" s="1"/>
  <c r="M73" i="1" s="1"/>
  <c r="M84" i="1" s="1"/>
  <c r="O38" i="2"/>
  <c r="U38" i="2" s="1"/>
  <c r="Q14" i="2"/>
  <c r="I42" i="2"/>
  <c r="I41" i="2" s="1"/>
  <c r="L45" i="2"/>
  <c r="L26" i="2" s="1"/>
  <c r="I35" i="1" s="1"/>
  <c r="E47" i="2"/>
  <c r="E29" i="2" s="1"/>
  <c r="B38" i="1" s="1"/>
  <c r="B142" i="1" s="1"/>
  <c r="B204" i="1" s="1"/>
  <c r="K38" i="2"/>
  <c r="O259" i="2"/>
  <c r="F407" i="2"/>
  <c r="H407" i="2"/>
  <c r="I125" i="1"/>
  <c r="I186" i="1" s="1"/>
  <c r="G125" i="1"/>
  <c r="G186" i="1" s="1"/>
  <c r="R21" i="2"/>
  <c r="O29" i="1" s="1"/>
  <c r="K52" i="2"/>
  <c r="P52" i="2"/>
  <c r="L50" i="2"/>
  <c r="L48" i="2" s="1"/>
  <c r="G59" i="2"/>
  <c r="N158" i="2"/>
  <c r="G407" i="2"/>
  <c r="G405" i="2" s="1"/>
  <c r="Q407" i="2"/>
  <c r="N59" i="1" s="1"/>
  <c r="K410" i="2"/>
  <c r="K409" i="2" s="1"/>
  <c r="K408" i="2" s="1"/>
  <c r="F110" i="2"/>
  <c r="H110" i="2"/>
  <c r="J110" i="2"/>
  <c r="L110" i="2"/>
  <c r="I38" i="2"/>
  <c r="I158" i="2"/>
  <c r="J164" i="2"/>
  <c r="N165" i="2"/>
  <c r="N164" i="2" s="1"/>
  <c r="E122" i="1"/>
  <c r="E184" i="1" s="1"/>
  <c r="H125" i="1"/>
  <c r="H186" i="1" s="1"/>
  <c r="C122" i="1"/>
  <c r="C184" i="1" s="1"/>
  <c r="D125" i="1"/>
  <c r="D186" i="1" s="1"/>
  <c r="R407" i="2"/>
  <c r="O59" i="1" s="1"/>
  <c r="L442" i="2"/>
  <c r="L441" i="2" s="1"/>
  <c r="L410" i="2"/>
  <c r="N430" i="2"/>
  <c r="N429" i="2" s="1"/>
  <c r="N410" i="2"/>
  <c r="J462" i="2"/>
  <c r="J461" i="2" s="1"/>
  <c r="J407" i="2" s="1"/>
  <c r="J410" i="2"/>
  <c r="D66" i="1"/>
  <c r="D121" i="1" s="1"/>
  <c r="D183" i="1" s="1"/>
  <c r="J68" i="1"/>
  <c r="C66" i="1"/>
  <c r="C121" i="1" s="1"/>
  <c r="C183" i="1" s="1"/>
  <c r="E66" i="1"/>
  <c r="E121" i="1" s="1"/>
  <c r="E183" i="1" s="1"/>
  <c r="N66" i="1"/>
  <c r="N121" i="1" s="1"/>
  <c r="N183" i="1" s="1"/>
  <c r="I21" i="2"/>
  <c r="O120" i="9"/>
  <c r="D122" i="9"/>
  <c r="G27" i="5"/>
  <c r="K59" i="5"/>
  <c r="R13" i="5"/>
  <c r="F22" i="5"/>
  <c r="H22" i="5"/>
  <c r="J22" i="5"/>
  <c r="O22" i="5"/>
  <c r="Q22" i="5"/>
  <c r="F33" i="5"/>
  <c r="H33" i="5"/>
  <c r="J33" i="5"/>
  <c r="P33" i="5"/>
  <c r="L38" i="5"/>
  <c r="R59" i="5"/>
  <c r="F63" i="5"/>
  <c r="F62" i="5" s="1"/>
  <c r="P13" i="5"/>
  <c r="K13" i="5"/>
  <c r="I13" i="5"/>
  <c r="E25" i="5"/>
  <c r="K27" i="5"/>
  <c r="L34" i="5"/>
  <c r="L33" i="5" s="1"/>
  <c r="E36" i="5"/>
  <c r="S69" i="1"/>
  <c r="O70" i="5"/>
  <c r="O69" i="5" s="1"/>
  <c r="U15" i="5"/>
  <c r="L19" i="5"/>
  <c r="L18" i="5" s="1"/>
  <c r="E28" i="5"/>
  <c r="D28" i="5" s="1"/>
  <c r="I27" i="5"/>
  <c r="D35" i="5"/>
  <c r="M15" i="5"/>
  <c r="M14" i="5" s="1"/>
  <c r="M34" i="5"/>
  <c r="M37" i="5"/>
  <c r="F38" i="5"/>
  <c r="H38" i="5"/>
  <c r="J38" i="5"/>
  <c r="F59" i="5"/>
  <c r="F54" i="5"/>
  <c r="H59" i="5"/>
  <c r="H54" i="5"/>
  <c r="P59" i="5"/>
  <c r="Q63" i="5"/>
  <c r="J63" i="5"/>
  <c r="J62" i="5" s="1"/>
  <c r="R63" i="5"/>
  <c r="R62" i="5" s="1"/>
  <c r="O66" i="1"/>
  <c r="O121" i="1" s="1"/>
  <c r="O183" i="1" s="1"/>
  <c r="U65" i="5"/>
  <c r="P67" i="5"/>
  <c r="Q70" i="5"/>
  <c r="Q69" i="5" s="1"/>
  <c r="L85" i="5"/>
  <c r="L84" i="5" s="1"/>
  <c r="M86" i="5"/>
  <c r="M88" i="5"/>
  <c r="D89" i="5"/>
  <c r="L71" i="5"/>
  <c r="M92" i="5"/>
  <c r="M72" i="5"/>
  <c r="D93" i="5"/>
  <c r="D42" i="5"/>
  <c r="M19" i="5"/>
  <c r="M18" i="5" s="1"/>
  <c r="M41" i="5"/>
  <c r="M38" i="5" s="1"/>
  <c r="E59" i="5"/>
  <c r="E54" i="5"/>
  <c r="G59" i="5"/>
  <c r="G54" i="5"/>
  <c r="J59" i="5"/>
  <c r="J54" i="5"/>
  <c r="Q59" i="5"/>
  <c r="D87" i="5"/>
  <c r="M65" i="5"/>
  <c r="M61" i="5"/>
  <c r="D88" i="5"/>
  <c r="D95" i="5"/>
  <c r="M94" i="5"/>
  <c r="M74" i="5"/>
  <c r="D99" i="5"/>
  <c r="M98" i="5"/>
  <c r="G31" i="2"/>
  <c r="D40" i="1" s="1"/>
  <c r="D141" i="1" s="1"/>
  <c r="D203" i="1" s="1"/>
  <c r="N259" i="2"/>
  <c r="P259" i="2"/>
  <c r="O27" i="1"/>
  <c r="O126" i="1" s="1"/>
  <c r="O187" i="1" s="1"/>
  <c r="N27" i="1"/>
  <c r="N126" i="1" s="1"/>
  <c r="N187" i="1" s="1"/>
  <c r="B125" i="1"/>
  <c r="B186" i="1" s="1"/>
  <c r="F125" i="1"/>
  <c r="F186" i="1" s="1"/>
  <c r="I110" i="2"/>
  <c r="N110" i="2"/>
  <c r="P110" i="2"/>
  <c r="O21" i="2"/>
  <c r="O19" i="2" s="1"/>
  <c r="G42" i="2"/>
  <c r="L38" i="2"/>
  <c r="L37" i="2" s="1"/>
  <c r="K42" i="2"/>
  <c r="E45" i="2"/>
  <c r="E26" i="2" s="1"/>
  <c r="B35" i="1" s="1"/>
  <c r="N42" i="2"/>
  <c r="N41" i="2" s="1"/>
  <c r="D122" i="1"/>
  <c r="D184" i="1" s="1"/>
  <c r="F21" i="2"/>
  <c r="F19" i="2" s="1"/>
  <c r="Q21" i="2"/>
  <c r="N29" i="1" s="1"/>
  <c r="N130" i="1" s="1"/>
  <c r="H56" i="2"/>
  <c r="H42" i="2"/>
  <c r="J193" i="2"/>
  <c r="J50" i="2"/>
  <c r="J33" i="2" s="1"/>
  <c r="M372" i="2"/>
  <c r="M355" i="2" s="1"/>
  <c r="L355" i="2"/>
  <c r="L27" i="2" s="1"/>
  <c r="I36" i="1" s="1"/>
  <c r="I40" i="2"/>
  <c r="I18" i="2" s="1"/>
  <c r="F23" i="1" s="1"/>
  <c r="F127" i="1" s="1"/>
  <c r="F188" i="1" s="1"/>
  <c r="P388" i="2"/>
  <c r="P14" i="2"/>
  <c r="M18" i="1" s="1"/>
  <c r="P20" i="2"/>
  <c r="J38" i="2"/>
  <c r="J37" i="2" s="1"/>
  <c r="N46" i="2"/>
  <c r="N28" i="2" s="1"/>
  <c r="K37" i="1" s="1"/>
  <c r="K141" i="1" s="1"/>
  <c r="K203" i="1" s="1"/>
  <c r="L47" i="2"/>
  <c r="L29" i="2" s="1"/>
  <c r="I38" i="1" s="1"/>
  <c r="I142" i="1" s="1"/>
  <c r="I204" i="1" s="1"/>
  <c r="H48" i="2"/>
  <c r="H31" i="2"/>
  <c r="E40" i="1" s="1"/>
  <c r="E141" i="1" s="1"/>
  <c r="E203" i="1" s="1"/>
  <c r="J31" i="2"/>
  <c r="G40" i="1" s="1"/>
  <c r="G141" i="1" s="1"/>
  <c r="G203" i="1" s="1"/>
  <c r="F33" i="2"/>
  <c r="C44" i="1" s="1"/>
  <c r="C145" i="1" s="1"/>
  <c r="C207" i="1" s="1"/>
  <c r="H33" i="2"/>
  <c r="E44" i="1" s="1"/>
  <c r="E412" i="2"/>
  <c r="B67" i="1" s="1"/>
  <c r="B124" i="1" s="1"/>
  <c r="B185" i="1" s="1"/>
  <c r="N357" i="2"/>
  <c r="L63" i="1"/>
  <c r="Q44" i="2"/>
  <c r="Q33" i="2"/>
  <c r="N44" i="1" s="1"/>
  <c r="N145" i="1" s="1"/>
  <c r="N207" i="1" s="1"/>
  <c r="J52" i="2"/>
  <c r="O52" i="2"/>
  <c r="W52" i="2" s="1"/>
  <c r="O252" i="2"/>
  <c r="E46" i="2"/>
  <c r="E28" i="2" s="1"/>
  <c r="B37" i="1" s="1"/>
  <c r="C137" i="1"/>
  <c r="C199" i="1" s="1"/>
  <c r="E137" i="1"/>
  <c r="E199" i="1" s="1"/>
  <c r="G137" i="1"/>
  <c r="G199" i="1" s="1"/>
  <c r="N38" i="2"/>
  <c r="I128" i="2"/>
  <c r="I127" i="2" s="1"/>
  <c r="I50" i="2"/>
  <c r="I33" i="2" s="1"/>
  <c r="I30" i="2" s="1"/>
  <c r="J42" i="2"/>
  <c r="L42" i="2"/>
  <c r="F44" i="2"/>
  <c r="J44" i="2"/>
  <c r="O44" i="2"/>
  <c r="I48" i="2"/>
  <c r="P48" i="2"/>
  <c r="R48" i="2"/>
  <c r="F52" i="2"/>
  <c r="D54" i="2"/>
  <c r="G52" i="2"/>
  <c r="I52" i="2"/>
  <c r="F252" i="2"/>
  <c r="H252" i="2"/>
  <c r="J252" i="2"/>
  <c r="L252" i="2"/>
  <c r="D260" i="2"/>
  <c r="F66" i="2"/>
  <c r="H66" i="2"/>
  <c r="D68" i="2"/>
  <c r="F96" i="2"/>
  <c r="F298" i="2"/>
  <c r="H298" i="2"/>
  <c r="J298" i="2"/>
  <c r="L298" i="2"/>
  <c r="O298" i="2"/>
  <c r="P131" i="2"/>
  <c r="E346" i="2"/>
  <c r="E345" i="2" s="1"/>
  <c r="L412" i="2"/>
  <c r="I67" i="1" s="1"/>
  <c r="I124" i="1" s="1"/>
  <c r="I185" i="1" s="1"/>
  <c r="P122" i="2"/>
  <c r="G298" i="2"/>
  <c r="E103" i="2"/>
  <c r="G103" i="2"/>
  <c r="I103" i="2"/>
  <c r="K103" i="2"/>
  <c r="O103" i="2"/>
  <c r="O80" i="2"/>
  <c r="I298" i="2"/>
  <c r="K298" i="2"/>
  <c r="N298" i="2"/>
  <c r="F103" i="2"/>
  <c r="H103" i="2"/>
  <c r="J103" i="2"/>
  <c r="N103" i="2"/>
  <c r="P103" i="2"/>
  <c r="P173" i="2"/>
  <c r="E205" i="2"/>
  <c r="P298" i="2"/>
  <c r="E111" i="2"/>
  <c r="G137" i="2"/>
  <c r="K304" i="2"/>
  <c r="J173" i="2"/>
  <c r="C31" i="1"/>
  <c r="E31" i="1"/>
  <c r="R37" i="2"/>
  <c r="R36" i="2" s="1"/>
  <c r="O48" i="2"/>
  <c r="Q48" i="2"/>
  <c r="P59" i="2"/>
  <c r="P73" i="2"/>
  <c r="M118" i="2"/>
  <c r="M117" i="2" s="1"/>
  <c r="H122" i="2"/>
  <c r="N122" i="2"/>
  <c r="L292" i="2"/>
  <c r="P360" i="2"/>
  <c r="W360" i="2" s="1"/>
  <c r="F59" i="2"/>
  <c r="H59" i="2"/>
  <c r="J59" i="2"/>
  <c r="L59" i="2"/>
  <c r="O59" i="2"/>
  <c r="I59" i="2"/>
  <c r="K59" i="2"/>
  <c r="N59" i="2"/>
  <c r="E50" i="2"/>
  <c r="N73" i="2"/>
  <c r="O73" i="2"/>
  <c r="G96" i="2"/>
  <c r="K96" i="2"/>
  <c r="P96" i="2"/>
  <c r="J96" i="2"/>
  <c r="F131" i="2"/>
  <c r="H131" i="2"/>
  <c r="K131" i="2"/>
  <c r="N131" i="2"/>
  <c r="F360" i="2"/>
  <c r="H360" i="2"/>
  <c r="J360" i="2"/>
  <c r="L360" i="2"/>
  <c r="E360" i="2"/>
  <c r="G360" i="2"/>
  <c r="E368" i="2"/>
  <c r="G368" i="2"/>
  <c r="I368" i="2"/>
  <c r="K368" i="2"/>
  <c r="J378" i="2"/>
  <c r="J10" i="2" s="1"/>
  <c r="L378" i="2"/>
  <c r="L10" i="2" s="1"/>
  <c r="I349" i="2"/>
  <c r="P37" i="2"/>
  <c r="P36" i="2" s="1"/>
  <c r="G44" i="2"/>
  <c r="G43" i="2" s="1"/>
  <c r="I44" i="2"/>
  <c r="K44" i="2"/>
  <c r="N44" i="2"/>
  <c r="P44" i="2"/>
  <c r="R44" i="2"/>
  <c r="L46" i="2"/>
  <c r="H96" i="2"/>
  <c r="M133" i="2"/>
  <c r="D133" i="2" s="1"/>
  <c r="E132" i="2"/>
  <c r="E131" i="2" s="1"/>
  <c r="K140" i="2"/>
  <c r="K50" i="2"/>
  <c r="K33" i="2" s="1"/>
  <c r="K30" i="2" s="1"/>
  <c r="N355" i="2"/>
  <c r="N27" i="2" s="1"/>
  <c r="K36" i="1" s="1"/>
  <c r="K137" i="1" s="1"/>
  <c r="K199" i="1" s="1"/>
  <c r="E384" i="2"/>
  <c r="E383" i="2" s="1"/>
  <c r="E357" i="2"/>
  <c r="E356" i="2" s="1"/>
  <c r="D288" i="2"/>
  <c r="E288" i="2"/>
  <c r="E49" i="2"/>
  <c r="E31" i="2" s="1"/>
  <c r="B40" i="1" s="1"/>
  <c r="B141" i="1" s="1"/>
  <c r="N128" i="2"/>
  <c r="N127" i="2" s="1"/>
  <c r="N50" i="2"/>
  <c r="N33" i="2" s="1"/>
  <c r="K44" i="1" s="1"/>
  <c r="N350" i="2"/>
  <c r="E434" i="2"/>
  <c r="E433" i="2" s="1"/>
  <c r="E418" i="2"/>
  <c r="E415" i="2" s="1"/>
  <c r="L458" i="2"/>
  <c r="L457" i="2" s="1"/>
  <c r="G252" i="2"/>
  <c r="I252" i="2"/>
  <c r="K252" i="2"/>
  <c r="N252" i="2"/>
  <c r="P252" i="2"/>
  <c r="G66" i="2"/>
  <c r="I66" i="2"/>
  <c r="O284" i="2"/>
  <c r="O96" i="2"/>
  <c r="L96" i="2"/>
  <c r="F122" i="2"/>
  <c r="O122" i="2"/>
  <c r="E124" i="2"/>
  <c r="M124" i="2" s="1"/>
  <c r="M123" i="2" s="1"/>
  <c r="L122" i="2"/>
  <c r="F292" i="2"/>
  <c r="H292" i="2"/>
  <c r="J292" i="2"/>
  <c r="G131" i="2"/>
  <c r="I131" i="2"/>
  <c r="L131" i="2"/>
  <c r="O131" i="2"/>
  <c r="G304" i="2"/>
  <c r="I304" i="2"/>
  <c r="N226" i="2"/>
  <c r="P226" i="2"/>
  <c r="H325" i="2"/>
  <c r="G349" i="2"/>
  <c r="K349" i="2"/>
  <c r="P349" i="2"/>
  <c r="R349" i="2"/>
  <c r="O353" i="2"/>
  <c r="E281" i="2"/>
  <c r="E276" i="2" s="1"/>
  <c r="F211" i="2"/>
  <c r="I360" i="2"/>
  <c r="J242" i="2"/>
  <c r="K360" i="2"/>
  <c r="M382" i="2"/>
  <c r="M381" i="2" s="1"/>
  <c r="G37" i="2"/>
  <c r="H44" i="2"/>
  <c r="P88" i="2"/>
  <c r="E285" i="2"/>
  <c r="M102" i="2"/>
  <c r="M100" i="2" s="1"/>
  <c r="I226" i="2"/>
  <c r="F349" i="2"/>
  <c r="H349" i="2"/>
  <c r="J349" i="2"/>
  <c r="L349" i="2"/>
  <c r="O349" i="2"/>
  <c r="Q349" i="2"/>
  <c r="F353" i="2"/>
  <c r="J353" i="2"/>
  <c r="P356" i="2"/>
  <c r="R356" i="2"/>
  <c r="Q356" i="2"/>
  <c r="O325" i="2"/>
  <c r="P396" i="2"/>
  <c r="P10" i="2" s="1"/>
  <c r="P30" i="2"/>
  <c r="R41" i="1"/>
  <c r="E58" i="2"/>
  <c r="E56" i="2" s="1"/>
  <c r="L67" i="2"/>
  <c r="L66" i="2" s="1"/>
  <c r="M99" i="2"/>
  <c r="D99" i="2" s="1"/>
  <c r="M120" i="2"/>
  <c r="D120" i="2" s="1"/>
  <c r="D119" i="2" s="1"/>
  <c r="P143" i="2"/>
  <c r="E153" i="2"/>
  <c r="F158" i="2"/>
  <c r="H158" i="2"/>
  <c r="J158" i="2"/>
  <c r="L158" i="2"/>
  <c r="O158" i="2"/>
  <c r="O185" i="2"/>
  <c r="H185" i="2"/>
  <c r="F356" i="2"/>
  <c r="H356" i="2"/>
  <c r="J356" i="2"/>
  <c r="N356" i="2"/>
  <c r="L129" i="1"/>
  <c r="L191" i="1" s="1"/>
  <c r="S26" i="1"/>
  <c r="S129" i="1" s="1"/>
  <c r="I137" i="2"/>
  <c r="F304" i="2"/>
  <c r="H304" i="2"/>
  <c r="J304" i="2"/>
  <c r="J310" i="2"/>
  <c r="D313" i="2"/>
  <c r="D310" i="2" s="1"/>
  <c r="G143" i="2"/>
  <c r="E143" i="2"/>
  <c r="E161" i="2"/>
  <c r="F185" i="2"/>
  <c r="H190" i="2"/>
  <c r="J211" i="2"/>
  <c r="O226" i="2"/>
  <c r="L226" i="2"/>
  <c r="M431" i="2"/>
  <c r="D431" i="2" s="1"/>
  <c r="D430" i="2" s="1"/>
  <c r="D429" i="2" s="1"/>
  <c r="K129" i="1"/>
  <c r="K191" i="1" s="1"/>
  <c r="R26" i="1"/>
  <c r="R129" i="1" s="1"/>
  <c r="R191" i="1" s="1"/>
  <c r="M230" i="2"/>
  <c r="D230" i="2" s="1"/>
  <c r="D229" i="2" s="1"/>
  <c r="E229" i="2"/>
  <c r="I317" i="2"/>
  <c r="I326" i="2"/>
  <c r="K326" i="2"/>
  <c r="K325" i="2" s="1"/>
  <c r="N317" i="2"/>
  <c r="N316" i="2" s="1"/>
  <c r="L331" i="2"/>
  <c r="L330" i="2" s="1"/>
  <c r="M332" i="2"/>
  <c r="M323" i="2" s="1"/>
  <c r="I379" i="2"/>
  <c r="I346" i="2"/>
  <c r="O397" i="2"/>
  <c r="O396" i="2" s="1"/>
  <c r="O389" i="2"/>
  <c r="R414" i="2"/>
  <c r="O101" i="1" s="1"/>
  <c r="O99" i="1" s="1"/>
  <c r="K442" i="2"/>
  <c r="K441" i="2" s="1"/>
  <c r="K407" i="2" s="1"/>
  <c r="I450" i="2"/>
  <c r="I449" i="2" s="1"/>
  <c r="I407" i="2" s="1"/>
  <c r="I405" i="2" s="1"/>
  <c r="I409" i="2"/>
  <c r="I408" i="2" s="1"/>
  <c r="E217" i="2"/>
  <c r="G217" i="2"/>
  <c r="I217" i="2"/>
  <c r="K217" i="2"/>
  <c r="N217" i="2"/>
  <c r="P217" i="2"/>
  <c r="E317" i="2"/>
  <c r="E316" i="2" s="1"/>
  <c r="J326" i="2"/>
  <c r="J325" i="2" s="1"/>
  <c r="J317" i="2"/>
  <c r="L326" i="2"/>
  <c r="L317" i="2"/>
  <c r="H345" i="2"/>
  <c r="L345" i="2"/>
  <c r="Q345" i="2"/>
  <c r="E353" i="2"/>
  <c r="G353" i="2"/>
  <c r="I353" i="2"/>
  <c r="I352" i="2" s="1"/>
  <c r="K353" i="2"/>
  <c r="K352" i="2" s="1"/>
  <c r="N353" i="2"/>
  <c r="N352" i="2" s="1"/>
  <c r="P353" i="2"/>
  <c r="R353" i="2"/>
  <c r="H353" i="2"/>
  <c r="Q353" i="2"/>
  <c r="F368" i="2"/>
  <c r="H368" i="2"/>
  <c r="J368" i="2"/>
  <c r="D375" i="2"/>
  <c r="D373" i="2" s="1"/>
  <c r="Q396" i="2"/>
  <c r="Q10" i="2" s="1"/>
  <c r="Q9" i="2" s="1"/>
  <c r="D398" i="2"/>
  <c r="D397" i="2" s="1"/>
  <c r="R396" i="2"/>
  <c r="R10" i="2" s="1"/>
  <c r="R9" i="2" s="1"/>
  <c r="G409" i="2"/>
  <c r="G408" i="2" s="1"/>
  <c r="P409" i="2"/>
  <c r="P408" i="2" s="1"/>
  <c r="R409" i="2"/>
  <c r="R408" i="2" s="1"/>
  <c r="O414" i="2"/>
  <c r="L482" i="2"/>
  <c r="L481" i="2" s="1"/>
  <c r="I100" i="1" s="1"/>
  <c r="C18" i="1"/>
  <c r="E18" i="1"/>
  <c r="D44" i="1"/>
  <c r="Q37" i="2"/>
  <c r="Q36" i="2" s="1"/>
  <c r="F48" i="2"/>
  <c r="N31" i="1"/>
  <c r="F24" i="2"/>
  <c r="H24" i="2"/>
  <c r="J24" i="2"/>
  <c r="O24" i="2"/>
  <c r="Q24" i="2"/>
  <c r="C29" i="1"/>
  <c r="Q16" i="2"/>
  <c r="N21" i="1" s="1"/>
  <c r="N124" i="1" s="1"/>
  <c r="F37" i="2"/>
  <c r="F36" i="2" s="1"/>
  <c r="M64" i="2"/>
  <c r="M62" i="2" s="1"/>
  <c r="E252" i="2"/>
  <c r="O122" i="1"/>
  <c r="O184" i="1" s="1"/>
  <c r="N123" i="1"/>
  <c r="N189" i="1" s="1"/>
  <c r="M124" i="1"/>
  <c r="M185" i="1" s="1"/>
  <c r="O124" i="1"/>
  <c r="O185" i="1" s="1"/>
  <c r="O125" i="1"/>
  <c r="O186" i="1" s="1"/>
  <c r="K127" i="1"/>
  <c r="K188" i="1" s="1"/>
  <c r="M127" i="1"/>
  <c r="M188" i="1" s="1"/>
  <c r="O127" i="1"/>
  <c r="O188" i="1" s="1"/>
  <c r="N122" i="1"/>
  <c r="N184" i="1" s="1"/>
  <c r="M123" i="1"/>
  <c r="M189" i="1" s="1"/>
  <c r="O123" i="1"/>
  <c r="O189" i="1" s="1"/>
  <c r="N127" i="1"/>
  <c r="N188" i="1" s="1"/>
  <c r="K125" i="1"/>
  <c r="K186" i="1" s="1"/>
  <c r="M122" i="1"/>
  <c r="M184" i="1" s="1"/>
  <c r="S67" i="1"/>
  <c r="L124" i="1"/>
  <c r="L185" i="1" s="1"/>
  <c r="O96" i="1"/>
  <c r="S64" i="1"/>
  <c r="L125" i="1"/>
  <c r="L186" i="1" s="1"/>
  <c r="S70" i="1"/>
  <c r="L123" i="1"/>
  <c r="L189" i="1" s="1"/>
  <c r="Q40" i="9"/>
  <c r="J14" i="9"/>
  <c r="G14" i="9"/>
  <c r="M42" i="9"/>
  <c r="D99" i="9"/>
  <c r="K15" i="9"/>
  <c r="K14" i="9" s="1"/>
  <c r="K19" i="9"/>
  <c r="K18" i="9" s="1"/>
  <c r="K17" i="9" s="1"/>
  <c r="F18" i="9"/>
  <c r="F17" i="9" s="1"/>
  <c r="H18" i="9"/>
  <c r="H17" i="9" s="1"/>
  <c r="N66" i="9"/>
  <c r="N65" i="9" s="1"/>
  <c r="E11" i="9"/>
  <c r="F14" i="9"/>
  <c r="H14" i="9"/>
  <c r="Q14" i="9"/>
  <c r="Q11" i="9" s="1"/>
  <c r="U31" i="9"/>
  <c r="L34" i="9"/>
  <c r="K53" i="9"/>
  <c r="K52" i="9" s="1"/>
  <c r="I116" i="9"/>
  <c r="H11" i="9"/>
  <c r="E40" i="9"/>
  <c r="M121" i="1"/>
  <c r="M183" i="1" s="1"/>
  <c r="K22" i="9"/>
  <c r="L28" i="9"/>
  <c r="L27" i="9" s="1"/>
  <c r="M29" i="9"/>
  <c r="L41" i="9"/>
  <c r="M44" i="9"/>
  <c r="M51" i="9"/>
  <c r="D70" i="9"/>
  <c r="D69" i="9" s="1"/>
  <c r="D68" i="9" s="1"/>
  <c r="O18" i="9"/>
  <c r="M73" i="9"/>
  <c r="M72" i="9" s="1"/>
  <c r="D74" i="9"/>
  <c r="D73" i="9" s="1"/>
  <c r="D72" i="9" s="1"/>
  <c r="F12" i="9"/>
  <c r="G12" i="9"/>
  <c r="G11" i="9" s="1"/>
  <c r="D18" i="1"/>
  <c r="D120" i="1" s="1"/>
  <c r="D182" i="1" s="1"/>
  <c r="M24" i="9"/>
  <c r="M13" i="9" s="1"/>
  <c r="D13" i="9" s="1"/>
  <c r="M26" i="9"/>
  <c r="M32" i="9"/>
  <c r="D33" i="9"/>
  <c r="D35" i="9"/>
  <c r="D34" i="9" s="1"/>
  <c r="M34" i="9"/>
  <c r="M41" i="9"/>
  <c r="D42" i="9"/>
  <c r="L46" i="9"/>
  <c r="L45" i="9" s="1"/>
  <c r="M47" i="9"/>
  <c r="D54" i="9"/>
  <c r="D53" i="9" s="1"/>
  <c r="D52" i="9" s="1"/>
  <c r="M53" i="9"/>
  <c r="M52" i="9" s="1"/>
  <c r="L59" i="9"/>
  <c r="L56" i="9" s="1"/>
  <c r="M60" i="9"/>
  <c r="D60" i="9" s="1"/>
  <c r="D59" i="9" s="1"/>
  <c r="D56" i="9" s="1"/>
  <c r="L62" i="9"/>
  <c r="L61" i="9" s="1"/>
  <c r="L73" i="9"/>
  <c r="L72" i="9" s="1"/>
  <c r="I98" i="9"/>
  <c r="E116" i="9"/>
  <c r="O16" i="5"/>
  <c r="O13" i="5" s="1"/>
  <c r="L27" i="1"/>
  <c r="U17" i="5"/>
  <c r="H122" i="1"/>
  <c r="H184" i="1" s="1"/>
  <c r="C123" i="1"/>
  <c r="C189" i="1" s="1"/>
  <c r="E123" i="1"/>
  <c r="E189" i="1" s="1"/>
  <c r="I123" i="1"/>
  <c r="I189" i="1" s="1"/>
  <c r="C124" i="1"/>
  <c r="C185" i="1" s="1"/>
  <c r="E124" i="1"/>
  <c r="E185" i="1" s="1"/>
  <c r="G124" i="1"/>
  <c r="G185" i="1" s="1"/>
  <c r="O39" i="1"/>
  <c r="R70" i="1"/>
  <c r="R79" i="1"/>
  <c r="G122" i="1"/>
  <c r="G184" i="1" s="1"/>
  <c r="D124" i="1"/>
  <c r="D185" i="1" s="1"/>
  <c r="F124" i="1"/>
  <c r="F185" i="1" s="1"/>
  <c r="H124" i="1"/>
  <c r="H185" i="1" s="1"/>
  <c r="C136" i="1"/>
  <c r="C198" i="1" s="1"/>
  <c r="E136" i="1"/>
  <c r="E198" i="1" s="1"/>
  <c r="G136" i="1"/>
  <c r="G198" i="1" s="1"/>
  <c r="D31" i="1"/>
  <c r="S68" i="1"/>
  <c r="S20" i="1"/>
  <c r="L188" i="1"/>
  <c r="S23" i="1"/>
  <c r="S127" i="1" s="1"/>
  <c r="K142" i="1"/>
  <c r="K204" i="1" s="1"/>
  <c r="L106" i="8"/>
  <c r="U40" i="2"/>
  <c r="O310" i="2"/>
  <c r="L310" i="2"/>
  <c r="U39" i="2"/>
  <c r="E159" i="2"/>
  <c r="E158" i="2" s="1"/>
  <c r="L134" i="1"/>
  <c r="L196" i="1" s="1"/>
  <c r="U140" i="8"/>
  <c r="J17" i="7"/>
  <c r="I33" i="7"/>
  <c r="I13" i="7"/>
  <c r="F65" i="1" s="1"/>
  <c r="I38" i="7"/>
  <c r="R38" i="7"/>
  <c r="E74" i="7"/>
  <c r="J74" i="7"/>
  <c r="K83" i="7"/>
  <c r="K80" i="7" s="1"/>
  <c r="K86" i="7"/>
  <c r="K23" i="7"/>
  <c r="N10" i="7"/>
  <c r="N8" i="7" s="1"/>
  <c r="N14" i="7"/>
  <c r="K38" i="7"/>
  <c r="L44" i="7"/>
  <c r="K57" i="7"/>
  <c r="K56" i="7" s="1"/>
  <c r="I68" i="7"/>
  <c r="K68" i="7"/>
  <c r="O74" i="7"/>
  <c r="N80" i="7"/>
  <c r="N19" i="7"/>
  <c r="K78" i="1" s="1"/>
  <c r="O85" i="7"/>
  <c r="Q85" i="7"/>
  <c r="N88" i="7"/>
  <c r="N85" i="7" s="1"/>
  <c r="N21" i="7"/>
  <c r="N20" i="7" s="1"/>
  <c r="D12" i="13"/>
  <c r="M16" i="13"/>
  <c r="M15" i="13" s="1"/>
  <c r="M24" i="13"/>
  <c r="M22" i="13"/>
  <c r="M14" i="13"/>
  <c r="M13" i="13" s="1"/>
  <c r="M12" i="13" s="1"/>
  <c r="Q24" i="8"/>
  <c r="E18" i="8"/>
  <c r="R18" i="8"/>
  <c r="Q30" i="8"/>
  <c r="R13" i="8"/>
  <c r="H24" i="8"/>
  <c r="H23" i="8" s="1"/>
  <c r="N24" i="8"/>
  <c r="K34" i="1"/>
  <c r="K139" i="1" s="1"/>
  <c r="K201" i="1" s="1"/>
  <c r="J36" i="8"/>
  <c r="M37" i="8"/>
  <c r="D37" i="8" s="1"/>
  <c r="M38" i="8"/>
  <c r="M15" i="8" s="1"/>
  <c r="M42" i="8"/>
  <c r="M43" i="8"/>
  <c r="E49" i="8"/>
  <c r="E61" i="8"/>
  <c r="I61" i="8"/>
  <c r="M71" i="8"/>
  <c r="D76" i="8"/>
  <c r="M75" i="8"/>
  <c r="M27" i="8"/>
  <c r="M78" i="8"/>
  <c r="M85" i="8"/>
  <c r="D86" i="8"/>
  <c r="U96" i="8"/>
  <c r="O96" i="8"/>
  <c r="M111" i="8"/>
  <c r="M110" i="8" s="1"/>
  <c r="M115" i="8"/>
  <c r="M119" i="8"/>
  <c r="D119" i="8" s="1"/>
  <c r="M128" i="8"/>
  <c r="D129" i="8"/>
  <c r="D128" i="8" s="1"/>
  <c r="M130" i="8"/>
  <c r="D131" i="8"/>
  <c r="D138" i="8"/>
  <c r="M137" i="8"/>
  <c r="M136" i="8" s="1"/>
  <c r="D146" i="8"/>
  <c r="D212" i="8"/>
  <c r="M211" i="8"/>
  <c r="M210" i="8" s="1"/>
  <c r="M183" i="8" s="1"/>
  <c r="M181" i="8" s="1"/>
  <c r="M190" i="8"/>
  <c r="G18" i="8"/>
  <c r="F23" i="8"/>
  <c r="U36" i="8"/>
  <c r="D39" i="8"/>
  <c r="J45" i="8"/>
  <c r="J44" i="8" s="1"/>
  <c r="M46" i="8"/>
  <c r="M25" i="8" s="1"/>
  <c r="D47" i="8"/>
  <c r="D50" i="8"/>
  <c r="M49" i="8"/>
  <c r="D51" i="8"/>
  <c r="D59" i="8"/>
  <c r="D58" i="8" s="1"/>
  <c r="D63" i="8"/>
  <c r="D66" i="8"/>
  <c r="M22" i="8"/>
  <c r="D73" i="8"/>
  <c r="D22" i="8" s="1"/>
  <c r="M72" i="8"/>
  <c r="O75" i="8"/>
  <c r="O74" i="8" s="1"/>
  <c r="M83" i="8"/>
  <c r="M82" i="8" s="1"/>
  <c r="D84" i="8"/>
  <c r="M88" i="8"/>
  <c r="M87" i="8" s="1"/>
  <c r="D89" i="8"/>
  <c r="D88" i="8" s="1"/>
  <c r="D87" i="8" s="1"/>
  <c r="M95" i="8"/>
  <c r="O93" i="8"/>
  <c r="J96" i="8"/>
  <c r="J93" i="8" s="1"/>
  <c r="M97" i="8"/>
  <c r="I96" i="8"/>
  <c r="I93" i="8" s="1"/>
  <c r="M98" i="8"/>
  <c r="D98" i="8" s="1"/>
  <c r="M101" i="8"/>
  <c r="J102" i="8"/>
  <c r="J99" i="8" s="1"/>
  <c r="M103" i="8"/>
  <c r="M31" i="8" s="1"/>
  <c r="M104" i="8"/>
  <c r="D104" i="8" s="1"/>
  <c r="I102" i="8"/>
  <c r="I99" i="8" s="1"/>
  <c r="D112" i="8"/>
  <c r="K190" i="1"/>
  <c r="D116" i="8"/>
  <c r="D28" i="8" s="1"/>
  <c r="M28" i="8"/>
  <c r="J33" i="1" s="1"/>
  <c r="J134" i="1" s="1"/>
  <c r="J196" i="1" s="1"/>
  <c r="D124" i="8"/>
  <c r="M122" i="8"/>
  <c r="M125" i="8"/>
  <c r="D126" i="8"/>
  <c r="D125" i="8" s="1"/>
  <c r="U154" i="8"/>
  <c r="D199" i="8"/>
  <c r="D198" i="8" s="1"/>
  <c r="F183" i="8"/>
  <c r="F181" i="8" s="1"/>
  <c r="J183" i="8"/>
  <c r="J181" i="8" s="1"/>
  <c r="L211" i="8"/>
  <c r="L210" i="8" s="1"/>
  <c r="M214" i="8"/>
  <c r="M213" i="8" s="1"/>
  <c r="D215" i="8"/>
  <c r="M196" i="8"/>
  <c r="D160" i="8"/>
  <c r="D154" i="8"/>
  <c r="Q13" i="5"/>
  <c r="Q10" i="5"/>
  <c r="E33" i="5"/>
  <c r="O33" i="5"/>
  <c r="U16" i="5"/>
  <c r="H63" i="5"/>
  <c r="H62" i="5" s="1"/>
  <c r="U66" i="5"/>
  <c r="F70" i="5"/>
  <c r="J70" i="5"/>
  <c r="G13" i="5"/>
  <c r="F27" i="5"/>
  <c r="H27" i="5"/>
  <c r="J27" i="5"/>
  <c r="L27" i="5"/>
  <c r="E30" i="5"/>
  <c r="E27" i="5" s="1"/>
  <c r="G38" i="5"/>
  <c r="I38" i="5"/>
  <c r="K38" i="5"/>
  <c r="E48" i="5"/>
  <c r="E47" i="5" s="1"/>
  <c r="O63" i="5"/>
  <c r="P70" i="5"/>
  <c r="K90" i="5"/>
  <c r="G22" i="5"/>
  <c r="I22" i="5"/>
  <c r="K22" i="5"/>
  <c r="P22" i="5"/>
  <c r="R22" i="5"/>
  <c r="R10" i="5" s="1"/>
  <c r="R8" i="9"/>
  <c r="D98" i="9"/>
  <c r="D83" i="9"/>
  <c r="D20" i="9"/>
  <c r="G40" i="9"/>
  <c r="F13" i="2"/>
  <c r="F25" i="6"/>
  <c r="I26" i="6"/>
  <c r="D29" i="6"/>
  <c r="M29" i="6"/>
  <c r="G30" i="6"/>
  <c r="P30" i="6"/>
  <c r="M32" i="6"/>
  <c r="F36" i="6"/>
  <c r="H36" i="6"/>
  <c r="J36" i="6"/>
  <c r="L36" i="6"/>
  <c r="O36" i="6"/>
  <c r="D42" i="6"/>
  <c r="G41" i="6"/>
  <c r="I41" i="6"/>
  <c r="K41" i="6"/>
  <c r="N41" i="6"/>
  <c r="P41" i="6"/>
  <c r="K71" i="6"/>
  <c r="K70" i="6" s="1"/>
  <c r="M75" i="6"/>
  <c r="O82" i="6"/>
  <c r="O81" i="6" s="1"/>
  <c r="M95" i="6"/>
  <c r="M94" i="6" s="1"/>
  <c r="D98" i="6"/>
  <c r="M98" i="6"/>
  <c r="M97" i="6" s="1"/>
  <c r="M109" i="6"/>
  <c r="M108" i="6" s="1"/>
  <c r="M107" i="6" s="1"/>
  <c r="M132" i="6"/>
  <c r="M131" i="6" s="1"/>
  <c r="M113" i="6" s="1"/>
  <c r="M118" i="6"/>
  <c r="M136" i="6"/>
  <c r="M135" i="6" s="1"/>
  <c r="M121" i="6"/>
  <c r="M120" i="6" s="1"/>
  <c r="M119" i="6" s="1"/>
  <c r="M33" i="6"/>
  <c r="M23" i="6"/>
  <c r="M22" i="6" s="1"/>
  <c r="D93" i="6"/>
  <c r="M93" i="6"/>
  <c r="M92" i="6" s="1"/>
  <c r="M96" i="6"/>
  <c r="M15" i="6"/>
  <c r="M103" i="6"/>
  <c r="D106" i="6"/>
  <c r="M106" i="6"/>
  <c r="M105" i="6" s="1"/>
  <c r="M124" i="6"/>
  <c r="M123" i="6" s="1"/>
  <c r="M114" i="6" s="1"/>
  <c r="M117" i="6"/>
  <c r="M116" i="6" s="1"/>
  <c r="M115" i="6" s="1"/>
  <c r="L36" i="3"/>
  <c r="P60" i="3"/>
  <c r="U10" i="3"/>
  <c r="P150" i="3"/>
  <c r="J11" i="3"/>
  <c r="D40" i="3"/>
  <c r="D39" i="3" s="1"/>
  <c r="N39" i="3"/>
  <c r="N36" i="3" s="1"/>
  <c r="M44" i="3"/>
  <c r="E43" i="3"/>
  <c r="E42" i="3" s="1"/>
  <c r="M45" i="3"/>
  <c r="I43" i="3"/>
  <c r="I42" i="3" s="1"/>
  <c r="M47" i="3"/>
  <c r="I16" i="3"/>
  <c r="I15" i="3" s="1"/>
  <c r="D50" i="3"/>
  <c r="M49" i="3"/>
  <c r="M52" i="3"/>
  <c r="I21" i="3"/>
  <c r="I51" i="3"/>
  <c r="M24" i="3"/>
  <c r="M23" i="3" s="1"/>
  <c r="D25" i="3"/>
  <c r="D24" i="3" s="1"/>
  <c r="D23" i="3" s="1"/>
  <c r="M28" i="3"/>
  <c r="D38" i="3"/>
  <c r="D37" i="3" s="1"/>
  <c r="G42" i="3"/>
  <c r="K42" i="3"/>
  <c r="J48" i="3"/>
  <c r="L48" i="3"/>
  <c r="E48" i="3"/>
  <c r="G48" i="3"/>
  <c r="K48" i="3"/>
  <c r="N55" i="3"/>
  <c r="N54" i="3" s="1"/>
  <c r="I55" i="3"/>
  <c r="I13" i="3"/>
  <c r="I12" i="3" s="1"/>
  <c r="I11" i="3" s="1"/>
  <c r="M56" i="3"/>
  <c r="L13" i="3"/>
  <c r="M57" i="3"/>
  <c r="D57" i="3" s="1"/>
  <c r="M59" i="3"/>
  <c r="L16" i="3"/>
  <c r="M62" i="3"/>
  <c r="M19" i="3" s="1"/>
  <c r="G60" i="3"/>
  <c r="J63" i="3"/>
  <c r="K63" i="3"/>
  <c r="K21" i="3"/>
  <c r="K20" i="3" s="1"/>
  <c r="N63" i="3"/>
  <c r="N21" i="3"/>
  <c r="N20" i="3" s="1"/>
  <c r="L67" i="3"/>
  <c r="M71" i="3"/>
  <c r="M79" i="3"/>
  <c r="D80" i="3"/>
  <c r="Q78" i="3"/>
  <c r="U102" i="3"/>
  <c r="M107" i="3"/>
  <c r="M110" i="3"/>
  <c r="L115" i="3"/>
  <c r="O16" i="3"/>
  <c r="U16" i="3" s="1"/>
  <c r="F120" i="3"/>
  <c r="J121" i="3"/>
  <c r="M122" i="3"/>
  <c r="O123" i="3"/>
  <c r="O120" i="3" s="1"/>
  <c r="O21" i="3"/>
  <c r="O20" i="3" s="1"/>
  <c r="O17" i="3" s="1"/>
  <c r="F126" i="3"/>
  <c r="F10" i="3" s="1"/>
  <c r="H126" i="3"/>
  <c r="H10" i="3" s="1"/>
  <c r="J126" i="3"/>
  <c r="J10" i="3" s="1"/>
  <c r="L127" i="3"/>
  <c r="L126" i="3" s="1"/>
  <c r="L10" i="3" s="1"/>
  <c r="M128" i="3"/>
  <c r="G126" i="3"/>
  <c r="G10" i="3" s="1"/>
  <c r="I126" i="3"/>
  <c r="I10" i="3" s="1"/>
  <c r="M136" i="3"/>
  <c r="K156" i="3"/>
  <c r="Q156" i="3"/>
  <c r="L159" i="3"/>
  <c r="M160" i="3"/>
  <c r="N162" i="3"/>
  <c r="O168" i="3"/>
  <c r="L171" i="3"/>
  <c r="L168" i="3" s="1"/>
  <c r="E175" i="3"/>
  <c r="L183" i="3"/>
  <c r="L180" i="3" s="1"/>
  <c r="M184" i="3"/>
  <c r="D188" i="3"/>
  <c r="M187" i="3"/>
  <c r="M190" i="3"/>
  <c r="D191" i="3"/>
  <c r="N14" i="3"/>
  <c r="K19" i="1" s="1"/>
  <c r="K122" i="1" s="1"/>
  <c r="K184" i="1" s="1"/>
  <c r="E16" i="3"/>
  <c r="E15" i="3" s="1"/>
  <c r="N16" i="3"/>
  <c r="N15" i="3" s="1"/>
  <c r="J60" i="3"/>
  <c r="N19" i="3"/>
  <c r="N18" i="3" s="1"/>
  <c r="E21" i="3"/>
  <c r="M64" i="3"/>
  <c r="L21" i="3"/>
  <c r="L20" i="3" s="1"/>
  <c r="D68" i="3"/>
  <c r="M67" i="3"/>
  <c r="P66" i="3"/>
  <c r="M74" i="3"/>
  <c r="D75" i="3"/>
  <c r="D76" i="3"/>
  <c r="M83" i="3"/>
  <c r="D86" i="3"/>
  <c r="M85" i="3"/>
  <c r="M84" i="3" s="1"/>
  <c r="D99" i="3"/>
  <c r="D100" i="3"/>
  <c r="L103" i="3"/>
  <c r="L102" i="3" s="1"/>
  <c r="M105" i="3"/>
  <c r="P102" i="3"/>
  <c r="M112" i="3"/>
  <c r="E116" i="3"/>
  <c r="E13" i="3" s="1"/>
  <c r="E12" i="3" s="1"/>
  <c r="E11" i="3" s="1"/>
  <c r="F13" i="3"/>
  <c r="F12" i="3" s="1"/>
  <c r="H115" i="3"/>
  <c r="H114" i="3" s="1"/>
  <c r="H13" i="3"/>
  <c r="M117" i="3"/>
  <c r="D117" i="3" s="1"/>
  <c r="G118" i="3"/>
  <c r="G16" i="3"/>
  <c r="L118" i="3"/>
  <c r="L114" i="3" s="1"/>
  <c r="M119" i="3"/>
  <c r="L123" i="3"/>
  <c r="L120" i="3" s="1"/>
  <c r="M124" i="3"/>
  <c r="D131" i="3"/>
  <c r="D130" i="3" s="1"/>
  <c r="M130" i="3"/>
  <c r="M153" i="3"/>
  <c r="M155" i="3"/>
  <c r="L157" i="3"/>
  <c r="L156" i="3" s="1"/>
  <c r="M158" i="3"/>
  <c r="M167" i="3"/>
  <c r="M171" i="3"/>
  <c r="M168" i="3" s="1"/>
  <c r="D172" i="3"/>
  <c r="D171" i="3" s="1"/>
  <c r="D168" i="3" s="1"/>
  <c r="D175" i="3"/>
  <c r="F174" i="3"/>
  <c r="H174" i="3"/>
  <c r="J174" i="3"/>
  <c r="L174" i="3"/>
  <c r="O174" i="3"/>
  <c r="Q174" i="3"/>
  <c r="M179" i="3"/>
  <c r="J192" i="3"/>
  <c r="L192" i="3"/>
  <c r="G74" i="1"/>
  <c r="G73" i="1" s="1"/>
  <c r="G84" i="1" s="1"/>
  <c r="J409" i="2"/>
  <c r="J408" i="2" s="1"/>
  <c r="F409" i="2"/>
  <c r="F408" i="2" s="1"/>
  <c r="O409" i="2"/>
  <c r="O408" i="2" s="1"/>
  <c r="M176" i="2"/>
  <c r="D176" i="2" s="1"/>
  <c r="K174" i="2"/>
  <c r="K173" i="2" s="1"/>
  <c r="I188" i="2"/>
  <c r="I185" i="2" s="1"/>
  <c r="H211" i="2"/>
  <c r="H13" i="2"/>
  <c r="G24" i="2"/>
  <c r="I24" i="2"/>
  <c r="M139" i="2"/>
  <c r="D139" i="2" s="1"/>
  <c r="D138" i="2" s="1"/>
  <c r="E311" i="2"/>
  <c r="G310" i="2"/>
  <c r="K143" i="2"/>
  <c r="N146" i="2"/>
  <c r="G158" i="2"/>
  <c r="K158" i="2"/>
  <c r="P158" i="2"/>
  <c r="K185" i="2"/>
  <c r="P185" i="2"/>
  <c r="E267" i="2"/>
  <c r="L164" i="2"/>
  <c r="G173" i="2"/>
  <c r="O173" i="2"/>
  <c r="E185" i="2"/>
  <c r="G185" i="2"/>
  <c r="O211" i="2"/>
  <c r="U226" i="2"/>
  <c r="P267" i="2"/>
  <c r="O267" i="2"/>
  <c r="F242" i="2"/>
  <c r="H242" i="2"/>
  <c r="K242" i="2"/>
  <c r="N242" i="2"/>
  <c r="P242" i="2"/>
  <c r="O242" i="2"/>
  <c r="W242" i="2" s="1"/>
  <c r="O319" i="2"/>
  <c r="F325" i="2"/>
  <c r="F345" i="2"/>
  <c r="J345" i="2"/>
  <c r="J344" i="2" s="1"/>
  <c r="O345" i="2"/>
  <c r="L357" i="2"/>
  <c r="O357" i="2"/>
  <c r="O33" i="2" s="1"/>
  <c r="O30" i="2" s="1"/>
  <c r="L369" i="2"/>
  <c r="L368" i="2" s="1"/>
  <c r="P368" i="2"/>
  <c r="N368" i="2"/>
  <c r="N389" i="2"/>
  <c r="N388" i="2" s="1"/>
  <c r="P387" i="2"/>
  <c r="R406" i="2"/>
  <c r="O58" i="1" s="1"/>
  <c r="G352" i="2"/>
  <c r="L487" i="2"/>
  <c r="L486" i="2" s="1"/>
  <c r="U18" i="2"/>
  <c r="K24" i="2"/>
  <c r="P24" i="2"/>
  <c r="M60" i="2"/>
  <c r="D61" i="2"/>
  <c r="D60" i="2" s="1"/>
  <c r="M70" i="2"/>
  <c r="D72" i="2"/>
  <c r="N88" i="2"/>
  <c r="D118" i="2"/>
  <c r="D117" i="2" s="1"/>
  <c r="D153" i="2"/>
  <c r="D152" i="2" s="1"/>
  <c r="M171" i="2"/>
  <c r="M197" i="2"/>
  <c r="D198" i="2"/>
  <c r="D197" i="2" s="1"/>
  <c r="M236" i="2"/>
  <c r="M235" i="2" s="1"/>
  <c r="D237" i="2"/>
  <c r="D236" i="2" s="1"/>
  <c r="O236" i="2"/>
  <c r="O235" i="2" s="1"/>
  <c r="W235" i="2" s="1"/>
  <c r="U237" i="2"/>
  <c r="U236" i="2" s="1"/>
  <c r="U235" i="2" s="1"/>
  <c r="U246" i="2"/>
  <c r="U245" i="2" s="1"/>
  <c r="U242" i="2" s="1"/>
  <c r="H344" i="2"/>
  <c r="D362" i="2"/>
  <c r="U380" i="2"/>
  <c r="U379" i="2" s="1"/>
  <c r="D382" i="2"/>
  <c r="D381" i="2" s="1"/>
  <c r="O390" i="2"/>
  <c r="U391" i="2"/>
  <c r="U390" i="2" s="1"/>
  <c r="U423" i="2"/>
  <c r="D423" i="2"/>
  <c r="D439" i="2"/>
  <c r="D438" i="2" s="1"/>
  <c r="D437" i="2" s="1"/>
  <c r="U439" i="2"/>
  <c r="U438" i="2" s="1"/>
  <c r="U437" i="2" s="1"/>
  <c r="M478" i="2"/>
  <c r="M477" i="2" s="1"/>
  <c r="D478" i="2"/>
  <c r="D477" i="2" s="1"/>
  <c r="M487" i="2"/>
  <c r="M486" i="2" s="1"/>
  <c r="D488" i="2"/>
  <c r="D487" i="2" s="1"/>
  <c r="D486" i="2" s="1"/>
  <c r="U492" i="2"/>
  <c r="U42" i="2"/>
  <c r="U41" i="2" s="1"/>
  <c r="D64" i="2"/>
  <c r="D62" i="2" s="1"/>
  <c r="M119" i="2"/>
  <c r="O292" i="2"/>
  <c r="M138" i="2"/>
  <c r="M141" i="2"/>
  <c r="M186" i="2"/>
  <c r="D187" i="2"/>
  <c r="D186" i="2" s="1"/>
  <c r="O206" i="2"/>
  <c r="O205" i="2" s="1"/>
  <c r="U207" i="2"/>
  <c r="U206" i="2" s="1"/>
  <c r="U205" i="2" s="1"/>
  <c r="M215" i="2"/>
  <c r="F226" i="2"/>
  <c r="H226" i="2"/>
  <c r="J226" i="2"/>
  <c r="L242" i="2"/>
  <c r="M244" i="2"/>
  <c r="M248" i="2"/>
  <c r="M247" i="2" s="1"/>
  <c r="D249" i="2"/>
  <c r="D248" i="2" s="1"/>
  <c r="D247" i="2" s="1"/>
  <c r="F316" i="2"/>
  <c r="H316" i="2"/>
  <c r="L316" i="2"/>
  <c r="L325" i="2"/>
  <c r="G325" i="2"/>
  <c r="I325" i="2"/>
  <c r="N325" i="2"/>
  <c r="P325" i="2"/>
  <c r="G345" i="2"/>
  <c r="G344" i="2" s="1"/>
  <c r="I345" i="2"/>
  <c r="I344" i="2" s="1"/>
  <c r="K345" i="2"/>
  <c r="P345" i="2"/>
  <c r="R345" i="2"/>
  <c r="D25" i="2"/>
  <c r="N361" i="2"/>
  <c r="N360" i="2" s="1"/>
  <c r="U362" i="2"/>
  <c r="U361" i="2" s="1"/>
  <c r="U366" i="2"/>
  <c r="D372" i="2"/>
  <c r="D369" i="2" s="1"/>
  <c r="U382" i="2"/>
  <c r="U381" i="2" s="1"/>
  <c r="O388" i="2"/>
  <c r="N390" i="2"/>
  <c r="D391" i="2"/>
  <c r="N394" i="2"/>
  <c r="N397" i="2"/>
  <c r="N396" i="2" s="1"/>
  <c r="U398" i="2"/>
  <c r="U397" i="2" s="1"/>
  <c r="U396" i="2" s="1"/>
  <c r="N402" i="2"/>
  <c r="N401" i="2" s="1"/>
  <c r="Q409" i="2"/>
  <c r="Q408" i="2" s="1"/>
  <c r="N414" i="2"/>
  <c r="U431" i="2"/>
  <c r="U430" i="2" s="1"/>
  <c r="U429" i="2" s="1"/>
  <c r="P438" i="2"/>
  <c r="P437" i="2" s="1"/>
  <c r="W437" i="2" s="1"/>
  <c r="O478" i="2"/>
  <c r="O477" i="2" s="1"/>
  <c r="W477" i="2" s="1"/>
  <c r="U479" i="2"/>
  <c r="U478" i="2" s="1"/>
  <c r="U477" i="2" s="1"/>
  <c r="O490" i="2"/>
  <c r="W490" i="2" s="1"/>
  <c r="U500" i="2"/>
  <c r="U508" i="2"/>
  <c r="U507" i="2" s="1"/>
  <c r="U506" i="2" s="1"/>
  <c r="U20" i="2"/>
  <c r="U318" i="2"/>
  <c r="U317" i="2" s="1"/>
  <c r="U15" i="2"/>
  <c r="U17" i="2"/>
  <c r="R24" i="2"/>
  <c r="D358" i="2"/>
  <c r="D34" i="2" s="1"/>
  <c r="U347" i="2"/>
  <c r="D347" i="2"/>
  <c r="D15" i="2" s="1"/>
  <c r="U350" i="2"/>
  <c r="U346" i="2"/>
  <c r="U348" i="2"/>
  <c r="D351" i="2"/>
  <c r="D22" i="2" s="1"/>
  <c r="U351" i="2"/>
  <c r="U349" i="2" s="1"/>
  <c r="U217" i="2"/>
  <c r="U164" i="2"/>
  <c r="P80" i="2"/>
  <c r="I88" i="2"/>
  <c r="N190" i="2"/>
  <c r="N211" i="2"/>
  <c r="P211" i="2"/>
  <c r="G378" i="2"/>
  <c r="G10" i="2" s="1"/>
  <c r="I378" i="2"/>
  <c r="I10" i="2" s="1"/>
  <c r="K378" i="2"/>
  <c r="K10" i="2" s="1"/>
  <c r="E211" i="2"/>
  <c r="G211" i="2"/>
  <c r="I211" i="2"/>
  <c r="K211" i="2"/>
  <c r="G226" i="2"/>
  <c r="K226" i="2"/>
  <c r="M58" i="2"/>
  <c r="R13" i="2"/>
  <c r="J191" i="1"/>
  <c r="K37" i="2"/>
  <c r="U53" i="2"/>
  <c r="U52" i="2" s="1"/>
  <c r="M78" i="2"/>
  <c r="M83" i="2"/>
  <c r="D83" i="2" s="1"/>
  <c r="M90" i="2"/>
  <c r="M94" i="2"/>
  <c r="D285" i="2"/>
  <c r="M98" i="2"/>
  <c r="U97" i="2"/>
  <c r="U96" i="2" s="1"/>
  <c r="M105" i="2"/>
  <c r="M108" i="2"/>
  <c r="M112" i="2"/>
  <c r="D112" i="2" s="1"/>
  <c r="M113" i="2"/>
  <c r="D113" i="2" s="1"/>
  <c r="E110" i="2"/>
  <c r="G110" i="2"/>
  <c r="K110" i="2"/>
  <c r="M115" i="2"/>
  <c r="U122" i="2"/>
  <c r="N378" i="2"/>
  <c r="N10" i="2" s="1"/>
  <c r="J144" i="1"/>
  <c r="J206" i="1" s="1"/>
  <c r="H37" i="2"/>
  <c r="M69" i="2"/>
  <c r="U70" i="2"/>
  <c r="M75" i="2"/>
  <c r="M82" i="2"/>
  <c r="M87" i="2"/>
  <c r="O110" i="2"/>
  <c r="U110" i="2"/>
  <c r="D158" i="2"/>
  <c r="F116" i="2"/>
  <c r="J116" i="2"/>
  <c r="D293" i="2"/>
  <c r="D292" i="2" s="1"/>
  <c r="L137" i="2"/>
  <c r="O137" i="2"/>
  <c r="L304" i="2"/>
  <c r="F310" i="2"/>
  <c r="H310" i="2"/>
  <c r="K310" i="2"/>
  <c r="N310" i="2"/>
  <c r="P310" i="2"/>
  <c r="L146" i="2"/>
  <c r="M147" i="2"/>
  <c r="M150" i="2"/>
  <c r="M168" i="2"/>
  <c r="F173" i="2"/>
  <c r="H173" i="2"/>
  <c r="M178" i="2"/>
  <c r="M189" i="2"/>
  <c r="U196" i="2"/>
  <c r="M210" i="2"/>
  <c r="M224" i="2"/>
  <c r="M228" i="2"/>
  <c r="M233" i="2"/>
  <c r="M274" i="2"/>
  <c r="D274" i="2" s="1"/>
  <c r="M240" i="2"/>
  <c r="G316" i="2"/>
  <c r="P316" i="2"/>
  <c r="M327" i="2"/>
  <c r="M318" i="2" s="1"/>
  <c r="M364" i="2"/>
  <c r="D364" i="2" s="1"/>
  <c r="D366" i="2"/>
  <c r="D365" i="2" s="1"/>
  <c r="M369" i="2"/>
  <c r="O379" i="2"/>
  <c r="O378" i="2" s="1"/>
  <c r="M380" i="2"/>
  <c r="D380" i="2" s="1"/>
  <c r="D379" i="2" s="1"/>
  <c r="E381" i="2"/>
  <c r="E378" i="2" s="1"/>
  <c r="E10" i="2" s="1"/>
  <c r="Q387" i="2"/>
  <c r="E430" i="2"/>
  <c r="E429" i="2" s="1"/>
  <c r="O430" i="2"/>
  <c r="O429" i="2" s="1"/>
  <c r="M435" i="2"/>
  <c r="M443" i="2"/>
  <c r="M451" i="2"/>
  <c r="M459" i="2"/>
  <c r="M475" i="2"/>
  <c r="M484" i="2"/>
  <c r="M492" i="2"/>
  <c r="L498" i="2"/>
  <c r="M500" i="2"/>
  <c r="M499" i="2" s="1"/>
  <c r="E58" i="1"/>
  <c r="N116" i="2"/>
  <c r="M129" i="2"/>
  <c r="M134" i="2"/>
  <c r="M136" i="2"/>
  <c r="M145" i="2"/>
  <c r="M166" i="2"/>
  <c r="L170" i="2"/>
  <c r="L169" i="2" s="1"/>
  <c r="M175" i="2"/>
  <c r="M181" i="2"/>
  <c r="L182" i="2"/>
  <c r="L179" i="2" s="1"/>
  <c r="M183" i="2"/>
  <c r="U185" i="2"/>
  <c r="M192" i="2"/>
  <c r="L193" i="2"/>
  <c r="L190" i="2" s="1"/>
  <c r="M194" i="2"/>
  <c r="P196" i="2"/>
  <c r="F196" i="2"/>
  <c r="H196" i="2"/>
  <c r="M200" i="2"/>
  <c r="J196" i="2"/>
  <c r="L202" i="2"/>
  <c r="L201" i="2" s="1"/>
  <c r="M203" i="2"/>
  <c r="M207" i="2"/>
  <c r="M213" i="2"/>
  <c r="L214" i="2"/>
  <c r="L211" i="2" s="1"/>
  <c r="F217" i="2"/>
  <c r="H217" i="2"/>
  <c r="E223" i="2"/>
  <c r="E222" i="2" s="1"/>
  <c r="M269" i="2"/>
  <c r="D269" i="2" s="1"/>
  <c r="U267" i="2"/>
  <c r="M271" i="2"/>
  <c r="E273" i="2"/>
  <c r="E272" i="2" s="1"/>
  <c r="E243" i="2"/>
  <c r="E242" i="2" s="1"/>
  <c r="I242" i="2"/>
  <c r="M246" i="2"/>
  <c r="D246" i="2" s="1"/>
  <c r="I316" i="2"/>
  <c r="M329" i="2"/>
  <c r="M320" i="2" s="1"/>
  <c r="D332" i="2"/>
  <c r="D323" i="2" s="1"/>
  <c r="M385" i="2"/>
  <c r="M430" i="2"/>
  <c r="M429" i="2" s="1"/>
  <c r="M412" i="2"/>
  <c r="J67" i="1" s="1"/>
  <c r="D463" i="2"/>
  <c r="D462" i="2" s="1"/>
  <c r="D461" i="2" s="1"/>
  <c r="M463" i="2"/>
  <c r="M462" i="2" s="1"/>
  <c r="M461" i="2" s="1"/>
  <c r="M508" i="2"/>
  <c r="N18" i="1"/>
  <c r="N120" i="1" s="1"/>
  <c r="D96" i="3"/>
  <c r="O84" i="1"/>
  <c r="I31" i="6"/>
  <c r="I30" i="6" s="1"/>
  <c r="D32" i="6"/>
  <c r="I21" i="6"/>
  <c r="I20" i="6" s="1"/>
  <c r="K31" i="6"/>
  <c r="K21" i="6"/>
  <c r="K20" i="6" s="1"/>
  <c r="J23" i="6"/>
  <c r="J22" i="6" s="1"/>
  <c r="J19" i="6" s="1"/>
  <c r="F41" i="6"/>
  <c r="D75" i="6"/>
  <c r="I78" i="6"/>
  <c r="I77" i="6" s="1"/>
  <c r="D79" i="6"/>
  <c r="D78" i="6" s="1"/>
  <c r="D77" i="6" s="1"/>
  <c r="K94" i="6"/>
  <c r="K91" i="6" s="1"/>
  <c r="D95" i="6"/>
  <c r="I124" i="6"/>
  <c r="I123" i="6" s="1"/>
  <c r="I114" i="6" s="1"/>
  <c r="D125" i="6"/>
  <c r="N124" i="6"/>
  <c r="N123" i="6" s="1"/>
  <c r="N114" i="6" s="1"/>
  <c r="D129" i="6"/>
  <c r="D133" i="6"/>
  <c r="J121" i="6"/>
  <c r="J120" i="6" s="1"/>
  <c r="J119" i="6" s="1"/>
  <c r="D137" i="6"/>
  <c r="D27" i="6"/>
  <c r="I16" i="6"/>
  <c r="F19" i="1" s="1"/>
  <c r="F122" i="1" s="1"/>
  <c r="F184" i="1" s="1"/>
  <c r="L31" i="6"/>
  <c r="L21" i="6"/>
  <c r="D34" i="6"/>
  <c r="I23" i="6"/>
  <c r="I18" i="6"/>
  <c r="I17" i="6" s="1"/>
  <c r="K88" i="6"/>
  <c r="K87" i="6" s="1"/>
  <c r="D89" i="6"/>
  <c r="Q11" i="6"/>
  <c r="Q10" i="6" s="1"/>
  <c r="H96" i="6"/>
  <c r="D100" i="6"/>
  <c r="D99" i="6" s="1"/>
  <c r="D104" i="6"/>
  <c r="D15" i="6" s="1"/>
  <c r="L15" i="6"/>
  <c r="J108" i="6"/>
  <c r="J107" i="6" s="1"/>
  <c r="D109" i="6"/>
  <c r="U118" i="6"/>
  <c r="U125" i="6"/>
  <c r="J118" i="6"/>
  <c r="D134" i="6"/>
  <c r="D118" i="6" s="1"/>
  <c r="N14" i="6"/>
  <c r="D44" i="6"/>
  <c r="I70" i="6"/>
  <c r="I69" i="6" s="1"/>
  <c r="O25" i="6"/>
  <c r="J70" i="6"/>
  <c r="J69" i="6" s="1"/>
  <c r="J18" i="6"/>
  <c r="L70" i="6"/>
  <c r="L69" i="6" s="1"/>
  <c r="L18" i="6"/>
  <c r="L17" i="6" s="1"/>
  <c r="R112" i="6"/>
  <c r="N409" i="2"/>
  <c r="N408" i="2" s="1"/>
  <c r="P406" i="2"/>
  <c r="M58" i="1" s="1"/>
  <c r="L17" i="3"/>
  <c r="O18" i="6"/>
  <c r="U18" i="6" s="1"/>
  <c r="D21" i="6"/>
  <c r="E20" i="6"/>
  <c r="E26" i="6"/>
  <c r="L26" i="6"/>
  <c r="U26" i="6"/>
  <c r="G25" i="6"/>
  <c r="I28" i="6"/>
  <c r="I25" i="6" s="1"/>
  <c r="E17" i="6"/>
  <c r="J28" i="6"/>
  <c r="U28" i="6"/>
  <c r="H31" i="6"/>
  <c r="H30" i="6" s="1"/>
  <c r="K30" i="6"/>
  <c r="E37" i="6"/>
  <c r="E36" i="6" s="1"/>
  <c r="D39" i="6"/>
  <c r="D36" i="6" s="1"/>
  <c r="E41" i="6"/>
  <c r="G102" i="6"/>
  <c r="G12" i="6" s="1"/>
  <c r="I117" i="6"/>
  <c r="I116" i="6" s="1"/>
  <c r="I115" i="6" s="1"/>
  <c r="O116" i="6"/>
  <c r="O115" i="6" s="1"/>
  <c r="D88" i="6"/>
  <c r="D87" i="6" s="1"/>
  <c r="P91" i="6"/>
  <c r="Q96" i="6"/>
  <c r="N96" i="1" s="1"/>
  <c r="N90" i="1" s="1"/>
  <c r="P112" i="6"/>
  <c r="K26" i="6"/>
  <c r="K25" i="6" s="1"/>
  <c r="J91" i="6"/>
  <c r="H26" i="6"/>
  <c r="J26" i="6"/>
  <c r="J25" i="6" s="1"/>
  <c r="H28" i="6"/>
  <c r="L28" i="6"/>
  <c r="F112" i="6"/>
  <c r="K112" i="6"/>
  <c r="U132" i="6"/>
  <c r="U131" i="6" s="1"/>
  <c r="G91" i="6"/>
  <c r="I91" i="6"/>
  <c r="F96" i="6"/>
  <c r="J96" i="6"/>
  <c r="K99" i="6"/>
  <c r="E102" i="6"/>
  <c r="I102" i="6"/>
  <c r="I12" i="6" s="1"/>
  <c r="P117" i="6"/>
  <c r="U117" i="6" s="1"/>
  <c r="L14" i="6"/>
  <c r="Q14" i="6"/>
  <c r="P17" i="6"/>
  <c r="Q17" i="6"/>
  <c r="I22" i="6"/>
  <c r="I19" i="6" s="1"/>
  <c r="E28" i="6"/>
  <c r="P14" i="6"/>
  <c r="Q19" i="6"/>
  <c r="K22" i="6"/>
  <c r="K19" i="6" s="1"/>
  <c r="J14" i="6"/>
  <c r="D49" i="3"/>
  <c r="U13" i="9"/>
  <c r="U12" i="9" s="1"/>
  <c r="K17" i="3"/>
  <c r="L91" i="6"/>
  <c r="O91" i="6"/>
  <c r="U91" i="6"/>
  <c r="N91" i="6"/>
  <c r="N19" i="6"/>
  <c r="D134" i="8"/>
  <c r="D133" i="8" s="1"/>
  <c r="N30" i="8"/>
  <c r="N23" i="8" s="1"/>
  <c r="N22" i="5"/>
  <c r="L22" i="5"/>
  <c r="N33" i="5"/>
  <c r="U36" i="5"/>
  <c r="U33" i="5" s="1"/>
  <c r="N37" i="2"/>
  <c r="O116" i="2"/>
  <c r="O37" i="2"/>
  <c r="O36" i="2" s="1"/>
  <c r="W36" i="2" s="1"/>
  <c r="O217" i="2"/>
  <c r="W217" i="2" s="1"/>
  <c r="L217" i="2"/>
  <c r="J217" i="2"/>
  <c r="O192" i="8"/>
  <c r="O191" i="8" s="1"/>
  <c r="P18" i="8"/>
  <c r="N69" i="8"/>
  <c r="O56" i="7"/>
  <c r="P22" i="6"/>
  <c r="M44" i="1"/>
  <c r="N185" i="1"/>
  <c r="N186" i="1"/>
  <c r="O136" i="1"/>
  <c r="O198" i="1" s="1"/>
  <c r="N38" i="7"/>
  <c r="B163" i="1"/>
  <c r="D163" i="1"/>
  <c r="F163" i="1"/>
  <c r="H163" i="1"/>
  <c r="K163" i="1"/>
  <c r="M163" i="1"/>
  <c r="O163" i="1"/>
  <c r="H52" i="2"/>
  <c r="J66" i="2"/>
  <c r="N284" i="2"/>
  <c r="P284" i="2"/>
  <c r="K137" i="2"/>
  <c r="O143" i="2"/>
  <c r="E179" i="2"/>
  <c r="G179" i="2"/>
  <c r="I179" i="2"/>
  <c r="K179" i="2"/>
  <c r="M31" i="1"/>
  <c r="O31" i="1"/>
  <c r="O90" i="1"/>
  <c r="C163" i="1"/>
  <c r="E163" i="1"/>
  <c r="G163" i="1"/>
  <c r="I163" i="1"/>
  <c r="L163" i="1"/>
  <c r="N163" i="1"/>
  <c r="R163" i="1"/>
  <c r="N53" i="2"/>
  <c r="N52" i="2" s="1"/>
  <c r="E55" i="2"/>
  <c r="M55" i="2" s="1"/>
  <c r="D253" i="2"/>
  <c r="D263" i="2"/>
  <c r="D259" i="2" s="1"/>
  <c r="E67" i="2"/>
  <c r="E66" i="2" s="1"/>
  <c r="N67" i="2"/>
  <c r="N66" i="2" s="1"/>
  <c r="U67" i="2"/>
  <c r="D70" i="2"/>
  <c r="L74" i="2"/>
  <c r="L73" i="2" s="1"/>
  <c r="K81" i="2"/>
  <c r="N81" i="2"/>
  <c r="N80" i="2" s="1"/>
  <c r="F88" i="2"/>
  <c r="H88" i="2"/>
  <c r="J88" i="2"/>
  <c r="O88" i="2"/>
  <c r="L106" i="2"/>
  <c r="L103" i="2" s="1"/>
  <c r="E119" i="2"/>
  <c r="E116" i="2" s="1"/>
  <c r="G116" i="2"/>
  <c r="I116" i="2"/>
  <c r="K116" i="2"/>
  <c r="P116" i="2"/>
  <c r="E126" i="2"/>
  <c r="M126" i="2" s="1"/>
  <c r="E128" i="2"/>
  <c r="E127" i="2" s="1"/>
  <c r="E292" i="2"/>
  <c r="G292" i="2"/>
  <c r="I292" i="2"/>
  <c r="K292" i="2"/>
  <c r="N292" i="2"/>
  <c r="P292" i="2"/>
  <c r="E299" i="2"/>
  <c r="E301" i="2"/>
  <c r="J131" i="2"/>
  <c r="F137" i="2"/>
  <c r="H137" i="2"/>
  <c r="J137" i="2"/>
  <c r="O304" i="2"/>
  <c r="E313" i="2"/>
  <c r="I310" i="2"/>
  <c r="J144" i="2"/>
  <c r="J143" i="2" s="1"/>
  <c r="N144" i="2"/>
  <c r="F143" i="2"/>
  <c r="H143" i="2"/>
  <c r="G152" i="2"/>
  <c r="I152" i="2"/>
  <c r="K152" i="2"/>
  <c r="N152" i="2"/>
  <c r="P152" i="2"/>
  <c r="E167" i="2"/>
  <c r="E164" i="2" s="1"/>
  <c r="U174" i="2"/>
  <c r="U173" i="2" s="1"/>
  <c r="E177" i="2"/>
  <c r="E173" i="2" s="1"/>
  <c r="I173" i="2"/>
  <c r="N179" i="2"/>
  <c r="P179" i="2"/>
  <c r="N188" i="2"/>
  <c r="F190" i="2"/>
  <c r="J190" i="2"/>
  <c r="E193" i="2"/>
  <c r="E190" i="2" s="1"/>
  <c r="O190" i="2"/>
  <c r="Q406" i="2"/>
  <c r="N58" i="1" s="1"/>
  <c r="F11" i="3"/>
  <c r="F30" i="3"/>
  <c r="H30" i="3"/>
  <c r="J30" i="3"/>
  <c r="L30" i="3"/>
  <c r="U43" i="3"/>
  <c r="U42" i="3" s="1"/>
  <c r="I49" i="3"/>
  <c r="E61" i="3"/>
  <c r="E60" i="3" s="1"/>
  <c r="O60" i="3"/>
  <c r="F66" i="3"/>
  <c r="H66" i="3"/>
  <c r="J66" i="3"/>
  <c r="L66" i="3"/>
  <c r="U66" i="3"/>
  <c r="O70" i="3"/>
  <c r="N72" i="3"/>
  <c r="L82" i="3"/>
  <c r="N84" i="3"/>
  <c r="P84" i="3"/>
  <c r="P90" i="3"/>
  <c r="D91" i="3"/>
  <c r="D90" i="3" s="1"/>
  <c r="U91" i="3"/>
  <c r="N102" i="3"/>
  <c r="L108" i="3"/>
  <c r="E115" i="3"/>
  <c r="D163" i="3"/>
  <c r="H10" i="5"/>
  <c r="G190" i="2"/>
  <c r="I190" i="2"/>
  <c r="K190" i="2"/>
  <c r="P190" i="2"/>
  <c r="E199" i="2"/>
  <c r="E196" i="2" s="1"/>
  <c r="I196" i="2"/>
  <c r="K196" i="2"/>
  <c r="N209" i="2"/>
  <c r="D218" i="2"/>
  <c r="D217" i="2" s="1"/>
  <c r="E227" i="2"/>
  <c r="I267" i="2"/>
  <c r="N236" i="2"/>
  <c r="N235" i="2" s="1"/>
  <c r="G242" i="2"/>
  <c r="O317" i="2"/>
  <c r="U319" i="2"/>
  <c r="E326" i="2"/>
  <c r="E328" i="2"/>
  <c r="U325" i="2"/>
  <c r="E331" i="2"/>
  <c r="E330" i="2" s="1"/>
  <c r="N345" i="2"/>
  <c r="E349" i="2"/>
  <c r="N474" i="2"/>
  <c r="N473" i="2" s="1"/>
  <c r="I48" i="3"/>
  <c r="I54" i="3"/>
  <c r="I9" i="3" s="1"/>
  <c r="K60" i="3"/>
  <c r="N60" i="3"/>
  <c r="O66" i="3"/>
  <c r="W66" i="3" s="1"/>
  <c r="D67" i="3"/>
  <c r="E106" i="3"/>
  <c r="E102" i="3" s="1"/>
  <c r="O108" i="3"/>
  <c r="N120" i="3"/>
  <c r="I120" i="3"/>
  <c r="N126" i="3"/>
  <c r="N10" i="3" s="1"/>
  <c r="I150" i="3"/>
  <c r="H156" i="3"/>
  <c r="U162" i="3"/>
  <c r="W174" i="3"/>
  <c r="W186" i="3"/>
  <c r="O27" i="5"/>
  <c r="Q27" i="5"/>
  <c r="E63" i="5"/>
  <c r="E62" i="5" s="1"/>
  <c r="G63" i="5"/>
  <c r="G62" i="5" s="1"/>
  <c r="K63" i="5"/>
  <c r="K62" i="5" s="1"/>
  <c r="Q62" i="5"/>
  <c r="P69" i="5"/>
  <c r="P19" i="6"/>
  <c r="F30" i="6"/>
  <c r="C96" i="1" s="1"/>
  <c r="J30" i="6"/>
  <c r="L30" i="6"/>
  <c r="O30" i="6"/>
  <c r="L112" i="6"/>
  <c r="G12" i="7"/>
  <c r="G11" i="7" s="1"/>
  <c r="I12" i="7"/>
  <c r="I11" i="7" s="1"/>
  <c r="E17" i="7"/>
  <c r="I17" i="7"/>
  <c r="E41" i="7"/>
  <c r="E38" i="7" s="1"/>
  <c r="Q44" i="7"/>
  <c r="D190" i="8"/>
  <c r="D211" i="8"/>
  <c r="D210" i="8" s="1"/>
  <c r="P96" i="3"/>
  <c r="J102" i="3"/>
  <c r="G102" i="3"/>
  <c r="F108" i="3"/>
  <c r="H108" i="3"/>
  <c r="F115" i="3"/>
  <c r="F114" i="3" s="1"/>
  <c r="J115" i="3"/>
  <c r="J114" i="3" s="1"/>
  <c r="J120" i="3"/>
  <c r="F150" i="3"/>
  <c r="H150" i="3"/>
  <c r="E150" i="3"/>
  <c r="N150" i="3"/>
  <c r="E163" i="3"/>
  <c r="G162" i="3"/>
  <c r="K162" i="3"/>
  <c r="P162" i="3"/>
  <c r="F162" i="3"/>
  <c r="H162" i="3"/>
  <c r="J162" i="3"/>
  <c r="L162" i="3"/>
  <c r="O162" i="3"/>
  <c r="Q162" i="3"/>
  <c r="U174" i="3"/>
  <c r="E181" i="3"/>
  <c r="G180" i="3"/>
  <c r="I180" i="3"/>
  <c r="K180" i="3"/>
  <c r="N180" i="3"/>
  <c r="P180" i="3"/>
  <c r="F180" i="3"/>
  <c r="H180" i="3"/>
  <c r="J180" i="3"/>
  <c r="O180" i="3"/>
  <c r="Q180" i="3"/>
  <c r="E23" i="5"/>
  <c r="E22" i="5" s="1"/>
  <c r="E39" i="5"/>
  <c r="N38" i="5"/>
  <c r="E45" i="5"/>
  <c r="E44" i="5" s="1"/>
  <c r="L64" i="5"/>
  <c r="I69" i="1" s="1"/>
  <c r="P63" i="5"/>
  <c r="P62" i="5" s="1"/>
  <c r="E70" i="5"/>
  <c r="G70" i="5"/>
  <c r="I70" i="5"/>
  <c r="N94" i="5"/>
  <c r="N90" i="5" s="1"/>
  <c r="E31" i="6"/>
  <c r="K97" i="6"/>
  <c r="N96" i="6"/>
  <c r="L103" i="6"/>
  <c r="L102" i="6" s="1"/>
  <c r="L12" i="6" s="1"/>
  <c r="F102" i="6"/>
  <c r="H102" i="6"/>
  <c r="H12" i="6" s="1"/>
  <c r="J102" i="6"/>
  <c r="O102" i="6"/>
  <c r="D105" i="6"/>
  <c r="D108" i="6"/>
  <c r="D107" i="6" s="1"/>
  <c r="Q112" i="6"/>
  <c r="J117" i="6"/>
  <c r="L117" i="6"/>
  <c r="E113" i="6"/>
  <c r="G113" i="6"/>
  <c r="D58" i="1" s="1"/>
  <c r="I113" i="6"/>
  <c r="Q32" i="7"/>
  <c r="L50" i="7"/>
  <c r="E53" i="7"/>
  <c r="E50" i="7" s="1"/>
  <c r="O50" i="7"/>
  <c r="U183" i="8"/>
  <c r="U181" i="8" s="1"/>
  <c r="O181" i="8"/>
  <c r="P68" i="7"/>
  <c r="R68" i="7"/>
  <c r="L16" i="7"/>
  <c r="O16" i="7"/>
  <c r="O15" i="7" s="1"/>
  <c r="K85" i="7"/>
  <c r="G12" i="8"/>
  <c r="K16" i="8"/>
  <c r="H20" i="1" s="1"/>
  <c r="H123" i="1" s="1"/>
  <c r="H189" i="1" s="1"/>
  <c r="L30" i="8"/>
  <c r="O30" i="8"/>
  <c r="F127" i="8"/>
  <c r="E154" i="8"/>
  <c r="G154" i="8"/>
  <c r="I154" i="8"/>
  <c r="K154" i="8"/>
  <c r="N154" i="8"/>
  <c r="P154" i="8"/>
  <c r="R154" i="8"/>
  <c r="E167" i="8"/>
  <c r="I167" i="8"/>
  <c r="K167" i="8"/>
  <c r="D174" i="8"/>
  <c r="U185" i="8"/>
  <c r="U184" i="8" s="1"/>
  <c r="G192" i="8"/>
  <c r="G191" i="8" s="1"/>
  <c r="I192" i="8"/>
  <c r="I191" i="8" s="1"/>
  <c r="K192" i="8"/>
  <c r="K191" i="8" s="1"/>
  <c r="E198" i="8"/>
  <c r="E183" i="8" s="1"/>
  <c r="E181" i="8" s="1"/>
  <c r="I198" i="8"/>
  <c r="I183" i="8" s="1"/>
  <c r="I181" i="8" s="1"/>
  <c r="K198" i="8"/>
  <c r="K183" i="8" s="1"/>
  <c r="K181" i="8" s="1"/>
  <c r="U22" i="9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L61" i="8"/>
  <c r="O61" i="8"/>
  <c r="K69" i="8"/>
  <c r="P69" i="8"/>
  <c r="O82" i="8"/>
  <c r="H113" i="8"/>
  <c r="K117" i="8"/>
  <c r="K113" i="8" s="1"/>
  <c r="D141" i="8"/>
  <c r="D140" i="8" s="1"/>
  <c r="E140" i="8"/>
  <c r="G140" i="8"/>
  <c r="I140" i="8"/>
  <c r="K140" i="8"/>
  <c r="N140" i="8"/>
  <c r="P140" i="8"/>
  <c r="P10" i="8" s="1"/>
  <c r="R140" i="8"/>
  <c r="R10" i="8" s="1"/>
  <c r="D185" i="8"/>
  <c r="D184" i="8" s="1"/>
  <c r="H183" i="8"/>
  <c r="H181" i="8" s="1"/>
  <c r="L183" i="8"/>
  <c r="L181" i="8" s="1"/>
  <c r="D206" i="8"/>
  <c r="D205" i="8" s="1"/>
  <c r="G183" i="8"/>
  <c r="G181" i="8" s="1"/>
  <c r="U10" i="9"/>
  <c r="K11" i="9"/>
  <c r="D16" i="9"/>
  <c r="N23" i="9"/>
  <c r="F22" i="9"/>
  <c r="H22" i="9"/>
  <c r="J25" i="9"/>
  <c r="N32" i="9"/>
  <c r="H116" i="9"/>
  <c r="L116" i="9"/>
  <c r="F31" i="9"/>
  <c r="F10" i="9" s="1"/>
  <c r="H31" i="9"/>
  <c r="H10" i="9" s="1"/>
  <c r="J31" i="9"/>
  <c r="J10" i="9" s="1"/>
  <c r="U40" i="9"/>
  <c r="N43" i="9"/>
  <c r="P40" i="9"/>
  <c r="K62" i="9"/>
  <c r="K61" i="9" s="1"/>
  <c r="D79" i="9"/>
  <c r="D80" i="9"/>
  <c r="I82" i="9"/>
  <c r="D116" i="9"/>
  <c r="F116" i="9"/>
  <c r="J116" i="9"/>
  <c r="C196" i="1"/>
  <c r="E196" i="1"/>
  <c r="G196" i="1"/>
  <c r="I196" i="1"/>
  <c r="N196" i="1"/>
  <c r="F141" i="1"/>
  <c r="F203" i="1" s="1"/>
  <c r="H141" i="1"/>
  <c r="H203" i="1" s="1"/>
  <c r="M141" i="1"/>
  <c r="M203" i="1" s="1"/>
  <c r="C135" i="1"/>
  <c r="C197" i="1" s="1"/>
  <c r="E135" i="1"/>
  <c r="E197" i="1" s="1"/>
  <c r="N135" i="1"/>
  <c r="N197" i="1" s="1"/>
  <c r="B200" i="1"/>
  <c r="B139" i="1"/>
  <c r="D139" i="1"/>
  <c r="D201" i="1" s="1"/>
  <c r="F139" i="1"/>
  <c r="F201" i="1" s="1"/>
  <c r="H139" i="1"/>
  <c r="H201" i="1" s="1"/>
  <c r="M139" i="1"/>
  <c r="M201" i="1" s="1"/>
  <c r="O139" i="1"/>
  <c r="O201" i="1" s="1"/>
  <c r="B190" i="1"/>
  <c r="B196" i="1"/>
  <c r="D196" i="1"/>
  <c r="F196" i="1"/>
  <c r="H196" i="1"/>
  <c r="K196" i="1"/>
  <c r="M196" i="1"/>
  <c r="O196" i="1"/>
  <c r="C141" i="1"/>
  <c r="C203" i="1" s="1"/>
  <c r="L141" i="1"/>
  <c r="L203" i="1" s="1"/>
  <c r="B202" i="1"/>
  <c r="D135" i="1"/>
  <c r="D197" i="1" s="1"/>
  <c r="M135" i="1"/>
  <c r="M197" i="1" s="1"/>
  <c r="O135" i="1"/>
  <c r="O197" i="1" s="1"/>
  <c r="C139" i="1"/>
  <c r="C201" i="1" s="1"/>
  <c r="E139" i="1"/>
  <c r="E201" i="1" s="1"/>
  <c r="N139" i="1"/>
  <c r="N201" i="1" s="1"/>
  <c r="E38" i="2"/>
  <c r="D299" i="2"/>
  <c r="D301" i="2"/>
  <c r="C59" i="1"/>
  <c r="C57" i="1" s="1"/>
  <c r="E59" i="1"/>
  <c r="D279" i="2"/>
  <c r="D277" i="2" s="1"/>
  <c r="D276" i="2" s="1"/>
  <c r="D49" i="2"/>
  <c r="D399" i="2"/>
  <c r="N487" i="2"/>
  <c r="N486" i="2" s="1"/>
  <c r="Q11" i="3"/>
  <c r="N31" i="3"/>
  <c r="D34" i="3"/>
  <c r="N34" i="3"/>
  <c r="N43" i="3"/>
  <c r="N42" i="3" s="1"/>
  <c r="N49" i="3"/>
  <c r="I61" i="3"/>
  <c r="I60" i="3" s="1"/>
  <c r="I19" i="3"/>
  <c r="W78" i="3"/>
  <c r="N82" i="3"/>
  <c r="O94" i="3"/>
  <c r="O90" i="3" s="1"/>
  <c r="W90" i="3" s="1"/>
  <c r="U95" i="3"/>
  <c r="U94" i="3" s="1"/>
  <c r="U90" i="3" s="1"/>
  <c r="I111" i="3"/>
  <c r="I108" i="3" s="1"/>
  <c r="E118" i="3"/>
  <c r="E114" i="3" s="1"/>
  <c r="O118" i="3"/>
  <c r="O114" i="3" s="1"/>
  <c r="U119" i="3"/>
  <c r="U118" i="3" s="1"/>
  <c r="E123" i="3"/>
  <c r="E120" i="3" s="1"/>
  <c r="G123" i="3"/>
  <c r="G120" i="3" s="1"/>
  <c r="L53" i="2"/>
  <c r="L52" i="2" s="1"/>
  <c r="E62" i="2"/>
  <c r="E59" i="2" s="1"/>
  <c r="E76" i="2"/>
  <c r="E73" i="2" s="1"/>
  <c r="K85" i="2"/>
  <c r="K80" i="2" s="1"/>
  <c r="L89" i="2"/>
  <c r="L88" i="2" s="1"/>
  <c r="E92" i="2"/>
  <c r="E88" i="2" s="1"/>
  <c r="I97" i="2"/>
  <c r="N97" i="2"/>
  <c r="N96" i="2" s="1"/>
  <c r="I100" i="2"/>
  <c r="G123" i="2"/>
  <c r="G125" i="2"/>
  <c r="N305" i="2"/>
  <c r="N304" i="2" s="1"/>
  <c r="D305" i="2"/>
  <c r="D304" i="2" s="1"/>
  <c r="E308" i="2"/>
  <c r="E304" i="2" s="1"/>
  <c r="L144" i="2"/>
  <c r="L143" i="2" s="1"/>
  <c r="I146" i="2"/>
  <c r="I143" i="2" s="1"/>
  <c r="E156" i="2"/>
  <c r="E152" i="2" s="1"/>
  <c r="I165" i="2"/>
  <c r="I164" i="2" s="1"/>
  <c r="J188" i="2"/>
  <c r="J185" i="2" s="1"/>
  <c r="L188" i="2"/>
  <c r="L196" i="2"/>
  <c r="O196" i="2"/>
  <c r="N199" i="2"/>
  <c r="L209" i="2"/>
  <c r="N268" i="2"/>
  <c r="N267" i="2" s="1"/>
  <c r="L236" i="2"/>
  <c r="L239" i="2"/>
  <c r="U365" i="2"/>
  <c r="O422" i="2"/>
  <c r="O421" i="2" s="1"/>
  <c r="W421" i="2" s="1"/>
  <c r="N442" i="2"/>
  <c r="N441" i="2" s="1"/>
  <c r="E450" i="2"/>
  <c r="E449" i="2" s="1"/>
  <c r="N450" i="2"/>
  <c r="N449" i="2" s="1"/>
  <c r="D412" i="2"/>
  <c r="N454" i="2"/>
  <c r="N453" i="2" s="1"/>
  <c r="L478" i="2"/>
  <c r="L477" i="2" s="1"/>
  <c r="N490" i="2"/>
  <c r="O498" i="2"/>
  <c r="W498" i="2" s="1"/>
  <c r="W23" i="3"/>
  <c r="D32" i="3"/>
  <c r="D31" i="3" s="1"/>
  <c r="E31" i="3"/>
  <c r="E30" i="3" s="1"/>
  <c r="E9" i="3" s="1"/>
  <c r="N51" i="3"/>
  <c r="N78" i="3"/>
  <c r="D85" i="3"/>
  <c r="D84" i="3" s="1"/>
  <c r="L85" i="3"/>
  <c r="L84" i="3" s="1"/>
  <c r="L151" i="3"/>
  <c r="L150" i="3" s="1"/>
  <c r="L14" i="3"/>
  <c r="I19" i="1" s="1"/>
  <c r="I122" i="1" s="1"/>
  <c r="I184" i="1" s="1"/>
  <c r="U151" i="3"/>
  <c r="U150" i="3" s="1"/>
  <c r="O151" i="3"/>
  <c r="O150" i="3" s="1"/>
  <c r="O14" i="3"/>
  <c r="G114" i="3"/>
  <c r="I114" i="3"/>
  <c r="U114" i="3"/>
  <c r="E19" i="3"/>
  <c r="D190" i="3"/>
  <c r="E190" i="3"/>
  <c r="B66" i="1"/>
  <c r="K67" i="1"/>
  <c r="K124" i="1" s="1"/>
  <c r="F10" i="5"/>
  <c r="J10" i="5"/>
  <c r="D25" i="5"/>
  <c r="D22" i="5" s="1"/>
  <c r="G10" i="5"/>
  <c r="I10" i="5"/>
  <c r="K10" i="5"/>
  <c r="P10" i="5"/>
  <c r="D39" i="5"/>
  <c r="E38" i="5"/>
  <c r="U61" i="5"/>
  <c r="U59" i="5" s="1"/>
  <c r="O59" i="5"/>
  <c r="L91" i="5"/>
  <c r="L90" i="5" s="1"/>
  <c r="L72" i="5"/>
  <c r="K14" i="6"/>
  <c r="N71" i="6"/>
  <c r="D103" i="6"/>
  <c r="D102" i="6" s="1"/>
  <c r="K103" i="6"/>
  <c r="K102" i="6" s="1"/>
  <c r="K12" i="6" s="1"/>
  <c r="N103" i="6"/>
  <c r="N102" i="6" s="1"/>
  <c r="H112" i="6"/>
  <c r="N132" i="6"/>
  <c r="N131" i="6" s="1"/>
  <c r="N117" i="6"/>
  <c r="J132" i="6"/>
  <c r="J131" i="6" s="1"/>
  <c r="D30" i="7"/>
  <c r="J29" i="7"/>
  <c r="J28" i="7" s="1"/>
  <c r="L29" i="7"/>
  <c r="L28" i="7" s="1"/>
  <c r="L21" i="7"/>
  <c r="E33" i="7"/>
  <c r="N36" i="7"/>
  <c r="N32" i="7" s="1"/>
  <c r="K53" i="7"/>
  <c r="K50" i="7" s="1"/>
  <c r="K21" i="7"/>
  <c r="K20" i="7" s="1"/>
  <c r="K17" i="7" s="1"/>
  <c r="N53" i="7"/>
  <c r="N50" i="7" s="1"/>
  <c r="L80" i="7"/>
  <c r="U82" i="7"/>
  <c r="U81" i="7" s="1"/>
  <c r="U80" i="7" s="1"/>
  <c r="O81" i="7"/>
  <c r="O80" i="7" s="1"/>
  <c r="O10" i="7"/>
  <c r="O8" i="7" s="1"/>
  <c r="J18" i="8"/>
  <c r="O18" i="8"/>
  <c r="Q18" i="8"/>
  <c r="L10" i="8"/>
  <c r="I40" i="8"/>
  <c r="I35" i="8" s="1"/>
  <c r="I21" i="8"/>
  <c r="E45" i="8"/>
  <c r="E44" i="8" s="1"/>
  <c r="I9" i="9"/>
  <c r="I8" i="9" s="1"/>
  <c r="E178" i="3"/>
  <c r="E174" i="3" s="1"/>
  <c r="E195" i="3"/>
  <c r="N30" i="5"/>
  <c r="L70" i="5"/>
  <c r="L69" i="5" s="1"/>
  <c r="D78" i="5"/>
  <c r="I61" i="5"/>
  <c r="I54" i="5" s="1"/>
  <c r="I77" i="5"/>
  <c r="I76" i="5" s="1"/>
  <c r="D76" i="5" s="1"/>
  <c r="I66" i="5"/>
  <c r="F63" i="1" s="1"/>
  <c r="D81" i="5"/>
  <c r="J80" i="5"/>
  <c r="D80" i="5" s="1"/>
  <c r="L98" i="5"/>
  <c r="L97" i="5" s="1"/>
  <c r="L65" i="5"/>
  <c r="L63" i="5" s="1"/>
  <c r="L62" i="5" s="1"/>
  <c r="L61" i="5"/>
  <c r="L54" i="5" s="1"/>
  <c r="O14" i="6"/>
  <c r="D16" i="6"/>
  <c r="B19" i="1"/>
  <c r="U70" i="6"/>
  <c r="U69" i="6" s="1"/>
  <c r="O70" i="6"/>
  <c r="O69" i="6" s="1"/>
  <c r="D83" i="6"/>
  <c r="D82" i="6" s="1"/>
  <c r="D81" i="6" s="1"/>
  <c r="N83" i="6"/>
  <c r="L97" i="6"/>
  <c r="L96" i="6" s="1"/>
  <c r="O97" i="6"/>
  <c r="O96" i="6" s="1"/>
  <c r="G112" i="6"/>
  <c r="N113" i="6"/>
  <c r="D25" i="7"/>
  <c r="E24" i="7"/>
  <c r="E23" i="7" s="1"/>
  <c r="E10" i="7"/>
  <c r="K10" i="7"/>
  <c r="K14" i="7"/>
  <c r="E45" i="7"/>
  <c r="E44" i="7" s="1"/>
  <c r="D77" i="7"/>
  <c r="N77" i="7"/>
  <c r="N74" i="7" s="1"/>
  <c r="E23" i="8"/>
  <c r="G23" i="8"/>
  <c r="J14" i="8"/>
  <c r="U40" i="8"/>
  <c r="U35" i="8" s="1"/>
  <c r="D62" i="8"/>
  <c r="K62" i="8"/>
  <c r="K25" i="8"/>
  <c r="D65" i="8"/>
  <c r="K65" i="8"/>
  <c r="H11" i="8"/>
  <c r="E108" i="8"/>
  <c r="M108" i="8" s="1"/>
  <c r="F107" i="8"/>
  <c r="F106" i="8" s="1"/>
  <c r="F10" i="8" s="1"/>
  <c r="J114" i="8"/>
  <c r="J26" i="8"/>
  <c r="G34" i="1" s="1"/>
  <c r="G139" i="1" s="1"/>
  <c r="G201" i="1" s="1"/>
  <c r="L114" i="8"/>
  <c r="L113" i="8" s="1"/>
  <c r="L26" i="8"/>
  <c r="O114" i="8"/>
  <c r="O113" i="8" s="1"/>
  <c r="J117" i="8"/>
  <c r="J32" i="8"/>
  <c r="D130" i="8"/>
  <c r="D127" i="8" s="1"/>
  <c r="I130" i="8"/>
  <c r="I127" i="8" s="1"/>
  <c r="I118" i="8"/>
  <c r="M118" i="8" s="1"/>
  <c r="K137" i="8"/>
  <c r="K136" i="8" s="1"/>
  <c r="R11" i="8"/>
  <c r="O14" i="1" s="1"/>
  <c r="G9" i="9"/>
  <c r="J23" i="9"/>
  <c r="J22" i="9" s="1"/>
  <c r="J13" i="9"/>
  <c r="J12" i="9" s="1"/>
  <c r="J11" i="9" s="1"/>
  <c r="L23" i="9"/>
  <c r="L22" i="9" s="1"/>
  <c r="L13" i="9"/>
  <c r="F9" i="9"/>
  <c r="H9" i="9"/>
  <c r="N96" i="9"/>
  <c r="N93" i="9" s="1"/>
  <c r="J54" i="3"/>
  <c r="L54" i="3"/>
  <c r="O54" i="3"/>
  <c r="W54" i="3" s="1"/>
  <c r="N67" i="3"/>
  <c r="N66" i="3" s="1"/>
  <c r="D79" i="3"/>
  <c r="L79" i="3"/>
  <c r="L78" i="3" s="1"/>
  <c r="N90" i="3"/>
  <c r="J108" i="3"/>
  <c r="K114" i="3"/>
  <c r="P114" i="3"/>
  <c r="W126" i="3"/>
  <c r="D129" i="3"/>
  <c r="E127" i="3"/>
  <c r="E126" i="3" s="1"/>
  <c r="E10" i="3" s="1"/>
  <c r="E159" i="3"/>
  <c r="E156" i="3" s="1"/>
  <c r="E166" i="3"/>
  <c r="E162" i="3" s="1"/>
  <c r="E183" i="3"/>
  <c r="E180" i="3" s="1"/>
  <c r="E187" i="3"/>
  <c r="E186" i="3" s="1"/>
  <c r="E192" i="3"/>
  <c r="N192" i="3"/>
  <c r="K75" i="1"/>
  <c r="U23" i="5"/>
  <c r="U22" i="5" s="1"/>
  <c r="U14" i="5"/>
  <c r="U13" i="5" s="1"/>
  <c r="E15" i="5"/>
  <c r="N15" i="5"/>
  <c r="K27" i="1"/>
  <c r="K126" i="1" s="1"/>
  <c r="D41" i="5"/>
  <c r="D38" i="5" s="1"/>
  <c r="N63" i="5"/>
  <c r="U63" i="5"/>
  <c r="U62" i="5" s="1"/>
  <c r="D65" i="5"/>
  <c r="N85" i="5"/>
  <c r="N84" i="5" s="1"/>
  <c r="N61" i="5"/>
  <c r="K71" i="5"/>
  <c r="K70" i="5" s="1"/>
  <c r="N70" i="5"/>
  <c r="N69" i="5" s="1"/>
  <c r="K74" i="5"/>
  <c r="K18" i="6"/>
  <c r="O78" i="6"/>
  <c r="O77" i="6" s="1"/>
  <c r="E92" i="6"/>
  <c r="E91" i="6" s="1"/>
  <c r="D94" i="6"/>
  <c r="E96" i="6"/>
  <c r="G96" i="6"/>
  <c r="I96" i="6"/>
  <c r="K96" i="6"/>
  <c r="P96" i="6"/>
  <c r="O124" i="6"/>
  <c r="O123" i="6" s="1"/>
  <c r="D128" i="6"/>
  <c r="D127" i="6" s="1"/>
  <c r="J128" i="6"/>
  <c r="J127" i="6" s="1"/>
  <c r="J113" i="6" s="1"/>
  <c r="U128" i="6"/>
  <c r="U127" i="6" s="1"/>
  <c r="O128" i="6"/>
  <c r="O127" i="6" s="1"/>
  <c r="O113" i="6" s="1"/>
  <c r="U113" i="6" s="1"/>
  <c r="U10" i="7"/>
  <c r="U8" i="7" s="1"/>
  <c r="J33" i="7"/>
  <c r="J32" i="7" s="1"/>
  <c r="J14" i="7"/>
  <c r="L33" i="7"/>
  <c r="L32" i="7" s="1"/>
  <c r="L14" i="7"/>
  <c r="O33" i="7"/>
  <c r="O32" i="7" s="1"/>
  <c r="O14" i="7"/>
  <c r="U14" i="7" s="1"/>
  <c r="F18" i="7"/>
  <c r="H18" i="7"/>
  <c r="L19" i="7"/>
  <c r="O19" i="7"/>
  <c r="L78" i="1" s="1"/>
  <c r="D69" i="7"/>
  <c r="N69" i="7"/>
  <c r="N68" i="7" s="1"/>
  <c r="I74" i="7"/>
  <c r="K74" i="7"/>
  <c r="P74" i="7"/>
  <c r="E80" i="7"/>
  <c r="J80" i="7"/>
  <c r="Q80" i="7"/>
  <c r="K14" i="8"/>
  <c r="N14" i="8"/>
  <c r="L13" i="8"/>
  <c r="L12" i="8" s="1"/>
  <c r="Q13" i="8"/>
  <c r="P24" i="8"/>
  <c r="P23" i="8" s="1"/>
  <c r="R24" i="8"/>
  <c r="R23" i="8" s="1"/>
  <c r="K33" i="8"/>
  <c r="H43" i="1" s="1"/>
  <c r="E36" i="8"/>
  <c r="E35" i="8" s="1"/>
  <c r="E16" i="8"/>
  <c r="B20" i="1" s="1"/>
  <c r="K40" i="8"/>
  <c r="K35" i="8" s="1"/>
  <c r="K20" i="8"/>
  <c r="K18" i="8" s="1"/>
  <c r="N40" i="8"/>
  <c r="N35" i="8" s="1"/>
  <c r="J25" i="8"/>
  <c r="E54" i="8"/>
  <c r="E11" i="8" s="1"/>
  <c r="I54" i="8"/>
  <c r="K54" i="8"/>
  <c r="N54" i="8"/>
  <c r="J72" i="8"/>
  <c r="J69" i="8" s="1"/>
  <c r="O72" i="8"/>
  <c r="O69" i="8" s="1"/>
  <c r="L83" i="8"/>
  <c r="L82" i="8" s="1"/>
  <c r="U83" i="8"/>
  <c r="U82" i="8" s="1"/>
  <c r="P83" i="8"/>
  <c r="P82" i="8" s="1"/>
  <c r="P17" i="8"/>
  <c r="K93" i="8"/>
  <c r="U94" i="8"/>
  <c r="I16" i="8"/>
  <c r="F20" i="1" s="1"/>
  <c r="F123" i="1" s="1"/>
  <c r="F189" i="1" s="1"/>
  <c r="G11" i="8"/>
  <c r="E9" i="9"/>
  <c r="E8" i="9" s="1"/>
  <c r="N15" i="9"/>
  <c r="N14" i="9" s="1"/>
  <c r="U15" i="9"/>
  <c r="U14" i="9" s="1"/>
  <c r="P14" i="9"/>
  <c r="P11" i="9" s="1"/>
  <c r="R14" i="9"/>
  <c r="R11" i="9" s="1"/>
  <c r="P9" i="9"/>
  <c r="P8" i="9" s="1"/>
  <c r="L43" i="9"/>
  <c r="L40" i="9" s="1"/>
  <c r="L15" i="9"/>
  <c r="L14" i="9" s="1"/>
  <c r="U116" i="9"/>
  <c r="O116" i="9"/>
  <c r="U103" i="6"/>
  <c r="U102" i="6" s="1"/>
  <c r="N77" i="8"/>
  <c r="N74" i="8"/>
  <c r="D85" i="8"/>
  <c r="K85" i="8"/>
  <c r="K82" i="8" s="1"/>
  <c r="N85" i="8"/>
  <c r="N82" i="8" s="1"/>
  <c r="N93" i="8"/>
  <c r="K99" i="8"/>
  <c r="E117" i="8"/>
  <c r="E113" i="8" s="1"/>
  <c r="N121" i="8"/>
  <c r="D122" i="8"/>
  <c r="D121" i="8" s="1"/>
  <c r="L122" i="8"/>
  <c r="L121" i="8" s="1"/>
  <c r="D173" i="8"/>
  <c r="N211" i="8"/>
  <c r="N210" i="8" s="1"/>
  <c r="N183" i="8" s="1"/>
  <c r="L214" i="8"/>
  <c r="L213" i="8" s="1"/>
  <c r="L196" i="8"/>
  <c r="I77" i="1" s="1"/>
  <c r="D218" i="8"/>
  <c r="D217" i="8" s="1"/>
  <c r="D183" i="8" s="1"/>
  <c r="D181" i="8" s="1"/>
  <c r="N25" i="9"/>
  <c r="N22" i="9" s="1"/>
  <c r="J19" i="9"/>
  <c r="L19" i="9"/>
  <c r="O17" i="9"/>
  <c r="D32" i="9"/>
  <c r="D31" i="9" s="1"/>
  <c r="D10" i="9" s="1"/>
  <c r="L32" i="9"/>
  <c r="L31" i="9" s="1"/>
  <c r="L10" i="9" s="1"/>
  <c r="N34" i="9"/>
  <c r="N31" i="9" s="1"/>
  <c r="N10" i="9" s="1"/>
  <c r="Q9" i="9"/>
  <c r="D41" i="9"/>
  <c r="K41" i="9"/>
  <c r="K40" i="9" s="1"/>
  <c r="K9" i="9" s="1"/>
  <c r="K8" i="9" s="1"/>
  <c r="N41" i="9"/>
  <c r="N40" i="9" s="1"/>
  <c r="U59" i="9"/>
  <c r="U56" i="9" s="1"/>
  <c r="D82" i="9"/>
  <c r="Q116" i="9"/>
  <c r="M19" i="9" l="1"/>
  <c r="D19" i="9" s="1"/>
  <c r="Q11" i="8"/>
  <c r="M185" i="8"/>
  <c r="M184" i="8" s="1"/>
  <c r="J64" i="1"/>
  <c r="R64" i="1" s="1"/>
  <c r="M20" i="8"/>
  <c r="U110" i="8"/>
  <c r="U106" i="8" s="1"/>
  <c r="U18" i="8"/>
  <c r="O99" i="8"/>
  <c r="M16" i="8"/>
  <c r="F11" i="8"/>
  <c r="E96" i="1"/>
  <c r="M192" i="8"/>
  <c r="M191" i="8" s="1"/>
  <c r="J77" i="1"/>
  <c r="R77" i="1" s="1"/>
  <c r="M121" i="8"/>
  <c r="M21" i="8"/>
  <c r="R33" i="1"/>
  <c r="R134" i="1" s="1"/>
  <c r="G10" i="8"/>
  <c r="M32" i="8"/>
  <c r="U17" i="8"/>
  <c r="M26" i="8"/>
  <c r="D50" i="7"/>
  <c r="M51" i="7"/>
  <c r="D74" i="7"/>
  <c r="D68" i="7"/>
  <c r="E32" i="7"/>
  <c r="M50" i="7"/>
  <c r="D87" i="7"/>
  <c r="M86" i="7"/>
  <c r="M45" i="7"/>
  <c r="D46" i="7"/>
  <c r="D45" i="7" s="1"/>
  <c r="M13" i="7"/>
  <c r="D34" i="7"/>
  <c r="D13" i="7" s="1"/>
  <c r="M24" i="7"/>
  <c r="M23" i="7" s="1"/>
  <c r="M14" i="7"/>
  <c r="M10" i="7"/>
  <c r="M8" i="7" s="1"/>
  <c r="D49" i="7"/>
  <c r="D48" i="7" s="1"/>
  <c r="M48" i="7"/>
  <c r="M36" i="7"/>
  <c r="D37" i="7"/>
  <c r="M16" i="7"/>
  <c r="M15" i="7" s="1"/>
  <c r="M41" i="7"/>
  <c r="M38" i="7" s="1"/>
  <c r="D42" i="7"/>
  <c r="D41" i="7" s="1"/>
  <c r="D38" i="7" s="1"/>
  <c r="M21" i="7"/>
  <c r="M20" i="7" s="1"/>
  <c r="D35" i="7"/>
  <c r="D33" i="7" s="1"/>
  <c r="M33" i="7"/>
  <c r="M88" i="7"/>
  <c r="M85" i="7" s="1"/>
  <c r="D89" i="7"/>
  <c r="D88" i="7" s="1"/>
  <c r="M83" i="7"/>
  <c r="D84" i="7"/>
  <c r="D83" i="7" s="1"/>
  <c r="D82" i="7"/>
  <c r="D81" i="7" s="1"/>
  <c r="M81" i="7"/>
  <c r="M19" i="7"/>
  <c r="E25" i="6"/>
  <c r="M112" i="6"/>
  <c r="O11" i="6"/>
  <c r="I14" i="6"/>
  <c r="I13" i="6" s="1"/>
  <c r="J12" i="6"/>
  <c r="F12" i="6"/>
  <c r="D31" i="6"/>
  <c r="D41" i="6"/>
  <c r="F11" i="6"/>
  <c r="M96" i="1"/>
  <c r="D12" i="6"/>
  <c r="D96" i="1"/>
  <c r="G11" i="6"/>
  <c r="G10" i="6" s="1"/>
  <c r="H96" i="1"/>
  <c r="K96" i="1"/>
  <c r="E74" i="1"/>
  <c r="E73" i="1" s="1"/>
  <c r="E84" i="1" s="1"/>
  <c r="O407" i="2"/>
  <c r="W429" i="2"/>
  <c r="W396" i="2"/>
  <c r="W80" i="2"/>
  <c r="O10" i="2"/>
  <c r="W378" i="2"/>
  <c r="U407" i="2"/>
  <c r="J316" i="2"/>
  <c r="H11" i="2"/>
  <c r="P407" i="2"/>
  <c r="M59" i="1" s="1"/>
  <c r="M57" i="1" s="1"/>
  <c r="I20" i="2"/>
  <c r="F27" i="1" s="1"/>
  <c r="F126" i="1" s="1"/>
  <c r="F187" i="1" s="1"/>
  <c r="D492" i="2"/>
  <c r="D491" i="2" s="1"/>
  <c r="D490" i="2" s="1"/>
  <c r="M491" i="2"/>
  <c r="U499" i="2"/>
  <c r="U498" i="2" s="1"/>
  <c r="U491" i="2"/>
  <c r="U490" i="2" s="1"/>
  <c r="J352" i="2"/>
  <c r="K11" i="2"/>
  <c r="J11" i="2"/>
  <c r="F11" i="2"/>
  <c r="P11" i="2"/>
  <c r="P9" i="2" s="1"/>
  <c r="O17" i="6"/>
  <c r="O13" i="6" s="1"/>
  <c r="E352" i="2"/>
  <c r="F44" i="1"/>
  <c r="F145" i="1" s="1"/>
  <c r="F207" i="1" s="1"/>
  <c r="R30" i="2"/>
  <c r="R144" i="1"/>
  <c r="R206" i="1" s="1"/>
  <c r="F11" i="9"/>
  <c r="O11" i="2"/>
  <c r="E20" i="2"/>
  <c r="N136" i="1"/>
  <c r="N198" i="1" s="1"/>
  <c r="N208" i="1" s="1"/>
  <c r="O387" i="2"/>
  <c r="W387" i="2" s="1"/>
  <c r="S123" i="1"/>
  <c r="P344" i="2"/>
  <c r="M229" i="2"/>
  <c r="D124" i="2"/>
  <c r="D123" i="2" s="1"/>
  <c r="D102" i="2"/>
  <c r="D100" i="2" s="1"/>
  <c r="G30" i="2"/>
  <c r="G23" i="2" s="1"/>
  <c r="D97" i="1" s="1"/>
  <c r="E310" i="2"/>
  <c r="E284" i="2"/>
  <c r="R68" i="1"/>
  <c r="F30" i="2"/>
  <c r="O14" i="2"/>
  <c r="L18" i="1" s="1"/>
  <c r="L120" i="1" s="1"/>
  <c r="L182" i="1" s="1"/>
  <c r="Q23" i="8"/>
  <c r="L128" i="1"/>
  <c r="L190" i="1" s="1"/>
  <c r="S28" i="1"/>
  <c r="S128" i="1" s="1"/>
  <c r="R19" i="2"/>
  <c r="R12" i="2" s="1"/>
  <c r="O17" i="1"/>
  <c r="F74" i="1"/>
  <c r="F73" i="1" s="1"/>
  <c r="F84" i="1" s="1"/>
  <c r="R352" i="2"/>
  <c r="I136" i="1"/>
  <c r="I198" i="1" s="1"/>
  <c r="E53" i="2"/>
  <c r="E52" i="2" s="1"/>
  <c r="E62" i="1"/>
  <c r="E61" i="1" s="1"/>
  <c r="E83" i="1" s="1"/>
  <c r="E226" i="2"/>
  <c r="O62" i="1"/>
  <c r="O61" i="1" s="1"/>
  <c r="O83" i="1" s="1"/>
  <c r="R405" i="2"/>
  <c r="O13" i="2"/>
  <c r="O12" i="2" s="1"/>
  <c r="Q30" i="2"/>
  <c r="N387" i="2"/>
  <c r="D389" i="2"/>
  <c r="D388" i="2" s="1"/>
  <c r="L33" i="2"/>
  <c r="I44" i="1" s="1"/>
  <c r="P13" i="2"/>
  <c r="L353" i="2"/>
  <c r="L344" i="2"/>
  <c r="D368" i="2"/>
  <c r="W368" i="2" s="1"/>
  <c r="S21" i="1"/>
  <c r="S124" i="1" s="1"/>
  <c r="Q344" i="2"/>
  <c r="E409" i="2"/>
  <c r="E408" i="2" s="1"/>
  <c r="D361" i="2"/>
  <c r="D360" i="2" s="1"/>
  <c r="M136" i="1"/>
  <c r="M198" i="1" s="1"/>
  <c r="H136" i="1"/>
  <c r="H198" i="1" s="1"/>
  <c r="D136" i="1"/>
  <c r="D198" i="1" s="1"/>
  <c r="D39" i="1"/>
  <c r="E125" i="2"/>
  <c r="E123" i="2"/>
  <c r="R23" i="2"/>
  <c r="O97" i="1" s="1"/>
  <c r="O95" i="1" s="1"/>
  <c r="N14" i="2"/>
  <c r="N13" i="2" s="1"/>
  <c r="R43" i="2"/>
  <c r="I43" i="2"/>
  <c r="L356" i="2"/>
  <c r="H352" i="2"/>
  <c r="Q352" i="2"/>
  <c r="P352" i="2"/>
  <c r="K344" i="2"/>
  <c r="D284" i="2"/>
  <c r="P43" i="2"/>
  <c r="D396" i="2"/>
  <c r="U22" i="2"/>
  <c r="O316" i="2"/>
  <c r="N143" i="2"/>
  <c r="N62" i="1"/>
  <c r="N61" i="1" s="1"/>
  <c r="N83" i="1" s="1"/>
  <c r="H44" i="1"/>
  <c r="H145" i="1" s="1"/>
  <c r="H207" i="1" s="1"/>
  <c r="H63" i="1"/>
  <c r="U10" i="2"/>
  <c r="N24" i="2"/>
  <c r="U21" i="2"/>
  <c r="U389" i="2"/>
  <c r="U388" i="2" s="1"/>
  <c r="R344" i="2"/>
  <c r="U37" i="2"/>
  <c r="K23" i="2"/>
  <c r="O344" i="2"/>
  <c r="F344" i="2"/>
  <c r="L409" i="2"/>
  <c r="L408" i="2" s="1"/>
  <c r="J30" i="2"/>
  <c r="J23" i="2" s="1"/>
  <c r="E48" i="2"/>
  <c r="D59" i="2"/>
  <c r="E39" i="1"/>
  <c r="E30" i="1" s="1"/>
  <c r="E47" i="1" s="1"/>
  <c r="L407" i="2"/>
  <c r="I59" i="1" s="1"/>
  <c r="G44" i="1"/>
  <c r="G145" i="1" s="1"/>
  <c r="G207" i="1" s="1"/>
  <c r="D17" i="1"/>
  <c r="Q13" i="2"/>
  <c r="I37" i="2"/>
  <c r="I36" i="2" s="1"/>
  <c r="H30" i="2"/>
  <c r="H23" i="2" s="1"/>
  <c r="E97" i="1" s="1"/>
  <c r="U16" i="2"/>
  <c r="C39" i="1"/>
  <c r="C30" i="1" s="1"/>
  <c r="C47" i="1" s="1"/>
  <c r="C89" i="1" s="1"/>
  <c r="R40" i="1"/>
  <c r="E44" i="2"/>
  <c r="J48" i="2"/>
  <c r="J43" i="2" s="1"/>
  <c r="C85" i="1"/>
  <c r="C62" i="1"/>
  <c r="C61" i="1" s="1"/>
  <c r="C83" i="1" s="1"/>
  <c r="D62" i="1"/>
  <c r="D61" i="1" s="1"/>
  <c r="D83" i="1" s="1"/>
  <c r="O23" i="2"/>
  <c r="E24" i="2"/>
  <c r="N39" i="1"/>
  <c r="N30" i="1" s="1"/>
  <c r="N47" i="1" s="1"/>
  <c r="N133" i="1" s="1"/>
  <c r="N195" i="1" s="1"/>
  <c r="M410" i="2"/>
  <c r="E407" i="2"/>
  <c r="E405" i="2" s="1"/>
  <c r="U410" i="2"/>
  <c r="U409" i="2" s="1"/>
  <c r="N407" i="2"/>
  <c r="P66" i="1"/>
  <c r="J65" i="1"/>
  <c r="R65" i="1" s="1"/>
  <c r="J75" i="1"/>
  <c r="R75" i="1" s="1"/>
  <c r="J66" i="1"/>
  <c r="J121" i="1" s="1"/>
  <c r="J183" i="1" s="1"/>
  <c r="O57" i="1"/>
  <c r="O85" i="1" s="1"/>
  <c r="E33" i="2"/>
  <c r="E30" i="2" s="1"/>
  <c r="L21" i="2"/>
  <c r="L19" i="2" s="1"/>
  <c r="L41" i="2"/>
  <c r="L36" i="2" s="1"/>
  <c r="K21" i="2"/>
  <c r="K19" i="2" s="1"/>
  <c r="K41" i="2"/>
  <c r="K36" i="2" s="1"/>
  <c r="G21" i="2"/>
  <c r="G41" i="2"/>
  <c r="G36" i="2" s="1"/>
  <c r="J21" i="2"/>
  <c r="J41" i="2"/>
  <c r="J36" i="2" s="1"/>
  <c r="H21" i="2"/>
  <c r="H41" i="2"/>
  <c r="H36" i="2" s="1"/>
  <c r="F12" i="2"/>
  <c r="D120" i="9"/>
  <c r="O119" i="9"/>
  <c r="D119" i="9" s="1"/>
  <c r="I66" i="1"/>
  <c r="I121" i="1" s="1"/>
  <c r="I183" i="1" s="1"/>
  <c r="D77" i="5"/>
  <c r="O13" i="1"/>
  <c r="D92" i="5"/>
  <c r="D71" i="5" s="1"/>
  <c r="M71" i="5"/>
  <c r="M70" i="5" s="1"/>
  <c r="M36" i="5"/>
  <c r="M33" i="5" s="1"/>
  <c r="D37" i="5"/>
  <c r="M16" i="5"/>
  <c r="M13" i="5" s="1"/>
  <c r="M97" i="5"/>
  <c r="D98" i="5"/>
  <c r="D97" i="5" s="1"/>
  <c r="M73" i="5"/>
  <c r="J81" i="1"/>
  <c r="J80" i="1" s="1"/>
  <c r="M59" i="5"/>
  <c r="M91" i="5"/>
  <c r="M90" i="5" s="1"/>
  <c r="M67" i="5"/>
  <c r="D86" i="5"/>
  <c r="M85" i="5"/>
  <c r="M84" i="5" s="1"/>
  <c r="M64" i="5"/>
  <c r="L16" i="5"/>
  <c r="L13" i="5" s="1"/>
  <c r="I27" i="1"/>
  <c r="I126" i="1" s="1"/>
  <c r="I187" i="1" s="1"/>
  <c r="P23" i="2"/>
  <c r="M97" i="1" s="1"/>
  <c r="H43" i="2"/>
  <c r="O43" i="2"/>
  <c r="Q43" i="2"/>
  <c r="F23" i="2"/>
  <c r="C97" i="1" s="1"/>
  <c r="F43" i="2"/>
  <c r="N21" i="2"/>
  <c r="X21" i="2" s="1"/>
  <c r="Q19" i="2"/>
  <c r="M27" i="1"/>
  <c r="M126" i="1" s="1"/>
  <c r="M187" i="1" s="1"/>
  <c r="P19" i="2"/>
  <c r="K405" i="2"/>
  <c r="L406" i="2"/>
  <c r="I58" i="1" s="1"/>
  <c r="E42" i="2"/>
  <c r="E41" i="2" s="1"/>
  <c r="Q405" i="2"/>
  <c r="F9" i="2"/>
  <c r="N349" i="2"/>
  <c r="N48" i="2"/>
  <c r="N43" i="2" s="1"/>
  <c r="N344" i="2"/>
  <c r="F352" i="2"/>
  <c r="K48" i="2"/>
  <c r="K43" i="2" s="1"/>
  <c r="E414" i="2"/>
  <c r="B76" i="1"/>
  <c r="L28" i="2"/>
  <c r="L44" i="2"/>
  <c r="L43" i="2" s="1"/>
  <c r="O356" i="2"/>
  <c r="O352" i="2" s="1"/>
  <c r="E14" i="1"/>
  <c r="E88" i="1" s="1"/>
  <c r="C14" i="1"/>
  <c r="C88" i="1" s="1"/>
  <c r="D378" i="2"/>
  <c r="D10" i="2" s="1"/>
  <c r="D331" i="2"/>
  <c r="D330" i="2" s="1"/>
  <c r="D322" i="2"/>
  <c r="D321" i="2" s="1"/>
  <c r="M59" i="2"/>
  <c r="D30" i="1"/>
  <c r="D47" i="1" s="1"/>
  <c r="L322" i="2"/>
  <c r="L321" i="2" s="1"/>
  <c r="L32" i="2"/>
  <c r="I43" i="1" s="1"/>
  <c r="I143" i="1" s="1"/>
  <c r="I205" i="1" s="1"/>
  <c r="J14" i="2"/>
  <c r="J13" i="2" s="1"/>
  <c r="K9" i="2"/>
  <c r="D484" i="2"/>
  <c r="M482" i="2"/>
  <c r="D327" i="2"/>
  <c r="K317" i="2"/>
  <c r="K316" i="2" s="1"/>
  <c r="K14" i="2"/>
  <c r="K13" i="2" s="1"/>
  <c r="I14" i="2"/>
  <c r="I13" i="2" s="1"/>
  <c r="L14" i="2"/>
  <c r="L13" i="2" s="1"/>
  <c r="I23" i="2"/>
  <c r="O9" i="2"/>
  <c r="W9" i="2" s="1"/>
  <c r="O30" i="1"/>
  <c r="O47" i="1" s="1"/>
  <c r="O117" i="1" s="1"/>
  <c r="Q23" i="2"/>
  <c r="N97" i="1" s="1"/>
  <c r="N95" i="1" s="1"/>
  <c r="M31" i="9"/>
  <c r="M10" i="9" s="1"/>
  <c r="L96" i="1"/>
  <c r="F8" i="9"/>
  <c r="C13" i="1"/>
  <c r="M62" i="9"/>
  <c r="M61" i="9" s="1"/>
  <c r="D63" i="9"/>
  <c r="D62" i="9" s="1"/>
  <c r="D61" i="9" s="1"/>
  <c r="M59" i="9"/>
  <c r="M56" i="9" s="1"/>
  <c r="D47" i="9"/>
  <c r="D46" i="9" s="1"/>
  <c r="D45" i="9" s="1"/>
  <c r="M46" i="9"/>
  <c r="M45" i="9" s="1"/>
  <c r="M28" i="9"/>
  <c r="M27" i="9" s="1"/>
  <c r="D29" i="9"/>
  <c r="D28" i="9" s="1"/>
  <c r="D27" i="9" s="1"/>
  <c r="H8" i="9"/>
  <c r="G8" i="9"/>
  <c r="D13" i="1"/>
  <c r="O24" i="1"/>
  <c r="O130" i="1"/>
  <c r="U119" i="9"/>
  <c r="D26" i="9"/>
  <c r="D25" i="9" s="1"/>
  <c r="M15" i="9"/>
  <c r="D15" i="9" s="1"/>
  <c r="M25" i="9"/>
  <c r="M23" i="9"/>
  <c r="D24" i="9"/>
  <c r="D23" i="9" s="1"/>
  <c r="D22" i="9" s="1"/>
  <c r="M50" i="9"/>
  <c r="M49" i="9" s="1"/>
  <c r="D51" i="9"/>
  <c r="D50" i="9" s="1"/>
  <c r="D49" i="9" s="1"/>
  <c r="M43" i="9"/>
  <c r="M40" i="9" s="1"/>
  <c r="D44" i="9"/>
  <c r="D43" i="9" s="1"/>
  <c r="D40" i="9" s="1"/>
  <c r="D36" i="3"/>
  <c r="D30" i="3"/>
  <c r="O12" i="3"/>
  <c r="U14" i="3"/>
  <c r="L126" i="1"/>
  <c r="L187" i="1" s="1"/>
  <c r="G98" i="1"/>
  <c r="R67" i="1"/>
  <c r="M71" i="6"/>
  <c r="M70" i="6" s="1"/>
  <c r="M69" i="6" s="1"/>
  <c r="L29" i="1"/>
  <c r="M192" i="1"/>
  <c r="N18" i="7"/>
  <c r="N17" i="7" s="1"/>
  <c r="K138" i="1"/>
  <c r="K200" i="1" s="1"/>
  <c r="N12" i="7"/>
  <c r="N11" i="7" s="1"/>
  <c r="K66" i="1"/>
  <c r="K121" i="1" s="1"/>
  <c r="M21" i="13"/>
  <c r="M10" i="13" s="1"/>
  <c r="M9" i="13" s="1"/>
  <c r="U93" i="8"/>
  <c r="P11" i="8"/>
  <c r="I11" i="8"/>
  <c r="Q12" i="8"/>
  <c r="O12" i="8"/>
  <c r="E57" i="1"/>
  <c r="E85" i="1" s="1"/>
  <c r="N98" i="1"/>
  <c r="R12" i="8"/>
  <c r="M117" i="8"/>
  <c r="D118" i="8"/>
  <c r="D117" i="8" s="1"/>
  <c r="D103" i="8"/>
  <c r="D31" i="8" s="1"/>
  <c r="M102" i="8"/>
  <c r="D101" i="8"/>
  <c r="M100" i="8"/>
  <c r="M99" i="8" s="1"/>
  <c r="D95" i="8"/>
  <c r="D94" i="8" s="1"/>
  <c r="M94" i="8"/>
  <c r="J42" i="1"/>
  <c r="D49" i="8"/>
  <c r="M74" i="8"/>
  <c r="D71" i="8"/>
  <c r="D70" i="8" s="1"/>
  <c r="M70" i="8"/>
  <c r="M69" i="8" s="1"/>
  <c r="M17" i="8"/>
  <c r="D56" i="8"/>
  <c r="D55" i="8" s="1"/>
  <c r="D54" i="8" s="1"/>
  <c r="M40" i="8"/>
  <c r="D42" i="8"/>
  <c r="D38" i="8"/>
  <c r="D15" i="8" s="1"/>
  <c r="D108" i="8"/>
  <c r="D14" i="8" s="1"/>
  <c r="M107" i="8"/>
  <c r="M106" i="8" s="1"/>
  <c r="M96" i="8"/>
  <c r="D97" i="8"/>
  <c r="D96" i="8" s="1"/>
  <c r="J34" i="1"/>
  <c r="D46" i="8"/>
  <c r="D25" i="8" s="1"/>
  <c r="M45" i="8"/>
  <c r="M44" i="8" s="1"/>
  <c r="J20" i="1"/>
  <c r="J123" i="1" s="1"/>
  <c r="M127" i="8"/>
  <c r="D115" i="8"/>
  <c r="D114" i="8" s="1"/>
  <c r="M114" i="8"/>
  <c r="M113" i="8" s="1"/>
  <c r="D111" i="8"/>
  <c r="M19" i="8"/>
  <c r="J25" i="1" s="1"/>
  <c r="R25" i="1" s="1"/>
  <c r="D78" i="8"/>
  <c r="M77" i="8"/>
  <c r="M33" i="8"/>
  <c r="D27" i="8"/>
  <c r="D75" i="8"/>
  <c r="D74" i="8" s="1"/>
  <c r="D43" i="8"/>
  <c r="D21" i="8" s="1"/>
  <c r="M36" i="8"/>
  <c r="M35" i="8" s="1"/>
  <c r="M10" i="8" s="1"/>
  <c r="M14" i="8"/>
  <c r="M13" i="8" s="1"/>
  <c r="G18" i="1"/>
  <c r="O98" i="1"/>
  <c r="D117" i="6"/>
  <c r="M21" i="6"/>
  <c r="M31" i="6"/>
  <c r="M30" i="6" s="1"/>
  <c r="M102" i="6"/>
  <c r="M12" i="6" s="1"/>
  <c r="M91" i="6"/>
  <c r="M28" i="6"/>
  <c r="J9" i="3"/>
  <c r="F9" i="3"/>
  <c r="P9" i="3"/>
  <c r="K9" i="3"/>
  <c r="W102" i="3"/>
  <c r="L9" i="3"/>
  <c r="H9" i="3"/>
  <c r="N17" i="3"/>
  <c r="G9" i="3"/>
  <c r="M18" i="3"/>
  <c r="D179" i="3"/>
  <c r="M178" i="3"/>
  <c r="M174" i="3" s="1"/>
  <c r="D167" i="3"/>
  <c r="D166" i="3" s="1"/>
  <c r="D162" i="3" s="1"/>
  <c r="M166" i="3"/>
  <c r="M162" i="3" s="1"/>
  <c r="M151" i="3"/>
  <c r="D153" i="3"/>
  <c r="D151" i="3" s="1"/>
  <c r="D124" i="3"/>
  <c r="M123" i="3"/>
  <c r="D119" i="3"/>
  <c r="D118" i="3" s="1"/>
  <c r="M118" i="3"/>
  <c r="G15" i="3"/>
  <c r="G11" i="3" s="1"/>
  <c r="M103" i="3"/>
  <c r="D105" i="3"/>
  <c r="D103" i="3" s="1"/>
  <c r="M82" i="3"/>
  <c r="D83" i="3"/>
  <c r="D82" i="3" s="1"/>
  <c r="M73" i="3"/>
  <c r="M72" i="3" s="1"/>
  <c r="D74" i="3"/>
  <c r="D73" i="3" s="1"/>
  <c r="D72" i="3" s="1"/>
  <c r="D64" i="3"/>
  <c r="D63" i="3" s="1"/>
  <c r="M63" i="3"/>
  <c r="N12" i="3"/>
  <c r="N11" i="3" s="1"/>
  <c r="M186" i="3"/>
  <c r="D184" i="3"/>
  <c r="M183" i="3"/>
  <c r="M180" i="3" s="1"/>
  <c r="M121" i="3"/>
  <c r="M120" i="3" s="1"/>
  <c r="D122" i="3"/>
  <c r="M116" i="3"/>
  <c r="D110" i="3"/>
  <c r="D109" i="3" s="1"/>
  <c r="M109" i="3"/>
  <c r="D71" i="3"/>
  <c r="D70" i="3" s="1"/>
  <c r="M70" i="3"/>
  <c r="M55" i="3"/>
  <c r="D56" i="3"/>
  <c r="D55" i="3" s="1"/>
  <c r="M46" i="3"/>
  <c r="D47" i="3"/>
  <c r="D46" i="3" s="1"/>
  <c r="M16" i="3"/>
  <c r="D45" i="3"/>
  <c r="M14" i="3"/>
  <c r="D78" i="3"/>
  <c r="Q9" i="3"/>
  <c r="D66" i="3"/>
  <c r="D158" i="3"/>
  <c r="D157" i="3" s="1"/>
  <c r="M157" i="3"/>
  <c r="D155" i="3"/>
  <c r="D154" i="3" s="1"/>
  <c r="D150" i="3" s="1"/>
  <c r="M154" i="3"/>
  <c r="H12" i="3"/>
  <c r="H11" i="3" s="1"/>
  <c r="M111" i="3"/>
  <c r="D112" i="3"/>
  <c r="D111" i="3" s="1"/>
  <c r="M66" i="3"/>
  <c r="D196" i="3"/>
  <c r="D195" i="3" s="1"/>
  <c r="D192" i="3" s="1"/>
  <c r="M159" i="3"/>
  <c r="D160" i="3"/>
  <c r="D159" i="3" s="1"/>
  <c r="D156" i="3" s="1"/>
  <c r="M135" i="3"/>
  <c r="M132" i="3" s="1"/>
  <c r="D136" i="3"/>
  <c r="D135" i="3" s="1"/>
  <c r="D132" i="3" s="1"/>
  <c r="M127" i="3"/>
  <c r="M126" i="3" s="1"/>
  <c r="M10" i="3" s="1"/>
  <c r="D128" i="3"/>
  <c r="D127" i="3" s="1"/>
  <c r="D126" i="3" s="1"/>
  <c r="D10" i="3" s="1"/>
  <c r="M106" i="3"/>
  <c r="D107" i="3"/>
  <c r="D106" i="3" s="1"/>
  <c r="M78" i="3"/>
  <c r="M61" i="3"/>
  <c r="M60" i="3" s="1"/>
  <c r="D62" i="3"/>
  <c r="D61" i="3" s="1"/>
  <c r="D60" i="3" s="1"/>
  <c r="M58" i="3"/>
  <c r="D59" i="3"/>
  <c r="D58" i="3" s="1"/>
  <c r="D27" i="3"/>
  <c r="D26" i="3" s="1"/>
  <c r="M27" i="3"/>
  <c r="M26" i="3" s="1"/>
  <c r="D52" i="3"/>
  <c r="D51" i="3" s="1"/>
  <c r="D48" i="3" s="1"/>
  <c r="M51" i="3"/>
  <c r="M48" i="3" s="1"/>
  <c r="M21" i="3"/>
  <c r="M13" i="3"/>
  <c r="D44" i="3"/>
  <c r="M43" i="3"/>
  <c r="M42" i="3" s="1"/>
  <c r="D111" i="2"/>
  <c r="U378" i="2"/>
  <c r="D116" i="2"/>
  <c r="M507" i="2"/>
  <c r="M506" i="2" s="1"/>
  <c r="D508" i="2"/>
  <c r="M53" i="2"/>
  <c r="M40" i="2"/>
  <c r="M18" i="2" s="1"/>
  <c r="J23" i="1" s="1"/>
  <c r="J127" i="1" s="1"/>
  <c r="D55" i="2"/>
  <c r="D53" i="2" s="1"/>
  <c r="M384" i="2"/>
  <c r="M383" i="2" s="1"/>
  <c r="D385" i="2"/>
  <c r="D384" i="2" s="1"/>
  <c r="D383" i="2" s="1"/>
  <c r="M270" i="2"/>
  <c r="D271" i="2"/>
  <c r="D270" i="2" s="1"/>
  <c r="M268" i="2"/>
  <c r="M267" i="2" s="1"/>
  <c r="D268" i="2"/>
  <c r="M212" i="2"/>
  <c r="D213" i="2"/>
  <c r="D212" i="2" s="1"/>
  <c r="M206" i="2"/>
  <c r="D207" i="2"/>
  <c r="D206" i="2" s="1"/>
  <c r="M199" i="2"/>
  <c r="M196" i="2" s="1"/>
  <c r="D200" i="2"/>
  <c r="D199" i="2" s="1"/>
  <c r="D196" i="2" s="1"/>
  <c r="M180" i="2"/>
  <c r="D181" i="2"/>
  <c r="M165" i="2"/>
  <c r="D166" i="2"/>
  <c r="D165" i="2" s="1"/>
  <c r="M135" i="2"/>
  <c r="D136" i="2"/>
  <c r="D135" i="2" s="1"/>
  <c r="M132" i="2"/>
  <c r="M131" i="2" s="1"/>
  <c r="D134" i="2"/>
  <c r="M39" i="2"/>
  <c r="M16" i="2" s="1"/>
  <c r="J21" i="1" s="1"/>
  <c r="R21" i="1" s="1"/>
  <c r="M474" i="2"/>
  <c r="M473" i="2" s="1"/>
  <c r="D475" i="2"/>
  <c r="D474" i="2" s="1"/>
  <c r="D473" i="2" s="1"/>
  <c r="M450" i="2"/>
  <c r="M449" i="2" s="1"/>
  <c r="D451" i="2"/>
  <c r="D450" i="2" s="1"/>
  <c r="D449" i="2" s="1"/>
  <c r="M434" i="2"/>
  <c r="M433" i="2" s="1"/>
  <c r="D435" i="2"/>
  <c r="M273" i="2"/>
  <c r="M272" i="2" s="1"/>
  <c r="D273" i="2"/>
  <c r="D272" i="2" s="1"/>
  <c r="M232" i="2"/>
  <c r="M231" i="2" s="1"/>
  <c r="D233" i="2"/>
  <c r="D232" i="2" s="1"/>
  <c r="D231" i="2" s="1"/>
  <c r="M227" i="2"/>
  <c r="M226" i="2" s="1"/>
  <c r="D228" i="2"/>
  <c r="D227" i="2" s="1"/>
  <c r="D226" i="2" s="1"/>
  <c r="M223" i="2"/>
  <c r="M222" i="2" s="1"/>
  <c r="D224" i="2"/>
  <c r="D223" i="2" s="1"/>
  <c r="D222" i="2" s="1"/>
  <c r="M209" i="2"/>
  <c r="D210" i="2"/>
  <c r="D209" i="2" s="1"/>
  <c r="M167" i="2"/>
  <c r="D168" i="2"/>
  <c r="D167" i="2" s="1"/>
  <c r="M149" i="2"/>
  <c r="M148" i="2" s="1"/>
  <c r="D150" i="2"/>
  <c r="D149" i="2" s="1"/>
  <c r="D148" i="2" s="1"/>
  <c r="M81" i="2"/>
  <c r="D82" i="2"/>
  <c r="D81" i="2" s="1"/>
  <c r="M74" i="2"/>
  <c r="D75" i="2"/>
  <c r="M104" i="2"/>
  <c r="D105" i="2"/>
  <c r="D104" i="2" s="1"/>
  <c r="M89" i="2"/>
  <c r="D90" i="2"/>
  <c r="D89" i="2" s="1"/>
  <c r="M76" i="2"/>
  <c r="D78" i="2"/>
  <c r="M56" i="2"/>
  <c r="D58" i="2"/>
  <c r="D56" i="2" s="1"/>
  <c r="D394" i="2"/>
  <c r="D393" i="2" s="1"/>
  <c r="D392" i="2" s="1"/>
  <c r="M214" i="2"/>
  <c r="D215" i="2"/>
  <c r="D214" i="2" s="1"/>
  <c r="D211" i="2" s="1"/>
  <c r="M45" i="2"/>
  <c r="E40" i="2"/>
  <c r="E18" i="2" s="1"/>
  <c r="B23" i="1" s="1"/>
  <c r="B127" i="1" s="1"/>
  <c r="N393" i="2"/>
  <c r="N392" i="2" s="1"/>
  <c r="M125" i="2"/>
  <c r="M122" i="2" s="1"/>
  <c r="M42" i="2"/>
  <c r="M41" i="2" s="1"/>
  <c r="D126" i="2"/>
  <c r="D125" i="2" s="1"/>
  <c r="U66" i="2"/>
  <c r="D252" i="2"/>
  <c r="M328" i="2"/>
  <c r="D329" i="2"/>
  <c r="D320" i="2" s="1"/>
  <c r="M245" i="2"/>
  <c r="D245" i="2"/>
  <c r="M202" i="2"/>
  <c r="M201" i="2" s="1"/>
  <c r="D203" i="2"/>
  <c r="D202" i="2" s="1"/>
  <c r="D201" i="2" s="1"/>
  <c r="M193" i="2"/>
  <c r="D194" i="2"/>
  <c r="D193" i="2" s="1"/>
  <c r="M191" i="2"/>
  <c r="D192" i="2"/>
  <c r="M47" i="2"/>
  <c r="M29" i="2" s="1"/>
  <c r="J38" i="1" s="1"/>
  <c r="M182" i="2"/>
  <c r="M179" i="2" s="1"/>
  <c r="D183" i="2"/>
  <c r="D182" i="2" s="1"/>
  <c r="M174" i="2"/>
  <c r="D175" i="2"/>
  <c r="D174" i="2" s="1"/>
  <c r="M144" i="2"/>
  <c r="D145" i="2"/>
  <c r="D144" i="2" s="1"/>
  <c r="M128" i="2"/>
  <c r="M127" i="2" s="1"/>
  <c r="D129" i="2"/>
  <c r="M50" i="2"/>
  <c r="M498" i="2"/>
  <c r="D500" i="2"/>
  <c r="M458" i="2"/>
  <c r="M457" i="2" s="1"/>
  <c r="D459" i="2"/>
  <c r="D458" i="2" s="1"/>
  <c r="D457" i="2" s="1"/>
  <c r="M442" i="2"/>
  <c r="M441" i="2" s="1"/>
  <c r="D443" i="2"/>
  <c r="D442" i="2" s="1"/>
  <c r="D441" i="2" s="1"/>
  <c r="M353" i="2"/>
  <c r="M27" i="2"/>
  <c r="J36" i="1" s="1"/>
  <c r="J137" i="1" s="1"/>
  <c r="M239" i="2"/>
  <c r="M238" i="2" s="1"/>
  <c r="D240" i="2"/>
  <c r="D239" i="2" s="1"/>
  <c r="D238" i="2" s="1"/>
  <c r="M188" i="2"/>
  <c r="M185" i="2" s="1"/>
  <c r="D189" i="2"/>
  <c r="D188" i="2" s="1"/>
  <c r="D185" i="2" s="1"/>
  <c r="M177" i="2"/>
  <c r="D178" i="2"/>
  <c r="D177" i="2" s="1"/>
  <c r="M146" i="2"/>
  <c r="D147" i="2"/>
  <c r="D146" i="2" s="1"/>
  <c r="M85" i="2"/>
  <c r="D87" i="2"/>
  <c r="D85" i="2" s="1"/>
  <c r="M67" i="2"/>
  <c r="M66" i="2" s="1"/>
  <c r="D69" i="2"/>
  <c r="D67" i="2" s="1"/>
  <c r="D66" i="2" s="1"/>
  <c r="M114" i="2"/>
  <c r="D115" i="2"/>
  <c r="D114" i="2" s="1"/>
  <c r="M106" i="2"/>
  <c r="D108" i="2"/>
  <c r="D106" i="2" s="1"/>
  <c r="D103" i="2" s="1"/>
  <c r="M97" i="2"/>
  <c r="M96" i="2" s="1"/>
  <c r="D98" i="2"/>
  <c r="D97" i="2" s="1"/>
  <c r="D96" i="2" s="1"/>
  <c r="M92" i="2"/>
  <c r="D94" i="2"/>
  <c r="D92" i="2" s="1"/>
  <c r="D355" i="2"/>
  <c r="D353" i="2" s="1"/>
  <c r="M243" i="2"/>
  <c r="D244" i="2"/>
  <c r="D243" i="2" s="1"/>
  <c r="M140" i="2"/>
  <c r="M137" i="2" s="1"/>
  <c r="D141" i="2"/>
  <c r="D140" i="2" s="1"/>
  <c r="D137" i="2" s="1"/>
  <c r="M38" i="2"/>
  <c r="N322" i="2"/>
  <c r="N321" i="2" s="1"/>
  <c r="N32" i="2"/>
  <c r="K43" i="1" s="1"/>
  <c r="M170" i="2"/>
  <c r="M169" i="2" s="1"/>
  <c r="D171" i="2"/>
  <c r="D170" i="2" s="1"/>
  <c r="D169" i="2" s="1"/>
  <c r="M116" i="2"/>
  <c r="M46" i="2"/>
  <c r="M28" i="2" s="1"/>
  <c r="J37" i="1" s="1"/>
  <c r="U316" i="2"/>
  <c r="U81" i="2"/>
  <c r="U80" i="2" s="1"/>
  <c r="E325" i="2"/>
  <c r="E298" i="2"/>
  <c r="M418" i="2"/>
  <c r="M481" i="2"/>
  <c r="M357" i="2"/>
  <c r="M365" i="2"/>
  <c r="M350" i="2"/>
  <c r="M348" i="2"/>
  <c r="M361" i="2"/>
  <c r="G122" i="2"/>
  <c r="G11" i="2" s="1"/>
  <c r="N182" i="1"/>
  <c r="N17" i="1"/>
  <c r="D507" i="2"/>
  <c r="D506" i="2" s="1"/>
  <c r="M331" i="2"/>
  <c r="M330" i="2" s="1"/>
  <c r="M190" i="2"/>
  <c r="M490" i="2"/>
  <c r="M379" i="2"/>
  <c r="M378" i="2" s="1"/>
  <c r="M10" i="2" s="1"/>
  <c r="M346" i="2"/>
  <c r="M368" i="2"/>
  <c r="M326" i="2"/>
  <c r="M325" i="2" s="1"/>
  <c r="M111" i="2"/>
  <c r="D19" i="3"/>
  <c r="L25" i="6"/>
  <c r="L11" i="6" s="1"/>
  <c r="L10" i="6" s="1"/>
  <c r="P11" i="6"/>
  <c r="M13" i="1" s="1"/>
  <c r="O12" i="6"/>
  <c r="D121" i="6"/>
  <c r="D120" i="6" s="1"/>
  <c r="D119" i="6" s="1"/>
  <c r="D136" i="6"/>
  <c r="D135" i="6" s="1"/>
  <c r="I11" i="6"/>
  <c r="M16" i="6"/>
  <c r="M26" i="6"/>
  <c r="M25" i="6" s="1"/>
  <c r="F29" i="1"/>
  <c r="F130" i="1" s="1"/>
  <c r="F192" i="1" s="1"/>
  <c r="E12" i="6"/>
  <c r="E11" i="6"/>
  <c r="D28" i="6"/>
  <c r="J11" i="6"/>
  <c r="O9" i="3"/>
  <c r="U82" i="6"/>
  <c r="U81" i="6" s="1"/>
  <c r="U12" i="6" s="1"/>
  <c r="U17" i="6"/>
  <c r="N18" i="6"/>
  <c r="L13" i="6"/>
  <c r="U25" i="6"/>
  <c r="U11" i="6" s="1"/>
  <c r="D97" i="6"/>
  <c r="D96" i="6" s="1"/>
  <c r="P13" i="6"/>
  <c r="P116" i="6"/>
  <c r="P115" i="6" s="1"/>
  <c r="M63" i="1"/>
  <c r="H25" i="6"/>
  <c r="H11" i="6" s="1"/>
  <c r="H10" i="6" s="1"/>
  <c r="I10" i="6"/>
  <c r="Q13" i="6"/>
  <c r="U14" i="6"/>
  <c r="N13" i="1"/>
  <c r="N24" i="1"/>
  <c r="D183" i="3"/>
  <c r="D180" i="3" s="1"/>
  <c r="D21" i="3"/>
  <c r="D178" i="3"/>
  <c r="D174" i="3" s="1"/>
  <c r="D16" i="3"/>
  <c r="L18" i="9"/>
  <c r="L17" i="9" s="1"/>
  <c r="I96" i="1" s="1"/>
  <c r="L44" i="1"/>
  <c r="L10" i="5"/>
  <c r="N36" i="2"/>
  <c r="U36" i="2"/>
  <c r="D10" i="7"/>
  <c r="M145" i="1"/>
  <c r="M207" i="1" s="1"/>
  <c r="M39" i="1"/>
  <c r="M30" i="1" s="1"/>
  <c r="M47" i="1" s="1"/>
  <c r="J10" i="8"/>
  <c r="O10" i="8"/>
  <c r="U10" i="8" s="1"/>
  <c r="L116" i="6"/>
  <c r="L115" i="6" s="1"/>
  <c r="I63" i="1"/>
  <c r="W162" i="3"/>
  <c r="H101" i="1"/>
  <c r="H99" i="1" s="1"/>
  <c r="D101" i="1"/>
  <c r="D99" i="1" s="1"/>
  <c r="D98" i="1" s="1"/>
  <c r="Q8" i="3"/>
  <c r="P405" i="2"/>
  <c r="U345" i="2"/>
  <c r="U344" i="2" s="1"/>
  <c r="E344" i="2"/>
  <c r="N57" i="1"/>
  <c r="N85" i="1" s="1"/>
  <c r="D59" i="1"/>
  <c r="D57" i="1" s="1"/>
  <c r="D85" i="1" s="1"/>
  <c r="N205" i="2"/>
  <c r="N185" i="2"/>
  <c r="D61" i="8"/>
  <c r="N30" i="3"/>
  <c r="N9" i="3" s="1"/>
  <c r="N8" i="3" s="1"/>
  <c r="K20" i="1"/>
  <c r="K123" i="1" s="1"/>
  <c r="L15" i="7"/>
  <c r="I72" i="1"/>
  <c r="I71" i="1" s="1"/>
  <c r="I112" i="6"/>
  <c r="F58" i="1"/>
  <c r="E112" i="6"/>
  <c r="B58" i="1"/>
  <c r="J116" i="6"/>
  <c r="J115" i="6" s="1"/>
  <c r="G63" i="1"/>
  <c r="F101" i="1"/>
  <c r="F99" i="1" s="1"/>
  <c r="B101" i="1"/>
  <c r="B99" i="1" s="1"/>
  <c r="U387" i="2"/>
  <c r="P9" i="8"/>
  <c r="L8" i="3"/>
  <c r="J8" i="3"/>
  <c r="Q8" i="9"/>
  <c r="J18" i="9"/>
  <c r="J17" i="9" s="1"/>
  <c r="N181" i="8"/>
  <c r="L192" i="8"/>
  <c r="L191" i="8" s="1"/>
  <c r="N11" i="9"/>
  <c r="U11" i="9" s="1"/>
  <c r="L11" i="8"/>
  <c r="U72" i="8"/>
  <c r="U69" i="8" s="1"/>
  <c r="D72" i="8"/>
  <c r="D69" i="8" s="1"/>
  <c r="J24" i="8"/>
  <c r="G32" i="1"/>
  <c r="N18" i="8"/>
  <c r="H143" i="1"/>
  <c r="H205" i="1" s="1"/>
  <c r="N13" i="8"/>
  <c r="L18" i="7"/>
  <c r="I101" i="1" s="1"/>
  <c r="I78" i="1"/>
  <c r="I74" i="1" s="1"/>
  <c r="H17" i="7"/>
  <c r="E101" i="1"/>
  <c r="U12" i="7"/>
  <c r="U11" i="7" s="1"/>
  <c r="O12" i="7"/>
  <c r="O11" i="7" s="1"/>
  <c r="L66" i="1"/>
  <c r="J12" i="7"/>
  <c r="J11" i="7" s="1"/>
  <c r="G66" i="1"/>
  <c r="O114" i="6"/>
  <c r="L59" i="1" s="1"/>
  <c r="E116" i="6"/>
  <c r="E115" i="6" s="1"/>
  <c r="B63" i="1"/>
  <c r="O22" i="6"/>
  <c r="O19" i="6" s="1"/>
  <c r="K69" i="6"/>
  <c r="K11" i="6" s="1"/>
  <c r="E145" i="1"/>
  <c r="E207" i="1" s="1"/>
  <c r="D20" i="6"/>
  <c r="K73" i="5"/>
  <c r="H81" i="1"/>
  <c r="E19" i="5"/>
  <c r="E18" i="5" s="1"/>
  <c r="B43" i="1"/>
  <c r="N16" i="5"/>
  <c r="N14" i="5"/>
  <c r="E14" i="5"/>
  <c r="B72" i="1"/>
  <c r="D187" i="3"/>
  <c r="D186" i="3" s="1"/>
  <c r="K8" i="3"/>
  <c r="L12" i="9"/>
  <c r="L11" i="9" s="1"/>
  <c r="D137" i="8"/>
  <c r="D136" i="8" s="1"/>
  <c r="J113" i="8"/>
  <c r="F9" i="8"/>
  <c r="K61" i="8"/>
  <c r="D36" i="8"/>
  <c r="I13" i="8"/>
  <c r="K12" i="7"/>
  <c r="K11" i="7" s="1"/>
  <c r="H66" i="1"/>
  <c r="E8" i="7"/>
  <c r="D14" i="7"/>
  <c r="D12" i="7" s="1"/>
  <c r="D24" i="7"/>
  <c r="D23" i="7" s="1"/>
  <c r="D8" i="7"/>
  <c r="N112" i="6"/>
  <c r="O20" i="6"/>
  <c r="L32" i="1"/>
  <c r="L20" i="6"/>
  <c r="I32" i="1"/>
  <c r="N82" i="6"/>
  <c r="N81" i="6" s="1"/>
  <c r="N12" i="6" s="1"/>
  <c r="D26" i="6"/>
  <c r="L59" i="5"/>
  <c r="F62" i="1"/>
  <c r="F61" i="1" s="1"/>
  <c r="F83" i="1" s="1"/>
  <c r="I59" i="5"/>
  <c r="F59" i="1"/>
  <c r="I63" i="5"/>
  <c r="I62" i="5" s="1"/>
  <c r="N27" i="5"/>
  <c r="D30" i="5"/>
  <c r="L72" i="1"/>
  <c r="L71" i="1" s="1"/>
  <c r="K11" i="8"/>
  <c r="H14" i="1" s="1"/>
  <c r="I10" i="8"/>
  <c r="I9" i="8" s="1"/>
  <c r="L12" i="7"/>
  <c r="L11" i="7" s="1"/>
  <c r="E12" i="7"/>
  <c r="E11" i="7" s="1"/>
  <c r="B65" i="1"/>
  <c r="L20" i="7"/>
  <c r="I81" i="1"/>
  <c r="I80" i="1" s="1"/>
  <c r="N70" i="6"/>
  <c r="N69" i="6" s="1"/>
  <c r="N11" i="6" s="1"/>
  <c r="J17" i="6"/>
  <c r="J13" i="6" s="1"/>
  <c r="E16" i="5"/>
  <c r="B27" i="1"/>
  <c r="E10" i="5"/>
  <c r="B121" i="1"/>
  <c r="D121" i="3"/>
  <c r="D18" i="3"/>
  <c r="I8" i="3"/>
  <c r="D19" i="5"/>
  <c r="D18" i="5" s="1"/>
  <c r="W150" i="3"/>
  <c r="L15" i="3"/>
  <c r="F8" i="3"/>
  <c r="D422" i="2"/>
  <c r="D421" i="2" s="1"/>
  <c r="L235" i="2"/>
  <c r="D235" i="2"/>
  <c r="L205" i="2"/>
  <c r="U15" i="3"/>
  <c r="O15" i="3"/>
  <c r="O11" i="3" s="1"/>
  <c r="W114" i="3"/>
  <c r="I20" i="3"/>
  <c r="K32" i="1"/>
  <c r="D15" i="3"/>
  <c r="D14" i="3"/>
  <c r="N406" i="2"/>
  <c r="U422" i="2"/>
  <c r="U421" i="2" s="1"/>
  <c r="U408" i="2"/>
  <c r="H405" i="2"/>
  <c r="E14" i="2"/>
  <c r="I137" i="1"/>
  <c r="O208" i="1"/>
  <c r="C146" i="1"/>
  <c r="U9" i="9"/>
  <c r="U8" i="9" s="1"/>
  <c r="D214" i="8"/>
  <c r="D213" i="8" s="1"/>
  <c r="D196" i="8"/>
  <c r="D192" i="8" s="1"/>
  <c r="D191" i="8" s="1"/>
  <c r="F180" i="8" s="1"/>
  <c r="N11" i="8"/>
  <c r="G9" i="8"/>
  <c r="P13" i="8"/>
  <c r="P12" i="8" s="1"/>
  <c r="M22" i="1"/>
  <c r="D83" i="8"/>
  <c r="D82" i="8" s="1"/>
  <c r="D17" i="8"/>
  <c r="O11" i="8"/>
  <c r="J11" i="8"/>
  <c r="J9" i="8" s="1"/>
  <c r="D45" i="8"/>
  <c r="D44" i="8" s="1"/>
  <c r="N10" i="8"/>
  <c r="K10" i="8"/>
  <c r="K9" i="8" s="1"/>
  <c r="B123" i="1"/>
  <c r="K13" i="8"/>
  <c r="K12" i="8" s="1"/>
  <c r="O18" i="7"/>
  <c r="F17" i="7"/>
  <c r="C101" i="1"/>
  <c r="O112" i="6"/>
  <c r="J112" i="6"/>
  <c r="G58" i="1"/>
  <c r="U116" i="6"/>
  <c r="U115" i="6" s="1"/>
  <c r="U124" i="6"/>
  <c r="U123" i="6" s="1"/>
  <c r="D124" i="6"/>
  <c r="D123" i="6" s="1"/>
  <c r="D114" i="6" s="1"/>
  <c r="D116" i="6"/>
  <c r="D115" i="6" s="1"/>
  <c r="D92" i="6"/>
  <c r="D91" i="6" s="1"/>
  <c r="L22" i="6"/>
  <c r="L19" i="6" s="1"/>
  <c r="E33" i="6"/>
  <c r="D74" i="5"/>
  <c r="D73" i="5" s="1"/>
  <c r="D94" i="5"/>
  <c r="K69" i="5"/>
  <c r="N59" i="5"/>
  <c r="D34" i="5"/>
  <c r="D15" i="5"/>
  <c r="D14" i="5" s="1"/>
  <c r="M101" i="1"/>
  <c r="M99" i="1" s="1"/>
  <c r="P8" i="3"/>
  <c r="L9" i="9"/>
  <c r="L8" i="9" s="1"/>
  <c r="J9" i="9"/>
  <c r="J8" i="9" s="1"/>
  <c r="R9" i="8"/>
  <c r="I117" i="8"/>
  <c r="I113" i="8" s="1"/>
  <c r="I32" i="8"/>
  <c r="J30" i="8"/>
  <c r="G42" i="1"/>
  <c r="O24" i="8"/>
  <c r="O23" i="8" s="1"/>
  <c r="L34" i="1"/>
  <c r="L139" i="1" s="1"/>
  <c r="L201" i="1" s="1"/>
  <c r="L24" i="8"/>
  <c r="L23" i="8" s="1"/>
  <c r="I34" i="1"/>
  <c r="I139" i="1" s="1"/>
  <c r="I201" i="1" s="1"/>
  <c r="F13" i="8"/>
  <c r="F12" i="8" s="1"/>
  <c r="E107" i="8"/>
  <c r="E106" i="8" s="1"/>
  <c r="E14" i="8"/>
  <c r="E13" i="8" s="1"/>
  <c r="E12" i="8" s="1"/>
  <c r="K24" i="8"/>
  <c r="H32" i="1"/>
  <c r="J13" i="8"/>
  <c r="J12" i="8" s="1"/>
  <c r="K30" i="8"/>
  <c r="K8" i="7"/>
  <c r="H59" i="1"/>
  <c r="H57" i="1" s="1"/>
  <c r="B122" i="1"/>
  <c r="D66" i="5"/>
  <c r="N19" i="5"/>
  <c r="N18" i="5" s="1"/>
  <c r="U13" i="8"/>
  <c r="I18" i="8"/>
  <c r="F28" i="1"/>
  <c r="L9" i="8"/>
  <c r="H9" i="8"/>
  <c r="K81" i="1"/>
  <c r="K72" i="1"/>
  <c r="D29" i="7"/>
  <c r="D28" i="7" s="1"/>
  <c r="D21" i="7"/>
  <c r="D20" i="7" s="1"/>
  <c r="N116" i="6"/>
  <c r="N115" i="6" s="1"/>
  <c r="K63" i="1"/>
  <c r="D132" i="6"/>
  <c r="D131" i="6" s="1"/>
  <c r="D14" i="6"/>
  <c r="D71" i="6"/>
  <c r="D18" i="6" s="1"/>
  <c r="E14" i="6"/>
  <c r="E13" i="6" s="1"/>
  <c r="D72" i="5"/>
  <c r="D70" i="5" s="1"/>
  <c r="N10" i="5"/>
  <c r="U11" i="5"/>
  <c r="U10" i="5" s="1"/>
  <c r="O10" i="5"/>
  <c r="E18" i="3"/>
  <c r="B32" i="1"/>
  <c r="G8" i="3"/>
  <c r="U12" i="3"/>
  <c r="U11" i="3" s="1"/>
  <c r="L19" i="1"/>
  <c r="K145" i="1"/>
  <c r="K207" i="1" s="1"/>
  <c r="H8" i="3"/>
  <c r="O406" i="2"/>
  <c r="K101" i="1"/>
  <c r="K99" i="1" s="1"/>
  <c r="U360" i="2"/>
  <c r="L238" i="2"/>
  <c r="N196" i="2"/>
  <c r="L185" i="2"/>
  <c r="I96" i="2"/>
  <c r="I11" i="2" s="1"/>
  <c r="G20" i="3"/>
  <c r="G17" i="3" s="1"/>
  <c r="D145" i="1"/>
  <c r="D207" i="1" s="1"/>
  <c r="D208" i="1" s="1"/>
  <c r="E20" i="3"/>
  <c r="D123" i="3"/>
  <c r="D20" i="3"/>
  <c r="I18" i="3"/>
  <c r="I17" i="3" s="1"/>
  <c r="F32" i="1"/>
  <c r="N48" i="3"/>
  <c r="L12" i="3"/>
  <c r="L11" i="3" s="1"/>
  <c r="D390" i="2"/>
  <c r="D31" i="2"/>
  <c r="G59" i="1"/>
  <c r="J405" i="2"/>
  <c r="F405" i="2"/>
  <c r="D298" i="2"/>
  <c r="O146" i="1"/>
  <c r="B201" i="1"/>
  <c r="B203" i="1"/>
  <c r="R196" i="1"/>
  <c r="E208" i="1"/>
  <c r="C208" i="1"/>
  <c r="M22" i="9" l="1"/>
  <c r="D9" i="9"/>
  <c r="N14" i="1"/>
  <c r="Q9" i="8"/>
  <c r="D26" i="8"/>
  <c r="G96" i="1"/>
  <c r="D20" i="8"/>
  <c r="F96" i="1"/>
  <c r="D16" i="8"/>
  <c r="D32" i="8"/>
  <c r="D80" i="7"/>
  <c r="D44" i="7"/>
  <c r="M18" i="7"/>
  <c r="M17" i="7" s="1"/>
  <c r="J78" i="1"/>
  <c r="J72" i="1"/>
  <c r="J71" i="1" s="1"/>
  <c r="E133" i="1"/>
  <c r="E210" i="1" s="1"/>
  <c r="M80" i="7"/>
  <c r="M32" i="7"/>
  <c r="D36" i="7"/>
  <c r="D32" i="7" s="1"/>
  <c r="D16" i="7"/>
  <c r="D15" i="7" s="1"/>
  <c r="D11" i="7" s="1"/>
  <c r="M12" i="7"/>
  <c r="M11" i="7" s="1"/>
  <c r="M44" i="7"/>
  <c r="D86" i="7"/>
  <c r="D85" i="7" s="1"/>
  <c r="D19" i="7"/>
  <c r="D18" i="7" s="1"/>
  <c r="D17" i="7" s="1"/>
  <c r="D25" i="6"/>
  <c r="P10" i="6"/>
  <c r="G14" i="1"/>
  <c r="F10" i="6"/>
  <c r="M14" i="6"/>
  <c r="J19" i="1"/>
  <c r="J122" i="1" s="1"/>
  <c r="E13" i="1"/>
  <c r="I62" i="1"/>
  <c r="W344" i="2"/>
  <c r="L352" i="2"/>
  <c r="W316" i="2"/>
  <c r="K18" i="1"/>
  <c r="Q12" i="2"/>
  <c r="D407" i="2"/>
  <c r="N11" i="2"/>
  <c r="U406" i="2"/>
  <c r="C117" i="1"/>
  <c r="N146" i="1"/>
  <c r="L11" i="2"/>
  <c r="M415" i="2"/>
  <c r="M414" i="2" s="1"/>
  <c r="J101" i="1" s="1"/>
  <c r="S63" i="1"/>
  <c r="I19" i="2"/>
  <c r="I12" i="2" s="1"/>
  <c r="D410" i="2"/>
  <c r="U405" i="2"/>
  <c r="W405" i="2" s="1"/>
  <c r="W409" i="2" s="1"/>
  <c r="D499" i="2"/>
  <c r="D498" i="2" s="1"/>
  <c r="D406" i="2" s="1"/>
  <c r="M18" i="6"/>
  <c r="M17" i="6" s="1"/>
  <c r="M13" i="6" s="1"/>
  <c r="C133" i="1"/>
  <c r="C210" i="1" s="1"/>
  <c r="M98" i="1"/>
  <c r="D326" i="2"/>
  <c r="D318" i="2"/>
  <c r="D117" i="1"/>
  <c r="N12" i="8"/>
  <c r="E117" i="1"/>
  <c r="E89" i="1"/>
  <c r="H39" i="1"/>
  <c r="S18" i="1"/>
  <c r="H29" i="1"/>
  <c r="D27" i="2"/>
  <c r="O16" i="1"/>
  <c r="O46" i="1" s="1"/>
  <c r="O119" i="1" s="1"/>
  <c r="O181" i="1" s="1"/>
  <c r="I18" i="1"/>
  <c r="I120" i="1" s="1"/>
  <c r="U19" i="2"/>
  <c r="E122" i="2"/>
  <c r="L12" i="2"/>
  <c r="E43" i="2"/>
  <c r="U14" i="2"/>
  <c r="U13" i="2" s="1"/>
  <c r="D110" i="2"/>
  <c r="M208" i="1"/>
  <c r="F98" i="1"/>
  <c r="K12" i="2"/>
  <c r="D387" i="2"/>
  <c r="L97" i="1"/>
  <c r="L95" i="1" s="1"/>
  <c r="B59" i="1"/>
  <c r="B57" i="1" s="1"/>
  <c r="B85" i="1" s="1"/>
  <c r="I29" i="1"/>
  <c r="I130" i="1" s="1"/>
  <c r="I192" i="1" s="1"/>
  <c r="L405" i="2"/>
  <c r="P12" i="2"/>
  <c r="D32" i="2"/>
  <c r="O91" i="1"/>
  <c r="D317" i="2"/>
  <c r="R124" i="1"/>
  <c r="R185" i="1" s="1"/>
  <c r="M110" i="2"/>
  <c r="D40" i="2"/>
  <c r="M407" i="2"/>
  <c r="J59" i="1" s="1"/>
  <c r="D89" i="1"/>
  <c r="E23" i="2"/>
  <c r="B97" i="1" s="1"/>
  <c r="B91" i="1" s="1"/>
  <c r="E21" i="2"/>
  <c r="E19" i="2" s="1"/>
  <c r="E195" i="1"/>
  <c r="K29" i="1"/>
  <c r="K130" i="1" s="1"/>
  <c r="F18" i="1"/>
  <c r="N94" i="1"/>
  <c r="D38" i="2"/>
  <c r="N89" i="1"/>
  <c r="N147" i="1" s="1"/>
  <c r="O133" i="1"/>
  <c r="O195" i="1" s="1"/>
  <c r="N117" i="1"/>
  <c r="M24" i="1"/>
  <c r="S27" i="1"/>
  <c r="S126" i="1" s="1"/>
  <c r="D409" i="2"/>
  <c r="O104" i="1"/>
  <c r="N104" i="1"/>
  <c r="P59" i="1"/>
  <c r="P121" i="1"/>
  <c r="P62" i="1"/>
  <c r="P61" i="1" s="1"/>
  <c r="P83" i="1" s="1"/>
  <c r="H19" i="2"/>
  <c r="H12" i="2" s="1"/>
  <c r="E29" i="1"/>
  <c r="E24" i="1" s="1"/>
  <c r="G19" i="2"/>
  <c r="G12" i="2" s="1"/>
  <c r="D29" i="1"/>
  <c r="D130" i="1" s="1"/>
  <c r="J19" i="2"/>
  <c r="J12" i="2" s="1"/>
  <c r="G29" i="1"/>
  <c r="G130" i="1" s="1"/>
  <c r="G192" i="1" s="1"/>
  <c r="D76" i="2"/>
  <c r="D50" i="2"/>
  <c r="E146" i="1"/>
  <c r="D91" i="5"/>
  <c r="N13" i="5"/>
  <c r="D90" i="5"/>
  <c r="I73" i="1"/>
  <c r="I84" i="1" s="1"/>
  <c r="J69" i="1"/>
  <c r="M63" i="5"/>
  <c r="D64" i="5"/>
  <c r="D85" i="5"/>
  <c r="D84" i="5" s="1"/>
  <c r="M10" i="5"/>
  <c r="D36" i="5"/>
  <c r="D33" i="5" s="1"/>
  <c r="D10" i="5" s="1"/>
  <c r="D16" i="5"/>
  <c r="D13" i="5" s="1"/>
  <c r="M69" i="5"/>
  <c r="O94" i="1"/>
  <c r="N91" i="1"/>
  <c r="N19" i="2"/>
  <c r="N12" i="2" s="1"/>
  <c r="D205" i="2"/>
  <c r="M88" i="2"/>
  <c r="M80" i="2"/>
  <c r="D52" i="2"/>
  <c r="D133" i="1"/>
  <c r="D210" i="1" s="1"/>
  <c r="D42" i="2"/>
  <c r="L14" i="1"/>
  <c r="N210" i="1"/>
  <c r="N211" i="1" s="1"/>
  <c r="E37" i="2"/>
  <c r="E36" i="2" s="1"/>
  <c r="H9" i="2"/>
  <c r="M406" i="2"/>
  <c r="J58" i="1" s="1"/>
  <c r="M103" i="2"/>
  <c r="I37" i="1"/>
  <c r="I141" i="1" s="1"/>
  <c r="I203" i="1" s="1"/>
  <c r="L24" i="2"/>
  <c r="B136" i="1"/>
  <c r="B198" i="1" s="1"/>
  <c r="B74" i="1"/>
  <c r="B73" i="1" s="1"/>
  <c r="B84" i="1" s="1"/>
  <c r="B98" i="1" s="1"/>
  <c r="D122" i="2"/>
  <c r="D14" i="1"/>
  <c r="D12" i="1" s="1"/>
  <c r="G9" i="2"/>
  <c r="D482" i="2"/>
  <c r="D481" i="2" s="1"/>
  <c r="L30" i="2"/>
  <c r="I14" i="1"/>
  <c r="J76" i="1"/>
  <c r="J142" i="1"/>
  <c r="J204" i="1" s="1"/>
  <c r="R38" i="1"/>
  <c r="R142" i="1" s="1"/>
  <c r="R204" i="1" s="1"/>
  <c r="F14" i="1"/>
  <c r="H18" i="1"/>
  <c r="H17" i="1" s="1"/>
  <c r="O89" i="1"/>
  <c r="O102" i="1" s="1"/>
  <c r="M37" i="2"/>
  <c r="S22" i="1"/>
  <c r="S125" i="1" s="1"/>
  <c r="M125" i="1"/>
  <c r="J124" i="1"/>
  <c r="J185" i="1" s="1"/>
  <c r="K120" i="1"/>
  <c r="M120" i="1"/>
  <c r="M182" i="1" s="1"/>
  <c r="D8" i="9"/>
  <c r="S66" i="1"/>
  <c r="S62" i="1" s="1"/>
  <c r="L121" i="1"/>
  <c r="M9" i="9"/>
  <c r="M8" i="9" s="1"/>
  <c r="M18" i="9"/>
  <c r="M17" i="9" s="1"/>
  <c r="J96" i="1" s="1"/>
  <c r="R96" i="1" s="1"/>
  <c r="D18" i="9"/>
  <c r="D17" i="9" s="1"/>
  <c r="M12" i="9"/>
  <c r="D12" i="9"/>
  <c r="M14" i="9"/>
  <c r="D14" i="9"/>
  <c r="S19" i="1"/>
  <c r="L122" i="1"/>
  <c r="L184" i="1" s="1"/>
  <c r="S29" i="1"/>
  <c r="L130" i="1"/>
  <c r="L192" i="1" s="1"/>
  <c r="K80" i="1"/>
  <c r="R81" i="1"/>
  <c r="R80" i="1" s="1"/>
  <c r="R72" i="1"/>
  <c r="D146" i="1"/>
  <c r="M11" i="6"/>
  <c r="J100" i="1"/>
  <c r="R100" i="1" s="1"/>
  <c r="R36" i="1"/>
  <c r="J199" i="1"/>
  <c r="R20" i="1"/>
  <c r="R123" i="1" s="1"/>
  <c r="K183" i="1"/>
  <c r="R66" i="1"/>
  <c r="R121" i="1" s="1"/>
  <c r="R183" i="1" s="1"/>
  <c r="R42" i="1"/>
  <c r="J140" i="1"/>
  <c r="J202" i="1" s="1"/>
  <c r="R34" i="1"/>
  <c r="J139" i="1"/>
  <c r="J201" i="1" s="1"/>
  <c r="M24" i="8"/>
  <c r="J32" i="1"/>
  <c r="M18" i="8"/>
  <c r="M12" i="8" s="1"/>
  <c r="J28" i="1"/>
  <c r="J128" i="1" s="1"/>
  <c r="J189" i="1"/>
  <c r="M85" i="1"/>
  <c r="M409" i="2"/>
  <c r="M408" i="2" s="1"/>
  <c r="J63" i="1"/>
  <c r="R63" i="1" s="1"/>
  <c r="R37" i="1"/>
  <c r="J141" i="1"/>
  <c r="J203" i="1" s="1"/>
  <c r="R23" i="1"/>
  <c r="R127" i="1" s="1"/>
  <c r="R188" i="1" s="1"/>
  <c r="J188" i="1"/>
  <c r="N16" i="1"/>
  <c r="N46" i="1" s="1"/>
  <c r="O192" i="1"/>
  <c r="O193" i="1" s="1"/>
  <c r="O131" i="1"/>
  <c r="D33" i="8"/>
  <c r="D77" i="8"/>
  <c r="D19" i="8"/>
  <c r="D110" i="8"/>
  <c r="M93" i="8"/>
  <c r="M30" i="8"/>
  <c r="D102" i="8"/>
  <c r="D113" i="8"/>
  <c r="K23" i="8"/>
  <c r="H97" i="1" s="1"/>
  <c r="F13" i="1"/>
  <c r="F87" i="1" s="1"/>
  <c r="D40" i="8"/>
  <c r="D35" i="8" s="1"/>
  <c r="D93" i="8"/>
  <c r="D100" i="8"/>
  <c r="G88" i="1"/>
  <c r="I61" i="1"/>
  <c r="I83" i="1" s="1"/>
  <c r="M20" i="6"/>
  <c r="M19" i="6"/>
  <c r="D43" i="3"/>
  <c r="M20" i="3"/>
  <c r="M12" i="3"/>
  <c r="J184" i="1"/>
  <c r="M15" i="3"/>
  <c r="D54" i="3"/>
  <c r="M108" i="3"/>
  <c r="D116" i="3"/>
  <c r="D115" i="3" s="1"/>
  <c r="D114" i="3" s="1"/>
  <c r="M115" i="3"/>
  <c r="M114" i="3" s="1"/>
  <c r="M102" i="3"/>
  <c r="M150" i="3"/>
  <c r="E120" i="1"/>
  <c r="E17" i="1"/>
  <c r="M156" i="3"/>
  <c r="D42" i="3"/>
  <c r="D9" i="3" s="1"/>
  <c r="D8" i="3" s="1"/>
  <c r="M54" i="3"/>
  <c r="D108" i="3"/>
  <c r="D102" i="3"/>
  <c r="M17" i="3"/>
  <c r="M143" i="2"/>
  <c r="M173" i="2"/>
  <c r="M345" i="2"/>
  <c r="D346" i="2"/>
  <c r="M17" i="2"/>
  <c r="J22" i="1" s="1"/>
  <c r="J125" i="1" s="1"/>
  <c r="D348" i="2"/>
  <c r="D17" i="2" s="1"/>
  <c r="M356" i="2"/>
  <c r="M352" i="2" s="1"/>
  <c r="D357" i="2"/>
  <c r="D356" i="2" s="1"/>
  <c r="D352" i="2" s="1"/>
  <c r="N30" i="2"/>
  <c r="N23" i="2" s="1"/>
  <c r="K97" i="1" s="1"/>
  <c r="K91" i="1" s="1"/>
  <c r="M33" i="2"/>
  <c r="M48" i="2"/>
  <c r="D191" i="2"/>
  <c r="D47" i="2"/>
  <c r="D29" i="2" s="1"/>
  <c r="D190" i="2"/>
  <c r="M20" i="2"/>
  <c r="M319" i="2"/>
  <c r="M44" i="2"/>
  <c r="M43" i="2" s="1"/>
  <c r="M26" i="2"/>
  <c r="M73" i="2"/>
  <c r="D39" i="2"/>
  <c r="D132" i="2"/>
  <c r="D131" i="2" s="1"/>
  <c r="D164" i="2"/>
  <c r="D180" i="2"/>
  <c r="D179" i="2" s="1"/>
  <c r="D45" i="2"/>
  <c r="D267" i="2"/>
  <c r="M52" i="2"/>
  <c r="M360" i="2"/>
  <c r="M349" i="2"/>
  <c r="D350" i="2"/>
  <c r="D349" i="2" s="1"/>
  <c r="D242" i="2"/>
  <c r="D128" i="2"/>
  <c r="D127" i="2" s="1"/>
  <c r="D143" i="2"/>
  <c r="D173" i="2"/>
  <c r="M242" i="2"/>
  <c r="D328" i="2"/>
  <c r="D325" i="2" s="1"/>
  <c r="M21" i="2"/>
  <c r="J29" i="1" s="1"/>
  <c r="D88" i="2"/>
  <c r="D74" i="2"/>
  <c r="D46" i="2"/>
  <c r="D28" i="2" s="1"/>
  <c r="D80" i="2"/>
  <c r="D418" i="2"/>
  <c r="D415" i="2" s="1"/>
  <c r="D434" i="2"/>
  <c r="M164" i="2"/>
  <c r="M205" i="2"/>
  <c r="M211" i="2"/>
  <c r="M322" i="2"/>
  <c r="M321" i="2" s="1"/>
  <c r="M32" i="2"/>
  <c r="J43" i="1" s="1"/>
  <c r="R43" i="1" s="1"/>
  <c r="M317" i="2"/>
  <c r="M316" i="2" s="1"/>
  <c r="M14" i="2"/>
  <c r="U11" i="2"/>
  <c r="U9" i="2" s="1"/>
  <c r="M14" i="1"/>
  <c r="M110" i="1" s="1"/>
  <c r="K59" i="1"/>
  <c r="F57" i="1"/>
  <c r="F85" i="1" s="1"/>
  <c r="U13" i="6"/>
  <c r="U10" i="6"/>
  <c r="D113" i="6"/>
  <c r="D112" i="6" s="1"/>
  <c r="G13" i="1"/>
  <c r="J10" i="6"/>
  <c r="D23" i="6"/>
  <c r="D22" i="6" s="1"/>
  <c r="D19" i="6" s="1"/>
  <c r="K31" i="1"/>
  <c r="I57" i="1"/>
  <c r="I85" i="1" s="1"/>
  <c r="M62" i="1"/>
  <c r="M61" i="1" s="1"/>
  <c r="M83" i="1" s="1"/>
  <c r="M104" i="1" s="1"/>
  <c r="E22" i="6"/>
  <c r="E19" i="6" s="1"/>
  <c r="B44" i="1"/>
  <c r="E10" i="6"/>
  <c r="N192" i="1"/>
  <c r="N193" i="1" s="1"/>
  <c r="N131" i="1"/>
  <c r="I13" i="1"/>
  <c r="M89" i="1"/>
  <c r="M146" i="1"/>
  <c r="L13" i="1"/>
  <c r="S13" i="1" s="1"/>
  <c r="J9" i="2"/>
  <c r="E13" i="2"/>
  <c r="B18" i="1"/>
  <c r="M117" i="1"/>
  <c r="M133" i="1"/>
  <c r="U12" i="8"/>
  <c r="C147" i="1"/>
  <c r="H88" i="1"/>
  <c r="K189" i="1"/>
  <c r="D91" i="1"/>
  <c r="C95" i="1"/>
  <c r="C94" i="1" s="1"/>
  <c r="C90" i="1"/>
  <c r="E90" i="1"/>
  <c r="E95" i="1"/>
  <c r="E94" i="1" s="1"/>
  <c r="C195" i="1"/>
  <c r="K185" i="1"/>
  <c r="F31" i="1"/>
  <c r="F135" i="1"/>
  <c r="E8" i="3"/>
  <c r="E17" i="3"/>
  <c r="I99" i="1"/>
  <c r="D70" i="6"/>
  <c r="D69" i="6" s="1"/>
  <c r="D11" i="6" s="1"/>
  <c r="D10" i="6" s="1"/>
  <c r="D17" i="6"/>
  <c r="D13" i="6" s="1"/>
  <c r="K62" i="1"/>
  <c r="K71" i="1"/>
  <c r="F128" i="1"/>
  <c r="F24" i="1"/>
  <c r="K143" i="1"/>
  <c r="K205" i="1" s="1"/>
  <c r="K39" i="1"/>
  <c r="B184" i="1"/>
  <c r="I90" i="1"/>
  <c r="H31" i="1"/>
  <c r="H135" i="1"/>
  <c r="D107" i="8"/>
  <c r="D106" i="8" s="1"/>
  <c r="M113" i="1"/>
  <c r="M109" i="1"/>
  <c r="M87" i="1"/>
  <c r="I145" i="1"/>
  <c r="I207" i="1" s="1"/>
  <c r="I39" i="1"/>
  <c r="L90" i="1"/>
  <c r="M95" i="1"/>
  <c r="M94" i="1" s="1"/>
  <c r="M90" i="1"/>
  <c r="G57" i="1"/>
  <c r="G85" i="1" s="1"/>
  <c r="L138" i="1"/>
  <c r="L200" i="1" s="1"/>
  <c r="L74" i="1"/>
  <c r="L73" i="1" s="1"/>
  <c r="L84" i="1" s="1"/>
  <c r="N9" i="8"/>
  <c r="U11" i="8"/>
  <c r="U9" i="8" s="1"/>
  <c r="O9" i="8"/>
  <c r="M17" i="1"/>
  <c r="D30" i="8"/>
  <c r="D18" i="2"/>
  <c r="L24" i="1"/>
  <c r="D120" i="3"/>
  <c r="B183" i="1"/>
  <c r="A131" i="1"/>
  <c r="C130" i="1"/>
  <c r="C192" i="1" s="1"/>
  <c r="C24" i="1"/>
  <c r="N17" i="6"/>
  <c r="N13" i="6" s="1"/>
  <c r="D27" i="5"/>
  <c r="L31" i="1"/>
  <c r="L135" i="1"/>
  <c r="H121" i="1"/>
  <c r="H183" i="1" s="1"/>
  <c r="H62" i="1"/>
  <c r="H61" i="1" s="1"/>
  <c r="H83" i="1" s="1"/>
  <c r="H85" i="1"/>
  <c r="I12" i="8"/>
  <c r="I17" i="1"/>
  <c r="R71" i="1"/>
  <c r="B71" i="1"/>
  <c r="K135" i="1"/>
  <c r="K74" i="1"/>
  <c r="K73" i="1" s="1"/>
  <c r="K84" i="1" s="1"/>
  <c r="K17" i="1"/>
  <c r="K187" i="1"/>
  <c r="B143" i="1"/>
  <c r="H13" i="1"/>
  <c r="G121" i="1"/>
  <c r="G183" i="1" s="1"/>
  <c r="G62" i="1"/>
  <c r="G61" i="1" s="1"/>
  <c r="G83" i="1" s="1"/>
  <c r="L62" i="1"/>
  <c r="L61" i="1" s="1"/>
  <c r="L83" i="1" s="1"/>
  <c r="L17" i="7"/>
  <c r="E10" i="8"/>
  <c r="E9" i="8" s="1"/>
  <c r="J23" i="8"/>
  <c r="D11" i="8"/>
  <c r="B188" i="1"/>
  <c r="O405" i="2"/>
  <c r="L58" i="1"/>
  <c r="U9" i="3"/>
  <c r="U8" i="3" s="1"/>
  <c r="O8" i="3"/>
  <c r="W8" i="3" s="1"/>
  <c r="L17" i="1"/>
  <c r="D87" i="1"/>
  <c r="B31" i="1"/>
  <c r="B135" i="1"/>
  <c r="G120" i="1"/>
  <c r="G17" i="1"/>
  <c r="C120" i="1"/>
  <c r="C17" i="1"/>
  <c r="G140" i="1"/>
  <c r="G202" i="1" s="1"/>
  <c r="G39" i="1"/>
  <c r="F42" i="1"/>
  <c r="I30" i="8"/>
  <c r="I23" i="8" s="1"/>
  <c r="O110" i="1"/>
  <c r="O114" i="1"/>
  <c r="O88" i="1"/>
  <c r="D33" i="6"/>
  <c r="E30" i="6"/>
  <c r="B96" i="1" s="1"/>
  <c r="C99" i="1"/>
  <c r="C98" i="1" s="1"/>
  <c r="C91" i="1"/>
  <c r="O17" i="7"/>
  <c r="L101" i="1"/>
  <c r="B189" i="1"/>
  <c r="D24" i="8"/>
  <c r="D23" i="8" s="1"/>
  <c r="I199" i="1"/>
  <c r="N405" i="2"/>
  <c r="K58" i="1"/>
  <c r="C87" i="1"/>
  <c r="C86" i="1" s="1"/>
  <c r="C12" i="1"/>
  <c r="D17" i="3"/>
  <c r="O113" i="1"/>
  <c r="O109" i="1"/>
  <c r="O87" i="1"/>
  <c r="O12" i="1"/>
  <c r="O105" i="1" s="1"/>
  <c r="B126" i="1"/>
  <c r="O10" i="6"/>
  <c r="I135" i="1"/>
  <c r="D13" i="8"/>
  <c r="E13" i="5"/>
  <c r="H80" i="1"/>
  <c r="H73" i="1" s="1"/>
  <c r="H84" i="1" s="1"/>
  <c r="K17" i="6"/>
  <c r="K13" i="6" s="1"/>
  <c r="L145" i="1"/>
  <c r="L207" i="1" s="1"/>
  <c r="L39" i="1"/>
  <c r="H90" i="1"/>
  <c r="B62" i="1"/>
  <c r="U114" i="6"/>
  <c r="U112" i="6" s="1"/>
  <c r="E99" i="1"/>
  <c r="E98" i="1" s="1"/>
  <c r="E91" i="1"/>
  <c r="I138" i="1"/>
  <c r="M91" i="1"/>
  <c r="G31" i="1"/>
  <c r="G135" i="1"/>
  <c r="N113" i="1"/>
  <c r="N109" i="1"/>
  <c r="N87" i="1"/>
  <c r="N12" i="1"/>
  <c r="N105" i="1" s="1"/>
  <c r="N9" i="9"/>
  <c r="S83" i="1" l="1"/>
  <c r="N114" i="1"/>
  <c r="N112" i="1" s="1"/>
  <c r="N110" i="1"/>
  <c r="N88" i="1"/>
  <c r="N86" i="1" s="1"/>
  <c r="N132" i="1" s="1"/>
  <c r="H91" i="1"/>
  <c r="H95" i="1"/>
  <c r="M11" i="8"/>
  <c r="F97" i="1"/>
  <c r="F91" i="1" s="1"/>
  <c r="G97" i="1"/>
  <c r="G91" i="1" s="1"/>
  <c r="J138" i="1"/>
  <c r="J200" i="1" s="1"/>
  <c r="R78" i="1"/>
  <c r="R138" i="1" s="1"/>
  <c r="R200" i="1" s="1"/>
  <c r="H30" i="1"/>
  <c r="R19" i="1"/>
  <c r="R122" i="1" s="1"/>
  <c r="R184" i="1" s="1"/>
  <c r="R90" i="1"/>
  <c r="D16" i="2"/>
  <c r="W39" i="2"/>
  <c r="D41" i="2"/>
  <c r="W42" i="2"/>
  <c r="W40" i="2"/>
  <c r="S120" i="1"/>
  <c r="L57" i="1"/>
  <c r="L104" i="1" s="1"/>
  <c r="S58" i="1"/>
  <c r="R189" i="1"/>
  <c r="E11" i="2"/>
  <c r="B14" i="1" s="1"/>
  <c r="D11" i="2"/>
  <c r="R141" i="1"/>
  <c r="R203" i="1" s="1"/>
  <c r="R139" i="1"/>
  <c r="R201" i="1" s="1"/>
  <c r="R137" i="1"/>
  <c r="R199" i="1" s="1"/>
  <c r="J90" i="1"/>
  <c r="L99" i="1"/>
  <c r="R101" i="1"/>
  <c r="D147" i="1"/>
  <c r="N102" i="1"/>
  <c r="M102" i="1"/>
  <c r="M11" i="2"/>
  <c r="D11" i="9"/>
  <c r="O115" i="1"/>
  <c r="M23" i="8"/>
  <c r="D73" i="2"/>
  <c r="I24" i="1"/>
  <c r="I16" i="1" s="1"/>
  <c r="I46" i="1" s="1"/>
  <c r="R59" i="1"/>
  <c r="E147" i="1"/>
  <c r="D433" i="2"/>
  <c r="D408" i="2" s="1"/>
  <c r="H120" i="1"/>
  <c r="U12" i="2"/>
  <c r="L23" i="2"/>
  <c r="I97" i="1" s="1"/>
  <c r="I95" i="1" s="1"/>
  <c r="B29" i="1"/>
  <c r="B24" i="1" s="1"/>
  <c r="D405" i="2"/>
  <c r="O92" i="1"/>
  <c r="R58" i="1"/>
  <c r="R57" i="1" s="1"/>
  <c r="D14" i="2"/>
  <c r="D13" i="2" s="1"/>
  <c r="G24" i="1"/>
  <c r="G16" i="1" s="1"/>
  <c r="G46" i="1" s="1"/>
  <c r="O194" i="1"/>
  <c r="E12" i="2"/>
  <c r="K24" i="1"/>
  <c r="K16" i="1" s="1"/>
  <c r="K46" i="1" s="1"/>
  <c r="M16" i="1"/>
  <c r="M46" i="1" s="1"/>
  <c r="E130" i="1"/>
  <c r="E192" i="1" s="1"/>
  <c r="D24" i="1"/>
  <c r="D16" i="1" s="1"/>
  <c r="D46" i="1" s="1"/>
  <c r="D115" i="1" s="1"/>
  <c r="D116" i="1" s="1"/>
  <c r="F120" i="1"/>
  <c r="F182" i="1" s="1"/>
  <c r="F17" i="1"/>
  <c r="F16" i="1" s="1"/>
  <c r="F46" i="1" s="1"/>
  <c r="F131" i="1"/>
  <c r="O147" i="1"/>
  <c r="O210" i="1"/>
  <c r="O211" i="1" s="1"/>
  <c r="D37" i="2"/>
  <c r="D36" i="2" s="1"/>
  <c r="N92" i="1"/>
  <c r="K30" i="1"/>
  <c r="K47" i="1" s="1"/>
  <c r="K133" i="1" s="1"/>
  <c r="S59" i="1"/>
  <c r="P119" i="1"/>
  <c r="P181" i="1" s="1"/>
  <c r="P88" i="1"/>
  <c r="P86" i="1" s="1"/>
  <c r="P57" i="1"/>
  <c r="P104" i="1" s="1"/>
  <c r="P183" i="1"/>
  <c r="P193" i="1" s="1"/>
  <c r="P131" i="1"/>
  <c r="J57" i="1"/>
  <c r="D9" i="2"/>
  <c r="J85" i="1"/>
  <c r="I98" i="1"/>
  <c r="D195" i="1"/>
  <c r="D88" i="1"/>
  <c r="D86" i="1" s="1"/>
  <c r="R69" i="1"/>
  <c r="R62" i="1" s="1"/>
  <c r="R61" i="1" s="1"/>
  <c r="M12" i="1"/>
  <c r="M105" i="1" s="1"/>
  <c r="E9" i="2"/>
  <c r="I31" i="1"/>
  <c r="I30" i="1" s="1"/>
  <c r="I47" i="1" s="1"/>
  <c r="J27" i="1"/>
  <c r="R27" i="1" s="1"/>
  <c r="M19" i="2"/>
  <c r="N115" i="1"/>
  <c r="D21" i="2"/>
  <c r="I9" i="2"/>
  <c r="M36" i="2"/>
  <c r="M405" i="2"/>
  <c r="F88" i="1"/>
  <c r="F86" i="1" s="1"/>
  <c r="D414" i="2"/>
  <c r="F12" i="1"/>
  <c r="F105" i="1" s="1"/>
  <c r="R76" i="1"/>
  <c r="J74" i="1"/>
  <c r="J73" i="1" s="1"/>
  <c r="J84" i="1" s="1"/>
  <c r="R84" i="1" s="1"/>
  <c r="J14" i="1"/>
  <c r="N119" i="1"/>
  <c r="N194" i="1" s="1"/>
  <c r="M30" i="2"/>
  <c r="C16" i="1"/>
  <c r="C46" i="1" s="1"/>
  <c r="C119" i="1" s="1"/>
  <c r="M11" i="9"/>
  <c r="R29" i="1"/>
  <c r="R130" i="1" s="1"/>
  <c r="J130" i="1"/>
  <c r="J192" i="1" s="1"/>
  <c r="B61" i="1"/>
  <c r="B83" i="1" s="1"/>
  <c r="M10" i="6"/>
  <c r="J13" i="1"/>
  <c r="J99" i="1"/>
  <c r="R22" i="1"/>
  <c r="R125" i="1" s="1"/>
  <c r="R186" i="1" s="1"/>
  <c r="J186" i="1"/>
  <c r="S14" i="1"/>
  <c r="R32" i="1"/>
  <c r="J135" i="1"/>
  <c r="J197" i="1" s="1"/>
  <c r="R28" i="1"/>
  <c r="R128" i="1" s="1"/>
  <c r="R190" i="1" s="1"/>
  <c r="J190" i="1"/>
  <c r="M9" i="8"/>
  <c r="M92" i="1"/>
  <c r="D192" i="1"/>
  <c r="D193" i="1" s="1"/>
  <c r="D131" i="1"/>
  <c r="J62" i="1"/>
  <c r="J61" i="1" s="1"/>
  <c r="J83" i="1" s="1"/>
  <c r="M13" i="2"/>
  <c r="J18" i="1"/>
  <c r="B145" i="1"/>
  <c r="B207" i="1" s="1"/>
  <c r="J44" i="1"/>
  <c r="J39" i="1" s="1"/>
  <c r="M24" i="2"/>
  <c r="J35" i="1"/>
  <c r="M114" i="1"/>
  <c r="M112" i="1" s="1"/>
  <c r="E16" i="1"/>
  <c r="E46" i="1" s="1"/>
  <c r="E115" i="1" s="1"/>
  <c r="E116" i="1" s="1"/>
  <c r="D10" i="8"/>
  <c r="O86" i="1"/>
  <c r="O132" i="1" s="1"/>
  <c r="D18" i="8"/>
  <c r="D12" i="8" s="1"/>
  <c r="B13" i="1"/>
  <c r="D99" i="8"/>
  <c r="M88" i="1"/>
  <c r="M86" i="1" s="1"/>
  <c r="M9" i="3"/>
  <c r="E182" i="1"/>
  <c r="E193" i="1" s="1"/>
  <c r="M11" i="3"/>
  <c r="D13" i="3"/>
  <c r="D12" i="3" s="1"/>
  <c r="D11" i="3" s="1"/>
  <c r="D26" i="2"/>
  <c r="D24" i="2" s="1"/>
  <c r="D44" i="2"/>
  <c r="M344" i="2"/>
  <c r="D319" i="2"/>
  <c r="D316" i="2" s="1"/>
  <c r="D20" i="2"/>
  <c r="D33" i="2"/>
  <c r="W32" i="2" s="1"/>
  <c r="D48" i="2"/>
  <c r="J143" i="1"/>
  <c r="J205" i="1" s="1"/>
  <c r="D345" i="2"/>
  <c r="D344" i="2" s="1"/>
  <c r="K14" i="1"/>
  <c r="J2" i="6"/>
  <c r="L16" i="1"/>
  <c r="O112" i="1"/>
  <c r="B39" i="1"/>
  <c r="B30" i="1" s="1"/>
  <c r="B47" i="1" s="1"/>
  <c r="M147" i="1"/>
  <c r="K13" i="1"/>
  <c r="E92" i="1"/>
  <c r="C92" i="1"/>
  <c r="G30" i="1"/>
  <c r="G47" i="1" s="1"/>
  <c r="L9" i="2"/>
  <c r="M195" i="1"/>
  <c r="M210" i="1"/>
  <c r="M211" i="1" s="1"/>
  <c r="K61" i="1"/>
  <c r="K83" i="1" s="1"/>
  <c r="N8" i="9"/>
  <c r="H130" i="1"/>
  <c r="H192" i="1" s="1"/>
  <c r="H24" i="1"/>
  <c r="H16" i="1" s="1"/>
  <c r="H46" i="1" s="1"/>
  <c r="G95" i="1"/>
  <c r="G90" i="1"/>
  <c r="C105" i="1"/>
  <c r="F140" i="1"/>
  <c r="F146" i="1" s="1"/>
  <c r="F39" i="1"/>
  <c r="C182" i="1"/>
  <c r="C193" i="1" s="1"/>
  <c r="C131" i="1"/>
  <c r="C132" i="1" s="1"/>
  <c r="G182" i="1"/>
  <c r="G193" i="1" s="1"/>
  <c r="G131" i="1"/>
  <c r="D95" i="1"/>
  <c r="D94" i="1" s="1"/>
  <c r="D90" i="1"/>
  <c r="D92" i="1" s="1"/>
  <c r="F95" i="1"/>
  <c r="F90" i="1"/>
  <c r="L183" i="1"/>
  <c r="L193" i="1" s="1"/>
  <c r="L131" i="1"/>
  <c r="B205" i="1"/>
  <c r="K182" i="1"/>
  <c r="K98" i="1"/>
  <c r="D9" i="8"/>
  <c r="L30" i="1"/>
  <c r="L114" i="1"/>
  <c r="L88" i="1"/>
  <c r="L110" i="1"/>
  <c r="N9" i="2"/>
  <c r="S130" i="1"/>
  <c r="S24" i="1"/>
  <c r="H182" i="1"/>
  <c r="L91" i="1"/>
  <c r="H197" i="1"/>
  <c r="H208" i="1" s="1"/>
  <c r="H146" i="1"/>
  <c r="I114" i="1"/>
  <c r="I88" i="1"/>
  <c r="I110" i="1"/>
  <c r="G87" i="1"/>
  <c r="G86" i="1" s="1"/>
  <c r="G12" i="1"/>
  <c r="G105" i="1" s="1"/>
  <c r="G197" i="1"/>
  <c r="G208" i="1" s="1"/>
  <c r="G146" i="1"/>
  <c r="I200" i="1"/>
  <c r="H98" i="1"/>
  <c r="I197" i="1"/>
  <c r="I146" i="1"/>
  <c r="N10" i="6"/>
  <c r="B187" i="1"/>
  <c r="K57" i="1"/>
  <c r="K85" i="1" s="1"/>
  <c r="D30" i="6"/>
  <c r="B197" i="1"/>
  <c r="D105" i="1"/>
  <c r="S122" i="1"/>
  <c r="S17" i="1"/>
  <c r="L113" i="1"/>
  <c r="L109" i="1"/>
  <c r="L87" i="1"/>
  <c r="L12" i="1"/>
  <c r="I113" i="1"/>
  <c r="I109" i="1"/>
  <c r="I87" i="1"/>
  <c r="I12" i="1"/>
  <c r="I105" i="1" s="1"/>
  <c r="S121" i="1"/>
  <c r="S61" i="1"/>
  <c r="K10" i="6"/>
  <c r="R143" i="1"/>
  <c r="R205" i="1" s="1"/>
  <c r="B120" i="1"/>
  <c r="B17" i="1"/>
  <c r="K197" i="1"/>
  <c r="K208" i="1" s="1"/>
  <c r="K146" i="1"/>
  <c r="I182" i="1"/>
  <c r="I193" i="1" s="1"/>
  <c r="I131" i="1"/>
  <c r="A146" i="1"/>
  <c r="L197" i="1"/>
  <c r="L208" i="1" s="1"/>
  <c r="L146" i="1"/>
  <c r="K192" i="1"/>
  <c r="M186" i="1"/>
  <c r="M193" i="1" s="1"/>
  <c r="M131" i="1"/>
  <c r="L98" i="1"/>
  <c r="H94" i="1"/>
  <c r="H47" i="1"/>
  <c r="F190" i="1"/>
  <c r="R99" i="1"/>
  <c r="F197" i="1"/>
  <c r="D119" i="1" l="1"/>
  <c r="N116" i="1"/>
  <c r="L85" i="1"/>
  <c r="J126" i="1"/>
  <c r="J187" i="1" s="1"/>
  <c r="P194" i="1"/>
  <c r="S87" i="1"/>
  <c r="B88" i="1"/>
  <c r="R135" i="1"/>
  <c r="R197" i="1" s="1"/>
  <c r="R74" i="1"/>
  <c r="R73" i="1" s="1"/>
  <c r="J104" i="1"/>
  <c r="R83" i="1"/>
  <c r="R104" i="1" s="1"/>
  <c r="D30" i="2"/>
  <c r="D23" i="2" s="1"/>
  <c r="R126" i="1"/>
  <c r="R187" i="1" s="1"/>
  <c r="O116" i="1"/>
  <c r="I91" i="1"/>
  <c r="B146" i="1"/>
  <c r="C115" i="1"/>
  <c r="C116" i="1" s="1"/>
  <c r="R13" i="1"/>
  <c r="R87" i="1" s="1"/>
  <c r="S88" i="1"/>
  <c r="G119" i="1"/>
  <c r="G181" i="1" s="1"/>
  <c r="B16" i="1"/>
  <c r="B46" i="1" s="1"/>
  <c r="B115" i="1" s="1"/>
  <c r="B130" i="1"/>
  <c r="B131" i="1" s="1"/>
  <c r="M119" i="1"/>
  <c r="M181" i="1" s="1"/>
  <c r="M115" i="1"/>
  <c r="M116" i="1" s="1"/>
  <c r="F193" i="1"/>
  <c r="D19" i="2"/>
  <c r="D12" i="2" s="1"/>
  <c r="E131" i="1"/>
  <c r="M23" i="2"/>
  <c r="J97" i="1" s="1"/>
  <c r="F132" i="1"/>
  <c r="F119" i="1"/>
  <c r="F194" i="1" s="1"/>
  <c r="F115" i="1"/>
  <c r="N181" i="1"/>
  <c r="D132" i="1"/>
  <c r="P132" i="1"/>
  <c r="K104" i="1"/>
  <c r="L46" i="1"/>
  <c r="P105" i="1"/>
  <c r="P85" i="1"/>
  <c r="J98" i="1"/>
  <c r="M9" i="2"/>
  <c r="E119" i="1"/>
  <c r="E194" i="1" s="1"/>
  <c r="J24" i="1"/>
  <c r="R85" i="1"/>
  <c r="G115" i="1"/>
  <c r="M12" i="2"/>
  <c r="J17" i="1"/>
  <c r="J120" i="1"/>
  <c r="I94" i="1"/>
  <c r="R14" i="1"/>
  <c r="R114" i="1" s="1"/>
  <c r="D194" i="1"/>
  <c r="D181" i="1"/>
  <c r="R18" i="1"/>
  <c r="R35" i="1"/>
  <c r="J136" i="1"/>
  <c r="J198" i="1" s="1"/>
  <c r="J31" i="1"/>
  <c r="J30" i="1" s="1"/>
  <c r="R44" i="1"/>
  <c r="J145" i="1"/>
  <c r="J207" i="1" s="1"/>
  <c r="I112" i="1"/>
  <c r="K117" i="1"/>
  <c r="M8" i="3"/>
  <c r="J87" i="1"/>
  <c r="D43" i="2"/>
  <c r="J88" i="1"/>
  <c r="I208" i="1"/>
  <c r="I86" i="1"/>
  <c r="I132" i="1" s="1"/>
  <c r="L105" i="1"/>
  <c r="S16" i="1"/>
  <c r="H131" i="1"/>
  <c r="E12" i="1"/>
  <c r="E87" i="1"/>
  <c r="E86" i="1" s="1"/>
  <c r="G94" i="1"/>
  <c r="F30" i="1"/>
  <c r="F94" i="1" s="1"/>
  <c r="M132" i="1"/>
  <c r="L112" i="1"/>
  <c r="B208" i="1"/>
  <c r="H193" i="1"/>
  <c r="L86" i="1"/>
  <c r="S114" i="1"/>
  <c r="S131" i="1"/>
  <c r="B95" i="1"/>
  <c r="B94" i="1" s="1"/>
  <c r="B90" i="1"/>
  <c r="H89" i="1"/>
  <c r="H92" i="1" s="1"/>
  <c r="M194" i="1"/>
  <c r="H115" i="1"/>
  <c r="S12" i="1"/>
  <c r="C194" i="1"/>
  <c r="C181" i="1"/>
  <c r="H117" i="1"/>
  <c r="H133" i="1"/>
  <c r="B87" i="1"/>
  <c r="B12" i="1"/>
  <c r="B105" i="1" s="1"/>
  <c r="K115" i="1"/>
  <c r="K95" i="1"/>
  <c r="K94" i="1" s="1"/>
  <c r="K90" i="1"/>
  <c r="K110" i="1"/>
  <c r="K114" i="1"/>
  <c r="K88" i="1"/>
  <c r="K193" i="1"/>
  <c r="G132" i="1"/>
  <c r="K89" i="1"/>
  <c r="I89" i="1"/>
  <c r="I117" i="1"/>
  <c r="I133" i="1"/>
  <c r="K113" i="1"/>
  <c r="K109" i="1"/>
  <c r="K87" i="1"/>
  <c r="K12" i="1"/>
  <c r="K105" i="1" s="1"/>
  <c r="H119" i="1"/>
  <c r="B182" i="1"/>
  <c r="H87" i="1"/>
  <c r="H86" i="1" s="1"/>
  <c r="H12" i="1"/>
  <c r="H105" i="1" s="1"/>
  <c r="B89" i="1"/>
  <c r="B133" i="1"/>
  <c r="B117" i="1"/>
  <c r="R192" i="1"/>
  <c r="R24" i="1"/>
  <c r="G89" i="1"/>
  <c r="G92" i="1" s="1"/>
  <c r="G133" i="1"/>
  <c r="G117" i="1"/>
  <c r="K119" i="1"/>
  <c r="L94" i="1"/>
  <c r="L47" i="1"/>
  <c r="I115" i="1"/>
  <c r="I119" i="1"/>
  <c r="K195" i="1"/>
  <c r="K210" i="1"/>
  <c r="K211" i="1" s="1"/>
  <c r="K131" i="1"/>
  <c r="S113" i="1"/>
  <c r="S57" i="1"/>
  <c r="S104" i="1" s="1"/>
  <c r="R140" i="1"/>
  <c r="R202" i="1" s="1"/>
  <c r="F202" i="1"/>
  <c r="F208" i="1" s="1"/>
  <c r="B86" i="1" l="1"/>
  <c r="I92" i="1"/>
  <c r="S86" i="1"/>
  <c r="B192" i="1"/>
  <c r="B147" i="1"/>
  <c r="J91" i="1"/>
  <c r="R97" i="1"/>
  <c r="R91" i="1" s="1"/>
  <c r="R145" i="1"/>
  <c r="R207" i="1" s="1"/>
  <c r="J47" i="1"/>
  <c r="K147" i="1"/>
  <c r="K102" i="1"/>
  <c r="L132" i="1"/>
  <c r="B119" i="1"/>
  <c r="B181" i="1" s="1"/>
  <c r="J95" i="1"/>
  <c r="J94" i="1" s="1"/>
  <c r="G194" i="1"/>
  <c r="E181" i="1"/>
  <c r="F181" i="1"/>
  <c r="E132" i="1"/>
  <c r="S46" i="1"/>
  <c r="L119" i="1"/>
  <c r="L181" i="1" s="1"/>
  <c r="L115" i="1"/>
  <c r="L116" i="1" s="1"/>
  <c r="J16" i="1"/>
  <c r="J46" i="1" s="1"/>
  <c r="R120" i="1"/>
  <c r="R182" i="1" s="1"/>
  <c r="R193" i="1" s="1"/>
  <c r="R39" i="1"/>
  <c r="S119" i="1"/>
  <c r="R88" i="1"/>
  <c r="R86" i="1" s="1"/>
  <c r="I147" i="1"/>
  <c r="I116" i="1"/>
  <c r="R17" i="1"/>
  <c r="R16" i="1" s="1"/>
  <c r="J208" i="1"/>
  <c r="J131" i="1"/>
  <c r="J182" i="1"/>
  <c r="J193" i="1" s="1"/>
  <c r="K92" i="1"/>
  <c r="J146" i="1"/>
  <c r="J133" i="1"/>
  <c r="R136" i="1"/>
  <c r="R198" i="1" s="1"/>
  <c r="R31" i="1"/>
  <c r="H132" i="1"/>
  <c r="J86" i="1"/>
  <c r="F47" i="1"/>
  <c r="J12" i="1"/>
  <c r="J105" i="1" s="1"/>
  <c r="K86" i="1"/>
  <c r="K132" i="1" s="1"/>
  <c r="E105" i="1"/>
  <c r="S112" i="1"/>
  <c r="K112" i="1"/>
  <c r="K116" i="1" s="1"/>
  <c r="H147" i="1"/>
  <c r="S132" i="1"/>
  <c r="G147" i="1"/>
  <c r="I194" i="1"/>
  <c r="I181" i="1"/>
  <c r="K181" i="1"/>
  <c r="K194" i="1"/>
  <c r="G210" i="1"/>
  <c r="G211" i="1" s="1"/>
  <c r="G195" i="1"/>
  <c r="B195" i="1"/>
  <c r="B210" i="1"/>
  <c r="B193" i="1"/>
  <c r="H181" i="1"/>
  <c r="H194" i="1"/>
  <c r="I210" i="1"/>
  <c r="I211" i="1" s="1"/>
  <c r="I195" i="1"/>
  <c r="R113" i="1"/>
  <c r="R112" i="1" s="1"/>
  <c r="R12" i="1"/>
  <c r="H195" i="1"/>
  <c r="H210" i="1"/>
  <c r="H211" i="1" s="1"/>
  <c r="L89" i="1"/>
  <c r="L133" i="1"/>
  <c r="L117" i="1"/>
  <c r="B132" i="1"/>
  <c r="S105" i="1"/>
  <c r="B92" i="1"/>
  <c r="R195" i="1" l="1"/>
  <c r="R208" i="1"/>
  <c r="R95" i="1"/>
  <c r="L92" i="1"/>
  <c r="L102" i="1"/>
  <c r="J89" i="1"/>
  <c r="J92" i="1" s="1"/>
  <c r="B194" i="1"/>
  <c r="S115" i="1"/>
  <c r="J119" i="1"/>
  <c r="J194" i="1" s="1"/>
  <c r="F117" i="1"/>
  <c r="R30" i="1"/>
  <c r="R47" i="1" s="1"/>
  <c r="R131" i="1"/>
  <c r="R132" i="1" s="1"/>
  <c r="L194" i="1"/>
  <c r="F89" i="1"/>
  <c r="F147" i="1" s="1"/>
  <c r="R146" i="1"/>
  <c r="F133" i="1"/>
  <c r="F195" i="1" s="1"/>
  <c r="J132" i="1"/>
  <c r="J210" i="1"/>
  <c r="J211" i="1" s="1"/>
  <c r="J195" i="1"/>
  <c r="J147" i="1"/>
  <c r="L147" i="1"/>
  <c r="L210" i="1"/>
  <c r="L211" i="1" s="1"/>
  <c r="L195" i="1"/>
  <c r="R105" i="1"/>
  <c r="R46" i="1"/>
  <c r="J102" i="1" l="1"/>
  <c r="R89" i="1"/>
  <c r="R147" i="1" s="1"/>
  <c r="R133" i="1"/>
  <c r="R210" i="1" s="1"/>
  <c r="R211" i="1" s="1"/>
  <c r="J181" i="1"/>
  <c r="R94" i="1"/>
  <c r="R117" i="1"/>
  <c r="F92" i="1"/>
  <c r="F210" i="1"/>
  <c r="R115" i="1"/>
  <c r="R116" i="1" s="1"/>
  <c r="R119" i="1"/>
  <c r="R181" i="1" s="1"/>
  <c r="R92" i="1" l="1"/>
  <c r="R194" i="1"/>
  <c r="U139" i="3" l="1"/>
  <c r="U138" i="3" s="1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J3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4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1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1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2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3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3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2.xml><?xml version="1.0" encoding="utf-8"?>
<comments xmlns="http://schemas.openxmlformats.org/spreadsheetml/2006/main">
  <authors>
    <author xml:space="preserve"> Wioletta Stachera</author>
  </authors>
  <commentList>
    <comment ref="P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<sst xmlns="http://schemas.openxmlformats.org/spreadsheetml/2006/main" count="2834" uniqueCount="440">
  <si>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</si>
  <si>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</si>
  <si>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</si>
  <si>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</si>
  <si>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</si>
  <si>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</si>
  <si>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</si>
  <si>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</si>
  <si>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</si>
  <si>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</si>
  <si>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</si>
  <si>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</si>
  <si>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</si>
  <si>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</si>
  <si>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</si>
  <si>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</si>
  <si>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</si>
  <si>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</si>
  <si>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</si>
  <si>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</si>
  <si>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</si>
  <si>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</si>
  <si>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</si>
  <si>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</si>
  <si>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</si>
  <si>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</si>
  <si>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</si>
  <si>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</si>
  <si>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</si>
  <si>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</si>
  <si>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</si>
  <si>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</si>
  <si>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</si>
  <si>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</si>
  <si>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</si>
  <si>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</si>
  <si>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</si>
  <si>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</si>
  <si>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</si>
  <si>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</si>
  <si>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</si>
  <si>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</si>
  <si>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</si>
  <si>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</si>
  <si>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</si>
  <si>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</si>
  <si>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</si>
  <si>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</si>
  <si>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</si>
  <si>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</si>
  <si>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</si>
  <si>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</si>
  <si>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</si>
  <si>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</si>
  <si>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</si>
  <si>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</si>
  <si>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</si>
  <si>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</si>
  <si>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</si>
  <si>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</si>
  <si>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</si>
  <si>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Limit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</si>
  <si>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</si>
  <si>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</si>
  <si>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</si>
  <si>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</si>
  <si>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</si>
  <si>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</si>
  <si>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</si>
  <si>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</si>
  <si>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</si>
  <si>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</si>
  <si>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</si>
  <si>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</si>
  <si>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</si>
  <si>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</si>
  <si>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</si>
  <si>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</si>
  <si>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</si>
  <si>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Lp.</t>
  </si>
  <si>
    <t>Wydatki</t>
  </si>
  <si>
    <t>Dochody</t>
  </si>
  <si>
    <t>1.</t>
  </si>
  <si>
    <t>2.</t>
  </si>
  <si>
    <t>3.</t>
  </si>
  <si>
    <t>4.</t>
  </si>
  <si>
    <t>5.</t>
  </si>
  <si>
    <t xml:space="preserve"> </t>
  </si>
  <si>
    <t>RAZEM  ZMNIEJSZENIE  NAKŁADÓW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</si>
  <si>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</si>
  <si>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</si>
  <si>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</si>
  <si>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</si>
  <si>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>Prognozowane nakłady inwestycyjne / dochody z tytułu realizacji projektów w latach 2015-2018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</si>
  <si>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</si>
  <si>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</si>
  <si>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</si>
  <si>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</si>
  <si>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</si>
  <si>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</si>
  <si>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</si>
  <si>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</si>
  <si>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</si>
  <si>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</si>
  <si>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</si>
  <si>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</si>
  <si>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</si>
  <si>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</si>
  <si>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</si>
  <si>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rodz. 75861</t>
  </si>
  <si>
    <t>rodz. 75861 / 60013</t>
  </si>
  <si>
    <t>7.</t>
  </si>
  <si>
    <t>8.</t>
  </si>
  <si>
    <t>Przebudowa przejścia przez m. Kołobrzeg w ciągu drogi nr 102 w ramach Osi II RPO (2008-2013)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</si>
  <si>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</si>
  <si>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</si>
  <si>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</si>
  <si>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</si>
  <si>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</si>
  <si>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</si>
  <si>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</si>
  <si>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</si>
  <si>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</si>
  <si>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</si>
  <si>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</si>
  <si>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</si>
  <si>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</si>
  <si>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19.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</si>
  <si>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</si>
  <si>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</si>
  <si>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</si>
  <si>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</si>
  <si>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</si>
  <si>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</si>
  <si>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</si>
  <si>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</si>
  <si>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21.</t>
  </si>
  <si>
    <t>Promocja taboru kolejowego zakupionego w ramach PO IiŚ (2014-2015)</t>
  </si>
  <si>
    <t>bieżące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</si>
  <si>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</si>
  <si>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</si>
  <si>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</si>
  <si>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</si>
  <si>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</si>
  <si>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Studium wykonalności Zachodniego Drogowego Obejścia Miasta Szczecina wraz z Raportem oddziaływania na środowisko (2009-2015)</t>
  </si>
  <si>
    <t>dotacja celowa od innych jst</t>
  </si>
  <si>
    <t>Dokumentacje techniczne na zadania drogowe (2011-2018)</t>
  </si>
  <si>
    <t>Przebudowa i rozbudowa przejścia drogowego przez m. Gryfino na drodze woj. Nr 120  (2011-2013)</t>
  </si>
  <si>
    <t>Przebudowa dróg wojewódzkich (2011-2014)</t>
  </si>
  <si>
    <t>6.</t>
  </si>
  <si>
    <t>Wypłata odszkodowań pod planowane inwestycje drogowe  (2012-2015)</t>
  </si>
  <si>
    <t>Przebudowa i rozbudowa przejścia drogowego przez m. Tanowo na drodze woj. Nr 115 (2010-2014)</t>
  </si>
  <si>
    <t>Opracowanie planu transportowego Województwa Zachodniopomorskiego (2013-2014)</t>
  </si>
  <si>
    <t>Zimowe utrzymanie dróg (2011-2018)</t>
  </si>
  <si>
    <t>Obsługa i utrzymanie mostów zwodzonych i mostu granicznego (2011-2018)</t>
  </si>
  <si>
    <t>Monitoring i analizy porealizacyjne inwestycji (2013-2018)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</si>
  <si>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</si>
  <si>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</si>
  <si>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</si>
  <si>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</si>
  <si>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</si>
  <si>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</si>
  <si>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</si>
  <si>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</si>
  <si>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</si>
  <si>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</si>
  <si>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Piramida kompetencji - II edycja w ramach działania 6.1. PO KL (2013-2015)</t>
  </si>
  <si>
    <t>Wojewódzki Urząd Pracy w Szczecinie</t>
  </si>
  <si>
    <t>rozdz.
 85395</t>
  </si>
  <si>
    <t>rozdz. 
75862</t>
  </si>
  <si>
    <t>Profesjonalne kadry - lepsze jutro II w ramach działania 7.1 PO KL (2012-2015)</t>
  </si>
  <si>
    <t>Regionalny Ośrodek Polityki Społecznej</t>
  </si>
  <si>
    <t>rozdz. 
85395</t>
  </si>
  <si>
    <t>Koordynacja na rzecz aktywnej integracji w ramach działania 1.2 PO KL (2009-2014)</t>
  </si>
  <si>
    <t>rozdz. 
75071</t>
  </si>
  <si>
    <t>rozdz.
 75071</t>
  </si>
  <si>
    <t>Inwestycja w wiedzę motorem rozwoju innowacyjności w regionie w ramach działania 8.2 PO KL (2008-2014)</t>
  </si>
  <si>
    <t>rozdz. 
15013</t>
  </si>
  <si>
    <t>Inwestycja w wiedzę motorem rozwoju innowacyjności w regionie w ramach działania 8.2 PO KL - III edycja (2013-2015)</t>
  </si>
  <si>
    <t>Zachodniopomorskie talenty - regionalny system stypendialny - IV edycja w ramach działania 9.1 PO KL  (2013-2015)</t>
  </si>
  <si>
    <t>rozdz.
 75862</t>
  </si>
  <si>
    <t>Najlepszy w zawodzie w ramach działania 9.2 PO KL  (2014-2015)</t>
  </si>
  <si>
    <t>Priorytet: X. Pomoc Techniczna - środki w ramach działania ROEFS w ramach PO KL (2008-2014)</t>
  </si>
  <si>
    <t>rozdz. 
85332</t>
  </si>
  <si>
    <t>Priorytet: X. Pomoc Techniczna w ramach  PO KL (2007-2015)</t>
  </si>
  <si>
    <t>Priorytet: X. Pomoc Techniczna w ramach  PO KL - zakupy inwestycyjne (2007-2014)</t>
  </si>
  <si>
    <t>Sieć Centrów Obsługi Inwestorów i Eksporterów w ramach PO Innowacyjna Gospodarka, Priorytet VI, Działanie 6.2, Poddziałanie 6.2.1 (2010-2015)</t>
  </si>
  <si>
    <t>Centrum Obsługi Inwestorów i Eksporterów</t>
  </si>
  <si>
    <t>rozdz. 
15011</t>
  </si>
  <si>
    <t>Wzrost atrakcyjności inwestycyjnej Województwa Zachodniopomorskiego - Promocja walorów inwestycyjnych Województwa Zachodniopomorskiego  - etap I i II  w ramach RPO WZ, Oś priorytetowa 1, Działanie 1.3, Poddziałanie 1.3.3, schemat C (2012-2015)</t>
  </si>
  <si>
    <t>rozdz. 
75861</t>
  </si>
  <si>
    <t xml:space="preserve">Bałtyckie Centrum Badawczo - Wdrożeniowe Gospodarki Morskiej w ramach RPO WZ, Oś priorytetowa 1, Działanie 1.5 (2013-2014) </t>
  </si>
  <si>
    <t>Wydział Współpracy Terytorialnej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</si>
  <si>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</si>
  <si>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</si>
  <si>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</si>
  <si>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</si>
  <si>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</si>
  <si>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Specjalistyczny Szpital im. A. Sokołowskiego 
w Szczecinie - Zdunowo 
pod nadzorem Wydziału Zdrowia i Wydziału Zarządzania Strategicznego</t>
  </si>
  <si>
    <t>Rozbudowa Szpitala Dziecięcego SPS ZOZ "Zdroje" w Szczecinie - utworzenie Zachodniopomorskiego Centrum Opieki Nad Kobietą i Dzieckiem (2010-2016)</t>
  </si>
  <si>
    <t>SPS ZOZ ZDROJE Szczecin 
pod nadzorem Wydziału Zdrowia</t>
  </si>
  <si>
    <t>dotacja z budżetu wojewodztwa dla jos</t>
  </si>
  <si>
    <t>Zwiększenie dostępności i jakości usług medycznych poprzez wyposażenie w sprzęt i urządzenia medyczne SPS ZOZ  Zdroje w Szczecinie w ramach osi VII RPO (2014-2015)</t>
  </si>
  <si>
    <t>SPS ZOZ ZDROJE Szczecin 
pod nadzorem Wydziału Zdrowia i Wydziału Zarządzania Strategicznego</t>
  </si>
  <si>
    <t>Specjalistyczny Szpital im. A. Sokołowskiego 
w Szczecinie - Zdunowo pod nadzorem Wydziału Zdrowia</t>
  </si>
  <si>
    <t>rozdz. 75704</t>
  </si>
  <si>
    <t>środki  z budżetu województwa</t>
  </si>
  <si>
    <t>Poręczenie kredytu dla Szpitala Wojewódzkiego w Koszalinie (2009-2017)</t>
  </si>
  <si>
    <t>Szpital Wojewódzki 
w Koszalinie pod nadzorem Wydziału Zdrowia</t>
  </si>
  <si>
    <t>Utworzenie Centrum Diagnostyki Obrazowej w Samodzielnym Publicznym Wojewódzkim Szpitalu Zespolonym w Szczecinie w ramach w ramach osi VII RPO (2014-2015)</t>
  </si>
  <si>
    <t>Podniesienie jakości i dostępności kardiologicznych usług medycznych w SPWSZ w Szczecinie poprzez modernizację szpitalnych oddziałów kardiologicznych w ramach osi VII RPO (2014-2015)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</si>
  <si>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</si>
  <si>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</si>
  <si>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</si>
  <si>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</si>
  <si>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</si>
  <si>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</si>
  <si>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</si>
  <si>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</si>
  <si>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</si>
  <si>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</si>
  <si>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</si>
  <si>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</si>
  <si>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</si>
  <si>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</si>
  <si>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</si>
  <si>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</si>
  <si>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</si>
  <si>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</si>
  <si>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</si>
  <si>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</si>
  <si>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</si>
  <si>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</si>
  <si>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</si>
  <si>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</si>
  <si>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</si>
  <si>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</si>
  <si>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</si>
  <si>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</si>
  <si>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</si>
  <si>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Projekty w ramach Pomocy Technicznej - Oś VIII RPO WZ - zakupy inwestycyjne (2007-2015) </t>
  </si>
  <si>
    <t>Wydział Zarządzania Strategicznego, Wydział Wdrażania RPO</t>
  </si>
  <si>
    <t>e-Administracja i e-Turystyka w województwie zachodniopomorskim w ramach działania 3.2 Osi III RPO WZ (2011-2015)</t>
  </si>
  <si>
    <t>Wydział Społeczeństwa Informacyjnego i Informatyki</t>
  </si>
  <si>
    <t>rozdz. 60052</t>
  </si>
  <si>
    <t xml:space="preserve">II. POZOSTAŁE  PRZEDSIĘWZIĘCIA  W ZAKRESIE ADMINISTRACJI I  TELEKOMUNIKACJI </t>
  </si>
  <si>
    <t>Gospodarowanie nieruchomościami należącymi do zasobu Województwa Zachodniopomorskiego (2010-2015)</t>
  </si>
  <si>
    <t>Wydział Inwestycji 
i Nieruchomości</t>
  </si>
  <si>
    <t>rozdz. 70005</t>
  </si>
  <si>
    <t xml:space="preserve">Wydział Administracyjny,
Wydział Społeczeństwa Informacyjnego i Informatyki </t>
  </si>
  <si>
    <t>Zlecanie wykonania i udostępniania map topograficznych i tematycznych opracowań numerycznych, prowadzenie wojewódzkich baz danych oraz standardowych opracowań kartograficznych (2014-2015)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</si>
  <si>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</si>
  <si>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</si>
  <si>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</si>
  <si>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</si>
  <si>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</si>
  <si>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</si>
  <si>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</si>
  <si>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</si>
  <si>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</si>
  <si>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</si>
  <si>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</si>
  <si>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</si>
  <si>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Pomoc Techniczna Programu Operacyjnego „Zrównoważony rozwój sektora rybołówstwa i nadbrzeżnych obszarów rybackich 2007-2013 - Oś 5 (2009-2015)</t>
  </si>
  <si>
    <t xml:space="preserve">Wydział Rolnictwa i Rybactwa
</t>
  </si>
  <si>
    <t>rozdz. 05011</t>
  </si>
  <si>
    <t>Pomoc Techniczna Programu Operacyjnego „Zrównoważony rozwój sektora rybołówstwa i nadbrzeżnych obszarów rybackich 2007-2013 - Oś 5 - zakupy inwestycyjne (2009-2015)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</si>
  <si>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</si>
  <si>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</si>
  <si>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</si>
  <si>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</si>
  <si>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Poprawianie i rozwijanie infrastruktury związanej rozwojem i dostosowaniem rolnictwa i leśnictwa w ramach PROW, Osi 1, Działania 125 (2009-2015)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</si>
  <si>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</si>
  <si>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</si>
  <si>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</si>
  <si>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</si>
  <si>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</si>
  <si>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</si>
  <si>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</si>
  <si>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</si>
  <si>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</si>
  <si>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</si>
  <si>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t>Poprawa warunków przepływu wody w obrębie m. Darłowo wraz z zabezpieczeniem przeciwpowodziowym  m i gm. Darłowo (2013-2014)</t>
  </si>
  <si>
    <t>Zabezpieczenie przeciwpowodziowe terenów przyległych do Jeziora Jamno (2012-2015)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</si>
  <si>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</si>
  <si>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</si>
  <si>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"Rewitalizacja europejskiego szlaku kulturowego na obszarze Południowego Bałtyku - Pomorski Szlak św. Jakuba" w ramach Programu Współpracy Transgranicznej Południowy Bałtyk - EWT (2011-2014)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</si>
  <si>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</si>
  <si>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</si>
  <si>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</si>
  <si>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</si>
  <si>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</si>
  <si>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>WEiS</t>
  </si>
  <si>
    <t>rozdz. 92605      92695</t>
  </si>
  <si>
    <t>dotacja z budżetu województwa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</si>
  <si>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</si>
  <si>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</si>
  <si>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</si>
  <si>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</si>
  <si>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</si>
  <si>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Regionalne Biuro Gospodarki Przestrzennej Województwa Zachodniopomorskiego w Szczecinie pod nadzorem Wydziału Zarządzania Strategicznego</t>
  </si>
  <si>
    <t>rodz. 71003</t>
  </si>
  <si>
    <t>Wydział Zarządzania Strategicznego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</si>
  <si>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</si>
  <si>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</si>
  <si>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</si>
  <si>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</si>
  <si>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t>Rozbudowa części środkowej budynku głównego wraz z dostosowaniem oddziałów chirurgicznych do wymogów fachowo-sanitarnych  w Specjalistycznym Szpitalu im. A.Sokołowskiego w Szczecinie-Zdunowie w ramach osi VII RPO (2006-2015)</t>
  </si>
  <si>
    <t>Pomoc Techniczna w ramach  PO WER (2015-2018)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</si>
  <si>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</si>
  <si>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</si>
  <si>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</si>
  <si>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Multifunkcyjne podejście do ochrony brzegu morskiego Morza Bałtyckiego” w ramach środków z Regionu Skania (2014-2015)</t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</si>
  <si>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</si>
  <si>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</si>
  <si>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</si>
  <si>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</si>
  <si>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>Prognozowane nakłady inwestycyjne / dochody z tytułu realizacji projektów w latach 2015-2020</t>
  </si>
  <si>
    <t>Limity zobowiązań 2015-2020 i lata następne</t>
  </si>
  <si>
    <t xml:space="preserve">2008 r. </t>
  </si>
  <si>
    <t xml:space="preserve">Zrealizowane nakłady/uzyskane dochody </t>
  </si>
  <si>
    <t>do 2013 r.</t>
  </si>
  <si>
    <t>2020 r.</t>
  </si>
  <si>
    <t>do  2013 r.</t>
  </si>
  <si>
    <t>Prognozowane nakłady inwestycyjne / dochody z tytułu realizacji projektów 
w latach 2015-2020</t>
  </si>
  <si>
    <t>Prognozowane nakłady inwestycyjne / dochody z tytułu realizacji projektów  w latach 2015-2020</t>
  </si>
  <si>
    <t>Akademia Sztuki   
w Szczecinie 
pod nadzorem Wydziału Edukacji  
i Sportu</t>
  </si>
  <si>
    <t>do 2013</t>
  </si>
  <si>
    <t>Prognozowane nakłady inwestycyjne /dochody 
w latach 2014 - 2020</t>
  </si>
  <si>
    <r>
      <t>Limit zobowiązań na lata 2015-20</t>
    </r>
    <r>
      <rPr>
        <b/>
        <sz val="10"/>
        <color indexed="8"/>
        <rFont val="Arial CE"/>
        <charset val="238"/>
      </rPr>
      <t>20</t>
    </r>
    <r>
      <rPr>
        <b/>
        <sz val="10"/>
        <color indexed="8"/>
        <rFont val="Arial CE"/>
        <family val="2"/>
        <charset val="238"/>
      </rPr>
      <t xml:space="preserve"> i lata następne</t>
    </r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</si>
  <si>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</si>
  <si>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</si>
  <si>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</si>
  <si>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 xml:space="preserve">Projekty w ramach Pomocy Technicznej - Oś VIII RPO WZ (2007-2015) </t>
  </si>
  <si>
    <t>Pomoc Techniczna w ramach  Programu EWT 
 INTERREG IVA (2008 - 2015)</t>
  </si>
  <si>
    <t>Ubezpieczenie taboru kolejowego Województwa (2011-2018)</t>
  </si>
  <si>
    <t>Limity zobowiązań 2015-2020  i lata następne</t>
  </si>
  <si>
    <t>środki  budżetu województwa (w tym zwrot podatku VAT)</t>
  </si>
  <si>
    <t>środki budżetu województwa</t>
  </si>
  <si>
    <t>środki własne budżetu województwa</t>
  </si>
  <si>
    <t>Sieć Punktów Informacyjnych Funduszy Europejskich (PIFE) w Województwie Zachodniopomorskim w ramach PO Pomoc techniczna (2015-2020)</t>
  </si>
  <si>
    <t>Sieć Punktów Informacyjnych Funduszy Europejskich (PIFE) w Województwie Zachodniopomorskim w ramach PO Pomoc Techniczna  (2015-2020)</t>
  </si>
  <si>
    <r>
      <t>Wydział Zarządzania Strategicznego, Wydział Wdrażania RPO</t>
    </r>
    <r>
      <rPr>
        <sz val="7"/>
        <rFont val="Arial CE"/>
        <charset val="238"/>
      </rPr>
      <t>, Wydział Organizacji i Rozwoju Zasobów Ludzkich, Gabinet Marszałka</t>
    </r>
  </si>
  <si>
    <t>Główny Punkt Informacyjny Funduszy Europejskich (GPI)  przy ul.Kuśnierskiej 12b w ramach PO Pomoc Techniczna  (2009-2015)</t>
  </si>
  <si>
    <t>Budowa Centrum Nauki w Szczecinie (2011-2015)</t>
  </si>
  <si>
    <t>Poręczenie kredytu dla Szpitala Specjalistycznego w Szczecinie Zdunowie (2014-2022)**</t>
  </si>
  <si>
    <t>PROJEKTY WYŁĄCZANE Z WPF</t>
  </si>
  <si>
    <t>rozdz. 92502</t>
  </si>
  <si>
    <t>Parki Krajobrazowe Województwa Zachodniopomorskiego nadzór WTiG</t>
  </si>
  <si>
    <t>Projekt pn. "Kampanie edukacyjne i społeczne prowadzone na terenie Parków Krajobrazowych Województwa Zachodniopomorskiego jako promocja i popularyzacja walorów przyrodniczych" (2015-2016)</t>
  </si>
  <si>
    <t>Środki z budżetu krajowego, z tego:</t>
  </si>
  <si>
    <t>rozdz. 75863</t>
  </si>
  <si>
    <t>Poręczenie kredytu obrotowego dla Specjalistycznego Szpitala w Szczecinie Zdunowie  (2015-2019)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</si>
  <si>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</si>
  <si>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</si>
  <si>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</si>
  <si>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</si>
  <si>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</si>
  <si>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</si>
  <si>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</si>
  <si>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>C</t>
  </si>
  <si>
    <t>D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</si>
  <si>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</si>
  <si>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</si>
  <si>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</si>
  <si>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</si>
  <si>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</si>
  <si>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</si>
  <si>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24.</t>
  </si>
  <si>
    <t>25.</t>
  </si>
  <si>
    <t>26.</t>
  </si>
  <si>
    <t>Pomoc Techniczna  w ramach PROW (2015-2019)</t>
  </si>
  <si>
    <t>Pomoc Techniczna  w ramach PROW - zakupy inwestycyjne (2015-2019)</t>
  </si>
  <si>
    <t>ZZDW / WZS</t>
  </si>
  <si>
    <r>
      <t>Rewitalizacja europejskiego szlaku kulturowego na obszarze Południowego Bałtyku - Pomorski Szlak św. Jakuba</t>
    </r>
    <r>
      <rPr>
        <sz val="9"/>
        <rFont val="Arial CE"/>
        <charset val="238"/>
      </rPr>
      <t xml:space="preserve"> w ramach Programu Współpracy Transgranicznej Południowy Bałtyk - EWT -zakupy inwestycyjne</t>
    </r>
    <r>
      <rPr>
        <b/>
        <sz val="9"/>
        <rFont val="Arial CE"/>
        <family val="2"/>
        <charset val="238"/>
      </rPr>
      <t xml:space="preserve"> (2011-2014)</t>
    </r>
  </si>
  <si>
    <r>
      <t xml:space="preserve">MARRIAGE - Lepsze zarządzanie mariną, konsolidacja sieci przystani i marketingu turystyki wodnej w obszarze Południowego Bałtyku </t>
    </r>
    <r>
      <rPr>
        <sz val="9"/>
        <rFont val="Arial CE"/>
        <charset val="238"/>
      </rPr>
      <t>w ramach Programu Współpracy Transgranicznej Południowy Bałtyk - EWT</t>
    </r>
    <r>
      <rPr>
        <b/>
        <sz val="9"/>
        <rFont val="Arial CE"/>
        <family val="2"/>
        <charset val="238"/>
      </rPr>
      <t xml:space="preserve"> (2012-2015)</t>
    </r>
  </si>
  <si>
    <r>
      <t xml:space="preserve">Zachodniopomorskie - Morze Przygody. Promocja turystyczna Województwa Zachodniopomorskiego </t>
    </r>
    <r>
      <rPr>
        <sz val="9"/>
        <rFont val="Arial CE"/>
        <charset val="238"/>
      </rPr>
      <t xml:space="preserve">w ramach RPO WZ, Osi V </t>
    </r>
    <r>
      <rPr>
        <b/>
        <sz val="9"/>
        <rFont val="Arial CE"/>
        <family val="2"/>
        <charset val="238"/>
      </rPr>
      <t>(2012-2014)</t>
    </r>
  </si>
  <si>
    <r>
      <t xml:space="preserve">Zachodniopomorskie - Morze Przygody. Promocja turystyczna Województwa Zachodniopomorskiego i Szczecińskiego Obszaru Metropolitarnego </t>
    </r>
    <r>
      <rPr>
        <sz val="9"/>
        <rFont val="Arial CE"/>
        <charset val="238"/>
      </rPr>
      <t xml:space="preserve">w ramach RPO WZ, Osi VI  </t>
    </r>
    <r>
      <rPr>
        <b/>
        <sz val="9"/>
        <rFont val="Arial CE"/>
        <family val="2"/>
        <charset val="238"/>
      </rPr>
      <t>- zakupy inwestycyjne (2013-2014)</t>
    </r>
  </si>
  <si>
    <r>
      <t xml:space="preserve">Zachodniopomorskie  Regionalne Obserwatorium Terytorialne podstawą rozwoju regionu </t>
    </r>
    <r>
      <rPr>
        <sz val="9"/>
        <rFont val="Arial CE"/>
        <charset val="238"/>
      </rPr>
      <t>w ramach działania 5.2 PO KL</t>
    </r>
    <r>
      <rPr>
        <b/>
        <sz val="9"/>
        <rFont val="Arial CE"/>
        <family val="2"/>
        <charset val="238"/>
      </rPr>
      <t xml:space="preserve"> - wydatki inwestycyjne (2014-2015)</t>
    </r>
  </si>
  <si>
    <r>
      <t xml:space="preserve">Zachodniopomorskie Regionalne Obserwatorium Terytorialne podstawą rozwoju regionu </t>
    </r>
    <r>
      <rPr>
        <sz val="9"/>
        <rFont val="Arial CE"/>
        <charset val="238"/>
      </rPr>
      <t>w ramach działania 5.2 PO KL</t>
    </r>
    <r>
      <rPr>
        <b/>
        <sz val="9"/>
        <rFont val="Arial CE"/>
        <family val="2"/>
        <charset val="238"/>
      </rPr>
      <t xml:space="preserve"> (2014-2015)</t>
    </r>
  </si>
  <si>
    <r>
      <t xml:space="preserve">Partnerstwo miejsko-wiejskie w obszarach metropolitalnych - URMA </t>
    </r>
    <r>
      <rPr>
        <sz val="9"/>
        <rFont val="Arial CE"/>
        <charset val="238"/>
      </rPr>
      <t>w ramach programu INTERREG IVC</t>
    </r>
    <r>
      <rPr>
        <b/>
        <sz val="9"/>
        <rFont val="Arial CE"/>
        <family val="2"/>
        <charset val="238"/>
      </rPr>
      <t xml:space="preserve"> (2011-2014)</t>
    </r>
  </si>
  <si>
    <r>
      <t>Architektoniczno - urbanistyczna koncepcja rozbudowy Teatru Polskiego w Szczecinie</t>
    </r>
    <r>
      <rPr>
        <sz val="9"/>
        <rFont val="Arial CE"/>
        <charset val="238"/>
      </rPr>
      <t xml:space="preserve"> w ramach RPO WZ, Osi VI: Rozwój  Funkcji Metropolitalnych</t>
    </r>
    <r>
      <rPr>
        <b/>
        <sz val="9"/>
        <rFont val="Arial CE"/>
        <charset val="238"/>
      </rPr>
      <t xml:space="preserve"> (2011-2015)</t>
    </r>
  </si>
  <si>
    <r>
      <t xml:space="preserve">Muzeum Narodowe w Szczecinie - Muzeum tradycji regionalnych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(2014-2015)</t>
    </r>
  </si>
  <si>
    <r>
      <t xml:space="preserve">Przebudowa Opery na Zamku w Szczecinie </t>
    </r>
    <r>
      <rPr>
        <sz val="9"/>
        <rFont val="Arial CE"/>
        <charset val="238"/>
      </rPr>
      <t>w ramach RPO WZ, Osi VI: Rozwój  Funkcji Metropolitalnych</t>
    </r>
    <r>
      <rPr>
        <b/>
        <sz val="9"/>
        <rFont val="Arial CE"/>
        <charset val="238"/>
      </rPr>
      <t xml:space="preserve"> (2009 - 2015)</t>
    </r>
  </si>
  <si>
    <r>
      <t xml:space="preserve">Budowa pawilonu wystawowego służącego celom Centrum Dialogu Przełomy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(2009-2015)</t>
    </r>
  </si>
  <si>
    <t xml:space="preserve">PROJEKTY REALIZOWANE W RAMACH POZOSTAŁYCH FUNDUSZY UE </t>
  </si>
  <si>
    <r>
      <t xml:space="preserve">Modernizacja kolejowego taboru pasażerskiego o napędzie elektrycznym </t>
    </r>
    <r>
      <rPr>
        <sz val="9"/>
        <rFont val="Arial CE"/>
        <charset val="238"/>
      </rPr>
      <t xml:space="preserve">w ramach Osi II RPO </t>
    </r>
    <r>
      <rPr>
        <b/>
        <sz val="9"/>
        <rFont val="Arial CE"/>
        <family val="2"/>
        <charset val="238"/>
      </rPr>
      <t xml:space="preserve"> (2013-2016)</t>
    </r>
  </si>
  <si>
    <t>PROJEKTY  REALIZOWANE  W  RAMACH RPO WZ 2007-2014</t>
  </si>
  <si>
    <r>
      <t xml:space="preserve">Budowa obejścia m. Goleniów w ciągu drogi nr 113 </t>
    </r>
    <r>
      <rPr>
        <sz val="9"/>
        <rFont val="Arial CE"/>
        <charset val="238"/>
      </rPr>
      <t>w ramach Osi II RPO</t>
    </r>
    <r>
      <rPr>
        <b/>
        <sz val="9"/>
        <rFont val="Arial CE"/>
        <family val="2"/>
        <charset val="238"/>
      </rPr>
      <t xml:space="preserve"> (2009-2014)</t>
    </r>
  </si>
  <si>
    <r>
      <t xml:space="preserve">Budowa obejścia m. Darłowo w ciągu drogi nr 203 </t>
    </r>
    <r>
      <rPr>
        <sz val="9"/>
        <rFont val="Arial CE"/>
        <charset val="238"/>
      </rPr>
      <t>w ramach Osi II RPO</t>
    </r>
    <r>
      <rPr>
        <b/>
        <sz val="9"/>
        <rFont val="Arial CE"/>
        <family val="2"/>
        <charset val="238"/>
      </rPr>
      <t xml:space="preserve"> (2011-2014)</t>
    </r>
  </si>
  <si>
    <r>
      <t xml:space="preserve">Przebudowa drogi woj. nr 124 na odcinku Cedynia - Chojna </t>
    </r>
    <r>
      <rPr>
        <sz val="9"/>
        <rFont val="Arial CE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(2008-2015)</t>
    </r>
  </si>
  <si>
    <r>
      <t xml:space="preserve">Przebudowa drogi woj. nr 106 na odcinku Rzewnowo - Golczewo </t>
    </r>
    <r>
      <rPr>
        <sz val="9"/>
        <rFont val="Arial CE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(2008-2014)</t>
    </r>
  </si>
  <si>
    <r>
      <t xml:space="preserve">Przebudowa drogi woj. nr 203 na odcinku Koszalin - Iwięcino </t>
    </r>
    <r>
      <rPr>
        <sz val="9"/>
        <rFont val="Arial CE"/>
        <charset val="238"/>
      </rPr>
      <t>w ramach Osi II RPO</t>
    </r>
    <r>
      <rPr>
        <b/>
        <sz val="9"/>
        <rFont val="Arial CE"/>
        <family val="2"/>
        <charset val="238"/>
      </rPr>
      <t xml:space="preserve"> (2007-2015)</t>
    </r>
  </si>
  <si>
    <r>
      <t xml:space="preserve">Przebudowa drogi woj. nr 109 na odcinku Mrzeżyno - Trzebiatów </t>
    </r>
    <r>
      <rPr>
        <sz val="9"/>
        <rFont val="Arial CE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(2008-2015)</t>
    </r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</si>
  <si>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</si>
  <si>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</si>
  <si>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</si>
  <si>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</si>
  <si>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</si>
  <si>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t xml:space="preserve">dotacje celowe  z budżetu państwa </t>
  </si>
  <si>
    <t>dotacjecelowe/płatności z UE</t>
  </si>
  <si>
    <t>Dokumentacje techniczne na zadania drogowe w ramach Osi V RPO (2016-2017)</t>
  </si>
  <si>
    <t>PROJEKTY  REALIZOWANE  W  RAMACH  IW  INTERREG</t>
  </si>
  <si>
    <t>środki z Unii Europejskiej (refundacja)</t>
  </si>
  <si>
    <t>Przebudowa drogi wojewódzkiej nr 120 przez m. Wełtyń w ramach IW INTERREG V A (2016-2017)</t>
  </si>
  <si>
    <r>
      <t xml:space="preserve">Przebudowa drogi woj. nr 110 na odcinku Lędzin - Cerkwica </t>
    </r>
    <r>
      <rPr>
        <sz val="9"/>
        <rFont val="Arial CE"/>
        <family val="2"/>
        <charset val="238"/>
      </rPr>
      <t>w ramach Osi II RPO WZ</t>
    </r>
    <r>
      <rPr>
        <b/>
        <sz val="9"/>
        <rFont val="Arial CE"/>
        <family val="2"/>
        <charset val="238"/>
      </rPr>
      <t xml:space="preserve"> (2008-2014)</t>
    </r>
  </si>
  <si>
    <t>Dokumentacje techniczne na zadania drogowe w ramach Osi VIII RPO (2014-2015)</t>
  </si>
  <si>
    <t>WYDATKI ŁĄCZNIE- Stan na  29 września 2015 r.</t>
  </si>
  <si>
    <t>DOCHODY ŁĄCZNIE  - Stan na  29 września 2015 r.</t>
  </si>
  <si>
    <t>WYDATKI ŁĄCZNIE- Stan na 16 czerwca 2015 r.</t>
  </si>
  <si>
    <t>DOCHODY ŁĄCZNIE -  Stan na  16 czerwca  2015 r.</t>
  </si>
  <si>
    <t>IW INTERREG NA LATA 2014 - 2020</t>
  </si>
  <si>
    <t>Przebudowa mostu k. miejscowości Żelimucha w ciągu drogi woj. Nr 166 (2015 - 2016)</t>
  </si>
  <si>
    <t>Poręczenie kredytu dla Szpitala Specjalistycznego 
w Szczecinie Zdunowie na pokrycie wkładu własnego (2015-2018)*</t>
  </si>
  <si>
    <t>*   Umowa poręczenia została zawarta na okres od 2015 do 2030 r. z limitem poręczenia w wysokości 5.000.000 zł. Zwolnione środki stanowiące zabezpieczenie spłaty kredytu zaplanowane w latach 2015-2018 będą przenoszone na lata następne.</t>
  </si>
  <si>
    <t>Poręczenie kredytu inwestycyjnego dla Samodzielnego Publicznego Wojewódzkiego Szpitala Zespolonego w Szczecinie (2015-2027)***</t>
  </si>
  <si>
    <t>Misje eksportowe - etap I, II, III, IV, V, VI w ramach RPO WZ, Oś priorytetowa 1, Działanie 1.3, Poddziałanie 1.3.2 (2012-2015)</t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</si>
  <si>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(2007-2015)</t>
    </r>
  </si>
  <si>
    <r>
      <t xml:space="preserve">Budowa obejścia w m. Gościno w ciągu drogi nr 162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(2010-2014)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</si>
  <si>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(2009-2016)</t>
    </r>
  </si>
  <si>
    <r>
      <t xml:space="preserve">Przebudowa drogi woj. nr 114 na odcinku Trzebież - Police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(2008-2015)</t>
    </r>
  </si>
  <si>
    <r>
      <t>Przebudowa drogi woj. nr 163 na odcinku Czaplinek - Wałcz (etap I)</t>
    </r>
    <r>
      <rPr>
        <sz val="9"/>
        <rFont val="Arial CE"/>
        <family val="2"/>
        <charset val="238"/>
      </rPr>
      <t xml:space="preserve"> w ramach Osi II RPO</t>
    </r>
    <r>
      <rPr>
        <b/>
        <sz val="9"/>
        <rFont val="Arial CE"/>
        <family val="2"/>
        <charset val="238"/>
      </rPr>
      <t xml:space="preserve"> (2007-2015)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</si>
  <si>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(2008-2015)</t>
    </r>
  </si>
  <si>
    <r>
      <t xml:space="preserve">Przebudowa drogi woj. nr 163 na odcinku Czaplinek - Wałcz  (etap II i III)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(2008-2015)</t>
    </r>
  </si>
  <si>
    <r>
      <t xml:space="preserve">Budowa obejścia m. Barlinek w ciągu drogi nr 151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(2010-2016)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</si>
  <si>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</si>
  <si>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Budowa obejścia m. Dobra w ciągu drogi nr 144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</si>
  <si>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Przebudowa drogi wojewódzkiej nr 203 na odcinku Iwięcino - Darłowo, etap II Dąbki - Darłowo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</si>
  <si>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109 na odcinku Trzebusz - Trzebiatów w</t>
    </r>
    <r>
      <rPr>
        <sz val="9"/>
        <rFont val="Arial CE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(2015-2017)</t>
    </r>
  </si>
  <si>
    <r>
      <t xml:space="preserve">Przebudowa i rozbudowa przejścia drogowego przez m. Krzywin na drodze woj. Nr 122 </t>
    </r>
    <r>
      <rPr>
        <sz val="9"/>
        <rFont val="Arial CE"/>
        <charset val="238"/>
      </rPr>
      <t>w ramach IW INTERREG IV A</t>
    </r>
    <r>
      <rPr>
        <b/>
        <sz val="9"/>
        <rFont val="Arial CE"/>
        <charset val="238"/>
      </rPr>
      <t xml:space="preserve"> (2010-2015)</t>
    </r>
  </si>
  <si>
    <r>
      <t xml:space="preserve">Zakup pasażerskiego taboru kolejowego do obsługi połączeń międzywojewódzkich przez Województwa: Lubuskie i Zachodniopomorskie </t>
    </r>
    <r>
      <rPr>
        <sz val="9"/>
        <rFont val="Arial CE"/>
        <family val="2"/>
        <charset val="238"/>
      </rPr>
      <t>w ramach PO Infrastruktura i Środowisko</t>
    </r>
    <r>
      <rPr>
        <b/>
        <sz val="9"/>
        <rFont val="Arial CE"/>
        <family val="2"/>
        <charset val="238"/>
      </rPr>
      <t xml:space="preserve"> (2013-2015)</t>
    </r>
  </si>
  <si>
    <r>
      <t xml:space="preserve">Oś transportowa północ-południe kierunkiem zwiększania innowacyjności i dynamiki regionów Europy Środkowej  </t>
    </r>
    <r>
      <rPr>
        <sz val="9"/>
        <rFont val="Arial CE"/>
        <charset val="238"/>
      </rPr>
      <t>w ramach Funduszu Wyszehradzkiego</t>
    </r>
    <r>
      <rPr>
        <b/>
        <sz val="9"/>
        <rFont val="Arial CE"/>
        <charset val="238"/>
      </rPr>
      <t xml:space="preserve"> (2014-2015)</t>
    </r>
  </si>
  <si>
    <r>
      <rPr>
        <i/>
        <sz val="8"/>
        <rFont val="Arial CE"/>
        <charset val="238"/>
      </rPr>
      <t xml:space="preserve">* *W latach 2021- 2022  kwota poręczenia dla Szpitala Specjalistycznego w Szczecinie Zdunowie wynosi </t>
    </r>
    <r>
      <rPr>
        <b/>
        <i/>
        <sz val="8"/>
        <rFont val="Arial CE"/>
        <charset val="238"/>
      </rPr>
      <t>2.020.000 zł.</t>
    </r>
  </si>
  <si>
    <r>
      <t xml:space="preserve">*** W latach 2021- 2027 kwota poręczenia dla Samodzielnego Publicznego Wojewódzkiego Szpitala zespolonego w Szczecinie wynosi </t>
    </r>
    <r>
      <rPr>
        <b/>
        <i/>
        <sz val="8"/>
        <rFont val="Arial CE"/>
        <charset val="238"/>
      </rPr>
      <t>4.571.430 zł.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</si>
  <si>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</si>
  <si>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r>
      <t xml:space="preserve">Zachodniopomorskie - Morze Przygody. Promocja turystyczna Województwa Zachodniopomorskiego i Szczecińskiego Obszaru Metropolitarnego </t>
    </r>
    <r>
      <rPr>
        <sz val="9"/>
        <rFont val="Arial CE"/>
        <charset val="238"/>
      </rPr>
      <t>w ramach RPO WZ, Osi VI</t>
    </r>
    <r>
      <rPr>
        <b/>
        <sz val="9"/>
        <rFont val="Arial CE"/>
        <family val="2"/>
        <charset val="238"/>
      </rPr>
      <t xml:space="preserve"> (2012-2015)</t>
    </r>
  </si>
  <si>
    <r>
      <t xml:space="preserve">Pomorze Zachodnie - wszystko czego potrzebujesz. Promocja turystyczna Województwa Zachodniopomorskiego </t>
    </r>
    <r>
      <rPr>
        <sz val="9"/>
        <rFont val="Arial CE"/>
        <charset val="238"/>
      </rPr>
      <t>w ramach RPO WZ, Osi VI</t>
    </r>
    <r>
      <rPr>
        <b/>
        <sz val="9"/>
        <rFont val="Arial CE"/>
        <family val="2"/>
        <charset val="238"/>
      </rPr>
      <t xml:space="preserve"> (2013-2015)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</si>
  <si>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(2012-2015)</t>
    </r>
  </si>
  <si>
    <r>
      <t xml:space="preserve">Poznaj Pomorze Zachodnie. Oznakowanie turystyczne regionu </t>
    </r>
    <r>
      <rPr>
        <sz val="9"/>
        <rFont val="Arial CE"/>
        <family val="2"/>
        <charset val="238"/>
      </rPr>
      <t xml:space="preserve">w ramach RPO WZ, Osi VI </t>
    </r>
    <r>
      <rPr>
        <b/>
        <sz val="9"/>
        <rFont val="Arial CE"/>
        <family val="2"/>
        <charset val="238"/>
      </rPr>
      <t>(2012-2015)</t>
    </r>
  </si>
  <si>
    <r>
      <t xml:space="preserve">Poznaj Pomorze Zachodnie. Oznakowanie turystyczne regionu </t>
    </r>
    <r>
      <rPr>
        <sz val="9"/>
        <rFont val="Arial CE"/>
        <charset val="238"/>
      </rPr>
      <t xml:space="preserve">w ramach RPO WZ, Osi VI </t>
    </r>
    <r>
      <rPr>
        <b/>
        <sz val="9"/>
        <rFont val="Arial CE"/>
        <family val="2"/>
        <charset val="238"/>
      </rPr>
      <t>(2012-2015)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</si>
</sst>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</numFmts>
  <fonts count="11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9"/>
      <color indexed="8"/>
      <name val="Arial CE"/>
      <charset val="238"/>
    </font>
    <font>
      <b/>
      <i/>
      <sz val="9"/>
      <color indexed="8"/>
      <name val="Arial CE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b/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 CE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8"/>
      <color indexed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7"/>
      <name val="Arial CE"/>
      <charset val="238"/>
    </font>
    <font>
      <i/>
      <sz val="9"/>
      <name val="Arial"/>
      <family val="2"/>
      <charset val="238"/>
    </font>
    <font>
      <i/>
      <sz val="9"/>
      <name val="Arial CE"/>
      <family val="2"/>
      <charset val="238"/>
    </font>
    <font>
      <i/>
      <sz val="7"/>
      <name val="Arial CE"/>
      <charset val="238"/>
    </font>
    <font>
      <sz val="10"/>
      <color theme="1"/>
      <name val="Arial CE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color rgb="FF0000CC"/>
      <name val="Bookman Old Style"/>
      <family val="1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sz val="12"/>
      <color rgb="FF0000FF"/>
      <name val="Bookman Old Style"/>
      <family val="1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sz val="10"/>
      <color theme="1"/>
      <name val="Arial CE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 CE"/>
      <charset val="238"/>
    </font>
    <font>
      <b/>
      <i/>
      <sz val="11"/>
      <color indexed="8"/>
      <name val="Bookman Old Style"/>
      <family val="1"/>
      <charset val="238"/>
    </font>
    <font>
      <sz val="8"/>
      <color rgb="FF0000CC"/>
      <name val="Arial CE"/>
      <family val="2"/>
      <charset val="238"/>
    </font>
    <font>
      <sz val="8"/>
      <color rgb="FF0000FF"/>
      <name val="Arial CE"/>
      <family val="2"/>
      <charset val="238"/>
    </font>
    <font>
      <b/>
      <sz val="11"/>
      <color rgb="FFFF0000"/>
      <name val="Arial CE"/>
      <charset val="238"/>
    </font>
    <font>
      <b/>
      <i/>
      <sz val="12"/>
      <name val="Arial Black"/>
      <family val="2"/>
      <charset val="238"/>
    </font>
    <font>
      <sz val="8"/>
      <color rgb="FF0000FF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0000FF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" fillId="0" borderId="0"/>
    <xf numFmtId="0" fontId="82" fillId="0" borderId="0"/>
    <xf numFmtId="0" fontId="8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4" fillId="38" borderId="0">
      <alignment horizontal="left" vertical="top"/>
    </xf>
    <xf numFmtId="0" fontId="85" fillId="38" borderId="0">
      <alignment horizontal="center" vertical="top"/>
    </xf>
    <xf numFmtId="0" fontId="84" fillId="38" borderId="0">
      <alignment horizontal="left" vertical="top"/>
    </xf>
    <xf numFmtId="0" fontId="84" fillId="38" borderId="0">
      <alignment horizontal="left" vertical="top"/>
    </xf>
    <xf numFmtId="0" fontId="84" fillId="38" borderId="0">
      <alignment horizontal="right" vertical="top"/>
    </xf>
    <xf numFmtId="0" fontId="85" fillId="39" borderId="0">
      <alignment horizontal="left" vertical="top"/>
    </xf>
    <xf numFmtId="0" fontId="85" fillId="39" borderId="0">
      <alignment horizontal="right" vertical="top"/>
    </xf>
    <xf numFmtId="0" fontId="85" fillId="39" borderId="0">
      <alignment horizontal="right" vertical="top"/>
    </xf>
    <xf numFmtId="0" fontId="85" fillId="39" borderId="0">
      <alignment horizontal="right" vertical="top"/>
    </xf>
    <xf numFmtId="0" fontId="85" fillId="40" borderId="0">
      <alignment horizontal="left" vertical="top"/>
    </xf>
    <xf numFmtId="0" fontId="85" fillId="40" borderId="0">
      <alignment horizontal="right" vertical="top"/>
    </xf>
    <xf numFmtId="0" fontId="85" fillId="40" borderId="0">
      <alignment horizontal="right" vertical="top"/>
    </xf>
    <xf numFmtId="0" fontId="86" fillId="38" borderId="0">
      <alignment horizontal="center" vertical="top"/>
    </xf>
    <xf numFmtId="0" fontId="85" fillId="40" borderId="0">
      <alignment horizontal="right" vertical="top"/>
    </xf>
    <xf numFmtId="0" fontId="84" fillId="41" borderId="0">
      <alignment horizontal="left" vertical="top"/>
    </xf>
    <xf numFmtId="0" fontId="84" fillId="41" borderId="0">
      <alignment horizontal="right" vertical="top"/>
    </xf>
    <xf numFmtId="0" fontId="84" fillId="41" borderId="0">
      <alignment horizontal="right" vertical="top"/>
    </xf>
    <xf numFmtId="0" fontId="84" fillId="41" borderId="0">
      <alignment horizontal="right" vertical="top"/>
    </xf>
    <xf numFmtId="0" fontId="84" fillId="38" borderId="0">
      <alignment horizontal="left" vertical="top"/>
    </xf>
    <xf numFmtId="0" fontId="84" fillId="38" borderId="0">
      <alignment horizontal="right" vertical="top"/>
    </xf>
    <xf numFmtId="0" fontId="84" fillId="38" borderId="0">
      <alignment horizontal="right" vertical="top"/>
    </xf>
    <xf numFmtId="0" fontId="84" fillId="38" borderId="0">
      <alignment horizontal="right" vertical="top"/>
    </xf>
    <xf numFmtId="0" fontId="87" fillId="42" borderId="0">
      <alignment horizontal="left" vertical="top"/>
    </xf>
    <xf numFmtId="0" fontId="88" fillId="38" borderId="0">
      <alignment horizontal="left" vertical="top"/>
    </xf>
    <xf numFmtId="0" fontId="89" fillId="38" borderId="0">
      <alignment horizontal="left" vertical="top"/>
    </xf>
    <xf numFmtId="0" fontId="85" fillId="38" borderId="0">
      <alignment horizontal="right" vertical="top"/>
    </xf>
    <xf numFmtId="0" fontId="85" fillId="38" borderId="0">
      <alignment horizontal="right" vertical="top"/>
    </xf>
    <xf numFmtId="0" fontId="89" fillId="43" borderId="0">
      <alignment horizontal="left"/>
    </xf>
    <xf numFmtId="0" fontId="89" fillId="43" borderId="0">
      <alignment horizontal="left"/>
    </xf>
    <xf numFmtId="0" fontId="89" fillId="43" borderId="0">
      <alignment horizontal="right"/>
    </xf>
    <xf numFmtId="0" fontId="90" fillId="43" borderId="0">
      <alignment horizontal="right"/>
    </xf>
    <xf numFmtId="0" fontId="89" fillId="42" borderId="0">
      <alignment horizontal="left" vertical="top"/>
    </xf>
    <xf numFmtId="0" fontId="85" fillId="42" borderId="0">
      <alignment horizontal="right" vertical="top"/>
    </xf>
    <xf numFmtId="0" fontId="85" fillId="42" borderId="0">
      <alignment horizontal="right" vertical="top"/>
    </xf>
    <xf numFmtId="0" fontId="84" fillId="38" borderId="0">
      <alignment horizontal="left" vertical="center"/>
    </xf>
    <xf numFmtId="0" fontId="87" fillId="43" borderId="0">
      <alignment horizontal="left" vertical="top"/>
    </xf>
    <xf numFmtId="0" fontId="87" fillId="43" borderId="0">
      <alignment horizontal="left" vertical="top"/>
    </xf>
    <xf numFmtId="0" fontId="87" fillId="42" borderId="0">
      <alignment horizontal="left" vertical="top"/>
    </xf>
    <xf numFmtId="0" fontId="87" fillId="42" borderId="0">
      <alignment horizontal="left" vertical="top"/>
    </xf>
    <xf numFmtId="0" fontId="87" fillId="42" borderId="0">
      <alignment horizontal="left" vertical="top"/>
    </xf>
    <xf numFmtId="0" fontId="87" fillId="43" borderId="0">
      <alignment horizontal="left" vertical="top"/>
    </xf>
    <xf numFmtId="0" fontId="89" fillId="38" borderId="0">
      <alignment horizontal="left"/>
    </xf>
    <xf numFmtId="0" fontId="89" fillId="38" borderId="0">
      <alignment horizontal="left"/>
    </xf>
    <xf numFmtId="0" fontId="89" fillId="38" borderId="0">
      <alignment horizontal="right"/>
    </xf>
    <xf numFmtId="0" fontId="90" fillId="38" borderId="0">
      <alignment horizontal="right"/>
    </xf>
    <xf numFmtId="4" fontId="91" fillId="13" borderId="99" applyNumberFormat="0" applyProtection="0">
      <alignment vertical="center"/>
    </xf>
    <xf numFmtId="4" fontId="92" fillId="13" borderId="99" applyNumberFormat="0" applyProtection="0">
      <alignment vertical="center"/>
    </xf>
    <xf numFmtId="4" fontId="91" fillId="13" borderId="99" applyNumberFormat="0" applyProtection="0">
      <alignment horizontal="left" vertical="center" indent="1"/>
    </xf>
    <xf numFmtId="4" fontId="91" fillId="13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91" fillId="36" borderId="99" applyNumberFormat="0" applyProtection="0">
      <alignment horizontal="right" vertical="center"/>
    </xf>
    <xf numFmtId="4" fontId="91" fillId="44" borderId="99" applyNumberFormat="0" applyProtection="0">
      <alignment horizontal="right" vertical="center"/>
    </xf>
    <xf numFmtId="4" fontId="91" fillId="45" borderId="99" applyNumberFormat="0" applyProtection="0">
      <alignment horizontal="right" vertical="center"/>
    </xf>
    <xf numFmtId="4" fontId="91" fillId="12" borderId="99" applyNumberFormat="0" applyProtection="0">
      <alignment horizontal="right" vertical="center"/>
    </xf>
    <xf numFmtId="4" fontId="91" fillId="46" borderId="99" applyNumberFormat="0" applyProtection="0">
      <alignment horizontal="right" vertical="center"/>
    </xf>
    <xf numFmtId="4" fontId="91" fillId="15" borderId="99" applyNumberFormat="0" applyProtection="0">
      <alignment horizontal="right" vertical="center"/>
    </xf>
    <xf numFmtId="4" fontId="91" fillId="17" borderId="99" applyNumberFormat="0" applyProtection="0">
      <alignment horizontal="right" vertical="center"/>
    </xf>
    <xf numFmtId="4" fontId="91" fillId="16" borderId="99" applyNumberFormat="0" applyProtection="0">
      <alignment horizontal="right" vertical="center"/>
    </xf>
    <xf numFmtId="4" fontId="91" fillId="19" borderId="99" applyNumberFormat="0" applyProtection="0">
      <alignment horizontal="right" vertical="center"/>
    </xf>
    <xf numFmtId="4" fontId="93" fillId="47" borderId="99" applyNumberFormat="0" applyProtection="0">
      <alignment horizontal="left" vertical="center" indent="1"/>
    </xf>
    <xf numFmtId="4" fontId="91" fillId="48" borderId="100" applyNumberFormat="0" applyProtection="0">
      <alignment horizontal="left" vertical="center" indent="1"/>
    </xf>
    <xf numFmtId="4" fontId="94" fillId="49" borderId="0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7" fillId="48" borderId="99" applyNumberFormat="0" applyProtection="0">
      <alignment horizontal="left" vertical="center" indent="1"/>
    </xf>
    <xf numFmtId="4" fontId="7" fillId="50" borderId="99" applyNumberFormat="0" applyProtection="0">
      <alignment horizontal="left" vertical="center" indent="1"/>
    </xf>
    <xf numFmtId="0" fontId="2" fillId="50" borderId="99" applyNumberFormat="0" applyProtection="0">
      <alignment horizontal="left" vertical="center" indent="1"/>
    </xf>
    <xf numFmtId="0" fontId="2" fillId="5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3" borderId="99" applyNumberFormat="0" applyProtection="0">
      <alignment horizontal="left" vertical="center" indent="1"/>
    </xf>
    <xf numFmtId="0" fontId="2" fillId="33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4" fontId="91" fillId="20" borderId="99" applyNumberFormat="0" applyProtection="0">
      <alignment vertical="center"/>
    </xf>
    <xf numFmtId="4" fontId="92" fillId="20" borderId="99" applyNumberFormat="0" applyProtection="0">
      <alignment vertical="center"/>
    </xf>
    <xf numFmtId="4" fontId="91" fillId="20" borderId="99" applyNumberFormat="0" applyProtection="0">
      <alignment horizontal="left" vertical="center" indent="1"/>
    </xf>
    <xf numFmtId="4" fontId="91" fillId="20" borderId="99" applyNumberFormat="0" applyProtection="0">
      <alignment horizontal="left" vertical="center" indent="1"/>
    </xf>
    <xf numFmtId="4" fontId="91" fillId="48" borderId="99" applyNumberFormat="0" applyProtection="0">
      <alignment horizontal="right" vertical="center"/>
    </xf>
    <xf numFmtId="4" fontId="92" fillId="48" borderId="99" applyNumberFormat="0" applyProtection="0">
      <alignment horizontal="right" vertical="center"/>
    </xf>
    <xf numFmtId="0" fontId="2" fillId="11" borderId="99" applyNumberFormat="0" applyProtection="0">
      <alignment horizontal="left" vertical="center" indent="1"/>
    </xf>
    <xf numFmtId="0" fontId="2" fillId="11" borderId="99" applyNumberFormat="0" applyProtection="0">
      <alignment horizontal="left" vertical="center" indent="1"/>
    </xf>
    <xf numFmtId="0" fontId="95" fillId="0" borderId="0"/>
    <xf numFmtId="4" fontId="96" fillId="48" borderId="99" applyNumberFormat="0" applyProtection="0">
      <alignment horizontal="right" vertical="center"/>
    </xf>
    <xf numFmtId="44" fontId="83" fillId="0" borderId="0" applyFont="0" applyFill="0" applyBorder="0" applyAlignment="0" applyProtection="0"/>
    <xf numFmtId="0" fontId="98" fillId="0" borderId="0"/>
    <xf numFmtId="0" fontId="98" fillId="0" borderId="0"/>
    <xf numFmtId="0" fontId="98" fillId="0" borderId="0"/>
  </cellStyleXfs>
  <cellXfs count="288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7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4" xfId="0" quotePrefix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0" quotePrefix="1" applyNumberFormat="1" applyFont="1" applyBorder="1" applyAlignment="1">
      <alignment horizontal="center"/>
    </xf>
    <xf numFmtId="3" fontId="16" fillId="0" borderId="2" xfId="0" quotePrefix="1" applyNumberFormat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0" fontId="16" fillId="3" borderId="5" xfId="0" quotePrefix="1" applyFont="1" applyFill="1" applyBorder="1" applyAlignment="1">
      <alignment horizontal="center"/>
    </xf>
    <xf numFmtId="0" fontId="17" fillId="4" borderId="16" xfId="4" applyFont="1" applyFill="1" applyBorder="1" applyAlignment="1">
      <alignment horizontal="left" vertical="center"/>
    </xf>
    <xf numFmtId="3" fontId="17" fillId="4" borderId="17" xfId="0" applyNumberFormat="1" applyFont="1" applyFill="1" applyBorder="1" applyAlignment="1">
      <alignment horizontal="right" vertical="center" wrapText="1"/>
    </xf>
    <xf numFmtId="3" fontId="17" fillId="4" borderId="18" xfId="0" applyNumberFormat="1" applyFont="1" applyFill="1" applyBorder="1" applyAlignment="1">
      <alignment horizontal="right" vertical="center" wrapText="1"/>
    </xf>
    <xf numFmtId="3" fontId="17" fillId="5" borderId="19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3" fillId="4" borderId="9" xfId="0" quotePrefix="1" applyNumberFormat="1" applyFont="1" applyFill="1" applyBorder="1" applyAlignment="1">
      <alignment horizontal="right" vertical="center"/>
    </xf>
    <xf numFmtId="3" fontId="14" fillId="4" borderId="8" xfId="0" applyNumberFormat="1" applyFont="1" applyFill="1" applyBorder="1" applyAlignment="1">
      <alignment horizontal="right" vertical="center" wrapText="1"/>
    </xf>
    <xf numFmtId="3" fontId="18" fillId="3" borderId="2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3" fillId="4" borderId="23" xfId="0" quotePrefix="1" applyNumberFormat="1" applyFont="1" applyFill="1" applyBorder="1" applyAlignment="1">
      <alignment horizontal="right" vertical="center"/>
    </xf>
    <xf numFmtId="3" fontId="14" fillId="4" borderId="24" xfId="0" applyNumberFormat="1" applyFont="1" applyFill="1" applyBorder="1" applyAlignment="1">
      <alignment horizontal="right" vertical="center" wrapText="1"/>
    </xf>
    <xf numFmtId="3" fontId="18" fillId="3" borderId="25" xfId="0" applyNumberFormat="1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43" fontId="16" fillId="0" borderId="27" xfId="1" applyFont="1" applyFill="1" applyBorder="1" applyAlignment="1">
      <alignment vertical="center" wrapText="1"/>
    </xf>
    <xf numFmtId="3" fontId="16" fillId="2" borderId="18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7" fillId="6" borderId="28" xfId="4" applyFont="1" applyFill="1" applyBorder="1" applyAlignment="1">
      <alignment horizontal="left" vertical="center"/>
    </xf>
    <xf numFmtId="3" fontId="17" fillId="6" borderId="29" xfId="0" applyNumberFormat="1" applyFont="1" applyFill="1" applyBorder="1" applyAlignment="1">
      <alignment horizontal="right" vertical="center" wrapText="1"/>
    </xf>
    <xf numFmtId="3" fontId="17" fillId="6" borderId="30" xfId="0" applyNumberFormat="1" applyFont="1" applyFill="1" applyBorder="1" applyAlignment="1">
      <alignment horizontal="right" vertical="center" wrapText="1"/>
    </xf>
    <xf numFmtId="3" fontId="17" fillId="6" borderId="31" xfId="0" applyNumberFormat="1" applyFont="1" applyFill="1" applyBorder="1" applyAlignment="1">
      <alignment horizontal="right" vertical="center" wrapText="1"/>
    </xf>
    <xf numFmtId="3" fontId="17" fillId="7" borderId="32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20" fillId="8" borderId="20" xfId="4" applyFont="1" applyFill="1" applyBorder="1" applyAlignment="1">
      <alignment vertical="center"/>
    </xf>
    <xf numFmtId="3" fontId="20" fillId="8" borderId="9" xfId="0" applyNumberFormat="1" applyFont="1" applyFill="1" applyBorder="1" applyAlignment="1">
      <alignment horizontal="right" vertical="center" wrapText="1"/>
    </xf>
    <xf numFmtId="3" fontId="20" fillId="8" borderId="8" xfId="0" applyNumberFormat="1" applyFont="1" applyFill="1" applyBorder="1" applyAlignment="1">
      <alignment horizontal="right" vertical="center" wrapText="1"/>
    </xf>
    <xf numFmtId="3" fontId="20" fillId="9" borderId="2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43" fontId="3" fillId="0" borderId="29" xfId="1" applyFont="1" applyFill="1" applyBorder="1" applyAlignment="1">
      <alignment vertical="center" wrapText="1"/>
    </xf>
    <xf numFmtId="43" fontId="3" fillId="0" borderId="30" xfId="1" applyFont="1" applyFill="1" applyBorder="1" applyAlignment="1">
      <alignment vertical="center" wrapText="1"/>
    </xf>
    <xf numFmtId="3" fontId="3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43" fontId="3" fillId="0" borderId="27" xfId="1" applyFont="1" applyFill="1" applyBorder="1" applyAlignment="1">
      <alignment vertical="center" wrapText="1"/>
    </xf>
    <xf numFmtId="0" fontId="20" fillId="8" borderId="20" xfId="4" applyFont="1" applyFill="1" applyBorder="1" applyAlignment="1">
      <alignment vertical="center" wrapText="1"/>
    </xf>
    <xf numFmtId="3" fontId="20" fillId="8" borderId="29" xfId="0" applyNumberFormat="1" applyFont="1" applyFill="1" applyBorder="1" applyAlignment="1">
      <alignment vertical="center" wrapText="1"/>
    </xf>
    <xf numFmtId="3" fontId="20" fillId="8" borderId="31" xfId="0" applyNumberFormat="1" applyFont="1" applyFill="1" applyBorder="1" applyAlignment="1">
      <alignment vertical="center" wrapText="1"/>
    </xf>
    <xf numFmtId="3" fontId="20" fillId="9" borderId="32" xfId="0" applyNumberFormat="1" applyFont="1" applyFill="1" applyBorder="1" applyAlignment="1">
      <alignment vertical="center" wrapText="1"/>
    </xf>
    <xf numFmtId="0" fontId="17" fillId="6" borderId="28" xfId="4" applyFont="1" applyFill="1" applyBorder="1" applyAlignment="1">
      <alignment horizontal="left"/>
    </xf>
    <xf numFmtId="3" fontId="21" fillId="6" borderId="29" xfId="0" applyNumberFormat="1" applyFont="1" applyFill="1" applyBorder="1" applyAlignment="1">
      <alignment wrapText="1"/>
    </xf>
    <xf numFmtId="3" fontId="17" fillId="6" borderId="30" xfId="0" applyNumberFormat="1" applyFont="1" applyFill="1" applyBorder="1" applyAlignment="1">
      <alignment wrapText="1"/>
    </xf>
    <xf numFmtId="3" fontId="21" fillId="6" borderId="30" xfId="0" applyNumberFormat="1" applyFont="1" applyFill="1" applyBorder="1" applyAlignment="1">
      <alignment wrapText="1"/>
    </xf>
    <xf numFmtId="3" fontId="21" fillId="6" borderId="31" xfId="0" applyNumberFormat="1" applyFont="1" applyFill="1" applyBorder="1" applyAlignment="1">
      <alignment wrapText="1"/>
    </xf>
    <xf numFmtId="0" fontId="19" fillId="0" borderId="0" xfId="0" applyFont="1" applyFill="1" applyBorder="1" applyAlignment="1"/>
    <xf numFmtId="3" fontId="22" fillId="8" borderId="29" xfId="0" applyNumberFormat="1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43" fontId="18" fillId="2" borderId="9" xfId="1" applyFont="1" applyFill="1" applyBorder="1" applyAlignment="1">
      <alignment vertical="center" wrapText="1"/>
    </xf>
    <xf numFmtId="43" fontId="3" fillId="0" borderId="35" xfId="1" applyFont="1" applyFill="1" applyBorder="1" applyAlignment="1">
      <alignment vertical="center" wrapText="1"/>
    </xf>
    <xf numFmtId="3" fontId="22" fillId="8" borderId="30" xfId="0" applyNumberFormat="1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3" fontId="16" fillId="0" borderId="9" xfId="0" applyNumberFormat="1" applyFont="1" applyFill="1" applyBorder="1" applyAlignment="1">
      <alignment vertical="center" wrapText="1"/>
    </xf>
    <xf numFmtId="3" fontId="16" fillId="0" borderId="8" xfId="0" applyNumberFormat="1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6" fillId="0" borderId="13" xfId="0" applyNumberFormat="1" applyFont="1" applyFill="1" applyBorder="1" applyAlignment="1">
      <alignment vertical="center" wrapText="1"/>
    </xf>
    <xf numFmtId="0" fontId="23" fillId="11" borderId="38" xfId="0" applyFont="1" applyFill="1" applyBorder="1" applyAlignment="1">
      <alignment vertical="center"/>
    </xf>
    <xf numFmtId="3" fontId="21" fillId="11" borderId="39" xfId="0" applyNumberFormat="1" applyFont="1" applyFill="1" applyBorder="1" applyAlignment="1">
      <alignment vertical="center" wrapText="1"/>
    </xf>
    <xf numFmtId="3" fontId="17" fillId="11" borderId="39" xfId="0" applyNumberFormat="1" applyFont="1" applyFill="1" applyBorder="1" applyAlignment="1">
      <alignment vertical="center" wrapText="1"/>
    </xf>
    <xf numFmtId="3" fontId="21" fillId="4" borderId="40" xfId="0" applyNumberFormat="1" applyFont="1" applyFill="1" applyBorder="1" applyAlignment="1">
      <alignment vertical="center" wrapText="1"/>
    </xf>
    <xf numFmtId="3" fontId="21" fillId="11" borderId="12" xfId="0" applyNumberFormat="1" applyFont="1" applyFill="1" applyBorder="1" applyAlignment="1">
      <alignment vertical="center" wrapText="1"/>
    </xf>
    <xf numFmtId="3" fontId="17" fillId="11" borderId="12" xfId="0" applyNumberFormat="1" applyFont="1" applyFill="1" applyBorder="1" applyAlignment="1">
      <alignment vertical="center" wrapText="1"/>
    </xf>
    <xf numFmtId="3" fontId="21" fillId="11" borderId="4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0" fontId="16" fillId="0" borderId="42" xfId="0" quotePrefix="1" applyFont="1" applyBorder="1" applyAlignment="1">
      <alignment horizontal="center"/>
    </xf>
    <xf numFmtId="0" fontId="16" fillId="3" borderId="42" xfId="0" quotePrefix="1" applyFont="1" applyFill="1" applyBorder="1" applyAlignment="1">
      <alignment horizontal="center"/>
    </xf>
    <xf numFmtId="3" fontId="17" fillId="4" borderId="44" xfId="0" applyNumberFormat="1" applyFont="1" applyFill="1" applyBorder="1" applyAlignment="1">
      <alignment horizontal="right" vertical="center" wrapText="1"/>
    </xf>
    <xf numFmtId="3" fontId="17" fillId="5" borderId="45" xfId="0" applyNumberFormat="1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/>
    </xf>
    <xf numFmtId="3" fontId="14" fillId="4" borderId="23" xfId="0" quotePrefix="1" applyNumberFormat="1" applyFont="1" applyFill="1" applyBorder="1" applyAlignment="1">
      <alignment horizontal="right"/>
    </xf>
    <xf numFmtId="3" fontId="14" fillId="4" borderId="47" xfId="0" quotePrefix="1" applyNumberFormat="1" applyFont="1" applyFill="1" applyBorder="1" applyAlignment="1">
      <alignment horizontal="right"/>
    </xf>
    <xf numFmtId="3" fontId="14" fillId="4" borderId="48" xfId="0" quotePrefix="1" applyNumberFormat="1" applyFont="1" applyFill="1" applyBorder="1" applyAlignment="1">
      <alignment horizontal="right"/>
    </xf>
    <xf numFmtId="3" fontId="16" fillId="0" borderId="27" xfId="0" applyNumberFormat="1" applyFont="1" applyFill="1" applyBorder="1" applyAlignment="1">
      <alignment vertical="center" wrapText="1"/>
    </xf>
    <xf numFmtId="3" fontId="17" fillId="6" borderId="34" xfId="0" applyNumberFormat="1" applyFont="1" applyFill="1" applyBorder="1" applyAlignment="1">
      <alignment horizontal="right" vertical="center" wrapText="1"/>
    </xf>
    <xf numFmtId="3" fontId="17" fillId="7" borderId="49" xfId="0" applyNumberFormat="1" applyFont="1" applyFill="1" applyBorder="1" applyAlignment="1">
      <alignment horizontal="right" vertical="center" wrapText="1"/>
    </xf>
    <xf numFmtId="3" fontId="22" fillId="8" borderId="9" xfId="0" applyNumberFormat="1" applyFont="1" applyFill="1" applyBorder="1" applyAlignment="1">
      <alignment horizontal="right" vertical="center" wrapText="1"/>
    </xf>
    <xf numFmtId="3" fontId="20" fillId="8" borderId="35" xfId="0" applyNumberFormat="1" applyFont="1" applyFill="1" applyBorder="1" applyAlignment="1">
      <alignment horizontal="right" vertical="center" wrapText="1"/>
    </xf>
    <xf numFmtId="3" fontId="22" fillId="8" borderId="35" xfId="0" applyNumberFormat="1" applyFont="1" applyFill="1" applyBorder="1" applyAlignment="1">
      <alignment horizontal="right" vertical="center" wrapText="1"/>
    </xf>
    <xf numFmtId="3" fontId="22" fillId="8" borderId="36" xfId="0" applyNumberFormat="1" applyFont="1" applyFill="1" applyBorder="1" applyAlignment="1">
      <alignment horizontal="right" vertical="center" wrapText="1"/>
    </xf>
    <xf numFmtId="3" fontId="22" fillId="9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3" fillId="2" borderId="36" xfId="0" applyNumberFormat="1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3" fontId="25" fillId="8" borderId="29" xfId="0" applyNumberFormat="1" applyFont="1" applyFill="1" applyBorder="1" applyAlignment="1">
      <alignment vertical="center" wrapText="1"/>
    </xf>
    <xf numFmtId="3" fontId="26" fillId="8" borderId="29" xfId="0" applyNumberFormat="1" applyFont="1" applyFill="1" applyBorder="1" applyAlignment="1">
      <alignment vertical="center" wrapText="1"/>
    </xf>
    <xf numFmtId="43" fontId="22" fillId="8" borderId="29" xfId="1" applyFont="1" applyFill="1" applyBorder="1" applyAlignment="1">
      <alignment vertical="center" wrapText="1"/>
    </xf>
    <xf numFmtId="3" fontId="22" fillId="8" borderId="34" xfId="0" applyNumberFormat="1" applyFont="1" applyFill="1" applyBorder="1" applyAlignment="1">
      <alignment vertical="center" wrapText="1"/>
    </xf>
    <xf numFmtId="3" fontId="21" fillId="6" borderId="29" xfId="0" applyNumberFormat="1" applyFont="1" applyFill="1" applyBorder="1" applyAlignment="1">
      <alignment vertical="center" wrapText="1"/>
    </xf>
    <xf numFmtId="3" fontId="17" fillId="6" borderId="30" xfId="0" applyNumberFormat="1" applyFont="1" applyFill="1" applyBorder="1" applyAlignment="1">
      <alignment vertical="center" wrapText="1"/>
    </xf>
    <xf numFmtId="3" fontId="21" fillId="6" borderId="30" xfId="0" applyNumberFormat="1" applyFont="1" applyFill="1" applyBorder="1" applyAlignment="1">
      <alignment vertical="center" wrapText="1"/>
    </xf>
    <xf numFmtId="43" fontId="21" fillId="6" borderId="30" xfId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43" fontId="22" fillId="8" borderId="30" xfId="1" applyFont="1" applyFill="1" applyBorder="1" applyAlignment="1">
      <alignment vertical="center" wrapText="1"/>
    </xf>
    <xf numFmtId="0" fontId="23" fillId="4" borderId="38" xfId="0" applyFont="1" applyFill="1" applyBorder="1" applyAlignment="1">
      <alignment vertical="center"/>
    </xf>
    <xf numFmtId="3" fontId="21" fillId="4" borderId="39" xfId="0" applyNumberFormat="1" applyFont="1" applyFill="1" applyBorder="1" applyAlignment="1">
      <alignment vertical="center" wrapText="1"/>
    </xf>
    <xf numFmtId="3" fontId="17" fillId="4" borderId="39" xfId="0" applyNumberFormat="1" applyFont="1" applyFill="1" applyBorder="1" applyAlignment="1">
      <alignment vertical="center" wrapText="1"/>
    </xf>
    <xf numFmtId="3" fontId="21" fillId="4" borderId="50" xfId="0" applyNumberFormat="1" applyFont="1" applyFill="1" applyBorder="1" applyAlignment="1">
      <alignment vertical="center" wrapText="1"/>
    </xf>
    <xf numFmtId="3" fontId="21" fillId="4" borderId="51" xfId="0" applyNumberFormat="1" applyFont="1" applyFill="1" applyBorder="1" applyAlignment="1">
      <alignment vertical="center" wrapText="1"/>
    </xf>
    <xf numFmtId="3" fontId="21" fillId="4" borderId="52" xfId="0" applyNumberFormat="1" applyFont="1" applyFill="1" applyBorder="1" applyAlignment="1">
      <alignment vertical="center" wrapText="1"/>
    </xf>
    <xf numFmtId="3" fontId="21" fillId="4" borderId="12" xfId="0" applyNumberFormat="1" applyFont="1" applyFill="1" applyBorder="1" applyAlignment="1">
      <alignment vertical="center" wrapText="1"/>
    </xf>
    <xf numFmtId="3" fontId="17" fillId="4" borderId="12" xfId="0" applyNumberFormat="1" applyFont="1" applyFill="1" applyBorder="1" applyAlignment="1">
      <alignment vertical="center" wrapText="1"/>
    </xf>
    <xf numFmtId="3" fontId="21" fillId="4" borderId="23" xfId="0" applyNumberFormat="1" applyFont="1" applyFill="1" applyBorder="1" applyAlignment="1">
      <alignment vertical="center" wrapText="1"/>
    </xf>
    <xf numFmtId="3" fontId="21" fillId="4" borderId="2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13" borderId="53" xfId="4" applyFont="1" applyFill="1" applyBorder="1" applyAlignment="1">
      <alignment horizontal="left" vertical="center"/>
    </xf>
    <xf numFmtId="3" fontId="21" fillId="13" borderId="54" xfId="0" applyNumberFormat="1" applyFont="1" applyFill="1" applyBorder="1" applyAlignment="1">
      <alignment vertical="center" wrapText="1"/>
    </xf>
    <xf numFmtId="3" fontId="21" fillId="13" borderId="55" xfId="0" applyNumberFormat="1" applyFont="1" applyFill="1" applyBorder="1" applyAlignment="1">
      <alignment vertical="center" wrapText="1"/>
    </xf>
    <xf numFmtId="3" fontId="21" fillId="13" borderId="56" xfId="0" applyNumberFormat="1" applyFont="1" applyFill="1" applyBorder="1" applyAlignment="1">
      <alignment vertical="center" wrapText="1"/>
    </xf>
    <xf numFmtId="0" fontId="27" fillId="13" borderId="20" xfId="0" applyFont="1" applyFill="1" applyBorder="1" applyAlignment="1">
      <alignment vertical="center"/>
    </xf>
    <xf numFmtId="3" fontId="28" fillId="13" borderId="35" xfId="0" applyNumberFormat="1" applyFont="1" applyFill="1" applyBorder="1" applyAlignment="1">
      <alignment vertical="center" wrapText="1"/>
    </xf>
    <xf numFmtId="3" fontId="28" fillId="13" borderId="7" xfId="0" applyNumberFormat="1" applyFont="1" applyFill="1" applyBorder="1" applyAlignment="1">
      <alignment vertical="center" wrapText="1"/>
    </xf>
    <xf numFmtId="3" fontId="28" fillId="13" borderId="21" xfId="0" applyNumberFormat="1" applyFont="1" applyFill="1" applyBorder="1" applyAlignment="1">
      <alignment vertical="center" wrapText="1"/>
    </xf>
    <xf numFmtId="0" fontId="17" fillId="13" borderId="57" xfId="4" applyFont="1" applyFill="1" applyBorder="1" applyAlignment="1">
      <alignment horizontal="left" vertical="center"/>
    </xf>
    <xf numFmtId="3" fontId="21" fillId="13" borderId="58" xfId="0" applyNumberFormat="1" applyFont="1" applyFill="1" applyBorder="1" applyAlignment="1">
      <alignment vertical="center" wrapText="1"/>
    </xf>
    <xf numFmtId="3" fontId="21" fillId="13" borderId="59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21" fillId="13" borderId="60" xfId="0" applyNumberFormat="1" applyFont="1" applyFill="1" applyBorder="1" applyAlignment="1">
      <alignment horizontal="center" vertical="center" wrapText="1"/>
    </xf>
    <xf numFmtId="3" fontId="21" fillId="13" borderId="32" xfId="0" applyNumberFormat="1" applyFont="1" applyFill="1" applyBorder="1" applyAlignment="1">
      <alignment horizontal="center" vertical="center" wrapText="1"/>
    </xf>
    <xf numFmtId="0" fontId="29" fillId="13" borderId="0" xfId="4" applyFont="1" applyFill="1" applyBorder="1" applyAlignment="1">
      <alignment horizontal="center" vertical="center"/>
    </xf>
    <xf numFmtId="3" fontId="21" fillId="13" borderId="0" xfId="0" applyNumberFormat="1" applyFont="1" applyFill="1" applyBorder="1" applyAlignment="1">
      <alignment vertical="center" wrapText="1"/>
    </xf>
    <xf numFmtId="0" fontId="17" fillId="13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vertical="center" wrapText="1"/>
    </xf>
    <xf numFmtId="0" fontId="17" fillId="0" borderId="53" xfId="4" applyFont="1" applyFill="1" applyBorder="1" applyAlignment="1">
      <alignment horizontal="left" vertical="center"/>
    </xf>
    <xf numFmtId="3" fontId="21" fillId="0" borderId="54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vertical="center" wrapText="1"/>
    </xf>
    <xf numFmtId="3" fontId="28" fillId="0" borderId="7" xfId="0" applyNumberFormat="1" applyFont="1" applyFill="1" applyBorder="1" applyAlignment="1">
      <alignment vertical="center" wrapText="1"/>
    </xf>
    <xf numFmtId="0" fontId="17" fillId="13" borderId="61" xfId="4" applyFont="1" applyFill="1" applyBorder="1" applyAlignment="1">
      <alignment horizontal="left" vertical="center"/>
    </xf>
    <xf numFmtId="3" fontId="21" fillId="13" borderId="61" xfId="0" applyNumberFormat="1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 wrapText="1"/>
    </xf>
    <xf numFmtId="0" fontId="22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14" borderId="3" xfId="0" applyNumberFormat="1" applyFont="1" applyFill="1" applyBorder="1" applyAlignment="1">
      <alignment vertical="center" wrapText="1"/>
    </xf>
    <xf numFmtId="3" fontId="13" fillId="2" borderId="66" xfId="0" applyNumberFormat="1" applyFont="1" applyFill="1" applyBorder="1" applyAlignment="1">
      <alignment vertical="center" wrapText="1"/>
    </xf>
    <xf numFmtId="3" fontId="32" fillId="2" borderId="0" xfId="0" applyNumberFormat="1" applyFont="1" applyFill="1" applyBorder="1" applyAlignment="1">
      <alignment vertical="center" wrapText="1"/>
    </xf>
    <xf numFmtId="3" fontId="32" fillId="14" borderId="0" xfId="0" applyNumberFormat="1" applyFont="1" applyFill="1" applyBorder="1" applyAlignment="1">
      <alignment vertical="center" wrapText="1"/>
    </xf>
    <xf numFmtId="3" fontId="32" fillId="2" borderId="67" xfId="0" applyNumberFormat="1" applyFont="1" applyFill="1" applyBorder="1" applyAlignment="1">
      <alignment vertical="center" wrapText="1"/>
    </xf>
    <xf numFmtId="3" fontId="16" fillId="2" borderId="68" xfId="0" applyNumberFormat="1" applyFont="1" applyFill="1" applyBorder="1" applyAlignment="1">
      <alignment vertical="center" wrapText="1"/>
    </xf>
    <xf numFmtId="3" fontId="16" fillId="2" borderId="24" xfId="0" applyNumberFormat="1" applyFont="1" applyFill="1" applyBorder="1" applyAlignment="1">
      <alignment vertical="center" wrapText="1"/>
    </xf>
    <xf numFmtId="3" fontId="32" fillId="2" borderId="24" xfId="0" applyNumberFormat="1" applyFont="1" applyFill="1" applyBorder="1" applyAlignment="1">
      <alignment vertical="center" wrapText="1"/>
    </xf>
    <xf numFmtId="3" fontId="32" fillId="14" borderId="24" xfId="0" applyNumberFormat="1" applyFont="1" applyFill="1" applyBorder="1" applyAlignment="1">
      <alignment vertical="center" wrapText="1"/>
    </xf>
    <xf numFmtId="3" fontId="32" fillId="2" borderId="69" xfId="0" applyNumberFormat="1" applyFont="1" applyFill="1" applyBorder="1" applyAlignment="1">
      <alignment vertical="center" wrapText="1"/>
    </xf>
    <xf numFmtId="3" fontId="33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vertical="center" wrapText="1"/>
    </xf>
    <xf numFmtId="0" fontId="3" fillId="15" borderId="15" xfId="0" applyFont="1" applyFill="1" applyBorder="1"/>
    <xf numFmtId="0" fontId="3" fillId="15" borderId="3" xfId="0" applyFont="1" applyFill="1" applyBorder="1"/>
    <xf numFmtId="3" fontId="14" fillId="15" borderId="12" xfId="0" applyNumberFormat="1" applyFont="1" applyFill="1" applyBorder="1" applyAlignment="1">
      <alignment vertical="center"/>
    </xf>
    <xf numFmtId="3" fontId="13" fillId="15" borderId="12" xfId="0" applyNumberFormat="1" applyFont="1" applyFill="1" applyBorder="1" applyAlignment="1">
      <alignment vertical="center"/>
    </xf>
    <xf numFmtId="3" fontId="14" fillId="15" borderId="24" xfId="0" applyNumberFormat="1" applyFont="1" applyFill="1" applyBorder="1" applyAlignment="1">
      <alignment vertical="center"/>
    </xf>
    <xf numFmtId="0" fontId="34" fillId="6" borderId="20" xfId="0" applyFont="1" applyFill="1" applyBorder="1" applyAlignment="1">
      <alignment vertical="center" wrapText="1"/>
    </xf>
    <xf numFmtId="3" fontId="35" fillId="6" borderId="70" xfId="0" applyNumberFormat="1" applyFont="1" applyFill="1" applyBorder="1"/>
    <xf numFmtId="3" fontId="18" fillId="6" borderId="70" xfId="0" applyNumberFormat="1" applyFont="1" applyFill="1" applyBorder="1"/>
    <xf numFmtId="3" fontId="35" fillId="6" borderId="30" xfId="0" applyNumberFormat="1" applyFont="1" applyFill="1" applyBorder="1"/>
    <xf numFmtId="3" fontId="35" fillId="6" borderId="29" xfId="0" applyNumberFormat="1" applyFont="1" applyFill="1" applyBorder="1"/>
    <xf numFmtId="3" fontId="18" fillId="6" borderId="35" xfId="0" applyNumberFormat="1" applyFont="1" applyFill="1" applyBorder="1"/>
    <xf numFmtId="0" fontId="16" fillId="6" borderId="28" xfId="0" applyFont="1" applyFill="1" applyBorder="1" applyAlignment="1">
      <alignment vertical="center" wrapText="1"/>
    </xf>
    <xf numFmtId="3" fontId="18" fillId="6" borderId="71" xfId="0" applyNumberFormat="1" applyFont="1" applyFill="1" applyBorder="1"/>
    <xf numFmtId="3" fontId="18" fillId="6" borderId="71" xfId="0" applyNumberFormat="1" applyFont="1" applyFill="1" applyBorder="1" applyAlignment="1">
      <alignment vertical="center"/>
    </xf>
    <xf numFmtId="3" fontId="18" fillId="6" borderId="30" xfId="0" applyNumberFormat="1" applyFont="1" applyFill="1" applyBorder="1"/>
    <xf numFmtId="3" fontId="18" fillId="6" borderId="63" xfId="0" applyNumberFormat="1" applyFont="1" applyFill="1" applyBorder="1"/>
    <xf numFmtId="0" fontId="16" fillId="6" borderId="37" xfId="0" applyFont="1" applyFill="1" applyBorder="1" applyAlignment="1">
      <alignment vertical="center" wrapText="1"/>
    </xf>
    <xf numFmtId="3" fontId="15" fillId="6" borderId="47" xfId="0" applyNumberFormat="1" applyFont="1" applyFill="1" applyBorder="1"/>
    <xf numFmtId="3" fontId="15" fillId="6" borderId="72" xfId="0" applyNumberFormat="1" applyFont="1" applyFill="1" applyBorder="1"/>
    <xf numFmtId="3" fontId="18" fillId="6" borderId="47" xfId="0" applyNumberFormat="1" applyFont="1" applyFill="1" applyBorder="1"/>
    <xf numFmtId="3" fontId="14" fillId="12" borderId="0" xfId="0" applyNumberFormat="1" applyFont="1" applyFill="1" applyBorder="1" applyAlignment="1">
      <alignment horizontal="right"/>
    </xf>
    <xf numFmtId="3" fontId="36" fillId="12" borderId="0" xfId="0" applyNumberFormat="1" applyFont="1" applyFill="1" applyBorder="1"/>
    <xf numFmtId="3" fontId="37" fillId="12" borderId="0" xfId="0" applyNumberFormat="1" applyFont="1" applyFill="1" applyBorder="1"/>
    <xf numFmtId="3" fontId="36" fillId="12" borderId="27" xfId="0" applyNumberFormat="1" applyFont="1" applyFill="1" applyBorder="1"/>
    <xf numFmtId="3" fontId="36" fillId="12" borderId="13" xfId="0" applyNumberFormat="1" applyFont="1" applyFill="1" applyBorder="1"/>
    <xf numFmtId="0" fontId="14" fillId="8" borderId="0" xfId="0" applyFont="1" applyFill="1" applyBorder="1" applyAlignment="1">
      <alignment horizontal="right"/>
    </xf>
    <xf numFmtId="3" fontId="36" fillId="8" borderId="0" xfId="0" applyNumberFormat="1" applyFont="1" applyFill="1" applyBorder="1"/>
    <xf numFmtId="0" fontId="14" fillId="15" borderId="51" xfId="0" applyFont="1" applyFill="1" applyBorder="1" applyAlignment="1">
      <alignment horizontal="center" wrapText="1"/>
    </xf>
    <xf numFmtId="3" fontId="14" fillId="15" borderId="39" xfId="0" applyNumberFormat="1" applyFont="1" applyFill="1" applyBorder="1"/>
    <xf numFmtId="3" fontId="13" fillId="15" borderId="39" xfId="0" applyNumberFormat="1" applyFont="1" applyFill="1" applyBorder="1"/>
    <xf numFmtId="3" fontId="14" fillId="15" borderId="51" xfId="0" applyNumberFormat="1" applyFont="1" applyFill="1" applyBorder="1" applyAlignment="1">
      <alignment horizontal="center"/>
    </xf>
    <xf numFmtId="0" fontId="16" fillId="6" borderId="20" xfId="0" applyFont="1" applyFill="1" applyBorder="1" applyAlignment="1">
      <alignment vertical="center" wrapText="1"/>
    </xf>
    <xf numFmtId="3" fontId="3" fillId="6" borderId="70" xfId="0" applyNumberFormat="1" applyFont="1" applyFill="1" applyBorder="1"/>
    <xf numFmtId="3" fontId="3" fillId="6" borderId="17" xfId="0" applyNumberFormat="1" applyFont="1" applyFill="1" applyBorder="1"/>
    <xf numFmtId="3" fontId="3" fillId="6" borderId="30" xfId="0" applyNumberFormat="1" applyFont="1" applyFill="1" applyBorder="1"/>
    <xf numFmtId="3" fontId="3" fillId="6" borderId="29" xfId="0" applyNumberFormat="1" applyFont="1" applyFill="1" applyBorder="1"/>
    <xf numFmtId="0" fontId="16" fillId="6" borderId="73" xfId="0" applyFont="1" applyFill="1" applyBorder="1" applyAlignment="1">
      <alignment vertical="center" wrapText="1"/>
    </xf>
    <xf numFmtId="3" fontId="3" fillId="6" borderId="63" xfId="0" applyNumberFormat="1" applyFont="1" applyFill="1" applyBorder="1"/>
    <xf numFmtId="3" fontId="3" fillId="6" borderId="47" xfId="0" applyNumberFormat="1" applyFont="1" applyFill="1" applyBorder="1"/>
    <xf numFmtId="3" fontId="3" fillId="6" borderId="72" xfId="0" applyNumberFormat="1" applyFont="1" applyFill="1" applyBorder="1"/>
    <xf numFmtId="3" fontId="3" fillId="12" borderId="0" xfId="0" applyNumberFormat="1" applyFont="1" applyFill="1" applyBorder="1" applyAlignment="1">
      <alignment horizontal="right"/>
    </xf>
    <xf numFmtId="0" fontId="3" fillId="12" borderId="8" xfId="0" applyFont="1" applyFill="1" applyBorder="1" applyAlignment="1">
      <alignment horizontal="right"/>
    </xf>
    <xf numFmtId="3" fontId="36" fillId="12" borderId="8" xfId="0" applyNumberFormat="1" applyFont="1" applyFill="1" applyBorder="1"/>
    <xf numFmtId="0" fontId="3" fillId="16" borderId="15" xfId="0" applyFont="1" applyFill="1" applyBorder="1"/>
    <xf numFmtId="0" fontId="3" fillId="16" borderId="2" xfId="0" applyFont="1" applyFill="1" applyBorder="1"/>
    <xf numFmtId="0" fontId="3" fillId="16" borderId="3" xfId="0" applyFont="1" applyFill="1" applyBorder="1"/>
    <xf numFmtId="0" fontId="3" fillId="16" borderId="5" xfId="0" applyFont="1" applyFill="1" applyBorder="1"/>
    <xf numFmtId="0" fontId="3" fillId="16" borderId="4" xfId="0" applyFont="1" applyFill="1" applyBorder="1"/>
    <xf numFmtId="3" fontId="14" fillId="16" borderId="12" xfId="5" applyNumberFormat="1" applyFont="1" applyFill="1" applyBorder="1"/>
    <xf numFmtId="3" fontId="13" fillId="16" borderId="12" xfId="5" applyNumberFormat="1" applyFont="1" applyFill="1" applyBorder="1"/>
    <xf numFmtId="3" fontId="14" fillId="16" borderId="74" xfId="5" applyNumberFormat="1" applyFont="1" applyFill="1" applyBorder="1"/>
    <xf numFmtId="3" fontId="14" fillId="16" borderId="24" xfId="5" applyNumberFormat="1" applyFont="1" applyFill="1" applyBorder="1"/>
    <xf numFmtId="3" fontId="14" fillId="16" borderId="25" xfId="5" applyNumberFormat="1" applyFont="1" applyFill="1" applyBorder="1"/>
    <xf numFmtId="3" fontId="14" fillId="16" borderId="23" xfId="5" applyNumberFormat="1" applyFont="1" applyFill="1" applyBorder="1"/>
    <xf numFmtId="0" fontId="16" fillId="8" borderId="20" xfId="0" applyFont="1" applyFill="1" applyBorder="1" applyAlignment="1">
      <alignment vertical="center" wrapText="1"/>
    </xf>
    <xf numFmtId="3" fontId="3" fillId="8" borderId="30" xfId="0" applyNumberFormat="1" applyFont="1" applyFill="1" applyBorder="1"/>
    <xf numFmtId="3" fontId="3" fillId="8" borderId="71" xfId="0" applyNumberFormat="1" applyFont="1" applyFill="1" applyBorder="1"/>
    <xf numFmtId="3" fontId="3" fillId="8" borderId="31" xfId="0" applyNumberFormat="1" applyFont="1" applyFill="1" applyBorder="1"/>
    <xf numFmtId="3" fontId="3" fillId="8" borderId="32" xfId="0" applyNumberFormat="1" applyFont="1" applyFill="1" applyBorder="1"/>
    <xf numFmtId="3" fontId="3" fillId="8" borderId="29" xfId="0" applyNumberFormat="1" applyFont="1" applyFill="1" applyBorder="1"/>
    <xf numFmtId="0" fontId="16" fillId="8" borderId="28" xfId="0" applyFont="1" applyFill="1" applyBorder="1" applyAlignment="1">
      <alignment vertical="center" wrapText="1"/>
    </xf>
    <xf numFmtId="0" fontId="16" fillId="8" borderId="28" xfId="0" applyFont="1" applyFill="1" applyBorder="1" applyAlignment="1">
      <alignment vertical="center"/>
    </xf>
    <xf numFmtId="0" fontId="16" fillId="8" borderId="73" xfId="0" applyFont="1" applyFill="1" applyBorder="1" applyAlignment="1">
      <alignment vertical="center"/>
    </xf>
    <xf numFmtId="3" fontId="3" fillId="8" borderId="63" xfId="0" applyNumberFormat="1" applyFont="1" applyFill="1" applyBorder="1"/>
    <xf numFmtId="3" fontId="3" fillId="8" borderId="62" xfId="0" applyNumberFormat="1" applyFont="1" applyFill="1" applyBorder="1"/>
    <xf numFmtId="3" fontId="3" fillId="8" borderId="33" xfId="0" applyNumberFormat="1" applyFont="1" applyFill="1" applyBorder="1"/>
    <xf numFmtId="3" fontId="3" fillId="8" borderId="65" xfId="0" applyNumberFormat="1" applyFont="1" applyFill="1" applyBorder="1"/>
    <xf numFmtId="0" fontId="16" fillId="8" borderId="37" xfId="0" applyFont="1" applyFill="1" applyBorder="1" applyAlignment="1">
      <alignment vertical="center" wrapText="1"/>
    </xf>
    <xf numFmtId="3" fontId="3" fillId="8" borderId="47" xfId="0" applyNumberFormat="1" applyFont="1" applyFill="1" applyBorder="1"/>
    <xf numFmtId="3" fontId="3" fillId="8" borderId="75" xfId="0" applyNumberFormat="1" applyFont="1" applyFill="1" applyBorder="1"/>
    <xf numFmtId="3" fontId="3" fillId="8" borderId="77" xfId="0" applyNumberFormat="1" applyFont="1" applyFill="1" applyBorder="1"/>
    <xf numFmtId="3" fontId="3" fillId="8" borderId="72" xfId="0" applyNumberFormat="1" applyFont="1" applyFill="1" applyBorder="1"/>
    <xf numFmtId="0" fontId="16" fillId="17" borderId="0" xfId="0" applyFont="1" applyFill="1" applyBorder="1" applyAlignment="1">
      <alignment vertical="center" wrapText="1"/>
    </xf>
    <xf numFmtId="3" fontId="37" fillId="17" borderId="0" xfId="0" applyNumberFormat="1" applyFont="1" applyFill="1" applyBorder="1"/>
    <xf numFmtId="3" fontId="37" fillId="17" borderId="13" xfId="0" applyNumberFormat="1" applyFont="1" applyFill="1" applyBorder="1"/>
    <xf numFmtId="3" fontId="37" fillId="17" borderId="11" xfId="0" applyNumberFormat="1" applyFont="1" applyFill="1" applyBorder="1"/>
    <xf numFmtId="0" fontId="8" fillId="8" borderId="0" xfId="0" applyFont="1" applyFill="1" applyBorder="1" applyAlignment="1">
      <alignment horizontal="right" vertical="center" wrapText="1"/>
    </xf>
    <xf numFmtId="3" fontId="37" fillId="8" borderId="0" xfId="0" applyNumberFormat="1" applyFont="1" applyFill="1" applyBorder="1"/>
    <xf numFmtId="3" fontId="37" fillId="8" borderId="13" xfId="0" applyNumberFormat="1" applyFont="1" applyFill="1" applyBorder="1"/>
    <xf numFmtId="3" fontId="37" fillId="8" borderId="11" xfId="0" applyNumberFormat="1" applyFont="1" applyFill="1" applyBorder="1"/>
    <xf numFmtId="3" fontId="13" fillId="8" borderId="0" xfId="0" applyNumberFormat="1" applyFont="1" applyFill="1" applyBorder="1"/>
    <xf numFmtId="3" fontId="13" fillId="8" borderId="13" xfId="0" applyNumberFormat="1" applyFont="1" applyFill="1" applyBorder="1"/>
    <xf numFmtId="3" fontId="13" fillId="8" borderId="11" xfId="0" applyNumberFormat="1" applyFont="1" applyFill="1" applyBorder="1"/>
    <xf numFmtId="0" fontId="14" fillId="16" borderId="51" xfId="0" applyFont="1" applyFill="1" applyBorder="1" applyAlignment="1">
      <alignment horizontal="center" wrapText="1"/>
    </xf>
    <xf numFmtId="3" fontId="13" fillId="16" borderId="39" xfId="5" applyNumberFormat="1" applyFont="1" applyFill="1" applyBorder="1"/>
    <xf numFmtId="3" fontId="13" fillId="16" borderId="78" xfId="5" applyNumberFormat="1" applyFont="1" applyFill="1" applyBorder="1"/>
    <xf numFmtId="3" fontId="13" fillId="16" borderId="52" xfId="5" applyNumberFormat="1" applyFont="1" applyFill="1" applyBorder="1"/>
    <xf numFmtId="3" fontId="13" fillId="16" borderId="50" xfId="5" applyNumberFormat="1" applyFont="1" applyFill="1" applyBorder="1"/>
    <xf numFmtId="3" fontId="13" fillId="16" borderId="51" xfId="0" applyNumberFormat="1" applyFont="1" applyFill="1" applyBorder="1" applyAlignment="1">
      <alignment horizontal="center"/>
    </xf>
    <xf numFmtId="3" fontId="3" fillId="8" borderId="70" xfId="0" applyNumberFormat="1" applyFont="1" applyFill="1" applyBorder="1"/>
    <xf numFmtId="3" fontId="3" fillId="8" borderId="79" xfId="0" applyNumberFormat="1" applyFont="1" applyFill="1" applyBorder="1"/>
    <xf numFmtId="3" fontId="3" fillId="8" borderId="19" xfId="0" applyNumberFormat="1" applyFont="1" applyFill="1" applyBorder="1"/>
    <xf numFmtId="3" fontId="3" fillId="8" borderId="17" xfId="0" applyNumberFormat="1" applyFont="1" applyFill="1" applyBorder="1"/>
    <xf numFmtId="0" fontId="16" fillId="8" borderId="73" xfId="0" applyFont="1" applyFill="1" applyBorder="1" applyAlignment="1">
      <alignment vertical="center" wrapText="1"/>
    </xf>
    <xf numFmtId="0" fontId="3" fillId="17" borderId="0" xfId="0" applyFont="1" applyFill="1" applyBorder="1" applyAlignment="1">
      <alignment horizontal="right"/>
    </xf>
    <xf numFmtId="3" fontId="22" fillId="17" borderId="0" xfId="0" applyNumberFormat="1" applyFont="1" applyFill="1" applyBorder="1"/>
    <xf numFmtId="3" fontId="22" fillId="17" borderId="13" xfId="0" applyNumberFormat="1" applyFont="1" applyFill="1" applyBorder="1"/>
    <xf numFmtId="3" fontId="22" fillId="17" borderId="11" xfId="0" applyNumberFormat="1" applyFont="1" applyFill="1" applyBorder="1"/>
    <xf numFmtId="3" fontId="3" fillId="17" borderId="0" xfId="0" applyNumberFormat="1" applyFont="1" applyFill="1" applyBorder="1"/>
    <xf numFmtId="0" fontId="14" fillId="0" borderId="2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4" fillId="18" borderId="3" xfId="0" applyFont="1" applyFill="1" applyBorder="1" applyAlignment="1">
      <alignment horizontal="center"/>
    </xf>
    <xf numFmtId="0" fontId="3" fillId="18" borderId="15" xfId="0" applyFont="1" applyFill="1" applyBorder="1"/>
    <xf numFmtId="0" fontId="3" fillId="18" borderId="2" xfId="0" applyFont="1" applyFill="1" applyBorder="1"/>
    <xf numFmtId="0" fontId="3" fillId="18" borderId="3" xfId="0" applyFont="1" applyFill="1" applyBorder="1"/>
    <xf numFmtId="0" fontId="3" fillId="18" borderId="5" xfId="0" applyFont="1" applyFill="1" applyBorder="1"/>
    <xf numFmtId="0" fontId="3" fillId="18" borderId="4" xfId="0" applyFont="1" applyFill="1" applyBorder="1"/>
    <xf numFmtId="0" fontId="14" fillId="18" borderId="24" xfId="0" applyFont="1" applyFill="1" applyBorder="1" applyAlignment="1">
      <alignment horizontal="center"/>
    </xf>
    <xf numFmtId="3" fontId="14" fillId="18" borderId="12" xfId="0" applyNumberFormat="1" applyFont="1" applyFill="1" applyBorder="1"/>
    <xf numFmtId="3" fontId="14" fillId="18" borderId="74" xfId="0" applyNumberFormat="1" applyFont="1" applyFill="1" applyBorder="1"/>
    <xf numFmtId="3" fontId="14" fillId="18" borderId="25" xfId="0" applyNumberFormat="1" applyFont="1" applyFill="1" applyBorder="1"/>
    <xf numFmtId="3" fontId="14" fillId="18" borderId="23" xfId="0" applyNumberFormat="1" applyFont="1" applyFill="1" applyBorder="1"/>
    <xf numFmtId="0" fontId="16" fillId="11" borderId="20" xfId="0" applyFont="1" applyFill="1" applyBorder="1" applyAlignment="1">
      <alignment vertical="center" wrapText="1"/>
    </xf>
    <xf numFmtId="3" fontId="18" fillId="11" borderId="70" xfId="0" applyNumberFormat="1" applyFont="1" applyFill="1" applyBorder="1"/>
    <xf numFmtId="3" fontId="18" fillId="11" borderId="79" xfId="0" applyNumberFormat="1" applyFont="1" applyFill="1" applyBorder="1"/>
    <xf numFmtId="3" fontId="18" fillId="11" borderId="19" xfId="0" applyNumberFormat="1" applyFont="1" applyFill="1" applyBorder="1"/>
    <xf numFmtId="3" fontId="18" fillId="11" borderId="17" xfId="0" applyNumberFormat="1" applyFont="1" applyFill="1" applyBorder="1"/>
    <xf numFmtId="0" fontId="16" fillId="11" borderId="28" xfId="0" applyFont="1" applyFill="1" applyBorder="1" applyAlignment="1">
      <alignment vertical="center" wrapText="1"/>
    </xf>
    <xf numFmtId="3" fontId="18" fillId="11" borderId="30" xfId="0" applyNumberFormat="1" applyFont="1" applyFill="1" applyBorder="1"/>
    <xf numFmtId="3" fontId="18" fillId="11" borderId="71" xfId="0" applyNumberFormat="1" applyFont="1" applyFill="1" applyBorder="1"/>
    <xf numFmtId="3" fontId="18" fillId="11" borderId="32" xfId="0" applyNumberFormat="1" applyFont="1" applyFill="1" applyBorder="1"/>
    <xf numFmtId="3" fontId="18" fillId="11" borderId="29" xfId="0" applyNumberFormat="1" applyFont="1" applyFill="1" applyBorder="1"/>
    <xf numFmtId="0" fontId="16" fillId="11" borderId="73" xfId="0" applyFont="1" applyFill="1" applyBorder="1" applyAlignment="1">
      <alignment vertical="center" wrapText="1"/>
    </xf>
    <xf numFmtId="0" fontId="16" fillId="11" borderId="37" xfId="0" applyFont="1" applyFill="1" applyBorder="1" applyAlignment="1">
      <alignment vertical="center" wrapText="1"/>
    </xf>
    <xf numFmtId="3" fontId="18" fillId="11" borderId="47" xfId="0" applyNumberFormat="1" applyFont="1" applyFill="1" applyBorder="1"/>
    <xf numFmtId="3" fontId="18" fillId="11" borderId="75" xfId="0" applyNumberFormat="1" applyFont="1" applyFill="1" applyBorder="1"/>
    <xf numFmtId="3" fontId="18" fillId="11" borderId="77" xfId="0" applyNumberFormat="1" applyFont="1" applyFill="1" applyBorder="1"/>
    <xf numFmtId="3" fontId="18" fillId="11" borderId="72" xfId="0" applyNumberFormat="1" applyFont="1" applyFill="1" applyBorder="1"/>
    <xf numFmtId="0" fontId="14" fillId="18" borderId="51" xfId="0" applyFont="1" applyFill="1" applyBorder="1" applyAlignment="1">
      <alignment horizontal="right"/>
    </xf>
    <xf numFmtId="3" fontId="36" fillId="18" borderId="51" xfId="0" applyNumberFormat="1" applyFont="1" applyFill="1" applyBorder="1" applyAlignment="1">
      <alignment vertical="top"/>
    </xf>
    <xf numFmtId="3" fontId="37" fillId="18" borderId="51" xfId="0" applyNumberFormat="1" applyFont="1" applyFill="1" applyBorder="1" applyAlignment="1">
      <alignment vertical="top"/>
    </xf>
    <xf numFmtId="3" fontId="36" fillId="18" borderId="39" xfId="0" applyNumberFormat="1" applyFont="1" applyFill="1" applyBorder="1" applyAlignment="1">
      <alignment vertical="top"/>
    </xf>
    <xf numFmtId="3" fontId="36" fillId="18" borderId="52" xfId="0" applyNumberFormat="1" applyFont="1" applyFill="1" applyBorder="1" applyAlignment="1">
      <alignment vertical="top"/>
    </xf>
    <xf numFmtId="3" fontId="36" fillId="18" borderId="50" xfId="0" applyNumberFormat="1" applyFont="1" applyFill="1" applyBorder="1" applyAlignment="1">
      <alignment vertical="top"/>
    </xf>
    <xf numFmtId="0" fontId="36" fillId="0" borderId="0" xfId="0" applyFont="1" applyBorder="1" applyAlignment="1">
      <alignment horizontal="right"/>
    </xf>
    <xf numFmtId="3" fontId="36" fillId="2" borderId="0" xfId="0" applyNumberFormat="1" applyFont="1" applyFill="1" applyBorder="1" applyAlignment="1">
      <alignment vertical="top"/>
    </xf>
    <xf numFmtId="3" fontId="37" fillId="2" borderId="0" xfId="0" applyNumberFormat="1" applyFont="1" applyFill="1" applyBorder="1" applyAlignment="1">
      <alignment vertical="top"/>
    </xf>
    <xf numFmtId="3" fontId="36" fillId="2" borderId="13" xfId="0" applyNumberFormat="1" applyFont="1" applyFill="1" applyBorder="1" applyAlignment="1">
      <alignment vertical="top"/>
    </xf>
    <xf numFmtId="3" fontId="36" fillId="2" borderId="11" xfId="0" applyNumberFormat="1" applyFont="1" applyFill="1" applyBorder="1" applyAlignment="1">
      <alignment vertical="top"/>
    </xf>
    <xf numFmtId="3" fontId="36" fillId="2" borderId="27" xfId="0" applyNumberFormat="1" applyFont="1" applyFill="1" applyBorder="1" applyAlignment="1">
      <alignment vertical="top"/>
    </xf>
    <xf numFmtId="0" fontId="14" fillId="18" borderId="51" xfId="0" applyFont="1" applyFill="1" applyBorder="1" applyAlignment="1">
      <alignment horizontal="center"/>
    </xf>
    <xf numFmtId="3" fontId="14" fillId="18" borderId="39" xfId="0" applyNumberFormat="1" applyFont="1" applyFill="1" applyBorder="1"/>
    <xf numFmtId="3" fontId="14" fillId="18" borderId="78" xfId="0" applyNumberFormat="1" applyFont="1" applyFill="1" applyBorder="1"/>
    <xf numFmtId="3" fontId="14" fillId="18" borderId="52" xfId="0" applyNumberFormat="1" applyFont="1" applyFill="1" applyBorder="1"/>
    <xf numFmtId="3" fontId="14" fillId="18" borderId="50" xfId="0" applyNumberFormat="1" applyFont="1" applyFill="1" applyBorder="1"/>
    <xf numFmtId="3" fontId="14" fillId="18" borderId="50" xfId="0" applyNumberFormat="1" applyFont="1" applyFill="1" applyBorder="1" applyAlignment="1">
      <alignment horizontal="center"/>
    </xf>
    <xf numFmtId="3" fontId="3" fillId="11" borderId="70" xfId="0" applyNumberFormat="1" applyFont="1" applyFill="1" applyBorder="1"/>
    <xf numFmtId="43" fontId="3" fillId="11" borderId="70" xfId="1" applyFont="1" applyFill="1" applyBorder="1"/>
    <xf numFmtId="43" fontId="3" fillId="11" borderId="30" xfId="1" applyFont="1" applyFill="1" applyBorder="1"/>
    <xf numFmtId="3" fontId="3" fillId="11" borderId="30" xfId="0" applyNumberFormat="1" applyFont="1" applyFill="1" applyBorder="1"/>
    <xf numFmtId="43" fontId="3" fillId="11" borderId="27" xfId="1" applyFont="1" applyFill="1" applyBorder="1"/>
    <xf numFmtId="43" fontId="3" fillId="11" borderId="23" xfId="1" applyFont="1" applyFill="1" applyBorder="1"/>
    <xf numFmtId="0" fontId="3" fillId="18" borderId="24" xfId="0" applyFont="1" applyFill="1" applyBorder="1" applyAlignment="1">
      <alignment horizontal="right"/>
    </xf>
    <xf numFmtId="3" fontId="3" fillId="18" borderId="24" xfId="0" applyNumberFormat="1" applyFont="1" applyFill="1" applyBorder="1"/>
    <xf numFmtId="3" fontId="3" fillId="18" borderId="12" xfId="0" applyNumberFormat="1" applyFont="1" applyFill="1" applyBorder="1"/>
    <xf numFmtId="3" fontId="3" fillId="18" borderId="25" xfId="0" applyNumberFormat="1" applyFont="1" applyFill="1" applyBorder="1"/>
    <xf numFmtId="3" fontId="3" fillId="18" borderId="23" xfId="0" applyNumberFormat="1" applyFont="1" applyFill="1" applyBorder="1"/>
    <xf numFmtId="0" fontId="3" fillId="0" borderId="13" xfId="0" applyFont="1" applyBorder="1"/>
    <xf numFmtId="0" fontId="3" fillId="0" borderId="11" xfId="0" applyFont="1" applyBorder="1"/>
    <xf numFmtId="3" fontId="36" fillId="0" borderId="0" xfId="0" applyNumberFormat="1" applyFont="1" applyBorder="1"/>
    <xf numFmtId="3" fontId="37" fillId="0" borderId="0" xfId="0" applyNumberFormat="1" applyFont="1" applyBorder="1"/>
    <xf numFmtId="3" fontId="36" fillId="0" borderId="13" xfId="0" applyNumberFormat="1" applyFont="1" applyBorder="1"/>
    <xf numFmtId="3" fontId="36" fillId="0" borderId="11" xfId="0" applyNumberFormat="1" applyFont="1" applyBorder="1"/>
    <xf numFmtId="3" fontId="3" fillId="0" borderId="0" xfId="0" applyNumberFormat="1" applyFont="1" applyBorder="1"/>
    <xf numFmtId="3" fontId="3" fillId="0" borderId="13" xfId="0" applyNumberFormat="1" applyFont="1" applyBorder="1"/>
    <xf numFmtId="3" fontId="3" fillId="0" borderId="25" xfId="0" applyNumberFormat="1" applyFont="1" applyBorder="1"/>
    <xf numFmtId="3" fontId="38" fillId="0" borderId="30" xfId="5" applyNumberFormat="1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" fillId="0" borderId="0" xfId="5" applyFont="1" applyBorder="1"/>
    <xf numFmtId="3" fontId="38" fillId="0" borderId="30" xfId="5" applyNumberFormat="1" applyFont="1" applyBorder="1" applyAlignment="1">
      <alignment vertical="center"/>
    </xf>
    <xf numFmtId="3" fontId="38" fillId="0" borderId="30" xfId="5" applyNumberFormat="1" applyFont="1" applyBorder="1"/>
    <xf numFmtId="3" fontId="40" fillId="20" borderId="30" xfId="5" applyNumberFormat="1" applyFont="1" applyFill="1" applyBorder="1"/>
    <xf numFmtId="3" fontId="41" fillId="20" borderId="30" xfId="5" applyNumberFormat="1" applyFont="1" applyFill="1" applyBorder="1" applyAlignment="1">
      <alignment vertical="center"/>
    </xf>
    <xf numFmtId="3" fontId="40" fillId="20" borderId="30" xfId="5" applyNumberFormat="1" applyFont="1" applyFill="1" applyBorder="1" applyAlignment="1">
      <alignment vertical="center"/>
    </xf>
    <xf numFmtId="0" fontId="42" fillId="0" borderId="3" xfId="0" applyFont="1" applyBorder="1" applyAlignment="1">
      <alignment wrapText="1"/>
    </xf>
    <xf numFmtId="0" fontId="3" fillId="0" borderId="3" xfId="0" applyFont="1" applyBorder="1"/>
    <xf numFmtId="0" fontId="7" fillId="0" borderId="3" xfId="0" applyFont="1" applyBorder="1"/>
    <xf numFmtId="0" fontId="7" fillId="0" borderId="0" xfId="0" applyFont="1" applyBorder="1"/>
    <xf numFmtId="0" fontId="3" fillId="0" borderId="24" xfId="0" applyFont="1" applyBorder="1"/>
    <xf numFmtId="0" fontId="7" fillId="0" borderId="24" xfId="0" applyFont="1" applyBorder="1"/>
    <xf numFmtId="0" fontId="3" fillId="0" borderId="27" xfId="0" applyFont="1" applyBorder="1"/>
    <xf numFmtId="0" fontId="3" fillId="0" borderId="10" xfId="0" applyFont="1" applyBorder="1"/>
    <xf numFmtId="0" fontId="45" fillId="0" borderId="0" xfId="0" applyFont="1" applyFill="1" applyAlignment="1"/>
    <xf numFmtId="0" fontId="47" fillId="0" borderId="0" xfId="0" applyFont="1" applyFill="1" applyAlignment="1"/>
    <xf numFmtId="0" fontId="48" fillId="2" borderId="0" xfId="3" applyFont="1" applyFill="1" applyBorder="1" applyAlignment="1">
      <alignment horizontal="right" vertical="center"/>
    </xf>
    <xf numFmtId="0" fontId="49" fillId="2" borderId="0" xfId="0" applyFont="1" applyFill="1" applyBorder="1" applyAlignment="1">
      <alignment horizontal="right" vertical="center"/>
    </xf>
    <xf numFmtId="0" fontId="47" fillId="0" borderId="0" xfId="0" applyFont="1" applyFill="1" applyAlignment="1">
      <alignment horizontal="left"/>
    </xf>
    <xf numFmtId="0" fontId="51" fillId="0" borderId="5" xfId="4" applyFont="1" applyBorder="1" applyAlignment="1">
      <alignment horizontal="center" vertical="top"/>
    </xf>
    <xf numFmtId="0" fontId="51" fillId="0" borderId="66" xfId="4" applyFont="1" applyBorder="1" applyAlignment="1">
      <alignment horizontal="center" vertical="top"/>
    </xf>
    <xf numFmtId="0" fontId="51" fillId="0" borderId="25" xfId="4" applyFont="1" applyBorder="1" applyAlignment="1">
      <alignment horizontal="center" vertical="top"/>
    </xf>
    <xf numFmtId="0" fontId="51" fillId="0" borderId="69" xfId="4" applyFont="1" applyBorder="1" applyAlignment="1">
      <alignment horizontal="center" vertical="top"/>
    </xf>
    <xf numFmtId="0" fontId="58" fillId="0" borderId="12" xfId="0" applyFont="1" applyBorder="1" applyAlignment="1">
      <alignment horizontal="center" vertical="center"/>
    </xf>
    <xf numFmtId="0" fontId="52" fillId="0" borderId="52" xfId="4" applyFont="1" applyBorder="1" applyAlignment="1">
      <alignment horizontal="center" vertical="center"/>
    </xf>
    <xf numFmtId="0" fontId="52" fillId="0" borderId="80" xfId="4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 wrapText="1"/>
    </xf>
    <xf numFmtId="0" fontId="56" fillId="0" borderId="51" xfId="6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/>
    </xf>
    <xf numFmtId="0" fontId="55" fillId="0" borderId="50" xfId="4" applyFont="1" applyBorder="1" applyAlignment="1">
      <alignment horizontal="center" vertical="center" wrapText="1"/>
    </xf>
    <xf numFmtId="0" fontId="56" fillId="0" borderId="50" xfId="6" applyFont="1" applyBorder="1" applyAlignment="1">
      <alignment horizontal="center" vertical="center"/>
    </xf>
    <xf numFmtId="0" fontId="56" fillId="0" borderId="39" xfId="6" applyFont="1" applyBorder="1" applyAlignment="1">
      <alignment horizontal="center" vertical="center"/>
    </xf>
    <xf numFmtId="0" fontId="56" fillId="19" borderId="39" xfId="0" applyFont="1" applyFill="1" applyBorder="1" applyAlignment="1">
      <alignment horizontal="center" vertical="center" wrapText="1"/>
    </xf>
    <xf numFmtId="0" fontId="55" fillId="0" borderId="80" xfId="4" applyFont="1" applyBorder="1" applyAlignment="1">
      <alignment horizontal="center" vertical="center" wrapText="1"/>
    </xf>
    <xf numFmtId="3" fontId="61" fillId="21" borderId="70" xfId="4" applyNumberFormat="1" applyFont="1" applyFill="1" applyBorder="1" applyAlignment="1">
      <alignment horizontal="right" vertical="center"/>
    </xf>
    <xf numFmtId="3" fontId="61" fillId="21" borderId="10" xfId="4" applyNumberFormat="1" applyFont="1" applyFill="1" applyBorder="1" applyAlignment="1">
      <alignment horizontal="right" vertical="center"/>
    </xf>
    <xf numFmtId="3" fontId="61" fillId="21" borderId="63" xfId="4" applyNumberFormat="1" applyFont="1" applyFill="1" applyBorder="1" applyAlignment="1">
      <alignment horizontal="right" vertical="center"/>
    </xf>
    <xf numFmtId="3" fontId="52" fillId="8" borderId="43" xfId="4" applyNumberFormat="1" applyFont="1" applyFill="1" applyBorder="1" applyAlignment="1">
      <alignment vertical="top" wrapText="1"/>
    </xf>
    <xf numFmtId="3" fontId="61" fillId="21" borderId="13" xfId="4" applyNumberFormat="1" applyFont="1" applyFill="1" applyBorder="1" applyAlignment="1">
      <alignment horizontal="right" vertical="center"/>
    </xf>
    <xf numFmtId="0" fontId="59" fillId="6" borderId="45" xfId="4" applyFont="1" applyFill="1" applyBorder="1" applyAlignment="1">
      <alignment horizontal="left" vertical="center"/>
    </xf>
    <xf numFmtId="0" fontId="59" fillId="6" borderId="18" xfId="4" applyFont="1" applyFill="1" applyBorder="1" applyAlignment="1">
      <alignment horizontal="left" vertical="center"/>
    </xf>
    <xf numFmtId="3" fontId="58" fillId="6" borderId="70" xfId="4" applyNumberFormat="1" applyFont="1" applyFill="1" applyBorder="1" applyAlignment="1">
      <alignment vertical="top"/>
    </xf>
    <xf numFmtId="3" fontId="58" fillId="22" borderId="70" xfId="4" applyNumberFormat="1" applyFont="1" applyFill="1" applyBorder="1" applyAlignment="1">
      <alignment vertical="top"/>
    </xf>
    <xf numFmtId="0" fontId="63" fillId="8" borderId="36" xfId="4" applyFont="1" applyFill="1" applyBorder="1" applyAlignment="1">
      <alignment vertical="top"/>
    </xf>
    <xf numFmtId="0" fontId="63" fillId="8" borderId="28" xfId="4" applyFont="1" applyFill="1" applyBorder="1" applyAlignment="1">
      <alignment vertical="top"/>
    </xf>
    <xf numFmtId="3" fontId="63" fillId="8" borderId="29" xfId="4" applyNumberFormat="1" applyFont="1" applyFill="1" applyBorder="1" applyAlignment="1">
      <alignment vertical="top"/>
    </xf>
    <xf numFmtId="3" fontId="63" fillId="23" borderId="30" xfId="4" applyNumberFormat="1" applyFont="1" applyFill="1" applyBorder="1" applyAlignment="1">
      <alignment vertical="top"/>
    </xf>
    <xf numFmtId="3" fontId="64" fillId="8" borderId="43" xfId="4" applyNumberFormat="1" applyFont="1" applyFill="1" applyBorder="1" applyAlignment="1">
      <alignment vertical="top" wrapText="1"/>
    </xf>
    <xf numFmtId="0" fontId="34" fillId="8" borderId="36" xfId="4" applyFont="1" applyFill="1" applyBorder="1" applyAlignment="1">
      <alignment vertical="top"/>
    </xf>
    <xf numFmtId="0" fontId="34" fillId="8" borderId="20" xfId="4" applyFont="1" applyFill="1" applyBorder="1" applyAlignment="1">
      <alignment vertical="top"/>
    </xf>
    <xf numFmtId="3" fontId="34" fillId="8" borderId="29" xfId="4" applyNumberFormat="1" applyFont="1" applyFill="1" applyBorder="1" applyAlignment="1">
      <alignment vertical="top"/>
    </xf>
    <xf numFmtId="3" fontId="65" fillId="23" borderId="30" xfId="4" applyNumberFormat="1" applyFont="1" applyFill="1" applyBorder="1" applyAlignment="1">
      <alignment horizontal="right" vertical="center"/>
    </xf>
    <xf numFmtId="3" fontId="34" fillId="8" borderId="34" xfId="4" applyNumberFormat="1" applyFont="1" applyFill="1" applyBorder="1" applyAlignment="1">
      <alignment vertical="top" wrapText="1"/>
    </xf>
    <xf numFmtId="3" fontId="34" fillId="8" borderId="28" xfId="4" applyNumberFormat="1" applyFont="1" applyFill="1" applyBorder="1" applyAlignment="1">
      <alignment vertical="top" wrapText="1"/>
    </xf>
    <xf numFmtId="0" fontId="52" fillId="8" borderId="43" xfId="4" applyFont="1" applyFill="1" applyBorder="1" applyAlignment="1">
      <alignment vertical="top" wrapText="1"/>
    </xf>
    <xf numFmtId="0" fontId="63" fillId="8" borderId="20" xfId="4" applyFont="1" applyFill="1" applyBorder="1" applyAlignment="1">
      <alignment vertical="top"/>
    </xf>
    <xf numFmtId="3" fontId="61" fillId="23" borderId="30" xfId="4" applyNumberFormat="1" applyFont="1" applyFill="1" applyBorder="1" applyAlignment="1">
      <alignment vertical="top"/>
    </xf>
    <xf numFmtId="0" fontId="64" fillId="8" borderId="43" xfId="4" applyFont="1" applyFill="1" applyBorder="1" applyAlignment="1">
      <alignment vertical="top" wrapText="1"/>
    </xf>
    <xf numFmtId="0" fontId="34" fillId="8" borderId="34" xfId="4" applyFont="1" applyFill="1" applyBorder="1" applyAlignment="1">
      <alignment vertical="top"/>
    </xf>
    <xf numFmtId="0" fontId="34" fillId="8" borderId="28" xfId="4" applyFont="1" applyFill="1" applyBorder="1" applyAlignment="1">
      <alignment vertical="top"/>
    </xf>
    <xf numFmtId="3" fontId="65" fillId="8" borderId="29" xfId="4" applyNumberFormat="1" applyFont="1" applyFill="1" applyBorder="1" applyAlignment="1">
      <alignment vertical="top"/>
    </xf>
    <xf numFmtId="3" fontId="34" fillId="23" borderId="30" xfId="4" applyNumberFormat="1" applyFont="1" applyFill="1" applyBorder="1" applyAlignment="1">
      <alignment vertical="top"/>
    </xf>
    <xf numFmtId="0" fontId="34" fillId="8" borderId="34" xfId="4" applyFont="1" applyFill="1" applyBorder="1" applyAlignment="1">
      <alignment vertical="top" wrapText="1"/>
    </xf>
    <xf numFmtId="0" fontId="34" fillId="8" borderId="28" xfId="4" applyFont="1" applyFill="1" applyBorder="1" applyAlignment="1">
      <alignment vertical="top" wrapText="1"/>
    </xf>
    <xf numFmtId="0" fontId="34" fillId="8" borderId="32" xfId="4" applyFont="1" applyFill="1" applyBorder="1" applyAlignment="1">
      <alignment vertical="top" wrapText="1"/>
    </xf>
    <xf numFmtId="0" fontId="59" fillId="6" borderId="32" xfId="4" applyFont="1" applyFill="1" applyBorder="1" applyAlignment="1">
      <alignment horizontal="left" vertical="center"/>
    </xf>
    <xf numFmtId="0" fontId="59" fillId="6" borderId="28" xfId="4" applyFont="1" applyFill="1" applyBorder="1" applyAlignment="1">
      <alignment horizontal="left" vertical="center"/>
    </xf>
    <xf numFmtId="3" fontId="59" fillId="6" borderId="29" xfId="4" applyNumberFormat="1" applyFont="1" applyFill="1" applyBorder="1" applyAlignment="1">
      <alignment vertical="top"/>
    </xf>
    <xf numFmtId="3" fontId="61" fillId="8" borderId="32" xfId="4" applyNumberFormat="1" applyFont="1" applyFill="1" applyBorder="1" applyAlignment="1">
      <alignment vertical="top" wrapText="1"/>
    </xf>
    <xf numFmtId="3" fontId="61" fillId="8" borderId="28" xfId="4" applyNumberFormat="1" applyFont="1" applyFill="1" applyBorder="1" applyAlignment="1">
      <alignment vertical="top" wrapText="1"/>
    </xf>
    <xf numFmtId="3" fontId="61" fillId="8" borderId="29" xfId="4" applyNumberFormat="1" applyFont="1" applyFill="1" applyBorder="1" applyAlignment="1">
      <alignment vertical="top"/>
    </xf>
    <xf numFmtId="3" fontId="61" fillId="8" borderId="20" xfId="4" applyNumberFormat="1" applyFont="1" applyFill="1" applyBorder="1" applyAlignment="1">
      <alignment vertical="top" wrapText="1"/>
    </xf>
    <xf numFmtId="0" fontId="34" fillId="8" borderId="21" xfId="4" applyFont="1" applyFill="1" applyBorder="1" applyAlignment="1">
      <alignment horizontal="left" vertical="center"/>
    </xf>
    <xf numFmtId="0" fontId="34" fillId="8" borderId="20" xfId="4" applyFont="1" applyFill="1" applyBorder="1" applyAlignment="1">
      <alignment horizontal="left" vertical="center"/>
    </xf>
    <xf numFmtId="3" fontId="34" fillId="8" borderId="20" xfId="4" applyNumberFormat="1" applyFont="1" applyFill="1" applyBorder="1" applyAlignment="1">
      <alignment horizontal="left" vertical="center"/>
    </xf>
    <xf numFmtId="0" fontId="61" fillId="8" borderId="32" xfId="4" applyFont="1" applyFill="1" applyBorder="1" applyAlignment="1">
      <alignment vertical="top"/>
    </xf>
    <xf numFmtId="0" fontId="61" fillId="8" borderId="28" xfId="4" applyFont="1" applyFill="1" applyBorder="1" applyAlignment="1">
      <alignment vertical="top"/>
    </xf>
    <xf numFmtId="3" fontId="34" fillId="8" borderId="30" xfId="4" applyNumberFormat="1" applyFont="1" applyFill="1" applyBorder="1" applyAlignment="1">
      <alignment vertical="top"/>
    </xf>
    <xf numFmtId="0" fontId="34" fillId="8" borderId="28" xfId="4" applyFont="1" applyFill="1" applyBorder="1" applyAlignment="1">
      <alignment vertical="center"/>
    </xf>
    <xf numFmtId="0" fontId="34" fillId="8" borderId="77" xfId="4" applyFont="1" applyFill="1" applyBorder="1" applyAlignment="1">
      <alignment vertical="center"/>
    </xf>
    <xf numFmtId="0" fontId="34" fillId="8" borderId="22" xfId="4" applyFont="1" applyFill="1" applyBorder="1" applyAlignment="1">
      <alignment vertical="center"/>
    </xf>
    <xf numFmtId="3" fontId="34" fillId="8" borderId="12" xfId="4" applyNumberFormat="1" applyFont="1" applyFill="1" applyBorder="1" applyAlignment="1">
      <alignment vertical="top"/>
    </xf>
    <xf numFmtId="0" fontId="58" fillId="13" borderId="6" xfId="4" applyFont="1" applyFill="1" applyBorder="1" applyAlignment="1">
      <alignment vertical="top" wrapText="1"/>
    </xf>
    <xf numFmtId="0" fontId="34" fillId="13" borderId="0" xfId="4" applyFont="1" applyFill="1" applyBorder="1" applyAlignment="1">
      <alignment horizontal="right" vertical="center"/>
    </xf>
    <xf numFmtId="3" fontId="58" fillId="13" borderId="35" xfId="4" applyNumberFormat="1" applyFont="1" applyFill="1" applyBorder="1" applyAlignment="1">
      <alignment horizontal="right" vertical="center"/>
    </xf>
    <xf numFmtId="164" fontId="58" fillId="13" borderId="35" xfId="4" applyNumberFormat="1" applyFont="1" applyFill="1" applyBorder="1" applyAlignment="1">
      <alignment horizontal="right" vertical="center"/>
    </xf>
    <xf numFmtId="3" fontId="34" fillId="13" borderId="35" xfId="4" applyNumberFormat="1" applyFont="1" applyFill="1" applyBorder="1" applyAlignment="1">
      <alignment horizontal="right" vertical="center"/>
    </xf>
    <xf numFmtId="3" fontId="34" fillId="13" borderId="10" xfId="4" applyNumberFormat="1" applyFont="1" applyFill="1" applyBorder="1" applyAlignment="1">
      <alignment horizontal="right" vertical="center"/>
    </xf>
    <xf numFmtId="3" fontId="34" fillId="24" borderId="10" xfId="4" applyNumberFormat="1" applyFont="1" applyFill="1" applyBorder="1" applyAlignment="1">
      <alignment horizontal="right" vertical="center"/>
    </xf>
    <xf numFmtId="3" fontId="52" fillId="13" borderId="43" xfId="4" applyNumberFormat="1" applyFont="1" applyFill="1" applyBorder="1" applyAlignment="1">
      <alignment horizontal="center" vertical="top"/>
    </xf>
    <xf numFmtId="0" fontId="59" fillId="6" borderId="34" xfId="4" applyFont="1" applyFill="1" applyBorder="1" applyAlignment="1">
      <alignment horizontal="left" vertical="center"/>
    </xf>
    <xf numFmtId="3" fontId="58" fillId="6" borderId="29" xfId="4" applyNumberFormat="1" applyFont="1" applyFill="1" applyBorder="1" applyAlignment="1">
      <alignment horizontal="right" vertical="center"/>
    </xf>
    <xf numFmtId="3" fontId="58" fillId="22" borderId="30" xfId="4" applyNumberFormat="1" applyFont="1" applyFill="1" applyBorder="1" applyAlignment="1">
      <alignment horizontal="right" vertical="center"/>
    </xf>
    <xf numFmtId="3" fontId="63" fillId="13" borderId="34" xfId="4" applyNumberFormat="1" applyFont="1" applyFill="1" applyBorder="1" applyAlignment="1">
      <alignment vertical="top" wrapText="1"/>
    </xf>
    <xf numFmtId="3" fontId="63" fillId="13" borderId="28" xfId="4" applyNumberFormat="1" applyFont="1" applyFill="1" applyBorder="1" applyAlignment="1">
      <alignment vertical="top" wrapText="1"/>
    </xf>
    <xf numFmtId="3" fontId="63" fillId="13" borderId="29" xfId="4" applyNumberFormat="1" applyFont="1" applyFill="1" applyBorder="1" applyAlignment="1">
      <alignment horizontal="right" vertical="center"/>
    </xf>
    <xf numFmtId="3" fontId="63" fillId="24" borderId="29" xfId="4" applyNumberFormat="1" applyFont="1" applyFill="1" applyBorder="1" applyAlignment="1">
      <alignment horizontal="right" vertical="center"/>
    </xf>
    <xf numFmtId="3" fontId="34" fillId="13" borderId="34" xfId="4" applyNumberFormat="1" applyFont="1" applyFill="1" applyBorder="1" applyAlignment="1">
      <alignment vertical="top" wrapText="1"/>
    </xf>
    <xf numFmtId="3" fontId="34" fillId="13" borderId="28" xfId="4" applyNumberFormat="1" applyFont="1" applyFill="1" applyBorder="1" applyAlignment="1">
      <alignment vertical="top" wrapText="1"/>
    </xf>
    <xf numFmtId="3" fontId="34" fillId="13" borderId="29" xfId="4" applyNumberFormat="1" applyFont="1" applyFill="1" applyBorder="1" applyAlignment="1">
      <alignment horizontal="right" vertical="center"/>
    </xf>
    <xf numFmtId="3" fontId="65" fillId="25" borderId="29" xfId="4" applyNumberFormat="1" applyFont="1" applyFill="1" applyBorder="1" applyAlignment="1">
      <alignment horizontal="right" vertical="center"/>
    </xf>
    <xf numFmtId="0" fontId="52" fillId="13" borderId="43" xfId="4" applyFont="1" applyFill="1" applyBorder="1" applyAlignment="1">
      <alignment horizontal="center" vertical="top"/>
    </xf>
    <xf numFmtId="0" fontId="34" fillId="13" borderId="34" xfId="4" applyFont="1" applyFill="1" applyBorder="1" applyAlignment="1">
      <alignment vertical="top"/>
    </xf>
    <xf numFmtId="0" fontId="34" fillId="13" borderId="28" xfId="4" applyFont="1" applyFill="1" applyBorder="1" applyAlignment="1">
      <alignment vertical="top"/>
    </xf>
    <xf numFmtId="0" fontId="63" fillId="13" borderId="34" xfId="4" applyFont="1" applyFill="1" applyBorder="1" applyAlignment="1">
      <alignment vertical="top"/>
    </xf>
    <xf numFmtId="0" fontId="63" fillId="13" borderId="28" xfId="4" applyFont="1" applyFill="1" applyBorder="1" applyAlignment="1">
      <alignment vertical="top"/>
    </xf>
    <xf numFmtId="3" fontId="63" fillId="24" borderId="30" xfId="4" applyNumberFormat="1" applyFont="1" applyFill="1" applyBorder="1" applyAlignment="1">
      <alignment horizontal="right" vertical="center"/>
    </xf>
    <xf numFmtId="3" fontId="66" fillId="13" borderId="29" xfId="6" applyNumberFormat="1" applyFont="1" applyFill="1" applyBorder="1" applyAlignment="1">
      <alignment vertical="center"/>
    </xf>
    <xf numFmtId="3" fontId="34" fillId="13" borderId="81" xfId="4" applyNumberFormat="1" applyFont="1" applyFill="1" applyBorder="1" applyAlignment="1">
      <alignment vertical="top" wrapText="1"/>
    </xf>
    <xf numFmtId="3" fontId="34" fillId="13" borderId="73" xfId="4" applyNumberFormat="1" applyFont="1" applyFill="1" applyBorder="1" applyAlignment="1">
      <alignment vertical="top" wrapText="1"/>
    </xf>
    <xf numFmtId="3" fontId="66" fillId="13" borderId="65" xfId="6" applyNumberFormat="1" applyFont="1" applyFill="1" applyBorder="1" applyAlignment="1">
      <alignment vertical="center"/>
    </xf>
    <xf numFmtId="3" fontId="58" fillId="24" borderId="30" xfId="4" applyNumberFormat="1" applyFont="1" applyFill="1" applyBorder="1" applyAlignment="1">
      <alignment horizontal="right" vertical="center"/>
    </xf>
    <xf numFmtId="3" fontId="61" fillId="13" borderId="34" xfId="4" applyNumberFormat="1" applyFont="1" applyFill="1" applyBorder="1" applyAlignment="1">
      <alignment vertical="top" wrapText="1"/>
    </xf>
    <xf numFmtId="3" fontId="61" fillId="13" borderId="20" xfId="4" applyNumberFormat="1" applyFont="1" applyFill="1" applyBorder="1" applyAlignment="1">
      <alignment vertical="top" wrapText="1"/>
    </xf>
    <xf numFmtId="3" fontId="67" fillId="13" borderId="9" xfId="6" applyNumberFormat="1" applyFont="1" applyFill="1" applyBorder="1" applyAlignment="1">
      <alignment vertical="center"/>
    </xf>
    <xf numFmtId="0" fontId="34" fillId="13" borderId="36" xfId="4" applyFont="1" applyFill="1" applyBorder="1" applyAlignment="1">
      <alignment horizontal="left" vertical="center"/>
    </xf>
    <xf numFmtId="0" fontId="34" fillId="13" borderId="20" xfId="4" applyFont="1" applyFill="1" applyBorder="1" applyAlignment="1">
      <alignment horizontal="left" vertical="center"/>
    </xf>
    <xf numFmtId="0" fontId="61" fillId="13" borderId="34" xfId="4" applyFont="1" applyFill="1" applyBorder="1" applyAlignment="1">
      <alignment vertical="top"/>
    </xf>
    <xf numFmtId="0" fontId="61" fillId="13" borderId="28" xfId="4" applyFont="1" applyFill="1" applyBorder="1" applyAlignment="1">
      <alignment vertical="top"/>
    </xf>
    <xf numFmtId="3" fontId="67" fillId="13" borderId="29" xfId="6" applyNumberFormat="1" applyFont="1" applyFill="1" applyBorder="1" applyAlignment="1">
      <alignment vertical="center"/>
    </xf>
    <xf numFmtId="0" fontId="34" fillId="13" borderId="77" xfId="4" applyFont="1" applyFill="1" applyBorder="1" applyAlignment="1">
      <alignment vertical="center"/>
    </xf>
    <xf numFmtId="0" fontId="34" fillId="13" borderId="37" xfId="4" applyFont="1" applyFill="1" applyBorder="1" applyAlignment="1">
      <alignment vertical="center"/>
    </xf>
    <xf numFmtId="3" fontId="66" fillId="13" borderId="72" xfId="6" applyNumberFormat="1" applyFont="1" applyFill="1" applyBorder="1" applyAlignment="1">
      <alignment vertical="center"/>
    </xf>
    <xf numFmtId="3" fontId="52" fillId="13" borderId="41" xfId="4" applyNumberFormat="1" applyFont="1" applyFill="1" applyBorder="1" applyAlignment="1">
      <alignment horizontal="center" vertical="top"/>
    </xf>
    <xf numFmtId="0" fontId="58" fillId="8" borderId="45" xfId="4" applyFont="1" applyFill="1" applyBorder="1" applyAlignment="1">
      <alignment vertical="top" wrapText="1"/>
    </xf>
    <xf numFmtId="0" fontId="58" fillId="8" borderId="14" xfId="4" applyFont="1" applyFill="1" applyBorder="1" applyAlignment="1">
      <alignment horizontal="center" vertical="top" wrapText="1"/>
    </xf>
    <xf numFmtId="3" fontId="58" fillId="8" borderId="4" xfId="4" applyNumberFormat="1" applyFont="1" applyFill="1" applyBorder="1" applyAlignment="1"/>
    <xf numFmtId="3" fontId="58" fillId="8" borderId="70" xfId="4" applyNumberFormat="1" applyFont="1" applyFill="1" applyBorder="1" applyAlignment="1">
      <alignment horizontal="right" vertical="center"/>
    </xf>
    <xf numFmtId="3" fontId="58" fillId="8" borderId="17" xfId="4" applyNumberFormat="1" applyFont="1" applyFill="1" applyBorder="1" applyAlignment="1">
      <alignment horizontal="right" vertical="center"/>
    </xf>
    <xf numFmtId="3" fontId="58" fillId="8" borderId="2" xfId="4" applyNumberFormat="1" applyFont="1" applyFill="1" applyBorder="1" applyAlignment="1">
      <alignment horizontal="right" vertical="center"/>
    </xf>
    <xf numFmtId="3" fontId="58" fillId="23" borderId="2" xfId="4" applyNumberFormat="1" applyFont="1" applyFill="1" applyBorder="1" applyAlignment="1">
      <alignment horizontal="right" vertical="center"/>
    </xf>
    <xf numFmtId="0" fontId="54" fillId="0" borderId="42" xfId="4" applyFont="1" applyFill="1" applyBorder="1" applyAlignment="1">
      <alignment horizontal="center" vertical="center" wrapText="1"/>
    </xf>
    <xf numFmtId="3" fontId="59" fillId="6" borderId="29" xfId="4" applyNumberFormat="1" applyFont="1" applyFill="1" applyBorder="1" applyAlignment="1"/>
    <xf numFmtId="3" fontId="59" fillId="6" borderId="30" xfId="4" applyNumberFormat="1" applyFont="1" applyFill="1" applyBorder="1" applyAlignment="1"/>
    <xf numFmtId="3" fontId="58" fillId="6" borderId="30" xfId="4" applyNumberFormat="1" applyFont="1" applyFill="1" applyBorder="1" applyAlignment="1"/>
    <xf numFmtId="3" fontId="58" fillId="22" borderId="30" xfId="4" applyNumberFormat="1" applyFont="1" applyFill="1" applyBorder="1" applyAlignment="1"/>
    <xf numFmtId="3" fontId="61" fillId="2" borderId="34" xfId="4" applyNumberFormat="1" applyFont="1" applyFill="1" applyBorder="1" applyAlignment="1">
      <alignment vertical="top" wrapText="1"/>
    </xf>
    <xf numFmtId="3" fontId="61" fillId="0" borderId="29" xfId="4" applyNumberFormat="1" applyFont="1" applyFill="1" applyBorder="1" applyAlignment="1"/>
    <xf numFmtId="3" fontId="63" fillId="0" borderId="29" xfId="4" applyNumberFormat="1" applyFont="1" applyFill="1" applyBorder="1" applyAlignment="1"/>
    <xf numFmtId="3" fontId="61" fillId="25" borderId="29" xfId="4" applyNumberFormat="1" applyFont="1" applyFill="1" applyBorder="1" applyAlignment="1"/>
    <xf numFmtId="0" fontId="65" fillId="0" borderId="34" xfId="4" applyFont="1" applyFill="1" applyBorder="1" applyAlignment="1">
      <alignment vertical="top"/>
    </xf>
    <xf numFmtId="3" fontId="65" fillId="0" borderId="65" xfId="4" applyNumberFormat="1" applyFont="1" applyFill="1" applyBorder="1" applyAlignment="1"/>
    <xf numFmtId="3" fontId="65" fillId="0" borderId="29" xfId="4" applyNumberFormat="1" applyFont="1" applyFill="1" applyBorder="1" applyAlignment="1"/>
    <xf numFmtId="3" fontId="34" fillId="0" borderId="29" xfId="4" applyNumberFormat="1" applyFont="1" applyFill="1" applyBorder="1" applyAlignment="1"/>
    <xf numFmtId="3" fontId="65" fillId="25" borderId="30" xfId="4" applyNumberFormat="1" applyFont="1" applyFill="1" applyBorder="1" applyAlignment="1">
      <alignment horizontal="right" vertical="center"/>
    </xf>
    <xf numFmtId="3" fontId="66" fillId="0" borderId="65" xfId="6" applyNumberFormat="1" applyFont="1" applyFill="1" applyBorder="1" applyAlignment="1">
      <alignment vertical="center"/>
    </xf>
    <xf numFmtId="3" fontId="34" fillId="0" borderId="63" xfId="4" applyNumberFormat="1" applyFont="1" applyFill="1" applyBorder="1" applyAlignment="1">
      <alignment horizontal="right" vertical="center"/>
    </xf>
    <xf numFmtId="3" fontId="67" fillId="0" borderId="65" xfId="6" applyNumberFormat="1" applyFont="1" applyFill="1" applyBorder="1" applyAlignment="1">
      <alignment vertical="center"/>
    </xf>
    <xf numFmtId="3" fontId="34" fillId="0" borderId="30" xfId="4" applyNumberFormat="1" applyFont="1" applyFill="1" applyBorder="1" applyAlignment="1">
      <alignment horizontal="right" vertical="center"/>
    </xf>
    <xf numFmtId="3" fontId="34" fillId="0" borderId="29" xfId="4" applyNumberFormat="1" applyFont="1" applyFill="1" applyBorder="1" applyAlignment="1">
      <alignment horizontal="right" vertical="center"/>
    </xf>
    <xf numFmtId="0" fontId="61" fillId="2" borderId="34" xfId="4" applyFont="1" applyFill="1" applyBorder="1" applyAlignment="1">
      <alignment vertical="top"/>
    </xf>
    <xf numFmtId="3" fontId="67" fillId="0" borderId="29" xfId="6" applyNumberFormat="1" applyFont="1" applyFill="1" applyBorder="1" applyAlignment="1">
      <alignment vertical="center"/>
    </xf>
    <xf numFmtId="3" fontId="67" fillId="0" borderId="30" xfId="6" applyNumberFormat="1" applyFont="1" applyFill="1" applyBorder="1" applyAlignment="1">
      <alignment vertical="center"/>
    </xf>
    <xf numFmtId="3" fontId="67" fillId="25" borderId="30" xfId="6" applyNumberFormat="1" applyFont="1" applyFill="1" applyBorder="1" applyAlignment="1">
      <alignment vertical="center"/>
    </xf>
    <xf numFmtId="3" fontId="34" fillId="0" borderId="65" xfId="4" applyNumberFormat="1" applyFont="1" applyFill="1" applyBorder="1" applyAlignment="1">
      <alignment horizontal="right" vertical="center"/>
    </xf>
    <xf numFmtId="0" fontId="65" fillId="0" borderId="81" xfId="4" applyFont="1" applyFill="1" applyBorder="1" applyAlignment="1">
      <alignment vertical="top"/>
    </xf>
    <xf numFmtId="3" fontId="58" fillId="6" borderId="29" xfId="4" applyNumberFormat="1" applyFont="1" applyFill="1" applyBorder="1" applyAlignment="1"/>
    <xf numFmtId="3" fontId="67" fillId="0" borderId="9" xfId="6" applyNumberFormat="1" applyFont="1" applyFill="1" applyBorder="1" applyAlignment="1">
      <alignment vertical="center"/>
    </xf>
    <xf numFmtId="3" fontId="66" fillId="0" borderId="29" xfId="6" applyNumberFormat="1" applyFont="1" applyFill="1" applyBorder="1" applyAlignment="1">
      <alignment vertical="center"/>
    </xf>
    <xf numFmtId="3" fontId="66" fillId="0" borderId="30" xfId="6" applyNumberFormat="1" applyFont="1" applyFill="1" applyBorder="1" applyAlignment="1">
      <alignment vertical="center"/>
    </xf>
    <xf numFmtId="0" fontId="65" fillId="0" borderId="83" xfId="4" applyFont="1" applyFill="1" applyBorder="1" applyAlignment="1">
      <alignment vertical="center"/>
    </xf>
    <xf numFmtId="3" fontId="66" fillId="0" borderId="23" xfId="6" applyNumberFormat="1" applyFont="1" applyFill="1" applyBorder="1" applyAlignment="1">
      <alignment vertical="center"/>
    </xf>
    <xf numFmtId="3" fontId="34" fillId="0" borderId="12" xfId="4" applyNumberFormat="1" applyFont="1" applyFill="1" applyBorder="1" applyAlignment="1">
      <alignment horizontal="right" vertical="center"/>
    </xf>
    <xf numFmtId="3" fontId="34" fillId="0" borderId="23" xfId="4" applyNumberFormat="1" applyFont="1" applyFill="1" applyBorder="1" applyAlignment="1">
      <alignment horizontal="right" vertical="center"/>
    </xf>
    <xf numFmtId="3" fontId="34" fillId="0" borderId="74" xfId="4" applyNumberFormat="1" applyFont="1" applyFill="1" applyBorder="1" applyAlignment="1">
      <alignment horizontal="right" vertical="center"/>
    </xf>
    <xf numFmtId="0" fontId="58" fillId="8" borderId="19" xfId="4" applyFont="1" applyFill="1" applyBorder="1" applyAlignment="1">
      <alignment vertical="center" wrapText="1"/>
    </xf>
    <xf numFmtId="0" fontId="58" fillId="8" borderId="14" xfId="4" applyFont="1" applyFill="1" applyBorder="1" applyAlignment="1">
      <alignment horizontal="center" vertical="center" wrapText="1"/>
    </xf>
    <xf numFmtId="3" fontId="34" fillId="8" borderId="4" xfId="4" applyNumberFormat="1" applyFont="1" applyFill="1" applyBorder="1" applyAlignment="1">
      <alignment horizontal="right" vertical="center"/>
    </xf>
    <xf numFmtId="3" fontId="34" fillId="8" borderId="17" xfId="4" applyNumberFormat="1" applyFont="1" applyFill="1" applyBorder="1" applyAlignment="1">
      <alignment horizontal="right" vertical="center"/>
    </xf>
    <xf numFmtId="3" fontId="34" fillId="8" borderId="70" xfId="4" applyNumberFormat="1" applyFont="1" applyFill="1" applyBorder="1" applyAlignment="1">
      <alignment horizontal="right" vertical="center"/>
    </xf>
    <xf numFmtId="3" fontId="58" fillId="23" borderId="3" xfId="4" applyNumberFormat="1" applyFont="1" applyFill="1" applyBorder="1" applyAlignment="1">
      <alignment horizontal="right" vertical="center"/>
    </xf>
    <xf numFmtId="3" fontId="59" fillId="6" borderId="29" xfId="4" applyNumberFormat="1" applyFont="1" applyFill="1" applyBorder="1" applyAlignment="1">
      <alignment horizontal="right" vertical="center"/>
    </xf>
    <xf numFmtId="3" fontId="59" fillId="6" borderId="30" xfId="4" applyNumberFormat="1" applyFont="1" applyFill="1" applyBorder="1" applyAlignment="1">
      <alignment horizontal="right" vertical="center"/>
    </xf>
    <xf numFmtId="3" fontId="59" fillId="22" borderId="30" xfId="4" applyNumberFormat="1" applyFont="1" applyFill="1" applyBorder="1" applyAlignment="1">
      <alignment horizontal="right" vertical="center"/>
    </xf>
    <xf numFmtId="3" fontId="61" fillId="0" borderId="29" xfId="4" applyNumberFormat="1" applyFont="1" applyFill="1" applyBorder="1" applyAlignment="1">
      <alignment horizontal="right" vertical="center"/>
    </xf>
    <xf numFmtId="3" fontId="61" fillId="25" borderId="30" xfId="4" applyNumberFormat="1" applyFont="1" applyFill="1" applyBorder="1" applyAlignment="1">
      <alignment horizontal="right" vertical="center"/>
    </xf>
    <xf numFmtId="3" fontId="61" fillId="25" borderId="0" xfId="4" applyNumberFormat="1" applyFont="1" applyFill="1" applyBorder="1" applyAlignment="1">
      <alignment horizontal="right" vertical="center"/>
    </xf>
    <xf numFmtId="0" fontId="34" fillId="0" borderId="34" xfId="4" applyFont="1" applyFill="1" applyBorder="1" applyAlignment="1">
      <alignment vertical="top"/>
    </xf>
    <xf numFmtId="3" fontId="65" fillId="0" borderId="65" xfId="4" applyNumberFormat="1" applyFont="1" applyFill="1" applyBorder="1" applyAlignment="1">
      <alignment horizontal="right" vertical="center"/>
    </xf>
    <xf numFmtId="3" fontId="65" fillId="25" borderId="0" xfId="4" applyNumberFormat="1" applyFont="1" applyFill="1" applyBorder="1" applyAlignment="1">
      <alignment horizontal="right" vertical="center"/>
    </xf>
    <xf numFmtId="3" fontId="65" fillId="0" borderId="63" xfId="4" applyNumberFormat="1" applyFont="1" applyFill="1" applyBorder="1" applyAlignment="1">
      <alignment horizontal="right" vertical="center"/>
    </xf>
    <xf numFmtId="3" fontId="67" fillId="25" borderId="0" xfId="6" applyNumberFormat="1" applyFont="1" applyFill="1" applyBorder="1" applyAlignment="1">
      <alignment vertical="center"/>
    </xf>
    <xf numFmtId="0" fontId="34" fillId="0" borderId="81" xfId="4" applyFont="1" applyFill="1" applyBorder="1" applyAlignment="1">
      <alignment vertical="top"/>
    </xf>
    <xf numFmtId="0" fontId="34" fillId="0" borderId="83" xfId="4" applyFont="1" applyFill="1" applyBorder="1" applyAlignment="1">
      <alignment vertical="center"/>
    </xf>
    <xf numFmtId="3" fontId="34" fillId="0" borderId="47" xfId="4" applyNumberFormat="1" applyFont="1" applyFill="1" applyBorder="1" applyAlignment="1">
      <alignment horizontal="right" vertical="center"/>
    </xf>
    <xf numFmtId="3" fontId="34" fillId="0" borderId="72" xfId="4" applyNumberFormat="1" applyFont="1" applyFill="1" applyBorder="1" applyAlignment="1">
      <alignment horizontal="right" vertical="center"/>
    </xf>
    <xf numFmtId="0" fontId="58" fillId="8" borderId="45" xfId="4" applyFont="1" applyFill="1" applyBorder="1" applyAlignment="1">
      <alignment vertical="center" wrapText="1"/>
    </xf>
    <xf numFmtId="3" fontId="65" fillId="0" borderId="30" xfId="4" applyNumberFormat="1" applyFont="1" applyFill="1" applyBorder="1" applyAlignment="1">
      <alignment horizontal="right" vertical="center"/>
    </xf>
    <xf numFmtId="0" fontId="34" fillId="0" borderId="77" xfId="4" applyFont="1" applyFill="1" applyBorder="1" applyAlignment="1">
      <alignment vertical="center"/>
    </xf>
    <xf numFmtId="3" fontId="66" fillId="0" borderId="12" xfId="6" applyNumberFormat="1" applyFont="1" applyFill="1" applyBorder="1" applyAlignment="1">
      <alignment vertical="center"/>
    </xf>
    <xf numFmtId="3" fontId="65" fillId="0" borderId="47" xfId="4" applyNumberFormat="1" applyFont="1" applyFill="1" applyBorder="1" applyAlignment="1">
      <alignment horizontal="right" vertical="center"/>
    </xf>
    <xf numFmtId="3" fontId="34" fillId="8" borderId="18" xfId="4" applyNumberFormat="1" applyFont="1" applyFill="1" applyBorder="1" applyAlignment="1">
      <alignment horizontal="right" vertical="center"/>
    </xf>
    <xf numFmtId="0" fontId="58" fillId="6" borderId="34" xfId="4" applyFont="1" applyFill="1" applyBorder="1" applyAlignment="1">
      <alignment horizontal="left" vertical="center"/>
    </xf>
    <xf numFmtId="3" fontId="63" fillId="2" borderId="34" xfId="4" applyNumberFormat="1" applyFont="1" applyFill="1" applyBorder="1" applyAlignment="1">
      <alignment vertical="top" wrapText="1"/>
    </xf>
    <xf numFmtId="3" fontId="61" fillId="0" borderId="27" xfId="4" applyNumberFormat="1" applyFont="1" applyFill="1" applyBorder="1" applyAlignment="1">
      <alignment horizontal="right" vertical="center"/>
    </xf>
    <xf numFmtId="3" fontId="61" fillId="25" borderId="29" xfId="4" applyNumberFormat="1" applyFont="1" applyFill="1" applyBorder="1" applyAlignment="1">
      <alignment horizontal="right" vertical="center"/>
    </xf>
    <xf numFmtId="0" fontId="34" fillId="0" borderId="32" xfId="4" applyFont="1" applyFill="1" applyBorder="1" applyAlignment="1">
      <alignment vertical="top"/>
    </xf>
    <xf numFmtId="3" fontId="34" fillId="0" borderId="71" xfId="4" applyNumberFormat="1" applyFont="1" applyFill="1" applyBorder="1" applyAlignment="1">
      <alignment horizontal="right" vertical="center"/>
    </xf>
    <xf numFmtId="0" fontId="63" fillId="2" borderId="32" xfId="4" applyFont="1" applyFill="1" applyBorder="1" applyAlignment="1">
      <alignment vertical="top"/>
    </xf>
    <xf numFmtId="0" fontId="58" fillId="6" borderId="32" xfId="4" applyFont="1" applyFill="1" applyBorder="1" applyAlignment="1">
      <alignment horizontal="left" vertical="center"/>
    </xf>
    <xf numFmtId="3" fontId="34" fillId="0" borderId="30" xfId="4" applyNumberFormat="1" applyFont="1" applyFill="1" applyBorder="1" applyAlignment="1">
      <alignment horizontal="right"/>
    </xf>
    <xf numFmtId="3" fontId="65" fillId="0" borderId="30" xfId="4" applyNumberFormat="1" applyFont="1" applyFill="1" applyBorder="1" applyAlignment="1">
      <alignment horizontal="right"/>
    </xf>
    <xf numFmtId="3" fontId="34" fillId="0" borderId="71" xfId="4" applyNumberFormat="1" applyFont="1" applyFill="1" applyBorder="1" applyAlignment="1">
      <alignment horizontal="right"/>
    </xf>
    <xf numFmtId="3" fontId="34" fillId="0" borderId="29" xfId="4" applyNumberFormat="1" applyFont="1" applyFill="1" applyBorder="1" applyAlignment="1">
      <alignment horizontal="right"/>
    </xf>
    <xf numFmtId="3" fontId="65" fillId="0" borderId="29" xfId="4" applyNumberFormat="1" applyFont="1" applyFill="1" applyBorder="1" applyAlignment="1">
      <alignment horizontal="right"/>
    </xf>
    <xf numFmtId="3" fontId="61" fillId="2" borderId="29" xfId="4" applyNumberFormat="1" applyFont="1" applyFill="1" applyBorder="1" applyAlignment="1"/>
    <xf numFmtId="0" fontId="34" fillId="0" borderId="77" xfId="4" applyFont="1" applyFill="1" applyBorder="1" applyAlignment="1">
      <alignment vertical="top"/>
    </xf>
    <xf numFmtId="3" fontId="34" fillId="0" borderId="12" xfId="4" applyNumberFormat="1" applyFont="1" applyFill="1" applyBorder="1" applyAlignment="1">
      <alignment horizontal="right"/>
    </xf>
    <xf numFmtId="3" fontId="65" fillId="0" borderId="12" xfId="4" applyNumberFormat="1" applyFont="1" applyFill="1" applyBorder="1" applyAlignment="1">
      <alignment horizontal="right"/>
    </xf>
    <xf numFmtId="3" fontId="34" fillId="0" borderId="74" xfId="4" applyNumberFormat="1" applyFont="1" applyFill="1" applyBorder="1" applyAlignment="1">
      <alignment horizontal="right"/>
    </xf>
    <xf numFmtId="3" fontId="34" fillId="25" borderId="12" xfId="4" applyNumberFormat="1" applyFont="1" applyFill="1" applyBorder="1" applyAlignment="1">
      <alignment horizontal="right"/>
    </xf>
    <xf numFmtId="0" fontId="59" fillId="6" borderId="21" xfId="4" applyFont="1" applyFill="1" applyBorder="1" applyAlignment="1">
      <alignment horizontal="left" vertical="center"/>
    </xf>
    <xf numFmtId="0" fontId="61" fillId="2" borderId="32" xfId="4" applyFont="1" applyFill="1" applyBorder="1" applyAlignment="1">
      <alignment vertical="top"/>
    </xf>
    <xf numFmtId="3" fontId="61" fillId="2" borderId="30" xfId="4" applyNumberFormat="1" applyFont="1" applyFill="1" applyBorder="1" applyAlignment="1"/>
    <xf numFmtId="3" fontId="61" fillId="26" borderId="0" xfId="4" applyNumberFormat="1" applyFont="1" applyFill="1" applyBorder="1" applyAlignment="1"/>
    <xf numFmtId="0" fontId="34" fillId="0" borderId="25" xfId="4" applyFont="1" applyFill="1" applyBorder="1" applyAlignment="1">
      <alignment vertical="top"/>
    </xf>
    <xf numFmtId="3" fontId="34" fillId="8" borderId="27" xfId="4" applyNumberFormat="1" applyFont="1" applyFill="1" applyBorder="1" applyAlignment="1">
      <alignment horizontal="right" vertical="center"/>
    </xf>
    <xf numFmtId="3" fontId="34" fillId="8" borderId="9" xfId="4" applyNumberFormat="1" applyFont="1" applyFill="1" applyBorder="1" applyAlignment="1">
      <alignment horizontal="right" vertical="center"/>
    </xf>
    <xf numFmtId="3" fontId="34" fillId="8" borderId="35" xfId="4" applyNumberFormat="1" applyFont="1" applyFill="1" applyBorder="1" applyAlignment="1">
      <alignment horizontal="right" vertical="center"/>
    </xf>
    <xf numFmtId="3" fontId="58" fillId="8" borderId="35" xfId="4" applyNumberFormat="1" applyFont="1" applyFill="1" applyBorder="1" applyAlignment="1">
      <alignment horizontal="right" vertical="center"/>
    </xf>
    <xf numFmtId="3" fontId="58" fillId="8" borderId="10" xfId="4" applyNumberFormat="1" applyFont="1" applyFill="1" applyBorder="1" applyAlignment="1">
      <alignment horizontal="right" vertical="center"/>
    </xf>
    <xf numFmtId="3" fontId="58" fillId="23" borderId="70" xfId="4" applyNumberFormat="1" applyFont="1" applyFill="1" applyBorder="1" applyAlignment="1">
      <alignment horizontal="right" vertical="center"/>
    </xf>
    <xf numFmtId="3" fontId="61" fillId="2" borderId="32" xfId="4" applyNumberFormat="1" applyFont="1" applyFill="1" applyBorder="1" applyAlignment="1">
      <alignment vertical="top" wrapText="1"/>
    </xf>
    <xf numFmtId="0" fontId="65" fillId="0" borderId="32" xfId="4" applyFont="1" applyFill="1" applyBorder="1" applyAlignment="1">
      <alignment vertical="top"/>
    </xf>
    <xf numFmtId="3" fontId="63" fillId="2" borderId="32" xfId="4" applyNumberFormat="1" applyFont="1" applyFill="1" applyBorder="1" applyAlignment="1">
      <alignment vertical="top" wrapText="1"/>
    </xf>
    <xf numFmtId="3" fontId="65" fillId="2" borderId="29" xfId="4" applyNumberFormat="1" applyFont="1" applyFill="1" applyBorder="1" applyAlignment="1">
      <alignment horizontal="right" vertical="center"/>
    </xf>
    <xf numFmtId="3" fontId="65" fillId="0" borderId="29" xfId="4" applyNumberFormat="1" applyFont="1" applyFill="1" applyBorder="1" applyAlignment="1">
      <alignment horizontal="right" vertical="center"/>
    </xf>
    <xf numFmtId="3" fontId="67" fillId="2" borderId="29" xfId="6" applyNumberFormat="1" applyFont="1" applyFill="1" applyBorder="1" applyAlignment="1">
      <alignment vertical="center"/>
    </xf>
    <xf numFmtId="3" fontId="65" fillId="2" borderId="30" xfId="4" applyNumberFormat="1" applyFont="1" applyFill="1" applyBorder="1" applyAlignment="1">
      <alignment horizontal="right" vertical="center"/>
    </xf>
    <xf numFmtId="3" fontId="66" fillId="0" borderId="72" xfId="6" applyNumberFormat="1" applyFont="1" applyFill="1" applyBorder="1" applyAlignment="1">
      <alignment vertical="center"/>
    </xf>
    <xf numFmtId="3" fontId="66" fillId="0" borderId="47" xfId="6" applyNumberFormat="1" applyFont="1" applyFill="1" applyBorder="1" applyAlignment="1">
      <alignment vertical="center"/>
    </xf>
    <xf numFmtId="3" fontId="58" fillId="8" borderId="79" xfId="4" applyNumberFormat="1" applyFont="1" applyFill="1" applyBorder="1" applyAlignment="1">
      <alignment horizontal="right" vertical="center"/>
    </xf>
    <xf numFmtId="0" fontId="52" fillId="0" borderId="42" xfId="4" applyFont="1" applyFill="1" applyBorder="1" applyAlignment="1">
      <alignment vertical="center" wrapText="1"/>
    </xf>
    <xf numFmtId="3" fontId="63" fillId="2" borderId="31" xfId="4" applyNumberFormat="1" applyFont="1" applyFill="1" applyBorder="1" applyAlignment="1">
      <alignment vertical="top" wrapText="1"/>
    </xf>
    <xf numFmtId="3" fontId="63" fillId="2" borderId="29" xfId="4" applyNumberFormat="1" applyFont="1" applyFill="1" applyBorder="1" applyAlignment="1"/>
    <xf numFmtId="3" fontId="61" fillId="26" borderId="30" xfId="4" applyNumberFormat="1" applyFont="1" applyFill="1" applyBorder="1" applyAlignment="1">
      <alignment horizontal="right" vertical="center"/>
    </xf>
    <xf numFmtId="0" fontId="34" fillId="0" borderId="31" xfId="4" applyFont="1" applyFill="1" applyBorder="1" applyAlignment="1">
      <alignment vertical="top"/>
    </xf>
    <xf numFmtId="3" fontId="34" fillId="0" borderId="10" xfId="4" applyNumberFormat="1" applyFont="1" applyFill="1" applyBorder="1" applyAlignment="1">
      <alignment horizontal="right" vertical="center"/>
    </xf>
    <xf numFmtId="0" fontId="63" fillId="2" borderId="31" xfId="4" applyFont="1" applyFill="1" applyBorder="1" applyAlignment="1">
      <alignment vertical="top"/>
    </xf>
    <xf numFmtId="0" fontId="34" fillId="0" borderId="84" xfId="4" applyFont="1" applyFill="1" applyBorder="1" applyAlignment="1">
      <alignment vertical="top"/>
    </xf>
    <xf numFmtId="0" fontId="58" fillId="6" borderId="36" xfId="4" applyFont="1" applyFill="1" applyBorder="1" applyAlignment="1">
      <alignment horizontal="left" vertical="center"/>
    </xf>
    <xf numFmtId="0" fontId="59" fillId="6" borderId="20" xfId="4" applyFont="1" applyFill="1" applyBorder="1" applyAlignment="1">
      <alignment horizontal="left" vertical="center"/>
    </xf>
    <xf numFmtId="3" fontId="58" fillId="6" borderId="9" xfId="4" applyNumberFormat="1" applyFont="1" applyFill="1" applyBorder="1" applyAlignment="1"/>
    <xf numFmtId="0" fontId="63" fillId="2" borderId="34" xfId="4" applyFont="1" applyFill="1" applyBorder="1" applyAlignment="1">
      <alignment vertical="top"/>
    </xf>
    <xf numFmtId="3" fontId="59" fillId="22" borderId="10" xfId="4" applyNumberFormat="1" applyFont="1" applyFill="1" applyBorder="1" applyAlignment="1">
      <alignment horizontal="right" vertical="center"/>
    </xf>
    <xf numFmtId="0" fontId="34" fillId="0" borderId="36" xfId="4" applyFont="1" applyFill="1" applyBorder="1" applyAlignment="1">
      <alignment horizontal="left" vertical="center"/>
    </xf>
    <xf numFmtId="0" fontId="59" fillId="6" borderId="36" xfId="4" applyFont="1" applyFill="1" applyBorder="1" applyAlignment="1">
      <alignment horizontal="left" vertical="center"/>
    </xf>
    <xf numFmtId="3" fontId="58" fillId="26" borderId="10" xfId="4" applyNumberFormat="1" applyFont="1" applyFill="1" applyBorder="1" applyAlignment="1"/>
    <xf numFmtId="3" fontId="66" fillId="25" borderId="10" xfId="6" applyNumberFormat="1" applyFont="1" applyFill="1" applyBorder="1" applyAlignment="1">
      <alignment vertical="center"/>
    </xf>
    <xf numFmtId="3" fontId="59" fillId="8" borderId="17" xfId="4" applyNumberFormat="1" applyFont="1" applyFill="1" applyBorder="1" applyAlignment="1"/>
    <xf numFmtId="3" fontId="59" fillId="8" borderId="70" xfId="4" applyNumberFormat="1" applyFont="1" applyFill="1" applyBorder="1" applyAlignment="1">
      <alignment horizontal="right" vertical="center"/>
    </xf>
    <xf numFmtId="3" fontId="59" fillId="8" borderId="17" xfId="4" applyNumberFormat="1" applyFont="1" applyFill="1" applyBorder="1" applyAlignment="1">
      <alignment horizontal="right" vertical="center"/>
    </xf>
    <xf numFmtId="3" fontId="59" fillId="8" borderId="2" xfId="4" applyNumberFormat="1" applyFont="1" applyFill="1" applyBorder="1" applyAlignment="1">
      <alignment horizontal="right" vertical="center"/>
    </xf>
    <xf numFmtId="3" fontId="58" fillId="23" borderId="10" xfId="4" applyNumberFormat="1" applyFont="1" applyFill="1" applyBorder="1" applyAlignment="1">
      <alignment horizontal="right" vertical="center"/>
    </xf>
    <xf numFmtId="3" fontId="59" fillId="6" borderId="9" xfId="4" applyNumberFormat="1" applyFont="1" applyFill="1" applyBorder="1" applyAlignment="1"/>
    <xf numFmtId="3" fontId="61" fillId="0" borderId="27" xfId="4" applyNumberFormat="1" applyFont="1" applyFill="1" applyBorder="1" applyAlignment="1"/>
    <xf numFmtId="3" fontId="66" fillId="0" borderId="10" xfId="6" applyNumberFormat="1" applyFont="1" applyFill="1" applyBorder="1" applyAlignment="1">
      <alignment vertical="center"/>
    </xf>
    <xf numFmtId="3" fontId="61" fillId="0" borderId="30" xfId="4" applyNumberFormat="1" applyFont="1" applyFill="1" applyBorder="1" applyAlignment="1">
      <alignment horizontal="right" vertical="center"/>
    </xf>
    <xf numFmtId="3" fontId="63" fillId="0" borderId="30" xfId="4" applyNumberFormat="1" applyFont="1" applyFill="1" applyBorder="1" applyAlignment="1">
      <alignment horizontal="right" vertical="center"/>
    </xf>
    <xf numFmtId="3" fontId="61" fillId="2" borderId="34" xfId="4" applyNumberFormat="1" applyFont="1" applyFill="1" applyBorder="1" applyAlignment="1">
      <alignment vertical="center" wrapText="1"/>
    </xf>
    <xf numFmtId="3" fontId="61" fillId="2" borderId="27" xfId="4" applyNumberFormat="1" applyFont="1" applyFill="1" applyBorder="1" applyAlignment="1">
      <alignment horizontal="right" vertical="center"/>
    </xf>
    <xf numFmtId="0" fontId="65" fillId="0" borderId="33" xfId="4" applyFont="1" applyFill="1" applyBorder="1" applyAlignment="1">
      <alignment vertical="top"/>
    </xf>
    <xf numFmtId="0" fontId="65" fillId="0" borderId="77" xfId="4" applyFont="1" applyFill="1" applyBorder="1" applyAlignment="1">
      <alignment vertical="top"/>
    </xf>
    <xf numFmtId="3" fontId="34" fillId="0" borderId="72" xfId="4" applyNumberFormat="1" applyFont="1" applyFill="1" applyBorder="1" applyAlignment="1">
      <alignment horizontal="right"/>
    </xf>
    <xf numFmtId="3" fontId="34" fillId="0" borderId="47" xfId="4" applyNumberFormat="1" applyFont="1" applyFill="1" applyBorder="1" applyAlignment="1">
      <alignment horizontal="right"/>
    </xf>
    <xf numFmtId="3" fontId="65" fillId="0" borderId="47" xfId="4" applyNumberFormat="1" applyFont="1" applyFill="1" applyBorder="1" applyAlignment="1">
      <alignment horizontal="right"/>
    </xf>
    <xf numFmtId="3" fontId="58" fillId="8" borderId="4" xfId="4" applyNumberFormat="1" applyFont="1" applyFill="1" applyBorder="1" applyAlignment="1">
      <alignment horizontal="right" vertical="center"/>
    </xf>
    <xf numFmtId="3" fontId="58" fillId="8" borderId="15" xfId="4" applyNumberFormat="1" applyFont="1" applyFill="1" applyBorder="1" applyAlignment="1">
      <alignment horizontal="right" vertical="center"/>
    </xf>
    <xf numFmtId="3" fontId="61" fillId="0" borderId="9" xfId="4" applyNumberFormat="1" applyFont="1" applyFill="1" applyBorder="1" applyAlignment="1"/>
    <xf numFmtId="0" fontId="34" fillId="0" borderId="33" xfId="4" applyFont="1" applyFill="1" applyBorder="1" applyAlignment="1">
      <alignment vertical="top"/>
    </xf>
    <xf numFmtId="3" fontId="34" fillId="25" borderId="74" xfId="4" applyNumberFormat="1" applyFont="1" applyFill="1" applyBorder="1" applyAlignment="1">
      <alignment horizontal="right"/>
    </xf>
    <xf numFmtId="3" fontId="34" fillId="8" borderId="3" xfId="4" applyNumberFormat="1" applyFont="1" applyFill="1" applyBorder="1" applyAlignment="1">
      <alignment horizontal="right" vertical="center"/>
    </xf>
    <xf numFmtId="3" fontId="34" fillId="8" borderId="15" xfId="4" applyNumberFormat="1" applyFont="1" applyFill="1" applyBorder="1" applyAlignment="1">
      <alignment horizontal="right" vertical="center"/>
    </xf>
    <xf numFmtId="3" fontId="61" fillId="0" borderId="63" xfId="4" applyNumberFormat="1" applyFont="1" applyFill="1" applyBorder="1" applyAlignment="1">
      <alignment horizontal="right" vertical="center"/>
    </xf>
    <xf numFmtId="3" fontId="61" fillId="0" borderId="13" xfId="4" applyNumberFormat="1" applyFont="1" applyFill="1" applyBorder="1" applyAlignment="1">
      <alignment horizontal="right" vertical="center"/>
    </xf>
    <xf numFmtId="3" fontId="65" fillId="2" borderId="47" xfId="4" applyNumberFormat="1" applyFont="1" applyFill="1" applyBorder="1" applyAlignment="1"/>
    <xf numFmtId="3" fontId="65" fillId="2" borderId="72" xfId="4" applyNumberFormat="1" applyFont="1" applyFill="1" applyBorder="1" applyAlignment="1"/>
    <xf numFmtId="3" fontId="34" fillId="2" borderId="47" xfId="4" applyNumberFormat="1" applyFont="1" applyFill="1" applyBorder="1" applyAlignment="1"/>
    <xf numFmtId="3" fontId="65" fillId="2" borderId="74" xfId="4" applyNumberFormat="1" applyFont="1" applyFill="1" applyBorder="1" applyAlignment="1"/>
    <xf numFmtId="3" fontId="59" fillId="8" borderId="15" xfId="4" applyNumberFormat="1" applyFont="1" applyFill="1" applyBorder="1" applyAlignment="1">
      <alignment horizontal="right" vertical="center"/>
    </xf>
    <xf numFmtId="3" fontId="61" fillId="0" borderId="65" xfId="4" applyNumberFormat="1" applyFont="1" applyFill="1" applyBorder="1" applyAlignment="1">
      <alignment horizontal="right" vertical="center"/>
    </xf>
    <xf numFmtId="3" fontId="58" fillId="6" borderId="9" xfId="4" applyNumberFormat="1" applyFont="1" applyFill="1" applyBorder="1" applyAlignment="1">
      <alignment vertical="center"/>
    </xf>
    <xf numFmtId="3" fontId="59" fillId="8" borderId="4" xfId="4" applyNumberFormat="1" applyFont="1" applyFill="1" applyBorder="1" applyAlignment="1"/>
    <xf numFmtId="3" fontId="65" fillId="24" borderId="29" xfId="4" applyNumberFormat="1" applyFont="1" applyFill="1" applyBorder="1" applyAlignment="1">
      <alignment horizontal="right" vertical="center"/>
    </xf>
    <xf numFmtId="0" fontId="65" fillId="0" borderId="83" xfId="4" applyFont="1" applyFill="1" applyBorder="1" applyAlignment="1">
      <alignment vertical="top"/>
    </xf>
    <xf numFmtId="3" fontId="61" fillId="2" borderId="47" xfId="4" applyNumberFormat="1" applyFont="1" applyFill="1" applyBorder="1" applyAlignment="1"/>
    <xf numFmtId="0" fontId="34" fillId="0" borderId="83" xfId="4" applyFont="1" applyFill="1" applyBorder="1" applyAlignment="1">
      <alignment vertical="top"/>
    </xf>
    <xf numFmtId="3" fontId="58" fillId="8" borderId="4" xfId="0" applyNumberFormat="1" applyFont="1" applyFill="1" applyBorder="1" applyAlignment="1">
      <alignment vertical="center"/>
    </xf>
    <xf numFmtId="3" fontId="58" fillId="8" borderId="70" xfId="0" applyNumberFormat="1" applyFont="1" applyFill="1" applyBorder="1" applyAlignment="1">
      <alignment vertical="center"/>
    </xf>
    <xf numFmtId="3" fontId="58" fillId="8" borderId="15" xfId="0" applyNumberFormat="1" applyFont="1" applyFill="1" applyBorder="1" applyAlignment="1">
      <alignment vertical="center"/>
    </xf>
    <xf numFmtId="3" fontId="58" fillId="6" borderId="30" xfId="0" applyNumberFormat="1" applyFont="1" applyFill="1" applyBorder="1" applyAlignment="1">
      <alignment horizontal="right" vertical="center"/>
    </xf>
    <xf numFmtId="3" fontId="61" fillId="0" borderId="30" xfId="0" applyNumberFormat="1" applyFont="1" applyFill="1" applyBorder="1" applyAlignment="1">
      <alignment horizontal="right" vertical="center"/>
    </xf>
    <xf numFmtId="3" fontId="63" fillId="0" borderId="30" xfId="0" applyNumberFormat="1" applyFont="1" applyFill="1" applyBorder="1" applyAlignment="1">
      <alignment horizontal="right" vertical="center"/>
    </xf>
    <xf numFmtId="3" fontId="61" fillId="0" borderId="35" xfId="0" applyNumberFormat="1" applyFont="1" applyFill="1" applyBorder="1" applyAlignment="1">
      <alignment horizontal="right" vertical="center"/>
    </xf>
    <xf numFmtId="3" fontId="61" fillId="0" borderId="29" xfId="0" applyNumberFormat="1" applyFont="1" applyFill="1" applyBorder="1" applyAlignment="1">
      <alignment horizontal="right" vertical="center"/>
    </xf>
    <xf numFmtId="3" fontId="63" fillId="25" borderId="29" xfId="4" applyNumberFormat="1" applyFont="1" applyFill="1" applyBorder="1" applyAlignment="1">
      <alignment horizontal="right" vertical="center"/>
    </xf>
    <xf numFmtId="3" fontId="61" fillId="0" borderId="13" xfId="0" applyNumberFormat="1" applyFont="1" applyFill="1" applyBorder="1" applyAlignment="1">
      <alignment horizontal="right" vertical="center"/>
    </xf>
    <xf numFmtId="3" fontId="61" fillId="0" borderId="27" xfId="0" applyNumberFormat="1" applyFont="1" applyFill="1" applyBorder="1" applyAlignment="1">
      <alignment horizontal="right" vertical="center"/>
    </xf>
    <xf numFmtId="3" fontId="63" fillId="0" borderId="13" xfId="0" applyNumberFormat="1" applyFont="1" applyFill="1" applyBorder="1" applyAlignment="1">
      <alignment horizontal="right" vertical="center"/>
    </xf>
    <xf numFmtId="3" fontId="34" fillId="0" borderId="35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 vertical="center"/>
    </xf>
    <xf numFmtId="3" fontId="65" fillId="0" borderId="27" xfId="0" applyNumberFormat="1" applyFont="1" applyFill="1" applyBorder="1" applyAlignment="1">
      <alignment horizontal="right" vertical="center"/>
    </xf>
    <xf numFmtId="3" fontId="63" fillId="0" borderId="35" xfId="0" applyNumberFormat="1" applyFont="1" applyFill="1" applyBorder="1" applyAlignment="1">
      <alignment horizontal="right" vertical="center"/>
    </xf>
    <xf numFmtId="3" fontId="65" fillId="0" borderId="12" xfId="0" applyNumberFormat="1" applyFont="1" applyFill="1" applyBorder="1" applyAlignment="1">
      <alignment horizontal="right" vertical="center"/>
    </xf>
    <xf numFmtId="3" fontId="34" fillId="2" borderId="72" xfId="4" applyNumberFormat="1" applyFont="1" applyFill="1" applyBorder="1" applyAlignment="1"/>
    <xf numFmtId="0" fontId="58" fillId="13" borderId="19" xfId="4" applyFont="1" applyFill="1" applyBorder="1" applyAlignment="1">
      <alignment vertical="center" wrapText="1"/>
    </xf>
    <xf numFmtId="0" fontId="58" fillId="13" borderId="16" xfId="4" applyFont="1" applyFill="1" applyBorder="1" applyAlignment="1">
      <alignment vertical="top" wrapText="1"/>
    </xf>
    <xf numFmtId="0" fontId="34" fillId="13" borderId="17" xfId="4" applyFont="1" applyFill="1" applyBorder="1" applyAlignment="1">
      <alignment horizontal="right" vertical="center"/>
    </xf>
    <xf numFmtId="3" fontId="58" fillId="13" borderId="70" xfId="4" applyNumberFormat="1" applyFont="1" applyFill="1" applyBorder="1" applyAlignment="1">
      <alignment horizontal="right" vertical="center"/>
    </xf>
    <xf numFmtId="3" fontId="34" fillId="13" borderId="70" xfId="4" applyNumberFormat="1" applyFont="1" applyFill="1" applyBorder="1" applyAlignment="1">
      <alignment horizontal="right" vertical="center"/>
    </xf>
    <xf numFmtId="3" fontId="34" fillId="24" borderId="3" xfId="4" applyNumberFormat="1" applyFont="1" applyFill="1" applyBorder="1" applyAlignment="1">
      <alignment horizontal="right" vertical="center"/>
    </xf>
    <xf numFmtId="3" fontId="58" fillId="6" borderId="9" xfId="4" applyNumberFormat="1" applyFont="1" applyFill="1" applyBorder="1" applyAlignment="1">
      <alignment horizontal="right" vertical="center"/>
    </xf>
    <xf numFmtId="0" fontId="63" fillId="13" borderId="36" xfId="4" applyFont="1" applyFill="1" applyBorder="1" applyAlignment="1">
      <alignment horizontal="left" vertical="center"/>
    </xf>
    <xf numFmtId="0" fontId="63" fillId="13" borderId="20" xfId="4" applyFont="1" applyFill="1" applyBorder="1" applyAlignment="1">
      <alignment horizontal="left" vertical="center"/>
    </xf>
    <xf numFmtId="3" fontId="61" fillId="13" borderId="29" xfId="4" applyNumberFormat="1" applyFont="1" applyFill="1" applyBorder="1" applyAlignment="1">
      <alignment horizontal="right" vertical="center"/>
    </xf>
    <xf numFmtId="3" fontId="52" fillId="13" borderId="43" xfId="4" applyNumberFormat="1" applyFont="1" applyFill="1" applyBorder="1" applyAlignment="1">
      <alignment horizontal="center" vertical="center" wrapText="1"/>
    </xf>
    <xf numFmtId="0" fontId="61" fillId="13" borderId="32" xfId="4" applyFont="1" applyFill="1" applyBorder="1" applyAlignment="1">
      <alignment vertical="top"/>
    </xf>
    <xf numFmtId="0" fontId="61" fillId="13" borderId="20" xfId="4" applyFont="1" applyFill="1" applyBorder="1" applyAlignment="1">
      <alignment vertical="top"/>
    </xf>
    <xf numFmtId="3" fontId="61" fillId="13" borderId="9" xfId="4" applyNumberFormat="1" applyFont="1" applyFill="1" applyBorder="1" applyAlignment="1">
      <alignment horizontal="right" vertical="center"/>
    </xf>
    <xf numFmtId="0" fontId="34" fillId="13" borderId="25" xfId="4" applyFont="1" applyFill="1" applyBorder="1" applyAlignment="1">
      <alignment vertical="top"/>
    </xf>
    <xf numFmtId="0" fontId="34" fillId="13" borderId="22" xfId="4" applyFont="1" applyFill="1" applyBorder="1" applyAlignment="1">
      <alignment vertical="top"/>
    </xf>
    <xf numFmtId="3" fontId="34" fillId="13" borderId="23" xfId="4" applyNumberFormat="1" applyFont="1" applyFill="1" applyBorder="1" applyAlignment="1">
      <alignment horizontal="right" vertical="center"/>
    </xf>
    <xf numFmtId="0" fontId="52" fillId="13" borderId="41" xfId="4" applyFont="1" applyFill="1" applyBorder="1" applyAlignment="1">
      <alignment horizontal="center" vertical="center" wrapText="1"/>
    </xf>
    <xf numFmtId="3" fontId="57" fillId="6" borderId="29" xfId="6" applyNumberFormat="1" applyFont="1" applyFill="1" applyBorder="1" applyAlignment="1">
      <alignment horizontal="right" vertical="center"/>
    </xf>
    <xf numFmtId="3" fontId="58" fillId="6" borderId="0" xfId="4" applyNumberFormat="1" applyFont="1" applyFill="1" applyBorder="1" applyAlignment="1"/>
    <xf numFmtId="3" fontId="61" fillId="2" borderId="0" xfId="4" applyNumberFormat="1" applyFont="1" applyFill="1" applyBorder="1" applyAlignment="1"/>
    <xf numFmtId="3" fontId="67" fillId="0" borderId="29" xfId="6" applyNumberFormat="1" applyFont="1" applyFill="1" applyBorder="1" applyAlignment="1">
      <alignment horizontal="right" vertical="center"/>
    </xf>
    <xf numFmtId="3" fontId="65" fillId="0" borderId="31" xfId="4" applyNumberFormat="1" applyFont="1" applyFill="1" applyBorder="1" applyAlignment="1">
      <alignment horizontal="right" vertical="center"/>
    </xf>
    <xf numFmtId="3" fontId="67" fillId="8" borderId="3" xfId="6" applyNumberFormat="1" applyFont="1" applyFill="1" applyBorder="1" applyAlignment="1">
      <alignment horizontal="right" vertical="center"/>
    </xf>
    <xf numFmtId="0" fontId="34" fillId="0" borderId="21" xfId="4" applyFont="1" applyFill="1" applyBorder="1" applyAlignment="1">
      <alignment vertical="top"/>
    </xf>
    <xf numFmtId="0" fontId="58" fillId="27" borderId="45" xfId="4" applyFont="1" applyFill="1" applyBorder="1" applyAlignment="1">
      <alignment vertical="center" wrapText="1"/>
    </xf>
    <xf numFmtId="0" fontId="58" fillId="27" borderId="14" xfId="4" applyFont="1" applyFill="1" applyBorder="1" applyAlignment="1">
      <alignment vertical="top" wrapText="1"/>
    </xf>
    <xf numFmtId="0" fontId="34" fillId="27" borderId="4" xfId="4" applyFont="1" applyFill="1" applyBorder="1" applyAlignment="1">
      <alignment vertical="top"/>
    </xf>
    <xf numFmtId="3" fontId="34" fillId="27" borderId="70" xfId="4" applyNumberFormat="1" applyFont="1" applyFill="1" applyBorder="1" applyAlignment="1">
      <alignment vertical="top"/>
    </xf>
    <xf numFmtId="3" fontId="34" fillId="27" borderId="2" xfId="4" applyNumberFormat="1" applyFont="1" applyFill="1" applyBorder="1" applyAlignment="1">
      <alignment vertical="top"/>
    </xf>
    <xf numFmtId="3" fontId="34" fillId="24" borderId="2" xfId="4" applyNumberFormat="1" applyFont="1" applyFill="1" applyBorder="1" applyAlignment="1">
      <alignment vertical="top"/>
    </xf>
    <xf numFmtId="3" fontId="58" fillId="6" borderId="29" xfId="0" applyNumberFormat="1" applyFont="1" applyFill="1" applyBorder="1" applyAlignment="1">
      <alignment horizontal="right" vertical="center"/>
    </xf>
    <xf numFmtId="0" fontId="63" fillId="27" borderId="34" xfId="4" applyFont="1" applyFill="1" applyBorder="1" applyAlignment="1">
      <alignment vertical="top" wrapText="1"/>
    </xf>
    <xf numFmtId="3" fontId="63" fillId="27" borderId="28" xfId="4" applyNumberFormat="1" applyFont="1" applyFill="1" applyBorder="1" applyAlignment="1">
      <alignment vertical="top" wrapText="1"/>
    </xf>
    <xf numFmtId="0" fontId="34" fillId="27" borderId="34" xfId="4" applyFont="1" applyFill="1" applyBorder="1" applyAlignment="1">
      <alignment vertical="top" wrapText="1"/>
    </xf>
    <xf numFmtId="0" fontId="34" fillId="27" borderId="28" xfId="4" applyFont="1" applyFill="1" applyBorder="1" applyAlignment="1">
      <alignment vertical="top" wrapText="1"/>
    </xf>
    <xf numFmtId="0" fontId="34" fillId="13" borderId="36" xfId="4" applyFont="1" applyFill="1" applyBorder="1" applyAlignment="1">
      <alignment vertical="top"/>
    </xf>
    <xf numFmtId="0" fontId="34" fillId="13" borderId="20" xfId="4" applyFont="1" applyFill="1" applyBorder="1" applyAlignment="1">
      <alignment vertical="top"/>
    </xf>
    <xf numFmtId="0" fontId="63" fillId="13" borderId="20" xfId="4" applyFont="1" applyFill="1" applyBorder="1" applyAlignment="1">
      <alignment vertical="top"/>
    </xf>
    <xf numFmtId="3" fontId="59" fillId="25" borderId="29" xfId="4" applyNumberFormat="1" applyFont="1" applyFill="1" applyBorder="1" applyAlignment="1">
      <alignment horizontal="right" vertical="center"/>
    </xf>
    <xf numFmtId="3" fontId="61" fillId="13" borderId="32" xfId="4" applyNumberFormat="1" applyFont="1" applyFill="1" applyBorder="1" applyAlignment="1">
      <alignment vertical="top" wrapText="1"/>
    </xf>
    <xf numFmtId="3" fontId="61" fillId="13" borderId="28" xfId="4" applyNumberFormat="1" applyFont="1" applyFill="1" applyBorder="1" applyAlignment="1">
      <alignment vertical="top" wrapText="1"/>
    </xf>
    <xf numFmtId="0" fontId="34" fillId="13" borderId="21" xfId="4" applyFont="1" applyFill="1" applyBorder="1" applyAlignment="1">
      <alignment vertical="top"/>
    </xf>
    <xf numFmtId="0" fontId="34" fillId="13" borderId="32" xfId="4" applyFont="1" applyFill="1" applyBorder="1" applyAlignment="1">
      <alignment vertical="top"/>
    </xf>
    <xf numFmtId="0" fontId="34" fillId="13" borderId="28" xfId="4" applyFont="1" applyFill="1" applyBorder="1" applyAlignment="1">
      <alignment horizontal="left" vertical="center"/>
    </xf>
    <xf numFmtId="0" fontId="63" fillId="13" borderId="36" xfId="4" applyFont="1" applyFill="1" applyBorder="1" applyAlignment="1">
      <alignment vertical="top"/>
    </xf>
    <xf numFmtId="3" fontId="63" fillId="13" borderId="9" xfId="4" applyNumberFormat="1" applyFont="1" applyFill="1" applyBorder="1" applyAlignment="1">
      <alignment horizontal="right" vertical="center"/>
    </xf>
    <xf numFmtId="3" fontId="34" fillId="13" borderId="32" xfId="4" applyNumberFormat="1" applyFont="1" applyFill="1" applyBorder="1" applyAlignment="1">
      <alignment vertical="top" wrapText="1"/>
    </xf>
    <xf numFmtId="3" fontId="65" fillId="0" borderId="30" xfId="0" applyNumberFormat="1" applyFont="1" applyFill="1" applyBorder="1" applyAlignment="1">
      <alignment horizontal="right" vertical="center"/>
    </xf>
    <xf numFmtId="0" fontId="34" fillId="0" borderId="21" xfId="0" applyFont="1" applyFill="1" applyBorder="1" applyAlignment="1">
      <alignment horizontal="left" vertical="center"/>
    </xf>
    <xf numFmtId="3" fontId="65" fillId="0" borderId="13" xfId="0" applyNumberFormat="1" applyFont="1" applyFill="1" applyBorder="1" applyAlignment="1">
      <alignment horizontal="right" vertical="center"/>
    </xf>
    <xf numFmtId="0" fontId="34" fillId="2" borderId="21" xfId="4" applyFont="1" applyFill="1" applyBorder="1" applyAlignment="1">
      <alignment vertical="top"/>
    </xf>
    <xf numFmtId="3" fontId="65" fillId="0" borderId="35" xfId="0" applyNumberFormat="1" applyFont="1" applyFill="1" applyBorder="1" applyAlignment="1">
      <alignment horizontal="right" vertical="center"/>
    </xf>
    <xf numFmtId="3" fontId="63" fillId="0" borderId="29" xfId="4" applyNumberFormat="1" applyFont="1" applyFill="1" applyBorder="1" applyAlignment="1">
      <alignment horizontal="right" vertical="center"/>
    </xf>
    <xf numFmtId="0" fontId="65" fillId="2" borderId="36" xfId="4" applyFont="1" applyFill="1" applyBorder="1" applyAlignment="1">
      <alignment vertical="top"/>
    </xf>
    <xf numFmtId="0" fontId="61" fillId="2" borderId="36" xfId="4" applyFont="1" applyFill="1" applyBorder="1" applyAlignment="1">
      <alignment vertical="top"/>
    </xf>
    <xf numFmtId="0" fontId="34" fillId="27" borderId="14" xfId="4" applyFont="1" applyFill="1" applyBorder="1" applyAlignment="1">
      <alignment vertical="top"/>
    </xf>
    <xf numFmtId="0" fontId="59" fillId="6" borderId="84" xfId="4" applyFont="1" applyFill="1" applyBorder="1" applyAlignment="1">
      <alignment horizontal="left" vertical="center"/>
    </xf>
    <xf numFmtId="3" fontId="58" fillId="6" borderId="28" xfId="0" applyNumberFormat="1" applyFont="1" applyFill="1" applyBorder="1" applyAlignment="1">
      <alignment horizontal="right" vertical="center"/>
    </xf>
    <xf numFmtId="3" fontId="61" fillId="13" borderId="28" xfId="4" applyNumberFormat="1" applyFont="1" applyFill="1" applyBorder="1" applyAlignment="1">
      <alignment horizontal="right" vertical="center"/>
    </xf>
    <xf numFmtId="3" fontId="34" fillId="13" borderId="28" xfId="4" applyNumberFormat="1" applyFont="1" applyFill="1" applyBorder="1" applyAlignment="1">
      <alignment horizontal="right" vertical="center"/>
    </xf>
    <xf numFmtId="3" fontId="63" fillId="13" borderId="28" xfId="4" applyNumberFormat="1" applyFont="1" applyFill="1" applyBorder="1" applyAlignment="1">
      <alignment horizontal="right" vertical="center"/>
    </xf>
    <xf numFmtId="0" fontId="50" fillId="2" borderId="25" xfId="4" applyFont="1" applyFill="1" applyBorder="1" applyAlignment="1">
      <alignment vertical="center"/>
    </xf>
    <xf numFmtId="0" fontId="68" fillId="2" borderId="68" xfId="4" applyFont="1" applyFill="1" applyBorder="1" applyAlignment="1">
      <alignment vertical="center"/>
    </xf>
    <xf numFmtId="0" fontId="68" fillId="2" borderId="24" xfId="4" applyFont="1" applyFill="1" applyBorder="1" applyAlignment="1">
      <alignment vertical="center"/>
    </xf>
    <xf numFmtId="3" fontId="68" fillId="2" borderId="24" xfId="4" applyNumberFormat="1" applyFont="1" applyFill="1" applyBorder="1" applyAlignment="1">
      <alignment vertical="center"/>
    </xf>
    <xf numFmtId="0" fontId="68" fillId="2" borderId="69" xfId="4" applyFont="1" applyFill="1" applyBorder="1" applyAlignment="1">
      <alignment horizontal="right" vertical="center" wrapText="1"/>
    </xf>
    <xf numFmtId="3" fontId="69" fillId="21" borderId="13" xfId="4" applyNumberFormat="1" applyFont="1" applyFill="1" applyBorder="1" applyAlignment="1">
      <alignment horizontal="right" vertical="center"/>
    </xf>
    <xf numFmtId="0" fontId="54" fillId="6" borderId="34" xfId="4" applyFont="1" applyFill="1" applyBorder="1" applyAlignment="1">
      <alignment horizontal="left" vertical="center"/>
    </xf>
    <xf numFmtId="0" fontId="54" fillId="6" borderId="28" xfId="4" applyFont="1" applyFill="1" applyBorder="1" applyAlignment="1">
      <alignment horizontal="left" vertical="center"/>
    </xf>
    <xf numFmtId="3" fontId="51" fillId="6" borderId="29" xfId="4" applyNumberFormat="1" applyFont="1" applyFill="1" applyBorder="1" applyAlignment="1">
      <alignment horizontal="right" vertical="center"/>
    </xf>
    <xf numFmtId="3" fontId="51" fillId="22" borderId="30" xfId="4" applyNumberFormat="1" applyFont="1" applyFill="1" applyBorder="1" applyAlignment="1">
      <alignment horizontal="right" vertical="center"/>
    </xf>
    <xf numFmtId="3" fontId="52" fillId="8" borderId="43" xfId="4" applyNumberFormat="1" applyFont="1" applyFill="1" applyBorder="1" applyAlignment="1">
      <alignment horizontal="center" vertical="top"/>
    </xf>
    <xf numFmtId="3" fontId="64" fillId="8" borderId="34" xfId="4" applyNumberFormat="1" applyFont="1" applyFill="1" applyBorder="1" applyAlignment="1">
      <alignment vertical="top" wrapText="1"/>
    </xf>
    <xf numFmtId="3" fontId="64" fillId="8" borderId="28" xfId="4" applyNumberFormat="1" applyFont="1" applyFill="1" applyBorder="1" applyAlignment="1">
      <alignment vertical="top" wrapText="1"/>
    </xf>
    <xf numFmtId="3" fontId="64" fillId="8" borderId="30" xfId="4" applyNumberFormat="1" applyFont="1" applyFill="1" applyBorder="1" applyAlignment="1">
      <alignment horizontal="right" vertical="center"/>
    </xf>
    <xf numFmtId="3" fontId="69" fillId="25" borderId="29" xfId="4" applyNumberFormat="1" applyFont="1" applyFill="1" applyBorder="1" applyAlignment="1">
      <alignment horizontal="right" vertical="center"/>
    </xf>
    <xf numFmtId="3" fontId="52" fillId="8" borderId="34" xfId="4" applyNumberFormat="1" applyFont="1" applyFill="1" applyBorder="1" applyAlignment="1">
      <alignment vertical="top" wrapText="1"/>
    </xf>
    <xf numFmtId="3" fontId="52" fillId="8" borderId="28" xfId="4" applyNumberFormat="1" applyFont="1" applyFill="1" applyBorder="1" applyAlignment="1">
      <alignment vertical="top" wrapText="1"/>
    </xf>
    <xf numFmtId="3" fontId="52" fillId="8" borderId="29" xfId="4" applyNumberFormat="1" applyFont="1" applyFill="1" applyBorder="1" applyAlignment="1">
      <alignment horizontal="right" vertical="center"/>
    </xf>
    <xf numFmtId="3" fontId="55" fillId="25" borderId="29" xfId="4" applyNumberFormat="1" applyFont="1" applyFill="1" applyBorder="1" applyAlignment="1">
      <alignment horizontal="right" vertical="center"/>
    </xf>
    <xf numFmtId="0" fontId="54" fillId="6" borderId="21" xfId="4" applyFont="1" applyFill="1" applyBorder="1" applyAlignment="1">
      <alignment horizontal="left" vertical="center"/>
    </xf>
    <xf numFmtId="0" fontId="69" fillId="8" borderId="28" xfId="4" applyFont="1" applyFill="1" applyBorder="1" applyAlignment="1">
      <alignment vertical="top"/>
    </xf>
    <xf numFmtId="3" fontId="70" fillId="8" borderId="29" xfId="6" applyNumberFormat="1" applyFont="1" applyFill="1" applyBorder="1" applyAlignment="1">
      <alignment vertical="center"/>
    </xf>
    <xf numFmtId="0" fontId="52" fillId="8" borderId="73" xfId="4" applyFont="1" applyFill="1" applyBorder="1" applyAlignment="1">
      <alignment vertical="center"/>
    </xf>
    <xf numFmtId="3" fontId="56" fillId="8" borderId="29" xfId="6" applyNumberFormat="1" applyFont="1" applyFill="1" applyBorder="1" applyAlignment="1">
      <alignment vertical="center"/>
    </xf>
    <xf numFmtId="0" fontId="51" fillId="8" borderId="14" xfId="4" applyFont="1" applyFill="1" applyBorder="1" applyAlignment="1">
      <alignment horizontal="center" vertical="center" wrapText="1"/>
    </xf>
    <xf numFmtId="3" fontId="51" fillId="23" borderId="2" xfId="4" applyNumberFormat="1" applyFont="1" applyFill="1" applyBorder="1" applyAlignment="1">
      <alignment horizontal="right" vertical="center"/>
    </xf>
    <xf numFmtId="0" fontId="54" fillId="6" borderId="32" xfId="4" applyFont="1" applyFill="1" applyBorder="1" applyAlignment="1">
      <alignment horizontal="left" vertical="center"/>
    </xf>
    <xf numFmtId="3" fontId="69" fillId="2" borderId="32" xfId="4" applyNumberFormat="1" applyFont="1" applyFill="1" applyBorder="1" applyAlignment="1">
      <alignment vertical="top" wrapText="1"/>
    </xf>
    <xf numFmtId="0" fontId="52" fillId="0" borderId="32" xfId="4" applyFont="1" applyFill="1" applyBorder="1" applyAlignment="1">
      <alignment vertical="top"/>
    </xf>
    <xf numFmtId="0" fontId="51" fillId="8" borderId="14" xfId="4" applyFont="1" applyFill="1" applyBorder="1" applyAlignment="1">
      <alignment horizontal="center" vertical="top" wrapText="1"/>
    </xf>
    <xf numFmtId="3" fontId="52" fillId="8" borderId="70" xfId="4" applyNumberFormat="1" applyFont="1" applyFill="1" applyBorder="1" applyAlignment="1">
      <alignment horizontal="right" vertical="center"/>
    </xf>
    <xf numFmtId="3" fontId="51" fillId="8" borderId="70" xfId="4" applyNumberFormat="1" applyFont="1" applyFill="1" applyBorder="1" applyAlignment="1">
      <alignment horizontal="right" vertical="center"/>
    </xf>
    <xf numFmtId="0" fontId="54" fillId="6" borderId="20" xfId="4" applyFont="1" applyFill="1" applyBorder="1" applyAlignment="1">
      <alignment horizontal="left" vertical="center"/>
    </xf>
    <xf numFmtId="3" fontId="54" fillId="22" borderId="30" xfId="4" applyNumberFormat="1" applyFont="1" applyFill="1" applyBorder="1" applyAlignment="1">
      <alignment horizontal="right" vertical="center"/>
    </xf>
    <xf numFmtId="3" fontId="69" fillId="2" borderId="34" xfId="4" applyNumberFormat="1" applyFont="1" applyFill="1" applyBorder="1" applyAlignment="1">
      <alignment vertical="top" wrapText="1"/>
    </xf>
    <xf numFmtId="0" fontId="52" fillId="0" borderId="83" xfId="4" applyFont="1" applyFill="1" applyBorder="1" applyAlignment="1">
      <alignment vertical="top"/>
    </xf>
    <xf numFmtId="3" fontId="56" fillId="0" borderId="72" xfId="6" applyNumberFormat="1" applyFont="1" applyFill="1" applyBorder="1" applyAlignment="1">
      <alignment vertical="center"/>
    </xf>
    <xf numFmtId="3" fontId="52" fillId="0" borderId="47" xfId="4" applyNumberFormat="1" applyFont="1" applyFill="1" applyBorder="1" applyAlignment="1">
      <alignment horizontal="right" vertical="center"/>
    </xf>
    <xf numFmtId="3" fontId="52" fillId="0" borderId="72" xfId="4" applyNumberFormat="1" applyFont="1" applyFill="1" applyBorder="1" applyAlignment="1">
      <alignment horizontal="right" vertical="center"/>
    </xf>
    <xf numFmtId="3" fontId="52" fillId="0" borderId="65" xfId="4" applyNumberFormat="1" applyFont="1" applyFill="1" applyBorder="1" applyAlignment="1">
      <alignment horizontal="right" vertical="center"/>
    </xf>
    <xf numFmtId="0" fontId="51" fillId="8" borderId="45" xfId="4" applyFont="1" applyFill="1" applyBorder="1" applyAlignment="1">
      <alignment vertical="top" wrapText="1"/>
    </xf>
    <xf numFmtId="0" fontId="51" fillId="6" borderId="32" xfId="4" applyFont="1" applyFill="1" applyBorder="1" applyAlignment="1">
      <alignment horizontal="left" vertical="center"/>
    </xf>
    <xf numFmtId="3" fontId="64" fillId="2" borderId="32" xfId="4" applyNumberFormat="1" applyFont="1" applyFill="1" applyBorder="1" applyAlignment="1">
      <alignment vertical="top" wrapText="1"/>
    </xf>
    <xf numFmtId="3" fontId="69" fillId="0" borderId="30" xfId="4" applyNumberFormat="1" applyFont="1" applyFill="1" applyBorder="1" applyAlignment="1">
      <alignment horizontal="right" vertical="center"/>
    </xf>
    <xf numFmtId="3" fontId="69" fillId="0" borderId="29" xfId="4" applyNumberFormat="1" applyFont="1" applyFill="1" applyBorder="1" applyAlignment="1">
      <alignment horizontal="right" vertical="center"/>
    </xf>
    <xf numFmtId="0" fontId="52" fillId="0" borderId="34" xfId="4" applyFont="1" applyFill="1" applyBorder="1" applyAlignment="1">
      <alignment vertical="top"/>
    </xf>
    <xf numFmtId="3" fontId="52" fillId="0" borderId="63" xfId="4" applyNumberFormat="1" applyFont="1" applyFill="1" applyBorder="1" applyAlignment="1">
      <alignment horizontal="right" vertical="center"/>
    </xf>
    <xf numFmtId="3" fontId="51" fillId="6" borderId="30" xfId="4" applyNumberFormat="1" applyFont="1" applyFill="1" applyBorder="1" applyAlignment="1"/>
    <xf numFmtId="3" fontId="69" fillId="2" borderId="32" xfId="4" applyNumberFormat="1" applyFont="1" applyFill="1" applyBorder="1" applyAlignment="1">
      <alignment vertical="center" wrapText="1"/>
    </xf>
    <xf numFmtId="0" fontId="55" fillId="0" borderId="77" xfId="4" applyFont="1" applyFill="1" applyBorder="1" applyAlignment="1">
      <alignment vertical="top"/>
    </xf>
    <xf numFmtId="3" fontId="60" fillId="6" borderId="29" xfId="6" applyNumberFormat="1" applyFont="1" applyFill="1" applyBorder="1" applyAlignment="1">
      <alignment horizontal="right" vertical="center"/>
    </xf>
    <xf numFmtId="3" fontId="70" fillId="0" borderId="29" xfId="6" applyNumberFormat="1" applyFont="1" applyFill="1" applyBorder="1" applyAlignment="1">
      <alignment horizontal="right" vertical="center"/>
    </xf>
    <xf numFmtId="0" fontId="54" fillId="8" borderId="19" xfId="4" applyFont="1" applyFill="1" applyBorder="1" applyAlignment="1">
      <alignment horizontal="left" vertical="center" wrapText="1"/>
    </xf>
    <xf numFmtId="3" fontId="70" fillId="8" borderId="3" xfId="6" applyNumberFormat="1" applyFont="1" applyFill="1" applyBorder="1" applyAlignment="1">
      <alignment horizontal="right" vertical="center"/>
    </xf>
    <xf numFmtId="3" fontId="51" fillId="8" borderId="17" xfId="4" applyNumberFormat="1" applyFont="1" applyFill="1" applyBorder="1" applyAlignment="1">
      <alignment horizontal="right" vertical="center"/>
    </xf>
    <xf numFmtId="3" fontId="51" fillId="8" borderId="2" xfId="4" applyNumberFormat="1" applyFont="1" applyFill="1" applyBorder="1" applyAlignment="1">
      <alignment horizontal="right" vertical="center"/>
    </xf>
    <xf numFmtId="0" fontId="52" fillId="0" borderId="77" xfId="4" applyFont="1" applyFill="1" applyBorder="1" applyAlignment="1">
      <alignment horizontal="left" vertical="center"/>
    </xf>
    <xf numFmtId="3" fontId="55" fillId="0" borderId="72" xfId="4" applyNumberFormat="1" applyFont="1" applyFill="1" applyBorder="1" applyAlignment="1">
      <alignment horizontal="right" vertical="center"/>
    </xf>
    <xf numFmtId="3" fontId="55" fillId="2" borderId="72" xfId="4" applyNumberFormat="1" applyFont="1" applyFill="1" applyBorder="1" applyAlignment="1">
      <alignment horizontal="right" vertical="center"/>
    </xf>
    <xf numFmtId="3" fontId="55" fillId="25" borderId="47" xfId="4" applyNumberFormat="1" applyFont="1" applyFill="1" applyBorder="1" applyAlignment="1">
      <alignment horizontal="right" vertical="center"/>
    </xf>
    <xf numFmtId="0" fontId="52" fillId="0" borderId="32" xfId="4" applyFont="1" applyFill="1" applyBorder="1" applyAlignment="1">
      <alignment horizontal="left" vertical="center"/>
    </xf>
    <xf numFmtId="0" fontId="52" fillId="0" borderId="21" xfId="4" applyFont="1" applyFill="1" applyBorder="1" applyAlignment="1">
      <alignment horizontal="left" vertical="center"/>
    </xf>
    <xf numFmtId="3" fontId="52" fillId="0" borderId="12" xfId="4" applyNumberFormat="1" applyFont="1" applyFill="1" applyBorder="1" applyAlignment="1">
      <alignment horizontal="right" vertical="center"/>
    </xf>
    <xf numFmtId="3" fontId="56" fillId="0" borderId="47" xfId="6" applyNumberFormat="1" applyFont="1" applyFill="1" applyBorder="1" applyAlignment="1">
      <alignment vertical="center"/>
    </xf>
    <xf numFmtId="3" fontId="56" fillId="0" borderId="0" xfId="6" applyNumberFormat="1" applyFont="1" applyFill="1" applyBorder="1" applyAlignment="1">
      <alignment vertical="center"/>
    </xf>
    <xf numFmtId="3" fontId="52" fillId="0" borderId="0" xfId="4" applyNumberFormat="1" applyFont="1" applyFill="1" applyBorder="1" applyAlignment="1">
      <alignment horizontal="right" vertical="center"/>
    </xf>
    <xf numFmtId="0" fontId="62" fillId="0" borderId="0" xfId="0" applyFont="1" applyFill="1" applyAlignment="1"/>
    <xf numFmtId="0" fontId="55" fillId="2" borderId="52" xfId="0" applyFont="1" applyFill="1" applyBorder="1" applyAlignment="1">
      <alignment horizontal="center" vertical="top"/>
    </xf>
    <xf numFmtId="0" fontId="55" fillId="2" borderId="80" xfId="0" applyFont="1" applyFill="1" applyBorder="1" applyAlignment="1">
      <alignment horizontal="center" vertical="top"/>
    </xf>
    <xf numFmtId="0" fontId="55" fillId="2" borderId="38" xfId="0" quotePrefix="1" applyFont="1" applyFill="1" applyBorder="1" applyAlignment="1">
      <alignment horizontal="center" vertical="top"/>
    </xf>
    <xf numFmtId="0" fontId="55" fillId="2" borderId="50" xfId="0" quotePrefix="1" applyFont="1" applyFill="1" applyBorder="1" applyAlignment="1">
      <alignment horizontal="center" vertical="top"/>
    </xf>
    <xf numFmtId="0" fontId="55" fillId="2" borderId="39" xfId="0" quotePrefix="1" applyFont="1" applyFill="1" applyBorder="1" applyAlignment="1">
      <alignment horizontal="center" vertical="top"/>
    </xf>
    <xf numFmtId="0" fontId="55" fillId="2" borderId="39" xfId="0" applyFont="1" applyFill="1" applyBorder="1" applyAlignment="1">
      <alignment horizontal="center" vertical="top"/>
    </xf>
    <xf numFmtId="0" fontId="55" fillId="2" borderId="78" xfId="0" quotePrefix="1" applyFont="1" applyFill="1" applyBorder="1" applyAlignment="1">
      <alignment horizontal="center" vertical="top"/>
    </xf>
    <xf numFmtId="0" fontId="55" fillId="26" borderId="78" xfId="0" quotePrefix="1" applyFont="1" applyFill="1" applyBorder="1" applyAlignment="1">
      <alignment horizontal="center" vertical="top"/>
    </xf>
    <xf numFmtId="0" fontId="55" fillId="2" borderId="40" xfId="0" quotePrefix="1" applyFont="1" applyFill="1" applyBorder="1" applyAlignment="1">
      <alignment horizontal="center" vertical="top"/>
    </xf>
    <xf numFmtId="0" fontId="51" fillId="8" borderId="11" xfId="4" applyFont="1" applyFill="1" applyBorder="1" applyAlignment="1">
      <alignment horizontal="center" vertical="top"/>
    </xf>
    <xf numFmtId="3" fontId="61" fillId="21" borderId="30" xfId="4" applyNumberFormat="1" applyFont="1" applyFill="1" applyBorder="1" applyAlignment="1">
      <alignment horizontal="right" vertical="center"/>
    </xf>
    <xf numFmtId="3" fontId="66" fillId="8" borderId="29" xfId="6" applyNumberFormat="1" applyFont="1" applyFill="1" applyBorder="1" applyAlignment="1">
      <alignment vertical="center"/>
    </xf>
    <xf numFmtId="3" fontId="52" fillId="8" borderId="41" xfId="4" applyNumberFormat="1" applyFont="1" applyFill="1" applyBorder="1" applyAlignment="1">
      <alignment horizontal="center" vertical="top"/>
    </xf>
    <xf numFmtId="3" fontId="58" fillId="22" borderId="10" xfId="4" applyNumberFormat="1" applyFont="1" applyFill="1" applyBorder="1" applyAlignment="1">
      <alignment horizontal="right" vertical="center"/>
    </xf>
    <xf numFmtId="3" fontId="61" fillId="23" borderId="29" xfId="4" applyNumberFormat="1" applyFont="1" applyFill="1" applyBorder="1" applyAlignment="1">
      <alignment horizontal="right" vertical="center"/>
    </xf>
    <xf numFmtId="3" fontId="34" fillId="25" borderId="30" xfId="4" applyNumberFormat="1" applyFont="1" applyFill="1" applyBorder="1" applyAlignment="1">
      <alignment horizontal="right" vertical="center"/>
    </xf>
    <xf numFmtId="3" fontId="34" fillId="25" borderId="30" xfId="4" applyNumberFormat="1" applyFont="1" applyFill="1" applyBorder="1" applyAlignment="1">
      <alignment horizontal="center" vertical="center"/>
    </xf>
    <xf numFmtId="3" fontId="67" fillId="23" borderId="30" xfId="6" applyNumberFormat="1" applyFont="1" applyFill="1" applyBorder="1" applyAlignment="1">
      <alignment vertical="center"/>
    </xf>
    <xf numFmtId="3" fontId="58" fillId="6" borderId="71" xfId="4" applyNumberFormat="1" applyFont="1" applyFill="1" applyBorder="1" applyAlignment="1"/>
    <xf numFmtId="3" fontId="66" fillId="0" borderId="71" xfId="6" applyNumberFormat="1" applyFont="1" applyFill="1" applyBorder="1" applyAlignment="1">
      <alignment vertical="center"/>
    </xf>
    <xf numFmtId="3" fontId="67" fillId="0" borderId="71" xfId="6" applyNumberFormat="1" applyFont="1" applyFill="1" applyBorder="1" applyAlignment="1">
      <alignment vertical="center"/>
    </xf>
    <xf numFmtId="3" fontId="34" fillId="0" borderId="75" xfId="4" applyNumberFormat="1" applyFont="1" applyFill="1" applyBorder="1" applyAlignment="1">
      <alignment horizontal="right" vertical="center"/>
    </xf>
    <xf numFmtId="3" fontId="58" fillId="22" borderId="2" xfId="4" applyNumberFormat="1" applyFont="1" applyFill="1" applyBorder="1" applyAlignment="1">
      <alignment horizontal="right" vertical="center"/>
    </xf>
    <xf numFmtId="3" fontId="67" fillId="0" borderId="8" xfId="6" applyNumberFormat="1" applyFont="1" applyFill="1" applyBorder="1" applyAlignment="1">
      <alignment vertical="center"/>
    </xf>
    <xf numFmtId="0" fontId="58" fillId="8" borderId="36" xfId="4" applyFont="1" applyFill="1" applyBorder="1" applyAlignment="1">
      <alignment vertical="center" wrapText="1"/>
    </xf>
    <xf numFmtId="0" fontId="58" fillId="8" borderId="6" xfId="4" applyFont="1" applyFill="1" applyBorder="1" applyAlignment="1">
      <alignment horizontal="center" vertical="center" wrapText="1"/>
    </xf>
    <xf numFmtId="0" fontId="34" fillId="0" borderId="81" xfId="4" applyFont="1" applyFill="1" applyBorder="1" applyAlignment="1">
      <alignment vertical="center"/>
    </xf>
    <xf numFmtId="3" fontId="34" fillId="25" borderId="10" xfId="4" applyNumberFormat="1" applyFont="1" applyFill="1" applyBorder="1" applyAlignment="1">
      <alignment horizontal="right" vertical="center"/>
    </xf>
    <xf numFmtId="3" fontId="67" fillId="0" borderId="35" xfId="6" applyNumberFormat="1" applyFont="1" applyFill="1" applyBorder="1" applyAlignment="1">
      <alignment vertical="center"/>
    </xf>
    <xf numFmtId="0" fontId="66" fillId="0" borderId="0" xfId="0" applyFont="1"/>
    <xf numFmtId="0" fontId="52" fillId="0" borderId="0" xfId="4" applyFont="1" applyFill="1" applyBorder="1" applyAlignment="1">
      <alignment vertical="center"/>
    </xf>
    <xf numFmtId="43" fontId="52" fillId="0" borderId="0" xfId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 wrapText="1"/>
    </xf>
    <xf numFmtId="3" fontId="61" fillId="2" borderId="9" xfId="0" applyNumberFormat="1" applyFont="1" applyFill="1" applyBorder="1" applyAlignment="1"/>
    <xf numFmtId="0" fontId="71" fillId="0" borderId="6" xfId="0" applyFont="1" applyBorder="1" applyAlignment="1">
      <alignment vertical="center" wrapText="1"/>
    </xf>
    <xf numFmtId="0" fontId="51" fillId="0" borderId="0" xfId="0" applyFont="1" applyAlignment="1">
      <alignment vertical="top"/>
    </xf>
    <xf numFmtId="0" fontId="52" fillId="0" borderId="0" xfId="0" applyFont="1" applyAlignment="1">
      <alignment vertical="top"/>
    </xf>
    <xf numFmtId="0" fontId="62" fillId="0" borderId="0" xfId="0" applyFont="1" applyFill="1" applyAlignment="1">
      <alignment horizontal="left"/>
    </xf>
    <xf numFmtId="0" fontId="54" fillId="2" borderId="5" xfId="0" applyFont="1" applyFill="1" applyBorder="1" applyAlignment="1">
      <alignment horizontal="center" vertical="top"/>
    </xf>
    <xf numFmtId="0" fontId="54" fillId="2" borderId="11" xfId="0" applyFont="1" applyFill="1" applyBorder="1" applyAlignment="1">
      <alignment horizontal="center" vertical="top"/>
    </xf>
    <xf numFmtId="0" fontId="55" fillId="0" borderId="37" xfId="0" applyFont="1" applyBorder="1" applyAlignment="1">
      <alignment horizontal="center" vertical="top"/>
    </xf>
    <xf numFmtId="0" fontId="55" fillId="0" borderId="47" xfId="0" applyFont="1" applyBorder="1" applyAlignment="1">
      <alignment horizontal="center" vertical="top"/>
    </xf>
    <xf numFmtId="0" fontId="55" fillId="0" borderId="47" xfId="0" quotePrefix="1" applyFont="1" applyBorder="1" applyAlignment="1">
      <alignment horizontal="center" vertical="top"/>
    </xf>
    <xf numFmtId="0" fontId="55" fillId="2" borderId="47" xfId="0" applyFont="1" applyFill="1" applyBorder="1" applyAlignment="1">
      <alignment horizontal="center" vertical="top"/>
    </xf>
    <xf numFmtId="0" fontId="55" fillId="2" borderId="47" xfId="0" quotePrefix="1" applyFont="1" applyFill="1" applyBorder="1" applyAlignment="1">
      <alignment horizontal="center" vertical="top"/>
    </xf>
    <xf numFmtId="0" fontId="52" fillId="2" borderId="47" xfId="0" quotePrefix="1" applyFont="1" applyFill="1" applyBorder="1" applyAlignment="1">
      <alignment horizontal="center" vertical="top"/>
    </xf>
    <xf numFmtId="0" fontId="51" fillId="8" borderId="11" xfId="0" applyFont="1" applyFill="1" applyBorder="1" applyAlignment="1">
      <alignment vertical="center"/>
    </xf>
    <xf numFmtId="3" fontId="61" fillId="21" borderId="35" xfId="4" applyNumberFormat="1" applyFont="1" applyFill="1" applyBorder="1" applyAlignment="1">
      <alignment horizontal="right" vertical="center"/>
    </xf>
    <xf numFmtId="3" fontId="34" fillId="28" borderId="67" xfId="0" applyNumberFormat="1" applyFont="1" applyFill="1" applyBorder="1" applyAlignment="1">
      <alignment horizontal="center" vertical="top" wrapText="1"/>
    </xf>
    <xf numFmtId="3" fontId="61" fillId="21" borderId="12" xfId="4" applyNumberFormat="1" applyFont="1" applyFill="1" applyBorder="1" applyAlignment="1">
      <alignment horizontal="right" vertical="center"/>
    </xf>
    <xf numFmtId="0" fontId="58" fillId="28" borderId="11" xfId="0" applyFont="1" applyFill="1" applyBorder="1" applyAlignment="1">
      <alignment vertical="top"/>
    </xf>
    <xf numFmtId="0" fontId="58" fillId="6" borderId="19" xfId="4" applyFont="1" applyFill="1" applyBorder="1" applyAlignment="1">
      <alignment horizontal="left" vertical="center"/>
    </xf>
    <xf numFmtId="0" fontId="58" fillId="6" borderId="16" xfId="4" applyFont="1" applyFill="1" applyBorder="1" applyAlignment="1">
      <alignment horizontal="left" vertical="center"/>
    </xf>
    <xf numFmtId="3" fontId="58" fillId="29" borderId="70" xfId="0" applyNumberFormat="1" applyFont="1" applyFill="1" applyBorder="1" applyAlignment="1">
      <alignment vertical="center"/>
    </xf>
    <xf numFmtId="3" fontId="59" fillId="22" borderId="70" xfId="0" applyNumberFormat="1" applyFont="1" applyFill="1" applyBorder="1" applyAlignment="1">
      <alignment vertical="center"/>
    </xf>
    <xf numFmtId="3" fontId="51" fillId="22" borderId="70" xfId="0" applyNumberFormat="1" applyFont="1" applyFill="1" applyBorder="1" applyAlignment="1">
      <alignment vertical="center"/>
    </xf>
    <xf numFmtId="0" fontId="63" fillId="8" borderId="36" xfId="4" applyFont="1" applyFill="1" applyBorder="1" applyAlignment="1">
      <alignment vertical="center"/>
    </xf>
    <xf numFmtId="0" fontId="34" fillId="8" borderId="28" xfId="0" applyFont="1" applyFill="1" applyBorder="1" applyAlignment="1">
      <alignment vertical="center" wrapText="1"/>
    </xf>
    <xf numFmtId="3" fontId="63" fillId="8" borderId="30" xfId="0" applyNumberFormat="1" applyFont="1" applyFill="1" applyBorder="1" applyAlignment="1">
      <alignment vertical="center"/>
    </xf>
    <xf numFmtId="3" fontId="61" fillId="23" borderId="30" xfId="0" applyNumberFormat="1" applyFont="1" applyFill="1" applyBorder="1" applyAlignment="1">
      <alignment vertical="center"/>
    </xf>
    <xf numFmtId="3" fontId="64" fillId="23" borderId="30" xfId="0" applyNumberFormat="1" applyFont="1" applyFill="1" applyBorder="1" applyAlignment="1">
      <alignment vertical="center"/>
    </xf>
    <xf numFmtId="3" fontId="52" fillId="8" borderId="67" xfId="0" applyNumberFormat="1" applyFont="1" applyFill="1" applyBorder="1" applyAlignment="1">
      <alignment horizontal="center" vertical="center" wrapText="1"/>
    </xf>
    <xf numFmtId="0" fontId="51" fillId="28" borderId="11" xfId="0" applyFont="1" applyFill="1" applyBorder="1" applyAlignment="1">
      <alignment vertical="top"/>
    </xf>
    <xf numFmtId="0" fontId="34" fillId="8" borderId="36" xfId="4" applyFont="1" applyFill="1" applyBorder="1" applyAlignment="1">
      <alignment vertical="center"/>
    </xf>
    <xf numFmtId="3" fontId="34" fillId="28" borderId="8" xfId="0" applyNumberFormat="1" applyFont="1" applyFill="1" applyBorder="1" applyAlignment="1">
      <alignment vertical="center" wrapText="1"/>
    </xf>
    <xf numFmtId="3" fontId="34" fillId="28" borderId="30" xfId="0" applyNumberFormat="1" applyFont="1" applyFill="1" applyBorder="1" applyAlignment="1">
      <alignment vertical="center"/>
    </xf>
    <xf numFmtId="3" fontId="52" fillId="23" borderId="30" xfId="0" applyNumberFormat="1" applyFont="1" applyFill="1" applyBorder="1" applyAlignment="1">
      <alignment vertical="center"/>
    </xf>
    <xf numFmtId="0" fontId="63" fillId="8" borderId="32" xfId="4" applyFont="1" applyFill="1" applyBorder="1" applyAlignment="1">
      <alignment vertical="center"/>
    </xf>
    <xf numFmtId="0" fontId="58" fillId="8" borderId="28" xfId="0" applyFont="1" applyFill="1" applyBorder="1" applyAlignment="1">
      <alignment vertical="center"/>
    </xf>
    <xf numFmtId="3" fontId="63" fillId="8" borderId="9" xfId="0" applyNumberFormat="1" applyFont="1" applyFill="1" applyBorder="1" applyAlignment="1">
      <alignment vertical="center"/>
    </xf>
    <xf numFmtId="0" fontId="51" fillId="8" borderId="11" xfId="0" applyFont="1" applyFill="1" applyBorder="1" applyAlignment="1">
      <alignment vertical="top"/>
    </xf>
    <xf numFmtId="0" fontId="34" fillId="8" borderId="33" xfId="0" applyFont="1" applyFill="1" applyBorder="1" applyAlignment="1">
      <alignment vertical="top" wrapText="1"/>
    </xf>
    <xf numFmtId="3" fontId="34" fillId="8" borderId="73" xfId="0" applyNumberFormat="1" applyFont="1" applyFill="1" applyBorder="1" applyAlignment="1">
      <alignment vertical="top" wrapText="1"/>
    </xf>
    <xf numFmtId="3" fontId="52" fillId="23" borderId="63" xfId="0" applyNumberFormat="1" applyFont="1" applyFill="1" applyBorder="1" applyAlignment="1">
      <alignment vertical="top"/>
    </xf>
    <xf numFmtId="3" fontId="52" fillId="8" borderId="67" xfId="0" applyNumberFormat="1" applyFont="1" applyFill="1" applyBorder="1" applyAlignment="1">
      <alignment horizontal="center" vertical="top" wrapText="1"/>
    </xf>
    <xf numFmtId="0" fontId="34" fillId="6" borderId="28" xfId="0" applyFont="1" applyFill="1" applyBorder="1" applyAlignment="1">
      <alignment vertical="top" wrapText="1"/>
    </xf>
    <xf numFmtId="3" fontId="58" fillId="6" borderId="35" xfId="0" applyNumberFormat="1" applyFont="1" applyFill="1" applyBorder="1" applyAlignment="1">
      <alignment vertical="top"/>
    </xf>
    <xf numFmtId="3" fontId="58" fillId="6" borderId="30" xfId="0" applyNumberFormat="1" applyFont="1" applyFill="1" applyBorder="1" applyAlignment="1">
      <alignment vertical="top"/>
    </xf>
    <xf numFmtId="0" fontId="51" fillId="8" borderId="25" xfId="0" applyFont="1" applyFill="1" applyBorder="1" applyAlignment="1">
      <alignment vertical="top"/>
    </xf>
    <xf numFmtId="0" fontId="34" fillId="8" borderId="37" xfId="0" applyFont="1" applyFill="1" applyBorder="1" applyAlignment="1">
      <alignment vertical="top" wrapText="1"/>
    </xf>
    <xf numFmtId="3" fontId="34" fillId="28" borderId="47" xfId="0" applyNumberFormat="1" applyFont="1" applyFill="1" applyBorder="1" applyAlignment="1">
      <alignment vertical="center"/>
    </xf>
    <xf numFmtId="3" fontId="52" fillId="8" borderId="69" xfId="0" applyNumberFormat="1" applyFont="1" applyFill="1" applyBorder="1" applyAlignment="1">
      <alignment horizontal="center" vertical="top" wrapText="1"/>
    </xf>
    <xf numFmtId="0" fontId="59" fillId="8" borderId="5" xfId="0" applyFont="1" applyFill="1" applyBorder="1" applyAlignment="1">
      <alignment vertical="center" wrapText="1"/>
    </xf>
    <xf numFmtId="0" fontId="59" fillId="8" borderId="14" xfId="0" applyFont="1" applyFill="1" applyBorder="1" applyAlignment="1">
      <alignment horizontal="center" vertical="center" wrapText="1"/>
    </xf>
    <xf numFmtId="3" fontId="34" fillId="8" borderId="4" xfId="0" applyNumberFormat="1" applyFont="1" applyFill="1" applyBorder="1" applyAlignment="1">
      <alignment vertical="top"/>
    </xf>
    <xf numFmtId="3" fontId="34" fillId="8" borderId="70" xfId="0" applyNumberFormat="1" applyFont="1" applyFill="1" applyBorder="1" applyAlignment="1">
      <alignment vertical="top"/>
    </xf>
    <xf numFmtId="0" fontId="34" fillId="8" borderId="70" xfId="0" applyFont="1" applyFill="1" applyBorder="1" applyAlignment="1">
      <alignment vertical="top"/>
    </xf>
    <xf numFmtId="0" fontId="34" fillId="8" borderId="2" xfId="0" applyFont="1" applyFill="1" applyBorder="1" applyAlignment="1">
      <alignment vertical="top"/>
    </xf>
    <xf numFmtId="3" fontId="59" fillId="6" borderId="29" xfId="0" applyNumberFormat="1" applyFont="1" applyFill="1" applyBorder="1" applyAlignment="1">
      <alignment vertical="top"/>
    </xf>
    <xf numFmtId="3" fontId="59" fillId="22" borderId="30" xfId="0" applyNumberFormat="1" applyFont="1" applyFill="1" applyBorder="1" applyAlignment="1">
      <alignment vertical="top"/>
    </xf>
    <xf numFmtId="3" fontId="61" fillId="2" borderId="32" xfId="4" applyNumberFormat="1" applyFont="1" applyFill="1" applyBorder="1" applyAlignment="1">
      <alignment vertical="center" wrapText="1"/>
    </xf>
    <xf numFmtId="3" fontId="61" fillId="2" borderId="29" xfId="0" applyNumberFormat="1" applyFont="1" applyFill="1" applyBorder="1" applyAlignment="1">
      <alignment vertical="top"/>
    </xf>
    <xf numFmtId="3" fontId="59" fillId="25" borderId="30" xfId="0" applyNumberFormat="1" applyFont="1" applyFill="1" applyBorder="1" applyAlignment="1">
      <alignment vertical="top"/>
    </xf>
    <xf numFmtId="0" fontId="65" fillId="0" borderId="21" xfId="0" applyFont="1" applyFill="1" applyBorder="1" applyAlignment="1">
      <alignment vertical="top"/>
    </xf>
    <xf numFmtId="3" fontId="65" fillId="0" borderId="29" xfId="0" applyNumberFormat="1" applyFont="1" applyFill="1" applyBorder="1" applyAlignment="1">
      <alignment vertical="top"/>
    </xf>
    <xf numFmtId="3" fontId="65" fillId="0" borderId="9" xfId="0" applyNumberFormat="1" applyFont="1" applyFill="1" applyBorder="1" applyAlignment="1">
      <alignment vertical="top"/>
    </xf>
    <xf numFmtId="3" fontId="61" fillId="0" borderId="29" xfId="0" applyNumberFormat="1" applyFont="1" applyFill="1" applyBorder="1" applyAlignment="1">
      <alignment vertical="top"/>
    </xf>
    <xf numFmtId="0" fontId="65" fillId="0" borderId="33" xfId="0" applyFont="1" applyFill="1" applyBorder="1" applyAlignment="1">
      <alignment horizontal="left" vertical="center" wrapText="1"/>
    </xf>
    <xf numFmtId="3" fontId="65" fillId="0" borderId="65" xfId="0" applyNumberFormat="1" applyFont="1" applyFill="1" applyBorder="1" applyAlignment="1">
      <alignment vertical="top"/>
    </xf>
    <xf numFmtId="3" fontId="65" fillId="0" borderId="63" xfId="0" applyNumberFormat="1" applyFont="1" applyFill="1" applyBorder="1" applyAlignment="1">
      <alignment horizontal="right" vertical="center"/>
    </xf>
    <xf numFmtId="0" fontId="34" fillId="6" borderId="28" xfId="0" applyFont="1" applyFill="1" applyBorder="1" applyAlignment="1">
      <alignment horizontal="left" vertical="center" wrapText="1"/>
    </xf>
    <xf numFmtId="3" fontId="59" fillId="6" borderId="30" xfId="0" applyNumberFormat="1" applyFont="1" applyFill="1" applyBorder="1" applyAlignment="1">
      <alignment vertical="top"/>
    </xf>
    <xf numFmtId="3" fontId="61" fillId="2" borderId="84" xfId="4" applyNumberFormat="1" applyFont="1" applyFill="1" applyBorder="1" applyAlignment="1">
      <alignment vertical="center" wrapText="1"/>
    </xf>
    <xf numFmtId="0" fontId="65" fillId="0" borderId="85" xfId="0" applyFont="1" applyFill="1" applyBorder="1" applyAlignment="1">
      <alignment vertical="top"/>
    </xf>
    <xf numFmtId="3" fontId="65" fillId="0" borderId="30" xfId="0" applyNumberFormat="1" applyFont="1" applyFill="1" applyBorder="1" applyAlignment="1">
      <alignment vertical="top"/>
    </xf>
    <xf numFmtId="0" fontId="61" fillId="2" borderId="31" xfId="4" applyFont="1" applyFill="1" applyBorder="1" applyAlignment="1">
      <alignment vertical="top"/>
    </xf>
    <xf numFmtId="3" fontId="61" fillId="0" borderId="30" xfId="0" applyNumberFormat="1" applyFont="1" applyFill="1" applyBorder="1" applyAlignment="1">
      <alignment vertical="top"/>
    </xf>
    <xf numFmtId="3" fontId="65" fillId="0" borderId="47" xfId="0" applyNumberFormat="1" applyFont="1" applyFill="1" applyBorder="1" applyAlignment="1">
      <alignment vertical="top"/>
    </xf>
    <xf numFmtId="3" fontId="65" fillId="0" borderId="47" xfId="0" applyNumberFormat="1" applyFont="1" applyFill="1" applyBorder="1" applyAlignment="1">
      <alignment horizontal="right" vertical="center"/>
    </xf>
    <xf numFmtId="0" fontId="65" fillId="6" borderId="28" xfId="0" applyFont="1" applyFill="1" applyBorder="1" applyAlignment="1">
      <alignment vertical="top"/>
    </xf>
    <xf numFmtId="0" fontId="34" fillId="6" borderId="20" xfId="0" applyFont="1" applyFill="1" applyBorder="1" applyAlignment="1">
      <alignment horizontal="left" vertical="center" wrapText="1"/>
    </xf>
    <xf numFmtId="3" fontId="65" fillId="0" borderId="72" xfId="0" applyNumberFormat="1" applyFont="1" applyFill="1" applyBorder="1" applyAlignment="1">
      <alignment vertical="top"/>
    </xf>
    <xf numFmtId="0" fontId="55" fillId="0" borderId="0" xfId="0" applyFont="1" applyFill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vertical="top"/>
    </xf>
    <xf numFmtId="3" fontId="55" fillId="0" borderId="0" xfId="0" applyNumberFormat="1" applyFont="1" applyFill="1" applyBorder="1" applyAlignment="1">
      <alignment horizontal="right" vertical="center"/>
    </xf>
    <xf numFmtId="3" fontId="54" fillId="0" borderId="0" xfId="0" applyNumberFormat="1" applyFont="1" applyFill="1" applyBorder="1" applyAlignment="1">
      <alignment horizontal="center" vertical="center"/>
    </xf>
    <xf numFmtId="0" fontId="52" fillId="2" borderId="24" xfId="0" applyFont="1" applyFill="1" applyBorder="1" applyAlignment="1">
      <alignment vertical="top"/>
    </xf>
    <xf numFmtId="0" fontId="52" fillId="0" borderId="0" xfId="0" applyFont="1" applyFill="1" applyAlignment="1">
      <alignment vertical="top"/>
    </xf>
    <xf numFmtId="0" fontId="52" fillId="30" borderId="0" xfId="0" applyFont="1" applyFill="1" applyAlignment="1">
      <alignment vertical="top"/>
    </xf>
    <xf numFmtId="0" fontId="59" fillId="6" borderId="19" xfId="4" applyFont="1" applyFill="1" applyBorder="1" applyAlignment="1">
      <alignment horizontal="left" vertical="center"/>
    </xf>
    <xf numFmtId="0" fontId="59" fillId="6" borderId="16" xfId="4" applyFont="1" applyFill="1" applyBorder="1" applyAlignment="1">
      <alignment horizontal="left" vertical="center"/>
    </xf>
    <xf numFmtId="3" fontId="59" fillId="6" borderId="17" xfId="0" applyNumberFormat="1" applyFont="1" applyFill="1" applyBorder="1" applyAlignment="1">
      <alignment vertical="top"/>
    </xf>
    <xf numFmtId="3" fontId="59" fillId="22" borderId="70" xfId="0" applyNumberFormat="1" applyFont="1" applyFill="1" applyBorder="1" applyAlignment="1">
      <alignment vertical="top"/>
    </xf>
    <xf numFmtId="0" fontId="61" fillId="8" borderId="36" xfId="4" applyFont="1" applyFill="1" applyBorder="1" applyAlignment="1">
      <alignment vertical="top"/>
    </xf>
    <xf numFmtId="3" fontId="61" fillId="8" borderId="29" xfId="0" applyNumberFormat="1" applyFont="1" applyFill="1" applyBorder="1" applyAlignment="1">
      <alignment vertical="top"/>
    </xf>
    <xf numFmtId="3" fontId="61" fillId="23" borderId="30" xfId="0" applyNumberFormat="1" applyFont="1" applyFill="1" applyBorder="1" applyAlignment="1">
      <alignment vertical="top"/>
    </xf>
    <xf numFmtId="3" fontId="52" fillId="0" borderId="0" xfId="0" applyNumberFormat="1" applyFont="1" applyFill="1" applyAlignment="1">
      <alignment vertical="top"/>
    </xf>
    <xf numFmtId="0" fontId="65" fillId="8" borderId="32" xfId="0" applyFont="1" applyFill="1" applyBorder="1" applyAlignment="1">
      <alignment vertical="top"/>
    </xf>
    <xf numFmtId="3" fontId="65" fillId="8" borderId="29" xfId="0" applyNumberFormat="1" applyFont="1" applyFill="1" applyBorder="1" applyAlignment="1">
      <alignment vertical="top"/>
    </xf>
    <xf numFmtId="3" fontId="59" fillId="23" borderId="29" xfId="0" applyNumberFormat="1" applyFont="1" applyFill="1" applyBorder="1" applyAlignment="1">
      <alignment horizontal="center" vertical="top"/>
    </xf>
    <xf numFmtId="3" fontId="59" fillId="23" borderId="29" xfId="0" applyNumberFormat="1" applyFont="1" applyFill="1" applyBorder="1" applyAlignment="1">
      <alignment vertical="top"/>
    </xf>
    <xf numFmtId="0" fontId="65" fillId="8" borderId="32" xfId="0" applyFont="1" applyFill="1" applyBorder="1" applyAlignment="1">
      <alignment vertical="center"/>
    </xf>
    <xf numFmtId="3" fontId="65" fillId="8" borderId="29" xfId="0" applyNumberFormat="1" applyFont="1" applyFill="1" applyBorder="1" applyAlignment="1">
      <alignment vertical="center"/>
    </xf>
    <xf numFmtId="3" fontId="59" fillId="23" borderId="29" xfId="0" applyNumberFormat="1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30" borderId="0" xfId="0" applyFont="1" applyFill="1" applyAlignment="1">
      <alignment vertical="center"/>
    </xf>
    <xf numFmtId="3" fontId="61" fillId="8" borderId="29" xfId="0" applyNumberFormat="1" applyFont="1" applyFill="1" applyBorder="1" applyAlignment="1">
      <alignment horizontal="right" vertical="center"/>
    </xf>
    <xf numFmtId="3" fontId="61" fillId="8" borderId="30" xfId="0" applyNumberFormat="1" applyFont="1" applyFill="1" applyBorder="1" applyAlignment="1">
      <alignment horizontal="right" vertical="center"/>
    </xf>
    <xf numFmtId="3" fontId="59" fillId="23" borderId="29" xfId="0" applyNumberFormat="1" applyFont="1" applyFill="1" applyBorder="1" applyAlignment="1">
      <alignment horizontal="center" vertical="center"/>
    </xf>
    <xf numFmtId="3" fontId="54" fillId="8" borderId="67" xfId="0" applyNumberFormat="1" applyFont="1" applyFill="1" applyBorder="1" applyAlignment="1">
      <alignment horizontal="center" vertical="center" wrapText="1"/>
    </xf>
    <xf numFmtId="3" fontId="65" fillId="8" borderId="30" xfId="0" applyNumberFormat="1" applyFont="1" applyFill="1" applyBorder="1" applyAlignment="1">
      <alignment vertical="top"/>
    </xf>
    <xf numFmtId="0" fontId="59" fillId="6" borderId="30" xfId="4" applyFont="1" applyFill="1" applyBorder="1" applyAlignment="1">
      <alignment horizontal="right" vertical="center"/>
    </xf>
    <xf numFmtId="0" fontId="61" fillId="8" borderId="36" xfId="4" applyFont="1" applyFill="1" applyBorder="1" applyAlignment="1">
      <alignment vertical="center"/>
    </xf>
    <xf numFmtId="0" fontId="61" fillId="8" borderId="6" xfId="4" applyFont="1" applyFill="1" applyBorder="1" applyAlignment="1">
      <alignment horizontal="center" vertical="center"/>
    </xf>
    <xf numFmtId="0" fontId="58" fillId="8" borderId="19" xfId="0" applyFont="1" applyFill="1" applyBorder="1" applyAlignment="1">
      <alignment vertical="center" wrapText="1"/>
    </xf>
    <xf numFmtId="0" fontId="58" fillId="8" borderId="17" xfId="0" applyFont="1" applyFill="1" applyBorder="1" applyAlignment="1">
      <alignment horizontal="center" vertical="center" wrapText="1"/>
    </xf>
    <xf numFmtId="0" fontId="34" fillId="8" borderId="18" xfId="0" applyFont="1" applyFill="1" applyBorder="1" applyAlignment="1">
      <alignment vertical="top"/>
    </xf>
    <xf numFmtId="0" fontId="34" fillId="8" borderId="79" xfId="0" applyFont="1" applyFill="1" applyBorder="1" applyAlignment="1">
      <alignment vertical="top"/>
    </xf>
    <xf numFmtId="3" fontId="34" fillId="8" borderId="79" xfId="0" applyNumberFormat="1" applyFont="1" applyFill="1" applyBorder="1" applyAlignment="1">
      <alignment vertical="top"/>
    </xf>
    <xf numFmtId="3" fontId="34" fillId="23" borderId="70" xfId="0" applyNumberFormat="1" applyFont="1" applyFill="1" applyBorder="1" applyAlignment="1">
      <alignment vertical="top"/>
    </xf>
    <xf numFmtId="0" fontId="58" fillId="6" borderId="21" xfId="4" applyFont="1" applyFill="1" applyBorder="1" applyAlignment="1">
      <alignment horizontal="left" vertical="center"/>
    </xf>
    <xf numFmtId="0" fontId="59" fillId="6" borderId="9" xfId="4" applyFont="1" applyFill="1" applyBorder="1" applyAlignment="1">
      <alignment horizontal="left" vertical="center"/>
    </xf>
    <xf numFmtId="3" fontId="59" fillId="6" borderId="9" xfId="0" applyNumberFormat="1" applyFont="1" applyFill="1" applyBorder="1" applyAlignment="1">
      <alignment vertical="top"/>
    </xf>
    <xf numFmtId="3" fontId="59" fillId="22" borderId="35" xfId="0" applyNumberFormat="1" applyFont="1" applyFill="1" applyBorder="1" applyAlignment="1">
      <alignment vertical="top"/>
    </xf>
    <xf numFmtId="0" fontId="65" fillId="32" borderId="32" xfId="0" applyFont="1" applyFill="1" applyBorder="1" applyAlignment="1">
      <alignment vertical="center"/>
    </xf>
    <xf numFmtId="3" fontId="65" fillId="32" borderId="29" xfId="0" applyNumberFormat="1" applyFont="1" applyFill="1" applyBorder="1" applyAlignment="1">
      <alignment vertical="center"/>
    </xf>
    <xf numFmtId="0" fontId="59" fillId="6" borderId="29" xfId="4" applyFont="1" applyFill="1" applyBorder="1" applyAlignment="1">
      <alignment horizontal="left" vertical="center"/>
    </xf>
    <xf numFmtId="0" fontId="34" fillId="8" borderId="3" xfId="0" applyFont="1" applyFill="1" applyBorder="1" applyAlignment="1">
      <alignment vertical="top"/>
    </xf>
    <xf numFmtId="0" fontId="52" fillId="0" borderId="0" xfId="0" applyFont="1" applyAlignment="1">
      <alignment horizontal="center" vertical="top" wrapText="1"/>
    </xf>
    <xf numFmtId="0" fontId="52" fillId="0" borderId="0" xfId="0" applyFont="1" applyBorder="1" applyAlignment="1">
      <alignment vertical="top"/>
    </xf>
    <xf numFmtId="0" fontId="52" fillId="0" borderId="0" xfId="0" applyFont="1" applyBorder="1" applyAlignment="1">
      <alignment horizontal="center" vertical="top" wrapText="1"/>
    </xf>
    <xf numFmtId="0" fontId="52" fillId="0" borderId="67" xfId="0" applyFont="1" applyBorder="1" applyAlignment="1">
      <alignment vertical="top"/>
    </xf>
    <xf numFmtId="0" fontId="53" fillId="0" borderId="0" xfId="0" applyFont="1" applyAlignment="1">
      <alignment vertical="top"/>
    </xf>
    <xf numFmtId="0" fontId="55" fillId="0" borderId="52" xfId="0" applyFont="1" applyBorder="1" applyAlignment="1">
      <alignment horizontal="center" vertical="top"/>
    </xf>
    <xf numFmtId="0" fontId="55" fillId="0" borderId="51" xfId="0" quotePrefix="1" applyFont="1" applyBorder="1" applyAlignment="1">
      <alignment horizontal="center" vertical="top"/>
    </xf>
    <xf numFmtId="0" fontId="55" fillId="0" borderId="39" xfId="0" quotePrefix="1" applyFont="1" applyBorder="1" applyAlignment="1">
      <alignment horizontal="center" vertical="top"/>
    </xf>
    <xf numFmtId="0" fontId="64" fillId="8" borderId="11" xfId="0" applyFont="1" applyFill="1" applyBorder="1" applyAlignment="1">
      <alignment vertical="top"/>
    </xf>
    <xf numFmtId="3" fontId="58" fillId="22" borderId="70" xfId="0" applyNumberFormat="1" applyFont="1" applyFill="1" applyBorder="1" applyAlignment="1">
      <alignment vertical="center"/>
    </xf>
    <xf numFmtId="3" fontId="63" fillId="23" borderId="30" xfId="0" applyNumberFormat="1" applyFont="1" applyFill="1" applyBorder="1" applyAlignment="1">
      <alignment vertical="center"/>
    </xf>
    <xf numFmtId="3" fontId="52" fillId="8" borderId="43" xfId="0" applyNumberFormat="1" applyFont="1" applyFill="1" applyBorder="1" applyAlignment="1">
      <alignment horizontal="center" vertical="center" wrapText="1"/>
    </xf>
    <xf numFmtId="3" fontId="34" fillId="23" borderId="30" xfId="0" applyNumberFormat="1" applyFont="1" applyFill="1" applyBorder="1" applyAlignment="1">
      <alignment vertical="center"/>
    </xf>
    <xf numFmtId="0" fontId="34" fillId="8" borderId="36" xfId="4" applyFont="1" applyFill="1" applyBorder="1" applyAlignment="1">
      <alignment horizontal="left" vertical="center"/>
    </xf>
    <xf numFmtId="3" fontId="34" fillId="28" borderId="28" xfId="0" applyNumberFormat="1" applyFont="1" applyFill="1" applyBorder="1" applyAlignment="1">
      <alignment vertical="center" wrapText="1"/>
    </xf>
    <xf numFmtId="0" fontId="34" fillId="8" borderId="73" xfId="0" applyFont="1" applyFill="1" applyBorder="1" applyAlignment="1">
      <alignment vertical="top" wrapText="1"/>
    </xf>
    <xf numFmtId="3" fontId="52" fillId="8" borderId="43" xfId="0" applyNumberFormat="1" applyFont="1" applyFill="1" applyBorder="1" applyAlignment="1">
      <alignment horizontal="center" vertical="top" wrapText="1"/>
    </xf>
    <xf numFmtId="0" fontId="34" fillId="8" borderId="28" xfId="0" applyFont="1" applyFill="1" applyBorder="1" applyAlignment="1">
      <alignment vertical="top" wrapText="1"/>
    </xf>
    <xf numFmtId="0" fontId="34" fillId="8" borderId="77" xfId="0" applyFont="1" applyFill="1" applyBorder="1" applyAlignment="1">
      <alignment vertical="top" wrapText="1"/>
    </xf>
    <xf numFmtId="3" fontId="52" fillId="8" borderId="41" xfId="0" applyNumberFormat="1" applyFont="1" applyFill="1" applyBorder="1" applyAlignment="1">
      <alignment horizontal="center" vertical="top" wrapText="1"/>
    </xf>
    <xf numFmtId="0" fontId="34" fillId="23" borderId="2" xfId="0" applyFont="1" applyFill="1" applyBorder="1" applyAlignment="1">
      <alignment vertical="center"/>
    </xf>
    <xf numFmtId="3" fontId="59" fillId="22" borderId="29" xfId="0" applyNumberFormat="1" applyFont="1" applyFill="1" applyBorder="1" applyAlignment="1">
      <alignment vertical="top"/>
    </xf>
    <xf numFmtId="0" fontId="65" fillId="0" borderId="77" xfId="4" applyFont="1" applyFill="1" applyBorder="1" applyAlignment="1">
      <alignment vertical="center"/>
    </xf>
    <xf numFmtId="3" fontId="59" fillId="22" borderId="10" xfId="0" applyNumberFormat="1" applyFont="1" applyFill="1" applyBorder="1" applyAlignment="1">
      <alignment horizontal="center" vertical="center"/>
    </xf>
    <xf numFmtId="3" fontId="59" fillId="22" borderId="74" xfId="0" applyNumberFormat="1" applyFont="1" applyFill="1" applyBorder="1" applyAlignment="1">
      <alignment horizontal="center" vertical="center"/>
    </xf>
    <xf numFmtId="0" fontId="34" fillId="8" borderId="15" xfId="0" applyFont="1" applyFill="1" applyBorder="1" applyAlignment="1">
      <alignment vertical="top"/>
    </xf>
    <xf numFmtId="0" fontId="34" fillId="23" borderId="2" xfId="0" applyFont="1" applyFill="1" applyBorder="1" applyAlignment="1">
      <alignment vertical="top"/>
    </xf>
    <xf numFmtId="3" fontId="61" fillId="25" borderId="30" xfId="0" applyNumberFormat="1" applyFont="1" applyFill="1" applyBorder="1" applyAlignment="1">
      <alignment vertical="top"/>
    </xf>
    <xf numFmtId="3" fontId="65" fillId="0" borderId="63" xfId="0" applyNumberFormat="1" applyFont="1" applyFill="1" applyBorder="1" applyAlignment="1">
      <alignment vertical="top"/>
    </xf>
    <xf numFmtId="3" fontId="65" fillId="0" borderId="65" xfId="0" applyNumberFormat="1" applyFont="1" applyFill="1" applyBorder="1" applyAlignment="1">
      <alignment horizontal="right" vertical="center"/>
    </xf>
    <xf numFmtId="3" fontId="34" fillId="23" borderId="63" xfId="0" applyNumberFormat="1" applyFont="1" applyFill="1" applyBorder="1" applyAlignment="1">
      <alignment vertical="center"/>
    </xf>
    <xf numFmtId="0" fontId="67" fillId="0" borderId="20" xfId="0" applyFont="1" applyBorder="1" applyAlignment="1">
      <alignment horizontal="center" vertical="center" wrapText="1"/>
    </xf>
    <xf numFmtId="3" fontId="62" fillId="0" borderId="9" xfId="0" applyNumberFormat="1" applyFont="1" applyFill="1" applyBorder="1" applyAlignment="1">
      <alignment horizontal="right" vertical="center"/>
    </xf>
    <xf numFmtId="3" fontId="62" fillId="23" borderId="35" xfId="0" applyNumberFormat="1" applyFont="1" applyFill="1" applyBorder="1" applyAlignment="1">
      <alignment vertical="center"/>
    </xf>
    <xf numFmtId="3" fontId="62" fillId="23" borderId="30" xfId="0" applyNumberFormat="1" applyFont="1" applyFill="1" applyBorder="1" applyAlignment="1">
      <alignment vertical="center"/>
    </xf>
    <xf numFmtId="3" fontId="61" fillId="2" borderId="29" xfId="0" applyNumberFormat="1" applyFont="1" applyFill="1" applyBorder="1" applyAlignment="1">
      <alignment vertical="center"/>
    </xf>
    <xf numFmtId="3" fontId="61" fillId="26" borderId="29" xfId="0" applyNumberFormat="1" applyFont="1" applyFill="1" applyBorder="1" applyAlignment="1">
      <alignment vertical="center"/>
    </xf>
    <xf numFmtId="3" fontId="34" fillId="0" borderId="30" xfId="0" applyNumberFormat="1" applyFont="1" applyFill="1" applyBorder="1" applyAlignment="1">
      <alignment vertical="top"/>
    </xf>
    <xf numFmtId="3" fontId="34" fillId="0" borderId="35" xfId="0" applyNumberFormat="1" applyFont="1" applyFill="1" applyBorder="1" applyAlignment="1">
      <alignment vertical="top"/>
    </xf>
    <xf numFmtId="3" fontId="61" fillId="25" borderId="9" xfId="0" applyNumberFormat="1" applyFont="1" applyFill="1" applyBorder="1" applyAlignment="1">
      <alignment vertical="top"/>
    </xf>
    <xf numFmtId="0" fontId="77" fillId="0" borderId="0" xfId="0" applyFont="1" applyAlignment="1">
      <alignment vertical="center"/>
    </xf>
    <xf numFmtId="3" fontId="52" fillId="0" borderId="0" xfId="0" applyNumberFormat="1" applyFont="1" applyFill="1" applyBorder="1" applyAlignment="1">
      <alignment vertical="center"/>
    </xf>
    <xf numFmtId="0" fontId="50" fillId="2" borderId="89" xfId="0" applyFont="1" applyFill="1" applyBorder="1" applyAlignment="1">
      <alignment vertical="center"/>
    </xf>
    <xf numFmtId="0" fontId="68" fillId="2" borderId="51" xfId="0" applyFont="1" applyFill="1" applyBorder="1" applyAlignment="1">
      <alignment vertical="top"/>
    </xf>
    <xf numFmtId="3" fontId="35" fillId="2" borderId="51" xfId="0" applyNumberFormat="1" applyFont="1" applyFill="1" applyBorder="1" applyAlignment="1">
      <alignment horizontal="left" vertical="top"/>
    </xf>
    <xf numFmtId="0" fontId="68" fillId="0" borderId="51" xfId="0" applyFont="1" applyFill="1" applyBorder="1" applyAlignment="1">
      <alignment vertical="top"/>
    </xf>
    <xf numFmtId="0" fontId="68" fillId="0" borderId="80" xfId="0" applyFont="1" applyFill="1" applyBorder="1" applyAlignment="1">
      <alignment vertical="top"/>
    </xf>
    <xf numFmtId="3" fontId="58" fillId="29" borderId="35" xfId="0" applyNumberFormat="1" applyFont="1" applyFill="1" applyBorder="1" applyAlignment="1">
      <alignment vertical="center"/>
    </xf>
    <xf numFmtId="0" fontId="54" fillId="8" borderId="11" xfId="0" applyFont="1" applyFill="1" applyBorder="1" applyAlignment="1">
      <alignment vertical="center"/>
    </xf>
    <xf numFmtId="3" fontId="61" fillId="8" borderId="30" xfId="0" applyNumberFormat="1" applyFont="1" applyFill="1" applyBorder="1" applyAlignment="1">
      <alignment vertical="center"/>
    </xf>
    <xf numFmtId="3" fontId="65" fillId="28" borderId="30" xfId="0" applyNumberFormat="1" applyFont="1" applyFill="1" applyBorder="1" applyAlignment="1">
      <alignment vertical="center"/>
    </xf>
    <xf numFmtId="3" fontId="65" fillId="23" borderId="30" xfId="0" applyNumberFormat="1" applyFont="1" applyFill="1" applyBorder="1" applyAlignment="1">
      <alignment vertical="center"/>
    </xf>
    <xf numFmtId="0" fontId="59" fillId="8" borderId="19" xfId="0" applyFont="1" applyFill="1" applyBorder="1" applyAlignment="1">
      <alignment vertical="top" wrapText="1"/>
    </xf>
    <xf numFmtId="0" fontId="59" fillId="8" borderId="16" xfId="0" applyFont="1" applyFill="1" applyBorder="1" applyAlignment="1">
      <alignment horizontal="center" vertical="center" wrapText="1"/>
    </xf>
    <xf numFmtId="3" fontId="65" fillId="8" borderId="17" xfId="0" applyNumberFormat="1" applyFont="1" applyFill="1" applyBorder="1" applyAlignment="1">
      <alignment vertical="top"/>
    </xf>
    <xf numFmtId="0" fontId="65" fillId="8" borderId="70" xfId="0" applyFont="1" applyFill="1" applyBorder="1" applyAlignment="1">
      <alignment vertical="top"/>
    </xf>
    <xf numFmtId="0" fontId="65" fillId="8" borderId="2" xfId="0" applyFont="1" applyFill="1" applyBorder="1" applyAlignment="1">
      <alignment vertical="top"/>
    </xf>
    <xf numFmtId="3" fontId="61" fillId="25" borderId="29" xfId="0" applyNumberFormat="1" applyFont="1" applyFill="1" applyBorder="1" applyAlignment="1">
      <alignment vertical="top"/>
    </xf>
    <xf numFmtId="0" fontId="65" fillId="0" borderId="77" xfId="0" applyFont="1" applyFill="1" applyBorder="1" applyAlignment="1">
      <alignment vertical="top"/>
    </xf>
    <xf numFmtId="3" fontId="34" fillId="23" borderId="47" xfId="0" applyNumberFormat="1" applyFont="1" applyFill="1" applyBorder="1" applyAlignment="1">
      <alignment vertical="center"/>
    </xf>
    <xf numFmtId="3" fontId="58" fillId="22" borderId="29" xfId="0" applyNumberFormat="1" applyFont="1" applyFill="1" applyBorder="1" applyAlignment="1">
      <alignment vertical="top"/>
    </xf>
    <xf numFmtId="3" fontId="63" fillId="26" borderId="29" xfId="0" applyNumberFormat="1" applyFont="1" applyFill="1" applyBorder="1" applyAlignment="1">
      <alignment vertical="center"/>
    </xf>
    <xf numFmtId="3" fontId="34" fillId="8" borderId="15" xfId="0" applyNumberFormat="1" applyFont="1" applyFill="1" applyBorder="1" applyAlignment="1">
      <alignment vertical="top"/>
    </xf>
    <xf numFmtId="0" fontId="65" fillId="6" borderId="29" xfId="0" applyFont="1" applyFill="1" applyBorder="1" applyAlignment="1">
      <alignment vertical="top"/>
    </xf>
    <xf numFmtId="3" fontId="66" fillId="0" borderId="30" xfId="0" applyNumberFormat="1" applyFont="1" applyBorder="1"/>
    <xf numFmtId="3" fontId="66" fillId="0" borderId="47" xfId="0" applyNumberFormat="1" applyFont="1" applyBorder="1"/>
    <xf numFmtId="0" fontId="53" fillId="0" borderId="1" xfId="0" applyFont="1" applyBorder="1" applyAlignment="1">
      <alignment vertical="top"/>
    </xf>
    <xf numFmtId="0" fontId="54" fillId="0" borderId="3" xfId="0" applyFont="1" applyBorder="1" applyAlignment="1">
      <alignment vertical="top" wrapText="1"/>
    </xf>
    <xf numFmtId="0" fontId="53" fillId="0" borderId="26" xfId="0" applyFont="1" applyBorder="1" applyAlignment="1">
      <alignment vertical="top"/>
    </xf>
    <xf numFmtId="0" fontId="53" fillId="0" borderId="68" xfId="0" applyFont="1" applyBorder="1" applyAlignment="1">
      <alignment vertical="top"/>
    </xf>
    <xf numFmtId="0" fontId="55" fillId="0" borderId="28" xfId="0" applyFont="1" applyBorder="1" applyAlignment="1">
      <alignment horizontal="center" vertical="top"/>
    </xf>
    <xf numFmtId="0" fontId="56" fillId="0" borderId="79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70" xfId="0" applyFont="1" applyBorder="1" applyAlignment="1">
      <alignment horizontal="center" vertical="center"/>
    </xf>
    <xf numFmtId="0" fontId="55" fillId="26" borderId="39" xfId="0" quotePrefix="1" applyFont="1" applyFill="1" applyBorder="1" applyAlignment="1">
      <alignment horizontal="center" vertical="top"/>
    </xf>
    <xf numFmtId="0" fontId="59" fillId="6" borderId="8" xfId="4" applyFont="1" applyFill="1" applyBorder="1" applyAlignment="1">
      <alignment horizontal="left" vertical="center"/>
    </xf>
    <xf numFmtId="3" fontId="58" fillId="6" borderId="29" xfId="4" applyNumberFormat="1" applyFont="1" applyFill="1" applyBorder="1" applyAlignment="1">
      <alignment vertical="center"/>
    </xf>
    <xf numFmtId="3" fontId="58" fillId="6" borderId="30" xfId="4" applyNumberFormat="1" applyFont="1" applyFill="1" applyBorder="1" applyAlignment="1">
      <alignment vertical="center"/>
    </xf>
    <xf numFmtId="3" fontId="52" fillId="0" borderId="0" xfId="0" applyNumberFormat="1" applyFont="1" applyAlignment="1">
      <alignment vertical="top"/>
    </xf>
    <xf numFmtId="3" fontId="63" fillId="8" borderId="31" xfId="4" applyNumberFormat="1" applyFont="1" applyFill="1" applyBorder="1" applyAlignment="1">
      <alignment vertical="top" wrapText="1"/>
    </xf>
    <xf numFmtId="3" fontId="61" fillId="8" borderId="28" xfId="0" applyNumberFormat="1" applyFont="1" applyFill="1" applyBorder="1" applyAlignment="1">
      <alignment vertical="top"/>
    </xf>
    <xf numFmtId="3" fontId="61" fillId="8" borderId="30" xfId="0" applyNumberFormat="1" applyFont="1" applyFill="1" applyBorder="1" applyAlignment="1">
      <alignment vertical="top"/>
    </xf>
    <xf numFmtId="3" fontId="34" fillId="8" borderId="31" xfId="4" applyNumberFormat="1" applyFont="1" applyFill="1" applyBorder="1" applyAlignment="1">
      <alignment vertical="top" wrapText="1"/>
    </xf>
    <xf numFmtId="3" fontId="65" fillId="8" borderId="28" xfId="0" applyNumberFormat="1" applyFont="1" applyFill="1" applyBorder="1" applyAlignment="1">
      <alignment vertical="top"/>
    </xf>
    <xf numFmtId="3" fontId="66" fillId="8" borderId="28" xfId="6" applyNumberFormat="1" applyFont="1" applyFill="1" applyBorder="1" applyAlignment="1">
      <alignment vertical="center"/>
    </xf>
    <xf numFmtId="0" fontId="51" fillId="8" borderId="25" xfId="4" applyFont="1" applyFill="1" applyBorder="1" applyAlignment="1">
      <alignment horizontal="center" vertical="top"/>
    </xf>
    <xf numFmtId="3" fontId="61" fillId="2" borderId="30" xfId="4" applyNumberFormat="1" applyFont="1" applyFill="1" applyBorder="1" applyAlignment="1">
      <alignment horizontal="right" vertical="center"/>
    </xf>
    <xf numFmtId="3" fontId="63" fillId="2" borderId="30" xfId="4" applyNumberFormat="1" applyFont="1" applyFill="1" applyBorder="1" applyAlignment="1">
      <alignment horizontal="right" vertical="center"/>
    </xf>
    <xf numFmtId="3" fontId="63" fillId="0" borderId="63" xfId="4" applyNumberFormat="1" applyFont="1" applyFill="1" applyBorder="1" applyAlignment="1">
      <alignment horizontal="right" vertical="center"/>
    </xf>
    <xf numFmtId="0" fontId="52" fillId="0" borderId="0" xfId="0" applyFont="1" applyAlignment="1">
      <alignment vertical="center"/>
    </xf>
    <xf numFmtId="3" fontId="52" fillId="0" borderId="0" xfId="0" applyNumberFormat="1" applyFont="1" applyAlignment="1">
      <alignment vertical="center"/>
    </xf>
    <xf numFmtId="3" fontId="61" fillId="2" borderId="31" xfId="4" applyNumberFormat="1" applyFont="1" applyFill="1" applyBorder="1" applyAlignment="1">
      <alignment vertical="top" wrapText="1"/>
    </xf>
    <xf numFmtId="0" fontId="51" fillId="8" borderId="19" xfId="0" applyFont="1" applyFill="1" applyBorder="1" applyAlignment="1">
      <alignment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8" borderId="3" xfId="0" applyFont="1" applyFill="1" applyBorder="1" applyAlignment="1">
      <alignment vertical="top"/>
    </xf>
    <xf numFmtId="0" fontId="52" fillId="8" borderId="70" xfId="0" applyFont="1" applyFill="1" applyBorder="1" applyAlignment="1">
      <alignment vertical="top"/>
    </xf>
    <xf numFmtId="0" fontId="52" fillId="8" borderId="79" xfId="0" applyFont="1" applyFill="1" applyBorder="1" applyAlignment="1">
      <alignment vertical="top"/>
    </xf>
    <xf numFmtId="3" fontId="52" fillId="8" borderId="79" xfId="0" applyNumberFormat="1" applyFont="1" applyFill="1" applyBorder="1" applyAlignment="1">
      <alignment vertical="top"/>
    </xf>
    <xf numFmtId="3" fontId="52" fillId="23" borderId="70" xfId="0" applyNumberFormat="1" applyFont="1" applyFill="1" applyBorder="1" applyAlignment="1">
      <alignment vertical="top"/>
    </xf>
    <xf numFmtId="3" fontId="51" fillId="6" borderId="29" xfId="4" applyNumberFormat="1" applyFont="1" applyFill="1" applyBorder="1" applyAlignment="1"/>
    <xf numFmtId="3" fontId="70" fillId="0" borderId="29" xfId="6" applyNumberFormat="1" applyFont="1" applyFill="1" applyBorder="1" applyAlignment="1">
      <alignment vertical="center"/>
    </xf>
    <xf numFmtId="3" fontId="70" fillId="0" borderId="30" xfId="6" applyNumberFormat="1" applyFont="1" applyFill="1" applyBorder="1" applyAlignment="1">
      <alignment vertical="center"/>
    </xf>
    <xf numFmtId="3" fontId="69" fillId="0" borderId="63" xfId="4" applyNumberFormat="1" applyFont="1" applyFill="1" applyBorder="1" applyAlignment="1">
      <alignment horizontal="right" vertical="center"/>
    </xf>
    <xf numFmtId="3" fontId="69" fillId="0" borderId="65" xfId="4" applyNumberFormat="1" applyFont="1" applyFill="1" applyBorder="1" applyAlignment="1">
      <alignment horizontal="right" vertical="center"/>
    </xf>
    <xf numFmtId="3" fontId="56" fillId="0" borderId="65" xfId="6" applyNumberFormat="1" applyFont="1" applyFill="1" applyBorder="1" applyAlignment="1">
      <alignment vertical="center"/>
    </xf>
    <xf numFmtId="3" fontId="52" fillId="24" borderId="30" xfId="4" applyNumberFormat="1" applyFont="1" applyFill="1" applyBorder="1" applyAlignment="1">
      <alignment horizontal="right" vertical="center"/>
    </xf>
    <xf numFmtId="3" fontId="52" fillId="2" borderId="47" xfId="4" applyNumberFormat="1" applyFont="1" applyFill="1" applyBorder="1" applyAlignment="1">
      <alignment horizontal="right" vertical="center"/>
    </xf>
    <xf numFmtId="3" fontId="52" fillId="2" borderId="12" xfId="4" applyNumberFormat="1" applyFont="1" applyFill="1" applyBorder="1" applyAlignment="1">
      <alignment horizontal="right" vertical="center"/>
    </xf>
    <xf numFmtId="3" fontId="79" fillId="0" borderId="0" xfId="0" applyNumberFormat="1" applyFont="1"/>
    <xf numFmtId="0" fontId="79" fillId="0" borderId="0" xfId="0" applyFont="1"/>
    <xf numFmtId="3" fontId="65" fillId="25" borderId="47" xfId="4" applyNumberFormat="1" applyFont="1" applyFill="1" applyBorder="1" applyAlignment="1">
      <alignment horizontal="right" vertical="center"/>
    </xf>
    <xf numFmtId="3" fontId="65" fillId="25" borderId="72" xfId="4" applyNumberFormat="1" applyFont="1" applyFill="1" applyBorder="1" applyAlignment="1">
      <alignment horizontal="right" vertical="center"/>
    </xf>
    <xf numFmtId="3" fontId="63" fillId="0" borderId="13" xfId="4" applyNumberFormat="1" applyFont="1" applyFill="1" applyBorder="1" applyAlignment="1">
      <alignment horizontal="right" vertical="center"/>
    </xf>
    <xf numFmtId="3" fontId="34" fillId="0" borderId="35" xfId="4" applyNumberFormat="1" applyFont="1" applyFill="1" applyBorder="1" applyAlignment="1">
      <alignment horizontal="right" vertical="center"/>
    </xf>
    <xf numFmtId="3" fontId="34" fillId="0" borderId="9" xfId="4" applyNumberFormat="1" applyFont="1" applyFill="1" applyBorder="1" applyAlignment="1">
      <alignment horizontal="right" vertical="center"/>
    </xf>
    <xf numFmtId="3" fontId="34" fillId="0" borderId="0" xfId="4" applyNumberFormat="1" applyFont="1" applyFill="1" applyBorder="1" applyAlignment="1">
      <alignment horizontal="right" vertical="center"/>
    </xf>
    <xf numFmtId="3" fontId="34" fillId="0" borderId="13" xfId="4" applyNumberFormat="1" applyFont="1" applyFill="1" applyBorder="1" applyAlignment="1">
      <alignment horizontal="right" vertical="center"/>
    </xf>
    <xf numFmtId="3" fontId="34" fillId="0" borderId="27" xfId="4" applyNumberFormat="1" applyFont="1" applyFill="1" applyBorder="1" applyAlignment="1">
      <alignment horizontal="right" vertical="center"/>
    </xf>
    <xf numFmtId="3" fontId="34" fillId="0" borderId="51" xfId="4" applyNumberFormat="1" applyFont="1" applyFill="1" applyBorder="1" applyAlignment="1">
      <alignment horizontal="right"/>
    </xf>
    <xf numFmtId="3" fontId="34" fillId="0" borderId="39" xfId="4" applyNumberFormat="1" applyFont="1" applyFill="1" applyBorder="1" applyAlignment="1">
      <alignment horizontal="right"/>
    </xf>
    <xf numFmtId="0" fontId="58" fillId="0" borderId="11" xfId="4" applyFont="1" applyFill="1" applyBorder="1" applyAlignment="1">
      <alignment vertical="center"/>
    </xf>
    <xf numFmtId="0" fontId="58" fillId="0" borderId="25" xfId="4" applyFont="1" applyFill="1" applyBorder="1" applyAlignment="1">
      <alignment vertical="center"/>
    </xf>
    <xf numFmtId="3" fontId="34" fillId="0" borderId="39" xfId="4" applyNumberFormat="1" applyFont="1" applyFill="1" applyBorder="1" applyAlignment="1">
      <alignment horizontal="right" vertical="center"/>
    </xf>
    <xf numFmtId="3" fontId="59" fillId="22" borderId="29" xfId="4" applyNumberFormat="1" applyFont="1" applyFill="1" applyBorder="1" applyAlignment="1">
      <alignment horizontal="right" vertical="center"/>
    </xf>
    <xf numFmtId="0" fontId="66" fillId="0" borderId="38" xfId="0" applyFont="1" applyBorder="1" applyAlignment="1">
      <alignment horizontal="center" vertical="center" wrapText="1"/>
    </xf>
    <xf numFmtId="3" fontId="34" fillId="0" borderId="50" xfId="4" applyNumberFormat="1" applyFont="1" applyFill="1" applyBorder="1" applyAlignment="1">
      <alignment horizontal="right" vertical="center"/>
    </xf>
    <xf numFmtId="3" fontId="65" fillId="2" borderId="47" xfId="4" applyNumberFormat="1" applyFont="1" applyFill="1" applyBorder="1" applyAlignment="1">
      <alignment horizontal="right" vertical="center"/>
    </xf>
    <xf numFmtId="3" fontId="59" fillId="6" borderId="9" xfId="4" applyNumberFormat="1" applyFont="1" applyFill="1" applyBorder="1" applyAlignment="1">
      <alignment horizontal="right" vertical="center"/>
    </xf>
    <xf numFmtId="0" fontId="59" fillId="6" borderId="30" xfId="4" applyFont="1" applyFill="1" applyBorder="1" applyAlignment="1">
      <alignment horizontal="left" vertical="center"/>
    </xf>
    <xf numFmtId="3" fontId="65" fillId="0" borderId="35" xfId="4" applyNumberFormat="1" applyFont="1" applyFill="1" applyBorder="1" applyAlignment="1">
      <alignment horizontal="right" vertical="center"/>
    </xf>
    <xf numFmtId="0" fontId="59" fillId="6" borderId="35" xfId="4" applyFont="1" applyFill="1" applyBorder="1" applyAlignment="1">
      <alignment horizontal="left" vertical="center"/>
    </xf>
    <xf numFmtId="0" fontId="58" fillId="27" borderId="5" xfId="4" applyFont="1" applyFill="1" applyBorder="1" applyAlignment="1">
      <alignment vertical="center" wrapText="1"/>
    </xf>
    <xf numFmtId="3" fontId="63" fillId="27" borderId="32" xfId="4" applyNumberFormat="1" applyFont="1" applyFill="1" applyBorder="1" applyAlignment="1">
      <alignment vertical="top" wrapText="1"/>
    </xf>
    <xf numFmtId="3" fontId="63" fillId="13" borderId="32" xfId="4" applyNumberFormat="1" applyFont="1" applyFill="1" applyBorder="1" applyAlignment="1">
      <alignment vertical="top" wrapText="1"/>
    </xf>
    <xf numFmtId="0" fontId="61" fillId="13" borderId="21" xfId="4" applyFont="1" applyFill="1" applyBorder="1" applyAlignment="1">
      <alignment vertical="top"/>
    </xf>
    <xf numFmtId="0" fontId="61" fillId="51" borderId="45" xfId="4" applyFont="1" applyFill="1" applyBorder="1" applyAlignment="1">
      <alignment horizontal="left" vertical="center"/>
    </xf>
    <xf numFmtId="0" fontId="61" fillId="51" borderId="16" xfId="4" applyFont="1" applyFill="1" applyBorder="1" applyAlignment="1">
      <alignment horizontal="left" vertical="center"/>
    </xf>
    <xf numFmtId="3" fontId="61" fillId="51" borderId="17" xfId="4" applyNumberFormat="1" applyFont="1" applyFill="1" applyBorder="1" applyAlignment="1">
      <alignment horizontal="right" vertical="center"/>
    </xf>
    <xf numFmtId="0" fontId="61" fillId="51" borderId="67" xfId="4" applyFont="1" applyFill="1" applyBorder="1" applyAlignment="1">
      <alignment horizontal="left" vertical="center"/>
    </xf>
    <xf numFmtId="0" fontId="61" fillId="51" borderId="6" xfId="4" applyFont="1" applyFill="1" applyBorder="1" applyAlignment="1">
      <alignment horizontal="left" vertical="center"/>
    </xf>
    <xf numFmtId="3" fontId="61" fillId="51" borderId="27" xfId="4" applyNumberFormat="1" applyFont="1" applyFill="1" applyBorder="1" applyAlignment="1">
      <alignment horizontal="right" vertical="center"/>
    </xf>
    <xf numFmtId="0" fontId="61" fillId="51" borderId="67" xfId="0" applyFont="1" applyFill="1" applyBorder="1" applyAlignment="1">
      <alignment horizontal="left" vertical="top"/>
    </xf>
    <xf numFmtId="0" fontId="62" fillId="51" borderId="6" xfId="0" quotePrefix="1" applyFont="1" applyFill="1" applyBorder="1" applyAlignment="1">
      <alignment horizontal="center" vertical="top"/>
    </xf>
    <xf numFmtId="3" fontId="61" fillId="51" borderId="27" xfId="0" quotePrefix="1" applyNumberFormat="1" applyFont="1" applyFill="1" applyBorder="1" applyAlignment="1">
      <alignment horizontal="right" vertical="top"/>
    </xf>
    <xf numFmtId="0" fontId="61" fillId="51" borderId="34" xfId="4" applyFont="1" applyFill="1" applyBorder="1" applyAlignment="1">
      <alignment horizontal="left" vertical="center"/>
    </xf>
    <xf numFmtId="3" fontId="61" fillId="51" borderId="29" xfId="4" applyNumberFormat="1" applyFont="1" applyFill="1" applyBorder="1" applyAlignment="1">
      <alignment horizontal="right" vertical="center"/>
    </xf>
    <xf numFmtId="0" fontId="69" fillId="51" borderId="67" xfId="4" applyFont="1" applyFill="1" applyBorder="1" applyAlignment="1">
      <alignment horizontal="left" vertical="center"/>
    </xf>
    <xf numFmtId="3" fontId="69" fillId="51" borderId="6" xfId="4" applyNumberFormat="1" applyFont="1" applyFill="1" applyBorder="1" applyAlignment="1">
      <alignment horizontal="left" vertical="center"/>
    </xf>
    <xf numFmtId="3" fontId="69" fillId="51" borderId="27" xfId="4" applyNumberFormat="1" applyFont="1" applyFill="1" applyBorder="1" applyAlignment="1">
      <alignment horizontal="right" vertical="center"/>
    </xf>
    <xf numFmtId="0" fontId="69" fillId="51" borderId="46" xfId="0" applyFont="1" applyFill="1" applyBorder="1" applyAlignment="1">
      <alignment horizontal="left" vertical="top"/>
    </xf>
    <xf numFmtId="0" fontId="47" fillId="51" borderId="20" xfId="0" quotePrefix="1" applyFont="1" applyFill="1" applyBorder="1" applyAlignment="1">
      <alignment horizontal="center" vertical="top"/>
    </xf>
    <xf numFmtId="3" fontId="69" fillId="51" borderId="9" xfId="0" quotePrefix="1" applyNumberFormat="1" applyFont="1" applyFill="1" applyBorder="1" applyAlignment="1">
      <alignment horizontal="right" vertical="top"/>
    </xf>
    <xf numFmtId="0" fontId="61" fillId="51" borderId="28" xfId="4" applyFont="1" applyFill="1" applyBorder="1" applyAlignment="1">
      <alignment horizontal="left" vertical="center"/>
    </xf>
    <xf numFmtId="0" fontId="62" fillId="51" borderId="22" xfId="0" quotePrefix="1" applyFont="1" applyFill="1" applyBorder="1" applyAlignment="1">
      <alignment horizontal="center" vertical="top"/>
    </xf>
    <xf numFmtId="0" fontId="61" fillId="51" borderId="36" xfId="4" applyFont="1" applyFill="1" applyBorder="1" applyAlignment="1">
      <alignment horizontal="left" vertical="center"/>
    </xf>
    <xf numFmtId="0" fontId="61" fillId="51" borderId="20" xfId="4" applyFont="1" applyFill="1" applyBorder="1" applyAlignment="1">
      <alignment horizontal="left" vertical="center"/>
    </xf>
    <xf numFmtId="3" fontId="61" fillId="51" borderId="9" xfId="4" applyNumberFormat="1" applyFont="1" applyFill="1" applyBorder="1" applyAlignment="1">
      <alignment horizontal="right" vertical="center"/>
    </xf>
    <xf numFmtId="0" fontId="61" fillId="51" borderId="46" xfId="0" applyFont="1" applyFill="1" applyBorder="1" applyAlignment="1">
      <alignment horizontal="left" vertical="top"/>
    </xf>
    <xf numFmtId="3" fontId="61" fillId="51" borderId="12" xfId="4" applyNumberFormat="1" applyFont="1" applyFill="1" applyBorder="1" applyAlignment="1">
      <alignment horizontal="right" vertical="center"/>
    </xf>
    <xf numFmtId="0" fontId="61" fillId="51" borderId="8" xfId="4" applyFont="1" applyFill="1" applyBorder="1" applyAlignment="1">
      <alignment horizontal="left" vertical="center"/>
    </xf>
    <xf numFmtId="3" fontId="61" fillId="51" borderId="20" xfId="4" applyNumberFormat="1" applyFont="1" applyFill="1" applyBorder="1" applyAlignment="1">
      <alignment horizontal="right" vertical="center"/>
    </xf>
    <xf numFmtId="0" fontId="61" fillId="51" borderId="0" xfId="4" applyFont="1" applyFill="1" applyBorder="1" applyAlignment="1">
      <alignment horizontal="left" vertical="center"/>
    </xf>
    <xf numFmtId="3" fontId="61" fillId="51" borderId="6" xfId="4" applyNumberFormat="1" applyFont="1" applyFill="1" applyBorder="1" applyAlignment="1">
      <alignment horizontal="right" vertical="center"/>
    </xf>
    <xf numFmtId="0" fontId="61" fillId="51" borderId="68" xfId="0" applyFont="1" applyFill="1" applyBorder="1" applyAlignment="1">
      <alignment horizontal="left" vertical="top"/>
    </xf>
    <xf numFmtId="3" fontId="61" fillId="51" borderId="22" xfId="0" quotePrefix="1" applyNumberFormat="1" applyFont="1" applyFill="1" applyBorder="1" applyAlignment="1">
      <alignment horizontal="right" vertical="top"/>
    </xf>
    <xf numFmtId="3" fontId="61" fillId="51" borderId="23" xfId="0" quotePrefix="1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/>
    </xf>
    <xf numFmtId="3" fontId="0" fillId="0" borderId="0" xfId="0" applyNumberFormat="1" applyFont="1" applyAlignment="1">
      <alignment vertical="top"/>
    </xf>
    <xf numFmtId="0" fontId="0" fillId="0" borderId="0" xfId="0" applyFont="1" applyBorder="1" applyAlignment="1">
      <alignment vertical="top"/>
    </xf>
    <xf numFmtId="4" fontId="0" fillId="0" borderId="0" xfId="0" applyNumberFormat="1" applyFont="1" applyAlignment="1">
      <alignment vertical="top"/>
    </xf>
    <xf numFmtId="0" fontId="68" fillId="2" borderId="24" xfId="0" applyFont="1" applyFill="1" applyBorder="1" applyAlignment="1">
      <alignment vertical="top"/>
    </xf>
    <xf numFmtId="0" fontId="68" fillId="0" borderId="24" xfId="0" applyFont="1" applyFill="1" applyBorder="1" applyAlignment="1">
      <alignment vertical="top"/>
    </xf>
    <xf numFmtId="0" fontId="51" fillId="2" borderId="5" xfId="0" applyFont="1" applyFill="1" applyBorder="1" applyAlignment="1">
      <alignment horizontal="center" vertical="top"/>
    </xf>
    <xf numFmtId="0" fontId="51" fillId="2" borderId="0" xfId="0" applyFont="1" applyFill="1" applyBorder="1" applyAlignment="1">
      <alignment horizontal="center" vertical="center" wrapText="1"/>
    </xf>
    <xf numFmtId="0" fontId="51" fillId="2" borderId="11" xfId="0" applyFont="1" applyFill="1" applyBorder="1" applyAlignment="1">
      <alignment horizontal="center" vertical="top"/>
    </xf>
    <xf numFmtId="0" fontId="51" fillId="2" borderId="0" xfId="0" applyFont="1" applyFill="1" applyBorder="1" applyAlignment="1">
      <alignment horizontal="center" vertical="top"/>
    </xf>
    <xf numFmtId="0" fontId="55" fillId="2" borderId="70" xfId="0" quotePrefix="1" applyFont="1" applyFill="1" applyBorder="1" applyAlignment="1">
      <alignment horizontal="center" vertical="top"/>
    </xf>
    <xf numFmtId="3" fontId="52" fillId="8" borderId="67" xfId="4" applyNumberFormat="1" applyFont="1" applyFill="1" applyBorder="1" applyAlignment="1">
      <alignment vertical="top" wrapText="1"/>
    </xf>
    <xf numFmtId="0" fontId="61" fillId="51" borderId="11" xfId="4" applyFont="1" applyFill="1" applyBorder="1" applyAlignment="1">
      <alignment horizontal="left" vertical="center"/>
    </xf>
    <xf numFmtId="3" fontId="61" fillId="21" borderId="43" xfId="4" applyNumberFormat="1" applyFont="1" applyFill="1" applyBorder="1" applyAlignment="1">
      <alignment horizontal="right" vertical="center"/>
    </xf>
    <xf numFmtId="0" fontId="61" fillId="51" borderId="25" xfId="0" applyFont="1" applyFill="1" applyBorder="1" applyAlignment="1">
      <alignment horizontal="left" vertical="top"/>
    </xf>
    <xf numFmtId="3" fontId="61" fillId="21" borderId="41" xfId="4" applyNumberFormat="1" applyFont="1" applyFill="1" applyBorder="1" applyAlignment="1">
      <alignment horizontal="right" vertical="center"/>
    </xf>
    <xf numFmtId="0" fontId="59" fillId="6" borderId="21" xfId="4" applyFont="1" applyFill="1" applyBorder="1" applyAlignment="1">
      <alignment horizontal="left"/>
    </xf>
    <xf numFmtId="0" fontId="59" fillId="6" borderId="9" xfId="4" applyFont="1" applyFill="1" applyBorder="1" applyAlignment="1">
      <alignment horizontal="left"/>
    </xf>
    <xf numFmtId="3" fontId="59" fillId="6" borderId="8" xfId="0" applyNumberFormat="1" applyFont="1" applyFill="1" applyBorder="1" applyAlignment="1"/>
    <xf numFmtId="3" fontId="59" fillId="6" borderId="35" xfId="0" applyNumberFormat="1" applyFont="1" applyFill="1" applyBorder="1" applyAlignment="1"/>
    <xf numFmtId="3" fontId="59" fillId="22" borderId="46" xfId="0" applyNumberFormat="1" applyFont="1" applyFill="1" applyBorder="1" applyAlignment="1"/>
    <xf numFmtId="0" fontId="61" fillId="8" borderId="36" xfId="4" applyFont="1" applyFill="1" applyBorder="1" applyAlignment="1"/>
    <xf numFmtId="0" fontId="59" fillId="8" borderId="9" xfId="0" applyFont="1" applyFill="1" applyBorder="1" applyAlignment="1">
      <alignment wrapText="1"/>
    </xf>
    <xf numFmtId="3" fontId="59" fillId="8" borderId="35" xfId="0" applyNumberFormat="1" applyFont="1" applyFill="1" applyBorder="1" applyAlignment="1"/>
    <xf numFmtId="3" fontId="59" fillId="23" borderId="46" xfId="0" applyNumberFormat="1" applyFont="1" applyFill="1" applyBorder="1" applyAlignment="1"/>
    <xf numFmtId="0" fontId="65" fillId="8" borderId="21" xfId="0" applyFont="1" applyFill="1" applyBorder="1" applyAlignment="1">
      <alignment vertical="center"/>
    </xf>
    <xf numFmtId="3" fontId="65" fillId="8" borderId="35" xfId="0" applyNumberFormat="1" applyFont="1" applyFill="1" applyBorder="1" applyAlignment="1"/>
    <xf numFmtId="3" fontId="65" fillId="23" borderId="49" xfId="0" applyNumberFormat="1" applyFont="1" applyFill="1" applyBorder="1" applyAlignment="1"/>
    <xf numFmtId="0" fontId="65" fillId="8" borderId="9" xfId="0" applyFont="1" applyFill="1" applyBorder="1" applyAlignment="1">
      <alignment vertical="center"/>
    </xf>
    <xf numFmtId="3" fontId="65" fillId="8" borderId="30" xfId="0" applyNumberFormat="1" applyFont="1" applyFill="1" applyBorder="1" applyAlignment="1">
      <alignment vertical="center"/>
    </xf>
    <xf numFmtId="3" fontId="65" fillId="25" borderId="30" xfId="0" applyNumberFormat="1" applyFont="1" applyFill="1" applyBorder="1" applyAlignment="1">
      <alignment horizontal="center" vertical="top"/>
    </xf>
    <xf numFmtId="3" fontId="65" fillId="25" borderId="49" xfId="0" applyNumberFormat="1" applyFont="1" applyFill="1" applyBorder="1" applyAlignment="1">
      <alignment horizontal="center" vertical="top"/>
    </xf>
    <xf numFmtId="3" fontId="65" fillId="23" borderId="30" xfId="0" applyNumberFormat="1" applyFont="1" applyFill="1" applyBorder="1" applyAlignment="1">
      <alignment vertical="top"/>
    </xf>
    <xf numFmtId="3" fontId="65" fillId="23" borderId="49" xfId="0" applyNumberFormat="1" applyFont="1" applyFill="1" applyBorder="1" applyAlignment="1">
      <alignment vertical="top"/>
    </xf>
    <xf numFmtId="0" fontId="97" fillId="8" borderId="67" xfId="0" applyFont="1" applyFill="1" applyBorder="1" applyAlignment="1">
      <alignment horizontal="center" vertical="top" wrapText="1"/>
    </xf>
    <xf numFmtId="0" fontId="65" fillId="8" borderId="32" xfId="0" applyFont="1" applyFill="1" applyBorder="1" applyAlignment="1">
      <alignment vertical="center" wrapText="1"/>
    </xf>
    <xf numFmtId="3" fontId="65" fillId="8" borderId="35" xfId="0" applyNumberFormat="1" applyFont="1" applyFill="1" applyBorder="1" applyAlignment="1">
      <alignment vertical="center"/>
    </xf>
    <xf numFmtId="0" fontId="59" fillId="8" borderId="9" xfId="0" applyFont="1" applyFill="1" applyBorder="1" applyAlignment="1">
      <alignment vertical="center" wrapText="1"/>
    </xf>
    <xf numFmtId="3" fontId="59" fillId="8" borderId="35" xfId="0" applyNumberFormat="1" applyFont="1" applyFill="1" applyBorder="1" applyAlignment="1">
      <alignment vertical="center"/>
    </xf>
    <xf numFmtId="0" fontId="65" fillId="8" borderId="33" xfId="4" applyFont="1" applyFill="1" applyBorder="1" applyAlignment="1">
      <alignment vertical="top" wrapText="1"/>
    </xf>
    <xf numFmtId="0" fontId="65" fillId="8" borderId="28" xfId="0" applyFont="1" applyFill="1" applyBorder="1" applyAlignment="1">
      <alignment vertical="top" wrapText="1"/>
    </xf>
    <xf numFmtId="3" fontId="65" fillId="8" borderId="63" xfId="0" applyNumberFormat="1" applyFont="1" applyFill="1" applyBorder="1" applyAlignment="1">
      <alignment vertical="top"/>
    </xf>
    <xf numFmtId="0" fontId="52" fillId="8" borderId="67" xfId="0" applyFont="1" applyFill="1" applyBorder="1" applyAlignment="1">
      <alignment horizontal="center" vertical="top" wrapText="1"/>
    </xf>
    <xf numFmtId="0" fontId="65" fillId="8" borderId="27" xfId="0" applyFont="1" applyFill="1" applyBorder="1" applyAlignment="1">
      <alignment vertical="top" wrapText="1"/>
    </xf>
    <xf numFmtId="3" fontId="65" fillId="8" borderId="47" xfId="0" applyNumberFormat="1" applyFont="1" applyFill="1" applyBorder="1" applyAlignment="1">
      <alignment vertical="top"/>
    </xf>
    <xf numFmtId="0" fontId="58" fillId="8" borderId="19" xfId="0" applyFont="1" applyFill="1" applyBorder="1" applyAlignment="1">
      <alignment vertical="top" wrapText="1"/>
    </xf>
    <xf numFmtId="3" fontId="65" fillId="8" borderId="3" xfId="0" applyNumberFormat="1" applyFont="1" applyFill="1" applyBorder="1" applyAlignment="1">
      <alignment vertical="top"/>
    </xf>
    <xf numFmtId="3" fontId="65" fillId="8" borderId="15" xfId="0" applyNumberFormat="1" applyFont="1" applyFill="1" applyBorder="1" applyAlignment="1">
      <alignment vertical="top"/>
    </xf>
    <xf numFmtId="3" fontId="65" fillId="23" borderId="42" xfId="0" applyNumberFormat="1" applyFont="1" applyFill="1" applyBorder="1" applyAlignment="1">
      <alignment vertical="top"/>
    </xf>
    <xf numFmtId="3" fontId="59" fillId="6" borderId="30" xfId="0" applyNumberFormat="1" applyFont="1" applyFill="1" applyBorder="1" applyAlignment="1"/>
    <xf numFmtId="3" fontId="59" fillId="22" borderId="43" xfId="0" applyNumberFormat="1" applyFont="1" applyFill="1" applyBorder="1" applyAlignment="1"/>
    <xf numFmtId="3" fontId="63" fillId="2" borderId="32" xfId="4" applyNumberFormat="1" applyFont="1" applyFill="1" applyBorder="1" applyAlignment="1">
      <alignment vertical="center" wrapText="1"/>
    </xf>
    <xf numFmtId="3" fontId="61" fillId="2" borderId="30" xfId="0" applyNumberFormat="1" applyFont="1" applyFill="1" applyBorder="1" applyAlignment="1"/>
    <xf numFmtId="3" fontId="61" fillId="26" borderId="43" xfId="0" applyNumberFormat="1" applyFont="1" applyFill="1" applyBorder="1" applyAlignment="1"/>
    <xf numFmtId="0" fontId="34" fillId="0" borderId="21" xfId="0" applyFont="1" applyFill="1" applyBorder="1" applyAlignment="1">
      <alignment vertical="center"/>
    </xf>
    <xf numFmtId="3" fontId="65" fillId="25" borderId="43" xfId="0" applyNumberFormat="1" applyFont="1" applyFill="1" applyBorder="1" applyAlignment="1">
      <alignment horizontal="center" vertical="top"/>
    </xf>
    <xf numFmtId="0" fontId="34" fillId="0" borderId="32" xfId="0" applyFont="1" applyFill="1" applyBorder="1" applyAlignment="1">
      <alignment vertical="center" wrapText="1"/>
    </xf>
    <xf numFmtId="3" fontId="65" fillId="25" borderId="43" xfId="0" applyNumberFormat="1" applyFont="1" applyFill="1" applyBorder="1" applyAlignment="1">
      <alignment vertical="top"/>
    </xf>
    <xf numFmtId="0" fontId="63" fillId="2" borderId="32" xfId="4" applyFont="1" applyFill="1" applyBorder="1" applyAlignment="1">
      <alignment vertical="center"/>
    </xf>
    <xf numFmtId="3" fontId="61" fillId="25" borderId="43" xfId="0" applyNumberFormat="1" applyFont="1" applyFill="1" applyBorder="1" applyAlignment="1">
      <alignment horizontal="center" vertical="top"/>
    </xf>
    <xf numFmtId="0" fontId="34" fillId="0" borderId="33" xfId="4" applyFont="1" applyFill="1" applyBorder="1" applyAlignment="1">
      <alignment vertical="center"/>
    </xf>
    <xf numFmtId="0" fontId="34" fillId="6" borderId="28" xfId="0" applyFont="1" applyFill="1" applyBorder="1" applyAlignment="1">
      <alignment vertical="top"/>
    </xf>
    <xf numFmtId="0" fontId="34" fillId="2" borderId="27" xfId="0" applyFont="1" applyFill="1" applyBorder="1" applyAlignment="1">
      <alignment vertical="top"/>
    </xf>
    <xf numFmtId="3" fontId="59" fillId="2" borderId="71" xfId="0" applyNumberFormat="1" applyFont="1" applyFill="1" applyBorder="1" applyAlignment="1"/>
    <xf numFmtId="0" fontId="34" fillId="0" borderId="33" xfId="4" applyFont="1" applyFill="1" applyBorder="1" applyAlignment="1">
      <alignment horizontal="left"/>
    </xf>
    <xf numFmtId="0" fontId="57" fillId="0" borderId="27" xfId="0" applyFont="1" applyBorder="1" applyAlignment="1">
      <alignment horizontal="center" vertical="center" wrapText="1"/>
    </xf>
    <xf numFmtId="3" fontId="65" fillId="0" borderId="8" xfId="0" applyNumberFormat="1" applyFont="1" applyFill="1" applyBorder="1" applyAlignment="1">
      <alignment vertical="top"/>
    </xf>
    <xf numFmtId="3" fontId="65" fillId="0" borderId="13" xfId="0" applyNumberFormat="1" applyFont="1" applyFill="1" applyBorder="1" applyAlignment="1">
      <alignment vertical="top"/>
    </xf>
    <xf numFmtId="3" fontId="59" fillId="8" borderId="3" xfId="0" applyNumberFormat="1" applyFont="1" applyFill="1" applyBorder="1" applyAlignment="1">
      <alignment vertical="top"/>
    </xf>
    <xf numFmtId="0" fontId="34" fillId="6" borderId="29" xfId="0" applyFont="1" applyFill="1" applyBorder="1" applyAlignment="1">
      <alignment vertical="top"/>
    </xf>
    <xf numFmtId="3" fontId="59" fillId="22" borderId="49" xfId="0" applyNumberFormat="1" applyFont="1" applyFill="1" applyBorder="1" applyAlignment="1"/>
    <xf numFmtId="3" fontId="61" fillId="25" borderId="49" xfId="0" applyNumberFormat="1" applyFont="1" applyFill="1" applyBorder="1" applyAlignment="1"/>
    <xf numFmtId="0" fontId="34" fillId="0" borderId="21" xfId="0" applyFont="1" applyFill="1" applyBorder="1" applyAlignment="1">
      <alignment vertical="top"/>
    </xf>
    <xf numFmtId="0" fontId="34" fillId="0" borderId="32" xfId="0" applyFont="1" applyFill="1" applyBorder="1" applyAlignment="1">
      <alignment vertical="top" wrapText="1"/>
    </xf>
    <xf numFmtId="3" fontId="65" fillId="25" borderId="49" xfId="0" applyNumberFormat="1" applyFont="1" applyFill="1" applyBorder="1" applyAlignment="1">
      <alignment vertical="top"/>
    </xf>
    <xf numFmtId="3" fontId="61" fillId="25" borderId="49" xfId="0" applyNumberFormat="1" applyFont="1" applyFill="1" applyBorder="1" applyAlignment="1">
      <alignment horizontal="center" vertical="top"/>
    </xf>
    <xf numFmtId="3" fontId="65" fillId="0" borderId="24" xfId="0" applyNumberFormat="1" applyFont="1" applyFill="1" applyBorder="1" applyAlignment="1">
      <alignment vertical="top"/>
    </xf>
    <xf numFmtId="3" fontId="65" fillId="0" borderId="12" xfId="0" applyNumberFormat="1" applyFont="1" applyFill="1" applyBorder="1" applyAlignment="1">
      <alignment vertical="top"/>
    </xf>
    <xf numFmtId="0" fontId="58" fillId="8" borderId="5" xfId="0" applyFont="1" applyFill="1" applyBorder="1" applyAlignment="1">
      <alignment vertical="center" wrapText="1"/>
    </xf>
    <xf numFmtId="3" fontId="59" fillId="8" borderId="70" xfId="0" applyNumberFormat="1" applyFont="1" applyFill="1" applyBorder="1" applyAlignment="1">
      <alignment vertical="top"/>
    </xf>
    <xf numFmtId="3" fontId="65" fillId="23" borderId="42" xfId="0" applyNumberFormat="1" applyFont="1" applyFill="1" applyBorder="1" applyAlignment="1"/>
    <xf numFmtId="0" fontId="34" fillId="0" borderId="25" xfId="0" applyFont="1" applyFill="1" applyBorder="1" applyAlignment="1">
      <alignment horizontal="left" vertical="center"/>
    </xf>
    <xf numFmtId="0" fontId="58" fillId="8" borderId="67" xfId="0" applyFont="1" applyFill="1" applyBorder="1" applyAlignment="1">
      <alignment vertical="center" wrapText="1"/>
    </xf>
    <xf numFmtId="0" fontId="58" fillId="8" borderId="9" xfId="0" applyFont="1" applyFill="1" applyBorder="1" applyAlignment="1">
      <alignment horizontal="center" vertical="center" wrapText="1"/>
    </xf>
    <xf numFmtId="3" fontId="59" fillId="8" borderId="0" xfId="0" applyNumberFormat="1" applyFont="1" applyFill="1" applyBorder="1" applyAlignment="1">
      <alignment vertical="top"/>
    </xf>
    <xf numFmtId="3" fontId="59" fillId="8" borderId="35" xfId="0" applyNumberFormat="1" applyFont="1" applyFill="1" applyBorder="1" applyAlignment="1">
      <alignment vertical="top"/>
    </xf>
    <xf numFmtId="3" fontId="59" fillId="8" borderId="13" xfId="0" applyNumberFormat="1" applyFont="1" applyFill="1" applyBorder="1" applyAlignment="1">
      <alignment vertical="top"/>
    </xf>
    <xf numFmtId="3" fontId="65" fillId="23" borderId="44" xfId="0" applyNumberFormat="1" applyFont="1" applyFill="1" applyBorder="1" applyAlignment="1"/>
    <xf numFmtId="3" fontId="63" fillId="2" borderId="34" xfId="4" applyNumberFormat="1" applyFont="1" applyFill="1" applyBorder="1" applyAlignment="1">
      <alignment vertical="center" wrapText="1"/>
    </xf>
    <xf numFmtId="0" fontId="34" fillId="0" borderId="36" xfId="0" applyFont="1" applyFill="1" applyBorder="1" applyAlignment="1">
      <alignment vertical="center"/>
    </xf>
    <xf numFmtId="3" fontId="65" fillId="2" borderId="63" xfId="0" applyNumberFormat="1" applyFont="1" applyFill="1" applyBorder="1" applyAlignment="1"/>
    <xf numFmtId="0" fontId="34" fillId="0" borderId="34" xfId="0" applyFont="1" applyFill="1" applyBorder="1" applyAlignment="1">
      <alignment vertical="center" wrapText="1"/>
    </xf>
    <xf numFmtId="3" fontId="65" fillId="0" borderId="30" xfId="0" applyNumberFormat="1" applyFont="1" applyFill="1" applyBorder="1" applyAlignment="1">
      <alignment vertical="center"/>
    </xf>
    <xf numFmtId="0" fontId="63" fillId="2" borderId="34" xfId="4" applyFont="1" applyFill="1" applyBorder="1" applyAlignment="1">
      <alignment vertical="center"/>
    </xf>
    <xf numFmtId="0" fontId="0" fillId="0" borderId="65" xfId="0" applyFont="1" applyBorder="1"/>
    <xf numFmtId="0" fontId="0" fillId="0" borderId="63" xfId="0" applyFont="1" applyBorder="1"/>
    <xf numFmtId="0" fontId="0" fillId="0" borderId="30" xfId="0" applyFont="1" applyBorder="1"/>
    <xf numFmtId="0" fontId="58" fillId="6" borderId="28" xfId="0" applyFont="1" applyFill="1" applyBorder="1" applyAlignment="1">
      <alignment vertical="top"/>
    </xf>
    <xf numFmtId="3" fontId="61" fillId="2" borderId="63" xfId="0" applyNumberFormat="1" applyFont="1" applyFill="1" applyBorder="1" applyAlignment="1"/>
    <xf numFmtId="3" fontId="65" fillId="0" borderId="47" xfId="0" applyNumberFormat="1" applyFont="1" applyFill="1" applyBorder="1" applyAlignment="1">
      <alignment vertical="center"/>
    </xf>
    <xf numFmtId="0" fontId="54" fillId="0" borderId="0" xfId="0" applyFont="1" applyAlignment="1">
      <alignment vertical="top"/>
    </xf>
    <xf numFmtId="0" fontId="58" fillId="0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0" fontId="61" fillId="51" borderId="9" xfId="4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3" fontId="34" fillId="23" borderId="72" xfId="4" applyNumberFormat="1" applyFont="1" applyFill="1" applyBorder="1" applyAlignment="1">
      <alignment vertical="center"/>
    </xf>
    <xf numFmtId="3" fontId="99" fillId="0" borderId="30" xfId="5" applyNumberFormat="1" applyFont="1" applyBorder="1" applyAlignment="1">
      <alignment vertical="center"/>
    </xf>
    <xf numFmtId="0" fontId="61" fillId="0" borderId="36" xfId="4" applyFont="1" applyFill="1" applyBorder="1" applyAlignment="1">
      <alignment vertical="center"/>
    </xf>
    <xf numFmtId="3" fontId="65" fillId="0" borderId="29" xfId="0" applyNumberFormat="1" applyFont="1" applyFill="1" applyBorder="1" applyAlignment="1">
      <alignment vertical="center"/>
    </xf>
    <xf numFmtId="3" fontId="59" fillId="0" borderId="29" xfId="0" applyNumberFormat="1" applyFont="1" applyFill="1" applyBorder="1" applyAlignment="1">
      <alignment vertical="center"/>
    </xf>
    <xf numFmtId="0" fontId="3" fillId="16" borderId="42" xfId="0" applyFont="1" applyFill="1" applyBorder="1"/>
    <xf numFmtId="3" fontId="14" fillId="16" borderId="41" xfId="5" applyNumberFormat="1" applyFont="1" applyFill="1" applyBorder="1"/>
    <xf numFmtId="3" fontId="3" fillId="8" borderId="49" xfId="0" applyNumberFormat="1" applyFont="1" applyFill="1" applyBorder="1"/>
    <xf numFmtId="3" fontId="3" fillId="8" borderId="82" xfId="0" applyNumberFormat="1" applyFont="1" applyFill="1" applyBorder="1"/>
    <xf numFmtId="3" fontId="3" fillId="8" borderId="48" xfId="0" applyNumberFormat="1" applyFont="1" applyFill="1" applyBorder="1"/>
    <xf numFmtId="3" fontId="37" fillId="17" borderId="43" xfId="0" applyNumberFormat="1" applyFont="1" applyFill="1" applyBorder="1"/>
    <xf numFmtId="3" fontId="37" fillId="8" borderId="43" xfId="0" applyNumberFormat="1" applyFont="1" applyFill="1" applyBorder="1"/>
    <xf numFmtId="3" fontId="13" fillId="8" borderId="43" xfId="0" applyNumberFormat="1" applyFont="1" applyFill="1" applyBorder="1"/>
    <xf numFmtId="3" fontId="13" fillId="16" borderId="40" xfId="5" applyNumberFormat="1" applyFont="1" applyFill="1" applyBorder="1"/>
    <xf numFmtId="3" fontId="3" fillId="8" borderId="44" xfId="0" applyNumberFormat="1" applyFont="1" applyFill="1" applyBorder="1"/>
    <xf numFmtId="3" fontId="22" fillId="17" borderId="43" xfId="0" applyNumberFormat="1" applyFont="1" applyFill="1" applyBorder="1"/>
    <xf numFmtId="0" fontId="22" fillId="0" borderId="82" xfId="0" applyFont="1" applyBorder="1" applyAlignment="1">
      <alignment horizontal="center" vertical="center"/>
    </xf>
    <xf numFmtId="0" fontId="3" fillId="18" borderId="42" xfId="0" applyFont="1" applyFill="1" applyBorder="1"/>
    <xf numFmtId="3" fontId="14" fillId="18" borderId="41" xfId="0" applyNumberFormat="1" applyFont="1" applyFill="1" applyBorder="1"/>
    <xf numFmtId="3" fontId="18" fillId="11" borderId="44" xfId="0" applyNumberFormat="1" applyFont="1" applyFill="1" applyBorder="1"/>
    <xf numFmtId="3" fontId="18" fillId="11" borderId="49" xfId="0" applyNumberFormat="1" applyFont="1" applyFill="1" applyBorder="1"/>
    <xf numFmtId="3" fontId="18" fillId="11" borderId="48" xfId="0" applyNumberFormat="1" applyFont="1" applyFill="1" applyBorder="1"/>
    <xf numFmtId="3" fontId="36" fillId="18" borderId="40" xfId="0" applyNumberFormat="1" applyFont="1" applyFill="1" applyBorder="1" applyAlignment="1">
      <alignment vertical="top"/>
    </xf>
    <xf numFmtId="3" fontId="36" fillId="2" borderId="43" xfId="0" applyNumberFormat="1" applyFont="1" applyFill="1" applyBorder="1" applyAlignment="1">
      <alignment vertical="top"/>
    </xf>
    <xf numFmtId="3" fontId="14" fillId="18" borderId="40" xfId="0" applyNumberFormat="1" applyFont="1" applyFill="1" applyBorder="1"/>
    <xf numFmtId="3" fontId="3" fillId="18" borderId="41" xfId="0" applyNumberFormat="1" applyFont="1" applyFill="1" applyBorder="1"/>
    <xf numFmtId="0" fontId="3" fillId="0" borderId="43" xfId="0" applyFont="1" applyBorder="1"/>
    <xf numFmtId="3" fontId="36" fillId="0" borderId="43" xfId="0" applyNumberFormat="1" applyFont="1" applyBorder="1"/>
    <xf numFmtId="3" fontId="3" fillId="0" borderId="41" xfId="0" applyNumberFormat="1" applyFont="1" applyBorder="1"/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/>
    <xf numFmtId="3" fontId="63" fillId="8" borderId="34" xfId="4" applyNumberFormat="1" applyFont="1" applyFill="1" applyBorder="1" applyAlignment="1">
      <alignment vertical="top" wrapText="1"/>
    </xf>
    <xf numFmtId="3" fontId="63" fillId="8" borderId="28" xfId="4" applyNumberFormat="1" applyFont="1" applyFill="1" applyBorder="1" applyAlignment="1">
      <alignment vertical="top" wrapText="1"/>
    </xf>
    <xf numFmtId="3" fontId="63" fillId="8" borderId="29" xfId="4" applyNumberFormat="1" applyFont="1" applyFill="1" applyBorder="1" applyAlignment="1">
      <alignment horizontal="right" vertical="center"/>
    </xf>
    <xf numFmtId="3" fontId="63" fillId="23" borderId="29" xfId="4" applyNumberFormat="1" applyFont="1" applyFill="1" applyBorder="1" applyAlignment="1">
      <alignment horizontal="right" vertical="center"/>
    </xf>
    <xf numFmtId="3" fontId="66" fillId="8" borderId="30" xfId="0" applyNumberFormat="1" applyFont="1" applyFill="1" applyBorder="1"/>
    <xf numFmtId="3" fontId="34" fillId="23" borderId="30" xfId="4" applyNumberFormat="1" applyFont="1" applyFill="1" applyBorder="1" applyAlignment="1">
      <alignment horizontal="right" vertical="center"/>
    </xf>
    <xf numFmtId="3" fontId="34" fillId="8" borderId="30" xfId="4" applyNumberFormat="1" applyFont="1" applyFill="1" applyBorder="1" applyAlignment="1">
      <alignment horizontal="right" vertical="center"/>
    </xf>
    <xf numFmtId="0" fontId="63" fillId="8" borderId="34" xfId="4" applyFont="1" applyFill="1" applyBorder="1" applyAlignment="1">
      <alignment vertical="top"/>
    </xf>
    <xf numFmtId="3" fontId="34" fillId="8" borderId="81" xfId="4" applyNumberFormat="1" applyFont="1" applyFill="1" applyBorder="1" applyAlignment="1">
      <alignment vertical="top" wrapText="1"/>
    </xf>
    <xf numFmtId="3" fontId="34" fillId="8" borderId="73" xfId="4" applyNumberFormat="1" applyFont="1" applyFill="1" applyBorder="1" applyAlignment="1">
      <alignment vertical="top" wrapText="1"/>
    </xf>
    <xf numFmtId="3" fontId="67" fillId="8" borderId="9" xfId="6" applyNumberFormat="1" applyFont="1" applyFill="1" applyBorder="1" applyAlignment="1">
      <alignment vertical="center"/>
    </xf>
    <xf numFmtId="0" fontId="61" fillId="8" borderId="34" xfId="4" applyFont="1" applyFill="1" applyBorder="1" applyAlignment="1">
      <alignment vertical="top"/>
    </xf>
    <xf numFmtId="3" fontId="67" fillId="8" borderId="29" xfId="6" applyNumberFormat="1" applyFont="1" applyFill="1" applyBorder="1" applyAlignment="1">
      <alignment vertical="center"/>
    </xf>
    <xf numFmtId="0" fontId="34" fillId="8" borderId="81" xfId="4" applyFont="1" applyFill="1" applyBorder="1" applyAlignment="1">
      <alignment vertical="center"/>
    </xf>
    <xf numFmtId="0" fontId="34" fillId="8" borderId="73" xfId="4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2" borderId="0" xfId="0" applyFont="1" applyFill="1"/>
    <xf numFmtId="3" fontId="0" fillId="2" borderId="0" xfId="0" applyNumberFormat="1" applyFont="1" applyFill="1"/>
    <xf numFmtId="0" fontId="0" fillId="14" borderId="0" xfId="0" applyFont="1" applyFill="1"/>
    <xf numFmtId="3" fontId="59" fillId="23" borderId="42" xfId="0" applyNumberFormat="1" applyFont="1" applyFill="1" applyBorder="1" applyAlignment="1">
      <alignment vertical="top"/>
    </xf>
    <xf numFmtId="3" fontId="65" fillId="8" borderId="0" xfId="0" applyNumberFormat="1" applyFont="1" applyFill="1" applyBorder="1" applyAlignment="1"/>
    <xf numFmtId="3" fontId="65" fillId="23" borderId="43" xfId="0" applyNumberFormat="1" applyFont="1" applyFill="1" applyBorder="1" applyAlignment="1"/>
    <xf numFmtId="3" fontId="61" fillId="0" borderId="30" xfId="0" applyNumberFormat="1" applyFont="1" applyFill="1" applyBorder="1" applyAlignment="1"/>
    <xf numFmtId="3" fontId="65" fillId="0" borderId="31" xfId="0" applyNumberFormat="1" applyFont="1" applyFill="1" applyBorder="1" applyAlignment="1">
      <alignment vertical="top"/>
    </xf>
    <xf numFmtId="0" fontId="34" fillId="2" borderId="28" xfId="0" applyFont="1" applyFill="1" applyBorder="1" applyAlignment="1">
      <alignment vertical="top"/>
    </xf>
    <xf numFmtId="0" fontId="57" fillId="0" borderId="37" xfId="0" applyFont="1" applyBorder="1" applyAlignment="1">
      <alignment horizontal="center" vertical="center" wrapText="1"/>
    </xf>
    <xf numFmtId="3" fontId="65" fillId="2" borderId="30" xfId="0" applyNumberFormat="1" applyFont="1" applyFill="1" applyBorder="1" applyAlignment="1">
      <alignment vertical="center"/>
    </xf>
    <xf numFmtId="0" fontId="97" fillId="0" borderId="0" xfId="0" applyFont="1" applyFill="1" applyBorder="1" applyAlignment="1">
      <alignment vertical="top"/>
    </xf>
    <xf numFmtId="3" fontId="97" fillId="0" borderId="0" xfId="0" applyNumberFormat="1" applyFont="1" applyFill="1" applyBorder="1" applyAlignment="1">
      <alignment vertical="top"/>
    </xf>
    <xf numFmtId="0" fontId="76" fillId="0" borderId="0" xfId="0" applyFont="1" applyFill="1" applyBorder="1" applyAlignment="1">
      <alignment vertical="top"/>
    </xf>
    <xf numFmtId="0" fontId="53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0" xfId="0" applyFont="1" applyAlignment="1">
      <alignment horizontal="center" vertical="top" wrapText="1"/>
    </xf>
    <xf numFmtId="0" fontId="52" fillId="23" borderId="15" xfId="0" applyFont="1" applyFill="1" applyBorder="1" applyAlignment="1">
      <alignment vertical="center"/>
    </xf>
    <xf numFmtId="3" fontId="65" fillId="6" borderId="28" xfId="0" applyNumberFormat="1" applyFont="1" applyFill="1" applyBorder="1" applyAlignment="1">
      <alignment vertical="top"/>
    </xf>
    <xf numFmtId="3" fontId="54" fillId="22" borderId="30" xfId="0" applyNumberFormat="1" applyFont="1" applyFill="1" applyBorder="1" applyAlignment="1">
      <alignment vertical="top"/>
    </xf>
    <xf numFmtId="3" fontId="54" fillId="25" borderId="30" xfId="0" applyNumberFormat="1" applyFont="1" applyFill="1" applyBorder="1" applyAlignment="1">
      <alignment vertical="top"/>
    </xf>
    <xf numFmtId="3" fontId="55" fillId="25" borderId="35" xfId="0" applyNumberFormat="1" applyFont="1" applyFill="1" applyBorder="1" applyAlignment="1">
      <alignment vertical="top"/>
    </xf>
    <xf numFmtId="3" fontId="61" fillId="2" borderId="30" xfId="0" applyNumberFormat="1" applyFont="1" applyFill="1" applyBorder="1" applyAlignment="1">
      <alignment vertical="top"/>
    </xf>
    <xf numFmtId="0" fontId="61" fillId="2" borderId="84" xfId="4" applyFont="1" applyFill="1" applyBorder="1" applyAlignment="1">
      <alignment vertical="top"/>
    </xf>
    <xf numFmtId="0" fontId="65" fillId="0" borderId="86" xfId="0" applyFont="1" applyFill="1" applyBorder="1" applyAlignment="1">
      <alignment horizontal="left" vertical="center" wrapText="1"/>
    </xf>
    <xf numFmtId="0" fontId="65" fillId="0" borderId="87" xfId="0" applyFont="1" applyFill="1" applyBorder="1" applyAlignment="1">
      <alignment horizontal="left" vertical="center" wrapText="1"/>
    </xf>
    <xf numFmtId="3" fontId="59" fillId="0" borderId="29" xfId="0" applyNumberFormat="1" applyFont="1" applyFill="1" applyBorder="1" applyAlignment="1">
      <alignment vertical="top"/>
    </xf>
    <xf numFmtId="3" fontId="61" fillId="22" borderId="30" xfId="0" applyNumberFormat="1" applyFont="1" applyFill="1" applyBorder="1" applyAlignment="1">
      <alignment vertical="top"/>
    </xf>
    <xf numFmtId="0" fontId="65" fillId="0" borderId="36" xfId="4" applyFont="1" applyFill="1" applyBorder="1" applyAlignment="1">
      <alignment horizontal="left" vertical="center"/>
    </xf>
    <xf numFmtId="0" fontId="65" fillId="0" borderId="32" xfId="4" applyFont="1" applyFill="1" applyBorder="1" applyAlignment="1">
      <alignment vertical="center"/>
    </xf>
    <xf numFmtId="3" fontId="59" fillId="0" borderId="9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0" fontId="0" fillId="0" borderId="32" xfId="0" applyFont="1" applyBorder="1"/>
    <xf numFmtId="3" fontId="0" fillId="0" borderId="3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100" fillId="2" borderId="0" xfId="0" applyFont="1" applyFill="1" applyBorder="1" applyAlignment="1">
      <alignment vertical="top"/>
    </xf>
    <xf numFmtId="0" fontId="100" fillId="2" borderId="0" xfId="0" applyFont="1" applyFill="1" applyBorder="1" applyAlignment="1"/>
    <xf numFmtId="3" fontId="100" fillId="2" borderId="0" xfId="0" applyNumberFormat="1" applyFont="1" applyFill="1" applyBorder="1" applyAlignment="1">
      <alignment horizontal="left" vertical="top"/>
    </xf>
    <xf numFmtId="0" fontId="62" fillId="0" borderId="0" xfId="0" applyFont="1" applyFill="1" applyBorder="1" applyAlignment="1"/>
    <xf numFmtId="0" fontId="45" fillId="0" borderId="0" xfId="0" applyFont="1" applyFill="1" applyBorder="1" applyAlignment="1"/>
    <xf numFmtId="0" fontId="80" fillId="2" borderId="0" xfId="0" applyFont="1" applyFill="1" applyBorder="1" applyAlignment="1"/>
    <xf numFmtId="3" fontId="100" fillId="2" borderId="0" xfId="0" applyNumberFormat="1" applyFont="1" applyFill="1" applyBorder="1" applyAlignment="1">
      <alignment vertical="top"/>
    </xf>
    <xf numFmtId="0" fontId="47" fillId="0" borderId="0" xfId="0" applyFont="1" applyFill="1" applyBorder="1" applyAlignment="1">
      <alignment horizontal="left"/>
    </xf>
    <xf numFmtId="0" fontId="80" fillId="2" borderId="24" xfId="0" applyFont="1" applyFill="1" applyBorder="1" applyAlignment="1"/>
    <xf numFmtId="0" fontId="100" fillId="2" borderId="24" xfId="0" applyFont="1" applyFill="1" applyBorder="1" applyAlignment="1"/>
    <xf numFmtId="0" fontId="54" fillId="2" borderId="1" xfId="0" applyFont="1" applyFill="1" applyBorder="1" applyAlignment="1">
      <alignment horizontal="center" vertical="top"/>
    </xf>
    <xf numFmtId="0" fontId="54" fillId="2" borderId="26" xfId="0" applyFont="1" applyFill="1" applyBorder="1" applyAlignment="1">
      <alignment horizontal="center" vertical="top"/>
    </xf>
    <xf numFmtId="0" fontId="55" fillId="0" borderId="88" xfId="0" applyFont="1" applyBorder="1" applyAlignment="1">
      <alignment horizontal="center" vertical="top"/>
    </xf>
    <xf numFmtId="0" fontId="55" fillId="0" borderId="79" xfId="0" applyFont="1" applyBorder="1" applyAlignment="1">
      <alignment horizontal="center" vertical="top"/>
    </xf>
    <xf numFmtId="0" fontId="55" fillId="0" borderId="15" xfId="0" quotePrefix="1" applyFont="1" applyBorder="1" applyAlignment="1">
      <alignment horizontal="center" vertical="top"/>
    </xf>
    <xf numFmtId="0" fontId="55" fillId="0" borderId="70" xfId="0" quotePrefix="1" applyFont="1" applyBorder="1" applyAlignment="1">
      <alignment horizontal="center" vertical="top"/>
    </xf>
    <xf numFmtId="0" fontId="55" fillId="2" borderId="70" xfId="0" applyFont="1" applyFill="1" applyBorder="1" applyAlignment="1">
      <alignment horizontal="center" vertical="top"/>
    </xf>
    <xf numFmtId="0" fontId="55" fillId="2" borderId="79" xfId="0" quotePrefix="1" applyFont="1" applyFill="1" applyBorder="1" applyAlignment="1">
      <alignment horizontal="center" vertical="top"/>
    </xf>
    <xf numFmtId="0" fontId="55" fillId="26" borderId="79" xfId="0" quotePrefix="1" applyFont="1" applyFill="1" applyBorder="1" applyAlignment="1">
      <alignment horizontal="center" vertical="top"/>
    </xf>
    <xf numFmtId="0" fontId="55" fillId="2" borderId="44" xfId="0" quotePrefix="1" applyFont="1" applyFill="1" applyBorder="1" applyAlignment="1">
      <alignment horizontal="center" vertical="top"/>
    </xf>
    <xf numFmtId="0" fontId="54" fillId="2" borderId="6" xfId="0" applyFont="1" applyFill="1" applyBorder="1" applyAlignment="1">
      <alignment vertical="top"/>
    </xf>
    <xf numFmtId="0" fontId="61" fillId="51" borderId="71" xfId="4" applyFont="1" applyFill="1" applyBorder="1" applyAlignment="1">
      <alignment horizontal="left" vertical="center"/>
    </xf>
    <xf numFmtId="0" fontId="61" fillId="51" borderId="30" xfId="4" applyFont="1" applyFill="1" applyBorder="1" applyAlignment="1">
      <alignment horizontal="left" vertical="center"/>
    </xf>
    <xf numFmtId="0" fontId="55" fillId="8" borderId="43" xfId="0" quotePrefix="1" applyFont="1" applyFill="1" applyBorder="1" applyAlignment="1">
      <alignment horizontal="center" vertical="top"/>
    </xf>
    <xf numFmtId="0" fontId="61" fillId="51" borderId="10" xfId="4" applyFont="1" applyFill="1" applyBorder="1" applyAlignment="1">
      <alignment horizontal="left" vertical="center"/>
    </xf>
    <xf numFmtId="0" fontId="61" fillId="51" borderId="13" xfId="4" applyFont="1" applyFill="1" applyBorder="1" applyAlignment="1">
      <alignment horizontal="left" vertical="center"/>
    </xf>
    <xf numFmtId="0" fontId="61" fillId="51" borderId="74" xfId="0" applyFont="1" applyFill="1" applyBorder="1" applyAlignment="1">
      <alignment horizontal="left" vertical="top"/>
    </xf>
    <xf numFmtId="0" fontId="62" fillId="51" borderId="12" xfId="0" quotePrefix="1" applyFont="1" applyFill="1" applyBorder="1" applyAlignment="1">
      <alignment horizontal="center" vertical="top"/>
    </xf>
    <xf numFmtId="3" fontId="59" fillId="6" borderId="35" xfId="0" applyNumberFormat="1" applyFont="1" applyFill="1" applyBorder="1" applyAlignment="1">
      <alignment vertical="top"/>
    </xf>
    <xf numFmtId="0" fontId="61" fillId="8" borderId="30" xfId="4" applyFont="1" applyFill="1" applyBorder="1" applyAlignment="1">
      <alignment vertical="center"/>
    </xf>
    <xf numFmtId="0" fontId="65" fillId="8" borderId="30" xfId="0" applyFont="1" applyFill="1" applyBorder="1" applyAlignment="1">
      <alignment vertical="top"/>
    </xf>
    <xf numFmtId="3" fontId="62" fillId="8" borderId="30" xfId="0" applyNumberFormat="1" applyFont="1" applyFill="1" applyBorder="1" applyAlignment="1">
      <alignment vertical="top"/>
    </xf>
    <xf numFmtId="3" fontId="62" fillId="23" borderId="30" xfId="0" applyNumberFormat="1" applyFont="1" applyFill="1" applyBorder="1" applyAlignment="1">
      <alignment horizontal="center" vertical="top"/>
    </xf>
    <xf numFmtId="3" fontId="61" fillId="23" borderId="30" xfId="0" applyNumberFormat="1" applyFont="1" applyFill="1" applyBorder="1" applyAlignment="1">
      <alignment horizontal="center" vertical="top"/>
    </xf>
    <xf numFmtId="0" fontId="65" fillId="8" borderId="30" xfId="4" applyFont="1" applyFill="1" applyBorder="1" applyAlignment="1">
      <alignment vertical="center"/>
    </xf>
    <xf numFmtId="3" fontId="65" fillId="23" borderId="30" xfId="0" applyNumberFormat="1" applyFont="1" applyFill="1" applyBorder="1" applyAlignment="1">
      <alignment horizontal="center" vertical="top"/>
    </xf>
    <xf numFmtId="0" fontId="61" fillId="8" borderId="35" xfId="4" applyFont="1" applyFill="1" applyBorder="1" applyAlignment="1">
      <alignment vertical="center"/>
    </xf>
    <xf numFmtId="3" fontId="61" fillId="8" borderId="35" xfId="0" applyNumberFormat="1" applyFont="1" applyFill="1" applyBorder="1" applyAlignment="1">
      <alignment vertical="top"/>
    </xf>
    <xf numFmtId="0" fontId="54" fillId="2" borderId="22" xfId="0" applyFont="1" applyFill="1" applyBorder="1" applyAlignment="1">
      <alignment vertical="top"/>
    </xf>
    <xf numFmtId="0" fontId="65" fillId="8" borderId="47" xfId="4" applyFont="1" applyFill="1" applyBorder="1" applyAlignment="1">
      <alignment vertical="center"/>
    </xf>
    <xf numFmtId="0" fontId="59" fillId="8" borderId="35" xfId="0" applyFont="1" applyFill="1" applyBorder="1" applyAlignment="1">
      <alignment horizontal="left" vertical="center" wrapText="1"/>
    </xf>
    <xf numFmtId="0" fontId="59" fillId="8" borderId="35" xfId="0" applyFont="1" applyFill="1" applyBorder="1" applyAlignment="1">
      <alignment horizontal="center" vertical="center" wrapText="1"/>
    </xf>
    <xf numFmtId="0" fontId="65" fillId="8" borderId="35" xfId="0" applyFont="1" applyFill="1" applyBorder="1" applyAlignment="1">
      <alignment vertical="top"/>
    </xf>
    <xf numFmtId="3" fontId="65" fillId="8" borderId="35" xfId="0" applyNumberFormat="1" applyFont="1" applyFill="1" applyBorder="1" applyAlignment="1">
      <alignment vertical="top"/>
    </xf>
    <xf numFmtId="3" fontId="65" fillId="23" borderId="35" xfId="0" applyNumberFormat="1" applyFont="1" applyFill="1" applyBorder="1" applyAlignment="1">
      <alignment vertical="top"/>
    </xf>
    <xf numFmtId="3" fontId="65" fillId="23" borderId="10" xfId="0" applyNumberFormat="1" applyFont="1" applyFill="1" applyBorder="1" applyAlignment="1">
      <alignment vertical="top"/>
    </xf>
    <xf numFmtId="3" fontId="61" fillId="2" borderId="30" xfId="4" applyNumberFormat="1" applyFont="1" applyFill="1" applyBorder="1" applyAlignment="1">
      <alignment vertical="top" wrapText="1"/>
    </xf>
    <xf numFmtId="0" fontId="65" fillId="0" borderId="47" xfId="0" applyFont="1" applyFill="1" applyBorder="1" applyAlignment="1">
      <alignment horizontal="left" vertical="center" wrapText="1"/>
    </xf>
    <xf numFmtId="0" fontId="54" fillId="2" borderId="6" xfId="0" quotePrefix="1" applyFont="1" applyFill="1" applyBorder="1" applyAlignment="1">
      <alignment vertical="center"/>
    </xf>
    <xf numFmtId="0" fontId="61" fillId="2" borderId="35" xfId="4" applyFont="1" applyFill="1" applyBorder="1" applyAlignment="1">
      <alignment vertical="top"/>
    </xf>
    <xf numFmtId="3" fontId="61" fillId="0" borderId="35" xfId="0" applyNumberFormat="1" applyFont="1" applyFill="1" applyBorder="1" applyAlignment="1">
      <alignment vertical="top"/>
    </xf>
    <xf numFmtId="3" fontId="61" fillId="25" borderId="35" xfId="0" applyNumberFormat="1" applyFont="1" applyFill="1" applyBorder="1" applyAlignment="1">
      <alignment horizontal="center" vertical="top"/>
    </xf>
    <xf numFmtId="0" fontId="65" fillId="0" borderId="47" xfId="4" applyFont="1" applyFill="1" applyBorder="1" applyAlignment="1">
      <alignment vertical="center"/>
    </xf>
    <xf numFmtId="3" fontId="65" fillId="25" borderId="47" xfId="0" applyNumberFormat="1" applyFont="1" applyFill="1" applyBorder="1" applyAlignment="1">
      <alignment horizontal="center" vertical="top"/>
    </xf>
    <xf numFmtId="0" fontId="57" fillId="6" borderId="35" xfId="0" applyFont="1" applyFill="1" applyBorder="1" applyAlignment="1">
      <alignment horizontal="center" vertical="center"/>
    </xf>
    <xf numFmtId="0" fontId="54" fillId="2" borderId="22" xfId="0" quotePrefix="1" applyFont="1" applyFill="1" applyBorder="1" applyAlignment="1">
      <alignment vertical="center"/>
    </xf>
    <xf numFmtId="0" fontId="59" fillId="8" borderId="70" xfId="0" applyFont="1" applyFill="1" applyBorder="1" applyAlignment="1">
      <alignment vertical="center" wrapText="1"/>
    </xf>
    <xf numFmtId="0" fontId="59" fillId="8" borderId="70" xfId="0" applyFont="1" applyFill="1" applyBorder="1" applyAlignment="1">
      <alignment horizontal="center" vertical="center" wrapText="1"/>
    </xf>
    <xf numFmtId="0" fontId="65" fillId="6" borderId="30" xfId="0" applyFont="1" applyFill="1" applyBorder="1" applyAlignment="1">
      <alignment vertical="top"/>
    </xf>
    <xf numFmtId="3" fontId="61" fillId="0" borderId="30" xfId="4" applyNumberFormat="1" applyFont="1" applyFill="1" applyBorder="1" applyAlignment="1">
      <alignment vertical="top" wrapText="1"/>
    </xf>
    <xf numFmtId="0" fontId="66" fillId="0" borderId="30" xfId="0" applyFont="1" applyBorder="1"/>
    <xf numFmtId="3" fontId="65" fillId="2" borderId="30" xfId="0" applyNumberFormat="1" applyFont="1" applyFill="1" applyBorder="1" applyAlignment="1">
      <alignment vertical="top"/>
    </xf>
    <xf numFmtId="0" fontId="66" fillId="0" borderId="30" xfId="0" applyFont="1" applyBorder="1" applyAlignment="1">
      <alignment vertical="center"/>
    </xf>
    <xf numFmtId="3" fontId="59" fillId="2" borderId="30" xfId="0" applyNumberFormat="1" applyFont="1" applyFill="1" applyBorder="1" applyAlignment="1">
      <alignment vertical="top"/>
    </xf>
    <xf numFmtId="3" fontId="65" fillId="8" borderId="70" xfId="0" applyNumberFormat="1" applyFont="1" applyFill="1" applyBorder="1" applyAlignment="1">
      <alignment vertical="top"/>
    </xf>
    <xf numFmtId="3" fontId="59" fillId="22" borderId="2" xfId="0" applyNumberFormat="1" applyFont="1" applyFill="1" applyBorder="1" applyAlignment="1">
      <alignment vertical="top"/>
    </xf>
    <xf numFmtId="3" fontId="65" fillId="0" borderId="35" xfId="0" applyNumberFormat="1" applyFont="1" applyFill="1" applyBorder="1" applyAlignment="1">
      <alignment vertical="top"/>
    </xf>
    <xf numFmtId="3" fontId="59" fillId="0" borderId="30" xfId="0" applyNumberFormat="1" applyFont="1" applyFill="1" applyBorder="1" applyAlignment="1">
      <alignment vertical="top"/>
    </xf>
    <xf numFmtId="3" fontId="65" fillId="23" borderId="2" xfId="0" applyNumberFormat="1" applyFont="1" applyFill="1" applyBorder="1" applyAlignment="1">
      <alignment vertical="top"/>
    </xf>
    <xf numFmtId="0" fontId="65" fillId="0" borderId="30" xfId="0" applyFont="1" applyFill="1" applyBorder="1" applyAlignment="1">
      <alignment vertical="top" wrapText="1"/>
    </xf>
    <xf numFmtId="0" fontId="65" fillId="2" borderId="30" xfId="4" applyFont="1" applyFill="1" applyBorder="1" applyAlignment="1">
      <alignment vertical="center"/>
    </xf>
    <xf numFmtId="0" fontId="57" fillId="6" borderId="30" xfId="0" applyFont="1" applyFill="1" applyBorder="1" applyAlignment="1">
      <alignment horizontal="center" vertical="center"/>
    </xf>
    <xf numFmtId="0" fontId="61" fillId="2" borderId="35" xfId="4" applyFont="1" applyFill="1" applyBorder="1" applyAlignment="1">
      <alignment vertical="center"/>
    </xf>
    <xf numFmtId="0" fontId="65" fillId="2" borderId="47" xfId="4" applyFont="1" applyFill="1" applyBorder="1" applyAlignment="1">
      <alignment vertical="center"/>
    </xf>
    <xf numFmtId="0" fontId="65" fillId="0" borderId="30" xfId="0" applyFont="1" applyFill="1" applyBorder="1" applyAlignment="1">
      <alignment horizontal="left" vertical="center" wrapText="1"/>
    </xf>
    <xf numFmtId="0" fontId="57" fillId="0" borderId="13" xfId="0" applyFont="1" applyBorder="1" applyAlignment="1">
      <alignment horizontal="center" vertical="center" wrapText="1"/>
    </xf>
    <xf numFmtId="0" fontId="61" fillId="0" borderId="30" xfId="0" applyFont="1" applyFill="1" applyBorder="1" applyAlignment="1">
      <alignment vertical="top" wrapText="1"/>
    </xf>
    <xf numFmtId="0" fontId="54" fillId="0" borderId="0" xfId="0" applyFont="1" applyBorder="1" applyAlignment="1">
      <alignment vertical="top"/>
    </xf>
    <xf numFmtId="0" fontId="55" fillId="0" borderId="0" xfId="0" applyFont="1" applyAlignment="1">
      <alignment vertical="top"/>
    </xf>
    <xf numFmtId="0" fontId="55" fillId="0" borderId="0" xfId="0" applyFont="1" applyBorder="1" applyAlignment="1">
      <alignment vertical="top"/>
    </xf>
    <xf numFmtId="0" fontId="55" fillId="0" borderId="0" xfId="0" applyFont="1" applyBorder="1" applyAlignment="1">
      <alignment horizontal="center" vertical="top" wrapText="1"/>
    </xf>
    <xf numFmtId="0" fontId="55" fillId="0" borderId="0" xfId="0" applyFont="1" applyFill="1" applyAlignment="1">
      <alignment vertical="top"/>
    </xf>
    <xf numFmtId="3" fontId="55" fillId="0" borderId="0" xfId="0" applyNumberFormat="1" applyFont="1" applyAlignment="1">
      <alignment vertical="top"/>
    </xf>
    <xf numFmtId="0" fontId="55" fillId="0" borderId="0" xfId="0" applyFont="1" applyAlignment="1">
      <alignment horizontal="center" vertical="top"/>
    </xf>
    <xf numFmtId="3" fontId="54" fillId="0" borderId="0" xfId="0" applyNumberFormat="1" applyFont="1" applyFill="1" applyBorder="1" applyAlignment="1">
      <alignment vertical="top"/>
    </xf>
    <xf numFmtId="3" fontId="54" fillId="0" borderId="0" xfId="0" applyNumberFormat="1" applyFont="1" applyFill="1" applyBorder="1" applyAlignment="1">
      <alignment horizontal="right" vertical="top"/>
    </xf>
    <xf numFmtId="3" fontId="55" fillId="0" borderId="0" xfId="0" applyNumberFormat="1" applyFont="1" applyFill="1" applyBorder="1" applyAlignment="1"/>
    <xf numFmtId="0" fontId="55" fillId="0" borderId="67" xfId="0" applyFont="1" applyBorder="1" applyAlignment="1">
      <alignment vertical="top"/>
    </xf>
    <xf numFmtId="0" fontId="55" fillId="0" borderId="0" xfId="0" applyFont="1" applyAlignment="1">
      <alignment horizontal="center" vertical="top" wrapText="1"/>
    </xf>
    <xf numFmtId="0" fontId="54" fillId="0" borderId="1" xfId="0" applyFont="1" applyBorder="1" applyAlignment="1">
      <alignment vertical="top"/>
    </xf>
    <xf numFmtId="0" fontId="55" fillId="0" borderId="3" xfId="0" applyFont="1" applyBorder="1" applyAlignment="1">
      <alignment vertical="top"/>
    </xf>
    <xf numFmtId="0" fontId="55" fillId="0" borderId="66" xfId="0" applyFont="1" applyBorder="1" applyAlignment="1">
      <alignment vertical="top"/>
    </xf>
    <xf numFmtId="0" fontId="55" fillId="0" borderId="66" xfId="0" applyFont="1" applyBorder="1" applyAlignment="1">
      <alignment horizontal="center" vertical="top" wrapText="1"/>
    </xf>
    <xf numFmtId="0" fontId="54" fillId="0" borderId="26" xfId="0" applyFont="1" applyBorder="1" applyAlignment="1">
      <alignment vertical="top"/>
    </xf>
    <xf numFmtId="0" fontId="55" fillId="0" borderId="67" xfId="0" applyFont="1" applyBorder="1" applyAlignment="1">
      <alignment horizontal="center" vertical="top" wrapText="1"/>
    </xf>
    <xf numFmtId="0" fontId="54" fillId="0" borderId="68" xfId="0" applyFont="1" applyBorder="1" applyAlignment="1">
      <alignment vertical="top"/>
    </xf>
    <xf numFmtId="0" fontId="55" fillId="0" borderId="24" xfId="0" applyFont="1" applyBorder="1" applyAlignment="1">
      <alignment vertical="top"/>
    </xf>
    <xf numFmtId="0" fontId="55" fillId="0" borderId="69" xfId="0" applyFont="1" applyBorder="1" applyAlignment="1">
      <alignment vertical="top"/>
    </xf>
    <xf numFmtId="0" fontId="55" fillId="0" borderId="69" xfId="0" applyFont="1" applyBorder="1" applyAlignment="1">
      <alignment horizontal="center" vertical="top" wrapText="1"/>
    </xf>
    <xf numFmtId="0" fontId="59" fillId="0" borderId="0" xfId="0" applyFont="1" applyAlignment="1">
      <alignment vertical="top"/>
    </xf>
    <xf numFmtId="0" fontId="59" fillId="2" borderId="5" xfId="0" applyFont="1" applyFill="1" applyBorder="1" applyAlignment="1">
      <alignment horizontal="center" vertical="top"/>
    </xf>
    <xf numFmtId="0" fontId="59" fillId="2" borderId="11" xfId="0" applyFont="1" applyFill="1" applyBorder="1" applyAlignment="1">
      <alignment horizontal="center" vertical="top"/>
    </xf>
    <xf numFmtId="9" fontId="59" fillId="2" borderId="11" xfId="2" applyFont="1" applyFill="1" applyBorder="1" applyAlignment="1">
      <alignment horizontal="center" vertical="top"/>
    </xf>
    <xf numFmtId="0" fontId="65" fillId="0" borderId="89" xfId="0" applyFont="1" applyBorder="1" applyAlignment="1">
      <alignment horizontal="center" vertical="top"/>
    </xf>
    <xf numFmtId="0" fontId="55" fillId="0" borderId="50" xfId="0" applyFont="1" applyBorder="1" applyAlignment="1">
      <alignment horizontal="center" vertical="top"/>
    </xf>
    <xf numFmtId="0" fontId="63" fillId="8" borderId="5" xfId="0" applyFont="1" applyFill="1" applyBorder="1" applyAlignment="1">
      <alignment vertical="top"/>
    </xf>
    <xf numFmtId="0" fontId="34" fillId="8" borderId="11" xfId="4" applyFont="1" applyFill="1" applyBorder="1" applyAlignment="1">
      <alignment vertical="top"/>
    </xf>
    <xf numFmtId="0" fontId="34" fillId="8" borderId="25" xfId="4" applyFont="1" applyFill="1" applyBorder="1" applyAlignment="1">
      <alignment vertical="top"/>
    </xf>
    <xf numFmtId="0" fontId="61" fillId="51" borderId="69" xfId="0" applyFont="1" applyFill="1" applyBorder="1" applyAlignment="1">
      <alignment horizontal="left" vertical="top"/>
    </xf>
    <xf numFmtId="3" fontId="52" fillId="8" borderId="41" xfId="4" applyNumberFormat="1" applyFont="1" applyFill="1" applyBorder="1" applyAlignment="1">
      <alignment vertical="top" wrapText="1"/>
    </xf>
    <xf numFmtId="0" fontId="59" fillId="8" borderId="26" xfId="0" applyFont="1" applyFill="1" applyBorder="1" applyAlignment="1">
      <alignment vertical="center"/>
    </xf>
    <xf numFmtId="3" fontId="58" fillId="6" borderId="35" xfId="4" applyNumberFormat="1" applyFont="1" applyFill="1" applyBorder="1" applyAlignment="1">
      <alignment vertical="center"/>
    </xf>
    <xf numFmtId="3" fontId="59" fillId="22" borderId="35" xfId="4" applyNumberFormat="1" applyFont="1" applyFill="1" applyBorder="1" applyAlignment="1">
      <alignment horizontal="right" vertical="center"/>
    </xf>
    <xf numFmtId="0" fontId="58" fillId="8" borderId="26" xfId="4" applyFont="1" applyFill="1" applyBorder="1" applyAlignment="1">
      <alignment horizontal="right" vertical="top"/>
    </xf>
    <xf numFmtId="0" fontId="63" fillId="8" borderId="21" xfId="4" applyFont="1" applyFill="1" applyBorder="1" applyAlignment="1">
      <alignment vertical="top"/>
    </xf>
    <xf numFmtId="0" fontId="61" fillId="8" borderId="9" xfId="4" applyFont="1" applyFill="1" applyBorder="1" applyAlignment="1">
      <alignment horizontal="left" vertical="center"/>
    </xf>
    <xf numFmtId="3" fontId="61" fillId="8" borderId="35" xfId="4" applyNumberFormat="1" applyFont="1" applyFill="1" applyBorder="1" applyAlignment="1">
      <alignment vertical="top"/>
    </xf>
    <xf numFmtId="3" fontId="61" fillId="23" borderId="35" xfId="4" applyNumberFormat="1" applyFont="1" applyFill="1" applyBorder="1" applyAlignment="1">
      <alignment vertical="top"/>
    </xf>
    <xf numFmtId="0" fontId="34" fillId="8" borderId="26" xfId="4" applyFont="1" applyFill="1" applyBorder="1" applyAlignment="1">
      <alignment vertical="top"/>
    </xf>
    <xf numFmtId="0" fontId="34" fillId="8" borderId="32" xfId="4" applyFont="1" applyFill="1" applyBorder="1" applyAlignment="1">
      <alignment vertical="top"/>
    </xf>
    <xf numFmtId="0" fontId="34" fillId="8" borderId="29" xfId="4" applyFont="1" applyFill="1" applyBorder="1" applyAlignment="1">
      <alignment vertical="top"/>
    </xf>
    <xf numFmtId="0" fontId="61" fillId="8" borderId="32" xfId="4" applyFont="1" applyFill="1" applyBorder="1" applyAlignment="1">
      <alignment horizontal="left" vertical="center"/>
    </xf>
    <xf numFmtId="0" fontId="61" fillId="8" borderId="28" xfId="4" applyFont="1" applyFill="1" applyBorder="1" applyAlignment="1">
      <alignment horizontal="left" vertical="center"/>
    </xf>
    <xf numFmtId="3" fontId="61" fillId="8" borderId="30" xfId="4" applyNumberFormat="1" applyFont="1" applyFill="1" applyBorder="1" applyAlignment="1">
      <alignment vertical="top"/>
    </xf>
    <xf numFmtId="0" fontId="61" fillId="8" borderId="29" xfId="4" applyFont="1" applyFill="1" applyBorder="1" applyAlignment="1">
      <alignment horizontal="left" vertical="center"/>
    </xf>
    <xf numFmtId="0" fontId="63" fillId="8" borderId="29" xfId="4" applyFont="1" applyFill="1" applyBorder="1" applyAlignment="1">
      <alignment horizontal="left" vertical="center"/>
    </xf>
    <xf numFmtId="3" fontId="59" fillId="6" borderId="30" xfId="4" applyNumberFormat="1" applyFont="1" applyFill="1" applyBorder="1" applyAlignment="1">
      <alignment vertical="center"/>
    </xf>
    <xf numFmtId="0" fontId="34" fillId="8" borderId="9" xfId="4" applyFont="1" applyFill="1" applyBorder="1" applyAlignment="1">
      <alignment vertical="top"/>
    </xf>
    <xf numFmtId="3" fontId="34" fillId="8" borderId="35" xfId="4" applyNumberFormat="1" applyFont="1" applyFill="1" applyBorder="1" applyAlignment="1">
      <alignment vertical="top"/>
    </xf>
    <xf numFmtId="0" fontId="61" fillId="8" borderId="21" xfId="4" applyFont="1" applyFill="1" applyBorder="1" applyAlignment="1">
      <alignment horizontal="left" vertical="center"/>
    </xf>
    <xf numFmtId="0" fontId="34" fillId="8" borderId="29" xfId="4" applyFont="1" applyFill="1" applyBorder="1" applyAlignment="1">
      <alignment horizontal="left" vertical="center"/>
    </xf>
    <xf numFmtId="0" fontId="34" fillId="8" borderId="68" xfId="4" applyFont="1" applyFill="1" applyBorder="1" applyAlignment="1">
      <alignment vertical="top"/>
    </xf>
    <xf numFmtId="0" fontId="34" fillId="8" borderId="77" xfId="4" applyFont="1" applyFill="1" applyBorder="1" applyAlignment="1">
      <alignment vertical="top" wrapText="1"/>
    </xf>
    <xf numFmtId="0" fontId="65" fillId="8" borderId="23" xfId="4" applyFont="1" applyFill="1" applyBorder="1" applyAlignment="1">
      <alignment horizontal="left" vertical="center"/>
    </xf>
    <xf numFmtId="0" fontId="58" fillId="8" borderId="19" xfId="4" applyFont="1" applyFill="1" applyBorder="1" applyAlignment="1">
      <alignment horizontal="left" vertical="center" wrapText="1"/>
    </xf>
    <xf numFmtId="3" fontId="58" fillId="8" borderId="17" xfId="4" applyNumberFormat="1" applyFont="1" applyFill="1" applyBorder="1" applyAlignment="1">
      <alignment horizontal="center" vertical="center" wrapText="1"/>
    </xf>
    <xf numFmtId="3" fontId="34" fillId="23" borderId="70" xfId="4" applyNumberFormat="1" applyFont="1" applyFill="1" applyBorder="1" applyAlignment="1">
      <alignment horizontal="right" vertical="center"/>
    </xf>
    <xf numFmtId="3" fontId="58" fillId="6" borderId="28" xfId="4" applyNumberFormat="1" applyFont="1" applyFill="1" applyBorder="1" applyAlignment="1">
      <alignment vertical="center"/>
    </xf>
    <xf numFmtId="3" fontId="58" fillId="22" borderId="30" xfId="4" applyNumberFormat="1" applyFont="1" applyFill="1" applyBorder="1" applyAlignment="1">
      <alignment vertical="center"/>
    </xf>
    <xf numFmtId="0" fontId="63" fillId="0" borderId="21" xfId="4" applyFont="1" applyFill="1" applyBorder="1" applyAlignment="1">
      <alignment vertical="top"/>
    </xf>
    <xf numFmtId="3" fontId="63" fillId="0" borderId="9" xfId="4" applyNumberFormat="1" applyFont="1" applyFill="1" applyBorder="1" applyAlignment="1">
      <alignment horizontal="right" vertical="center"/>
    </xf>
    <xf numFmtId="3" fontId="63" fillId="25" borderId="35" xfId="4" applyNumberFormat="1" applyFont="1" applyFill="1" applyBorder="1" applyAlignment="1">
      <alignment horizontal="right" vertical="center"/>
    </xf>
    <xf numFmtId="3" fontId="34" fillId="0" borderId="30" xfId="4" applyNumberFormat="1" applyFont="1" applyFill="1" applyBorder="1" applyAlignment="1">
      <alignment vertical="top"/>
    </xf>
    <xf numFmtId="3" fontId="34" fillId="25" borderId="30" xfId="4" applyNumberFormat="1" applyFont="1" applyFill="1" applyBorder="1" applyAlignment="1">
      <alignment vertical="top"/>
    </xf>
    <xf numFmtId="0" fontId="34" fillId="0" borderId="90" xfId="4" applyFont="1" applyFill="1" applyBorder="1" applyAlignment="1">
      <alignment vertical="top" wrapText="1"/>
    </xf>
    <xf numFmtId="3" fontId="34" fillId="0" borderId="91" xfId="4" applyNumberFormat="1" applyFont="1" applyFill="1" applyBorder="1" applyAlignment="1">
      <alignment vertical="top"/>
    </xf>
    <xf numFmtId="0" fontId="63" fillId="0" borderId="21" xfId="4" applyFont="1" applyFill="1" applyBorder="1" applyAlignment="1">
      <alignment horizontal="left" vertical="center"/>
    </xf>
    <xf numFmtId="3" fontId="65" fillId="0" borderId="27" xfId="4" applyNumberFormat="1" applyFont="1" applyFill="1" applyBorder="1" applyAlignment="1">
      <alignment horizontal="right" vertical="center"/>
    </xf>
    <xf numFmtId="3" fontId="63" fillId="0" borderId="27" xfId="4" applyNumberFormat="1" applyFont="1" applyFill="1" applyBorder="1" applyAlignment="1">
      <alignment horizontal="right" vertical="center"/>
    </xf>
    <xf numFmtId="3" fontId="34" fillId="0" borderId="91" xfId="4" applyNumberFormat="1" applyFont="1" applyFill="1" applyBorder="1" applyAlignment="1">
      <alignment horizontal="right" vertical="center"/>
    </xf>
    <xf numFmtId="3" fontId="63" fillId="0" borderId="91" xfId="4" applyNumberFormat="1" applyFont="1" applyFill="1" applyBorder="1" applyAlignment="1">
      <alignment horizontal="right" vertical="center"/>
    </xf>
    <xf numFmtId="0" fontId="34" fillId="0" borderId="92" xfId="4" applyFont="1" applyFill="1" applyBorder="1" applyAlignment="1">
      <alignment vertical="top"/>
    </xf>
    <xf numFmtId="3" fontId="58" fillId="6" borderId="20" xfId="4" applyNumberFormat="1" applyFont="1" applyFill="1" applyBorder="1" applyAlignment="1">
      <alignment vertical="center"/>
    </xf>
    <xf numFmtId="0" fontId="63" fillId="0" borderId="32" xfId="4" applyFont="1" applyFill="1" applyBorder="1" applyAlignment="1">
      <alignment vertical="top"/>
    </xf>
    <xf numFmtId="3" fontId="63" fillId="0" borderId="35" xfId="4" applyNumberFormat="1" applyFont="1" applyFill="1" applyBorder="1" applyAlignment="1">
      <alignment horizontal="right" vertical="center"/>
    </xf>
    <xf numFmtId="0" fontId="34" fillId="0" borderId="32" xfId="4" applyFont="1" applyFill="1" applyBorder="1" applyAlignment="1">
      <alignment vertical="top" wrapText="1"/>
    </xf>
    <xf numFmtId="3" fontId="34" fillId="0" borderId="9" xfId="4" applyNumberFormat="1" applyFont="1" applyFill="1" applyBorder="1" applyAlignment="1">
      <alignment vertical="top"/>
    </xf>
    <xf numFmtId="3" fontId="34" fillId="0" borderId="35" xfId="4" applyNumberFormat="1" applyFont="1" applyFill="1" applyBorder="1" applyAlignment="1">
      <alignment vertical="top"/>
    </xf>
    <xf numFmtId="0" fontId="34" fillId="0" borderId="25" xfId="4" applyFont="1" applyFill="1" applyBorder="1" applyAlignment="1">
      <alignment vertical="top" wrapText="1"/>
    </xf>
    <xf numFmtId="3" fontId="63" fillId="0" borderId="12" xfId="4" applyNumberFormat="1" applyFont="1" applyFill="1" applyBorder="1" applyAlignment="1">
      <alignment horizontal="right" vertical="center"/>
    </xf>
    <xf numFmtId="43" fontId="58" fillId="6" borderId="30" xfId="1" applyFont="1" applyFill="1" applyBorder="1" applyAlignment="1">
      <alignment vertical="center"/>
    </xf>
    <xf numFmtId="43" fontId="58" fillId="22" borderId="30" xfId="1" applyFont="1" applyFill="1" applyBorder="1" applyAlignment="1">
      <alignment vertical="center"/>
    </xf>
    <xf numFmtId="43" fontId="63" fillId="0" borderId="9" xfId="1" applyFont="1" applyFill="1" applyBorder="1" applyAlignment="1">
      <alignment horizontal="right" vertical="center"/>
    </xf>
    <xf numFmtId="43" fontId="63" fillId="25" borderId="35" xfId="1" applyFont="1" applyFill="1" applyBorder="1" applyAlignment="1">
      <alignment horizontal="right" vertical="center"/>
    </xf>
    <xf numFmtId="43" fontId="34" fillId="0" borderId="30" xfId="1" applyFont="1" applyFill="1" applyBorder="1" applyAlignment="1">
      <alignment vertical="top"/>
    </xf>
    <xf numFmtId="43" fontId="34" fillId="25" borderId="30" xfId="1" applyFont="1" applyFill="1" applyBorder="1" applyAlignment="1">
      <alignment vertical="top"/>
    </xf>
    <xf numFmtId="43" fontId="34" fillId="0" borderId="9" xfId="1" applyFont="1" applyFill="1" applyBorder="1" applyAlignment="1">
      <alignment vertical="top"/>
    </xf>
    <xf numFmtId="0" fontId="34" fillId="0" borderId="90" xfId="4" applyFont="1" applyFill="1" applyBorder="1" applyAlignment="1">
      <alignment vertical="top"/>
    </xf>
    <xf numFmtId="43" fontId="63" fillId="0" borderId="30" xfId="1" applyFont="1" applyFill="1" applyBorder="1" applyAlignment="1">
      <alignment horizontal="right" vertical="center"/>
    </xf>
    <xf numFmtId="43" fontId="34" fillId="0" borderId="30" xfId="1" applyFont="1" applyFill="1" applyBorder="1" applyAlignment="1">
      <alignment horizontal="right" vertical="center"/>
    </xf>
    <xf numFmtId="43" fontId="63" fillId="0" borderId="35" xfId="1" applyFont="1" applyFill="1" applyBorder="1" applyAlignment="1">
      <alignment horizontal="right" vertical="center"/>
    </xf>
    <xf numFmtId="43" fontId="34" fillId="0" borderId="35" xfId="1" applyFont="1" applyFill="1" applyBorder="1" applyAlignment="1">
      <alignment horizontal="right" vertical="center"/>
    </xf>
    <xf numFmtId="43" fontId="58" fillId="6" borderId="35" xfId="1" applyFont="1" applyFill="1" applyBorder="1" applyAlignment="1">
      <alignment vertical="center"/>
    </xf>
    <xf numFmtId="43" fontId="34" fillId="0" borderId="35" xfId="1" applyFont="1" applyFill="1" applyBorder="1" applyAlignment="1">
      <alignment vertical="top"/>
    </xf>
    <xf numFmtId="0" fontId="58" fillId="2" borderId="23" xfId="4" applyFont="1" applyFill="1" applyBorder="1" applyAlignment="1">
      <alignment horizontal="center" vertical="center" wrapText="1"/>
    </xf>
    <xf numFmtId="3" fontId="34" fillId="0" borderId="47" xfId="0" applyNumberFormat="1" applyFont="1" applyFill="1" applyBorder="1" applyAlignment="1">
      <alignment vertical="top"/>
    </xf>
    <xf numFmtId="43" fontId="34" fillId="0" borderId="12" xfId="1" applyFont="1" applyFill="1" applyBorder="1" applyAlignment="1">
      <alignment horizontal="right" vertical="center"/>
    </xf>
    <xf numFmtId="43" fontId="34" fillId="0" borderId="74" xfId="1" applyFont="1" applyFill="1" applyBorder="1" applyAlignment="1">
      <alignment horizontal="right" vertical="center"/>
    </xf>
    <xf numFmtId="3" fontId="59" fillId="8" borderId="17" xfId="4" applyNumberFormat="1" applyFont="1" applyFill="1" applyBorder="1" applyAlignment="1">
      <alignment horizontal="center" vertical="center"/>
    </xf>
    <xf numFmtId="3" fontId="34" fillId="8" borderId="2" xfId="4" applyNumberFormat="1" applyFont="1" applyFill="1" applyBorder="1" applyAlignment="1">
      <alignment horizontal="right" vertical="center"/>
    </xf>
    <xf numFmtId="3" fontId="59" fillId="6" borderId="29" xfId="4" applyNumberFormat="1" applyFont="1" applyFill="1" applyBorder="1" applyAlignment="1">
      <alignment vertical="center"/>
    </xf>
    <xf numFmtId="43" fontId="59" fillId="6" borderId="30" xfId="1" applyFont="1" applyFill="1" applyBorder="1" applyAlignment="1">
      <alignment vertical="center"/>
    </xf>
    <xf numFmtId="3" fontId="59" fillId="22" borderId="30" xfId="4" applyNumberFormat="1" applyFont="1" applyFill="1" applyBorder="1" applyAlignment="1">
      <alignment vertical="center"/>
    </xf>
    <xf numFmtId="3" fontId="61" fillId="25" borderId="35" xfId="4" applyNumberFormat="1" applyFont="1" applyFill="1" applyBorder="1" applyAlignment="1">
      <alignment horizontal="right" vertical="center"/>
    </xf>
    <xf numFmtId="3" fontId="34" fillId="0" borderId="29" xfId="0" applyNumberFormat="1" applyFont="1" applyFill="1" applyBorder="1" applyAlignment="1">
      <alignment vertical="top"/>
    </xf>
    <xf numFmtId="0" fontId="61" fillId="0" borderId="21" xfId="4" applyFont="1" applyFill="1" applyBorder="1" applyAlignment="1">
      <alignment horizontal="left" vertical="center"/>
    </xf>
    <xf numFmtId="3" fontId="34" fillId="0" borderId="47" xfId="4" applyNumberFormat="1" applyFont="1" applyFill="1" applyBorder="1" applyAlignment="1">
      <alignment vertical="top"/>
    </xf>
    <xf numFmtId="3" fontId="34" fillId="0" borderId="74" xfId="4" applyNumberFormat="1" applyFont="1" applyFill="1" applyBorder="1" applyAlignment="1">
      <alignment vertical="top"/>
    </xf>
    <xf numFmtId="0" fontId="66" fillId="0" borderId="6" xfId="0" applyFont="1" applyBorder="1" applyAlignment="1">
      <alignment vertical="center" wrapText="1"/>
    </xf>
    <xf numFmtId="3" fontId="61" fillId="0" borderId="35" xfId="4" applyNumberFormat="1" applyFont="1" applyFill="1" applyBorder="1" applyAlignment="1">
      <alignment horizontal="right" vertical="center"/>
    </xf>
    <xf numFmtId="3" fontId="61" fillId="0" borderId="7" xfId="4" applyNumberFormat="1" applyFont="1" applyFill="1" applyBorder="1" applyAlignment="1">
      <alignment horizontal="right" vertical="center"/>
    </xf>
    <xf numFmtId="3" fontId="61" fillId="0" borderId="10" xfId="4" applyNumberFormat="1" applyFont="1" applyFill="1" applyBorder="1" applyAlignment="1">
      <alignment horizontal="right" vertical="center"/>
    </xf>
    <xf numFmtId="3" fontId="61" fillId="35" borderId="10" xfId="4" applyNumberFormat="1" applyFont="1" applyFill="1" applyBorder="1" applyAlignment="1">
      <alignment horizontal="right" vertical="center"/>
    </xf>
    <xf numFmtId="0" fontId="52" fillId="0" borderId="43" xfId="4" applyFont="1" applyFill="1" applyBorder="1" applyAlignment="1">
      <alignment vertical="center" wrapText="1"/>
    </xf>
    <xf numFmtId="0" fontId="34" fillId="0" borderId="93" xfId="4" applyFont="1" applyFill="1" applyBorder="1" applyAlignment="1">
      <alignment vertical="top"/>
    </xf>
    <xf numFmtId="0" fontId="66" fillId="0" borderId="22" xfId="0" applyFont="1" applyBorder="1" applyAlignment="1">
      <alignment vertical="center" wrapText="1"/>
    </xf>
    <xf numFmtId="3" fontId="34" fillId="35" borderId="74" xfId="4" applyNumberFormat="1" applyFont="1" applyFill="1" applyBorder="1" applyAlignment="1">
      <alignment vertical="top"/>
    </xf>
    <xf numFmtId="0" fontId="52" fillId="0" borderId="41" xfId="4" applyFont="1" applyFill="1" applyBorder="1" applyAlignment="1">
      <alignment vertical="center" wrapText="1"/>
    </xf>
    <xf numFmtId="0" fontId="34" fillId="0" borderId="32" xfId="4" applyFont="1" applyFill="1" applyBorder="1" applyAlignment="1"/>
    <xf numFmtId="3" fontId="34" fillId="0" borderId="35" xfId="4" applyNumberFormat="1" applyFont="1" applyFill="1" applyBorder="1" applyAlignment="1"/>
    <xf numFmtId="3" fontId="65" fillId="0" borderId="35" xfId="4" applyNumberFormat="1" applyFont="1" applyFill="1" applyBorder="1" applyAlignment="1"/>
    <xf numFmtId="3" fontId="61" fillId="0" borderId="9" xfId="4" applyNumberFormat="1" applyFont="1" applyFill="1" applyBorder="1" applyAlignment="1">
      <alignment horizontal="right" vertical="center"/>
    </xf>
    <xf numFmtId="3" fontId="65" fillId="0" borderId="10" xfId="4" applyNumberFormat="1" applyFont="1" applyFill="1" applyBorder="1" applyAlignment="1">
      <alignment horizontal="right" vertical="center"/>
    </xf>
    <xf numFmtId="3" fontId="65" fillId="0" borderId="47" xfId="4" applyNumberFormat="1" applyFont="1" applyFill="1" applyBorder="1" applyAlignment="1">
      <alignment vertical="top"/>
    </xf>
    <xf numFmtId="3" fontId="65" fillId="0" borderId="74" xfId="4" applyNumberFormat="1" applyFont="1" applyFill="1" applyBorder="1" applyAlignment="1">
      <alignment vertical="top"/>
    </xf>
    <xf numFmtId="3" fontId="65" fillId="8" borderId="70" xfId="4" applyNumberFormat="1" applyFont="1" applyFill="1" applyBorder="1" applyAlignment="1">
      <alignment horizontal="right" vertical="center"/>
    </xf>
    <xf numFmtId="3" fontId="65" fillId="0" borderId="30" xfId="4" applyNumberFormat="1" applyFont="1" applyFill="1" applyBorder="1" applyAlignment="1">
      <alignment vertical="top"/>
    </xf>
    <xf numFmtId="43" fontId="65" fillId="0" borderId="35" xfId="1" applyFont="1" applyFill="1" applyBorder="1" applyAlignment="1">
      <alignment vertical="top"/>
    </xf>
    <xf numFmtId="3" fontId="59" fillId="6" borderId="35" xfId="4" applyNumberFormat="1" applyFont="1" applyFill="1" applyBorder="1" applyAlignment="1">
      <alignment vertical="center"/>
    </xf>
    <xf numFmtId="0" fontId="34" fillId="0" borderId="94" xfId="4" applyFont="1" applyFill="1" applyBorder="1" applyAlignment="1">
      <alignment vertical="top"/>
    </xf>
    <xf numFmtId="3" fontId="34" fillId="0" borderId="95" xfId="4" applyNumberFormat="1" applyFont="1" applyFill="1" applyBorder="1" applyAlignment="1">
      <alignment vertical="top"/>
    </xf>
    <xf numFmtId="43" fontId="34" fillId="0" borderId="12" xfId="1" applyFont="1" applyFill="1" applyBorder="1" applyAlignment="1">
      <alignment vertical="top"/>
    </xf>
    <xf numFmtId="43" fontId="34" fillId="0" borderId="74" xfId="1" applyFont="1" applyFill="1" applyBorder="1" applyAlignment="1">
      <alignment vertical="top"/>
    </xf>
    <xf numFmtId="3" fontId="59" fillId="6" borderId="28" xfId="4" applyNumberFormat="1" applyFont="1" applyFill="1" applyBorder="1" applyAlignment="1">
      <alignment vertical="center"/>
    </xf>
    <xf numFmtId="3" fontId="65" fillId="0" borderId="9" xfId="4" applyNumberFormat="1" applyFont="1" applyFill="1" applyBorder="1" applyAlignment="1">
      <alignment horizontal="right" vertical="center"/>
    </xf>
    <xf numFmtId="3" fontId="54" fillId="6" borderId="28" xfId="4" applyNumberFormat="1" applyFont="1" applyFill="1" applyBorder="1" applyAlignment="1">
      <alignment vertical="center"/>
    </xf>
    <xf numFmtId="0" fontId="0" fillId="0" borderId="22" xfId="0" applyFont="1" applyBorder="1" applyAlignment="1">
      <alignment wrapText="1" shrinkToFit="1"/>
    </xf>
    <xf numFmtId="43" fontId="55" fillId="0" borderId="12" xfId="1" applyFont="1" applyFill="1" applyBorder="1" applyAlignment="1">
      <alignment vertical="top"/>
    </xf>
    <xf numFmtId="3" fontId="52" fillId="25" borderId="12" xfId="4" applyNumberFormat="1" applyFont="1" applyFill="1" applyBorder="1" applyAlignment="1">
      <alignment vertical="top"/>
    </xf>
    <xf numFmtId="3" fontId="65" fillId="0" borderId="47" xfId="4" applyNumberFormat="1" applyFont="1" applyFill="1" applyBorder="1" applyAlignment="1">
      <alignment vertical="center"/>
    </xf>
    <xf numFmtId="0" fontId="51" fillId="8" borderId="19" xfId="4" applyFont="1" applyFill="1" applyBorder="1" applyAlignment="1">
      <alignment horizontal="left" vertical="center" wrapText="1"/>
    </xf>
    <xf numFmtId="3" fontId="54" fillId="8" borderId="17" xfId="4" applyNumberFormat="1" applyFont="1" applyFill="1" applyBorder="1" applyAlignment="1">
      <alignment horizontal="center" vertical="center"/>
    </xf>
    <xf numFmtId="3" fontId="52" fillId="23" borderId="70" xfId="4" applyNumberFormat="1" applyFont="1" applyFill="1" applyBorder="1" applyAlignment="1">
      <alignment horizontal="right" vertical="center"/>
    </xf>
    <xf numFmtId="0" fontId="51" fillId="6" borderId="21" xfId="4" applyFont="1" applyFill="1" applyBorder="1" applyAlignment="1">
      <alignment horizontal="left" vertical="center"/>
    </xf>
    <xf numFmtId="3" fontId="51" fillId="6" borderId="29" xfId="4" applyNumberFormat="1" applyFont="1" applyFill="1" applyBorder="1" applyAlignment="1">
      <alignment vertical="center"/>
    </xf>
    <xf numFmtId="4" fontId="51" fillId="6" borderId="31" xfId="4" applyNumberFormat="1" applyFont="1" applyFill="1" applyBorder="1" applyAlignment="1">
      <alignment vertical="center"/>
    </xf>
    <xf numFmtId="3" fontId="54" fillId="6" borderId="30" xfId="4" applyNumberFormat="1" applyFont="1" applyFill="1" applyBorder="1" applyAlignment="1">
      <alignment vertical="center"/>
    </xf>
    <xf numFmtId="3" fontId="54" fillId="22" borderId="30" xfId="4" applyNumberFormat="1" applyFont="1" applyFill="1" applyBorder="1" applyAlignment="1">
      <alignment vertical="center"/>
    </xf>
    <xf numFmtId="0" fontId="64" fillId="0" borderId="21" xfId="4" applyFont="1" applyFill="1" applyBorder="1" applyAlignment="1">
      <alignment vertical="top"/>
    </xf>
    <xf numFmtId="3" fontId="69" fillId="0" borderId="9" xfId="4" applyNumberFormat="1" applyFont="1" applyFill="1" applyBorder="1" applyAlignment="1">
      <alignment horizontal="right" vertical="center"/>
    </xf>
    <xf numFmtId="3" fontId="64" fillId="0" borderId="35" xfId="4" applyNumberFormat="1" applyFont="1" applyFill="1" applyBorder="1" applyAlignment="1">
      <alignment horizontal="right" vertical="center"/>
    </xf>
    <xf numFmtId="4" fontId="64" fillId="0" borderId="35" xfId="4" applyNumberFormat="1" applyFont="1" applyFill="1" applyBorder="1" applyAlignment="1">
      <alignment horizontal="right" vertical="center"/>
    </xf>
    <xf numFmtId="3" fontId="69" fillId="0" borderId="35" xfId="4" applyNumberFormat="1" applyFont="1" applyFill="1" applyBorder="1" applyAlignment="1">
      <alignment horizontal="right" vertical="center"/>
    </xf>
    <xf numFmtId="3" fontId="69" fillId="25" borderId="35" xfId="4" applyNumberFormat="1" applyFont="1" applyFill="1" applyBorder="1" applyAlignment="1">
      <alignment horizontal="right" vertical="center"/>
    </xf>
    <xf numFmtId="3" fontId="55" fillId="0" borderId="29" xfId="0" applyNumberFormat="1" applyFont="1" applyFill="1" applyBorder="1" applyAlignment="1">
      <alignment vertical="top"/>
    </xf>
    <xf numFmtId="3" fontId="52" fillId="0" borderId="30" xfId="4" applyNumberFormat="1" applyFont="1" applyFill="1" applyBorder="1" applyAlignment="1">
      <alignment vertical="top"/>
    </xf>
    <xf numFmtId="4" fontId="52" fillId="0" borderId="30" xfId="4" applyNumberFormat="1" applyFont="1" applyFill="1" applyBorder="1" applyAlignment="1">
      <alignment vertical="top"/>
    </xf>
    <xf numFmtId="3" fontId="52" fillId="25" borderId="30" xfId="4" applyNumberFormat="1" applyFont="1" applyFill="1" applyBorder="1" applyAlignment="1">
      <alignment vertical="top"/>
    </xf>
    <xf numFmtId="0" fontId="52" fillId="0" borderId="32" xfId="4" applyFont="1" applyFill="1" applyBorder="1" applyAlignment="1">
      <alignment vertical="top" wrapText="1"/>
    </xf>
    <xf numFmtId="0" fontId="64" fillId="0" borderId="21" xfId="4" applyFont="1" applyFill="1" applyBorder="1" applyAlignment="1">
      <alignment horizontal="left" vertical="center"/>
    </xf>
    <xf numFmtId="3" fontId="64" fillId="0" borderId="9" xfId="4" applyNumberFormat="1" applyFont="1" applyFill="1" applyBorder="1" applyAlignment="1">
      <alignment horizontal="right" vertical="center"/>
    </xf>
    <xf numFmtId="4" fontId="64" fillId="0" borderId="9" xfId="4" applyNumberFormat="1" applyFont="1" applyFill="1" applyBorder="1" applyAlignment="1">
      <alignment horizontal="right" vertical="center"/>
    </xf>
    <xf numFmtId="3" fontId="69" fillId="25" borderId="9" xfId="4" applyNumberFormat="1" applyFont="1" applyFill="1" applyBorder="1" applyAlignment="1">
      <alignment horizontal="right" vertical="center"/>
    </xf>
    <xf numFmtId="0" fontId="52" fillId="0" borderId="90" xfId="4" applyFont="1" applyFill="1" applyBorder="1" applyAlignment="1">
      <alignment vertical="top"/>
    </xf>
    <xf numFmtId="3" fontId="64" fillId="0" borderId="30" xfId="4" applyNumberFormat="1" applyFont="1" applyFill="1" applyBorder="1" applyAlignment="1">
      <alignment horizontal="right" vertical="center"/>
    </xf>
    <xf numFmtId="4" fontId="64" fillId="0" borderId="30" xfId="4" applyNumberFormat="1" applyFont="1" applyFill="1" applyBorder="1" applyAlignment="1">
      <alignment horizontal="right" vertical="center"/>
    </xf>
    <xf numFmtId="3" fontId="52" fillId="0" borderId="13" xfId="4" applyNumberFormat="1" applyFont="1" applyFill="1" applyBorder="1" applyAlignment="1">
      <alignment vertical="top"/>
    </xf>
    <xf numFmtId="3" fontId="52" fillId="0" borderId="30" xfId="4" applyNumberFormat="1" applyFont="1" applyFill="1" applyBorder="1" applyAlignment="1">
      <alignment vertical="center"/>
    </xf>
    <xf numFmtId="0" fontId="52" fillId="0" borderId="77" xfId="4" applyFont="1" applyFill="1" applyBorder="1" applyAlignment="1">
      <alignment vertical="top" wrapText="1"/>
    </xf>
    <xf numFmtId="3" fontId="55" fillId="0" borderId="72" xfId="0" applyNumberFormat="1" applyFont="1" applyFill="1" applyBorder="1" applyAlignment="1">
      <alignment vertical="top"/>
    </xf>
    <xf numFmtId="0" fontId="80" fillId="2" borderId="89" xfId="0" applyFont="1" applyFill="1" applyBorder="1" applyAlignment="1">
      <alignment vertical="center"/>
    </xf>
    <xf numFmtId="0" fontId="100" fillId="2" borderId="51" xfId="0" applyFont="1" applyFill="1" applyBorder="1" applyAlignment="1">
      <alignment vertical="center"/>
    </xf>
    <xf numFmtId="0" fontId="100" fillId="37" borderId="51" xfId="0" applyFont="1" applyFill="1" applyBorder="1" applyAlignment="1">
      <alignment vertical="center"/>
    </xf>
    <xf numFmtId="0" fontId="100" fillId="2" borderId="80" xfId="0" applyFont="1" applyFill="1" applyBorder="1" applyAlignment="1">
      <alignment horizontal="center" vertical="center" wrapText="1"/>
    </xf>
    <xf numFmtId="0" fontId="59" fillId="6" borderId="17" xfId="0" applyFont="1" applyFill="1" applyBorder="1" applyAlignment="1">
      <alignment vertical="center"/>
    </xf>
    <xf numFmtId="3" fontId="59" fillId="6" borderId="18" xfId="0" applyNumberFormat="1" applyFont="1" applyFill="1" applyBorder="1" applyAlignment="1">
      <alignment vertical="center"/>
    </xf>
    <xf numFmtId="3" fontId="59" fillId="6" borderId="79" xfId="0" applyNumberFormat="1" applyFont="1" applyFill="1" applyBorder="1" applyAlignment="1">
      <alignment vertical="center"/>
    </xf>
    <xf numFmtId="3" fontId="59" fillId="6" borderId="70" xfId="0" applyNumberFormat="1" applyFont="1" applyFill="1" applyBorder="1" applyAlignment="1">
      <alignment vertical="center"/>
    </xf>
    <xf numFmtId="0" fontId="58" fillId="8" borderId="11" xfId="4" applyFont="1" applyFill="1" applyBorder="1" applyAlignment="1">
      <alignment horizontal="right" vertical="top"/>
    </xf>
    <xf numFmtId="3" fontId="65" fillId="8" borderId="30" xfId="4" applyNumberFormat="1" applyFont="1" applyFill="1" applyBorder="1" applyAlignment="1">
      <alignment vertical="top"/>
    </xf>
    <xf numFmtId="0" fontId="34" fillId="8" borderId="32" xfId="4" applyFont="1" applyFill="1" applyBorder="1" applyAlignment="1">
      <alignment vertical="center" wrapText="1"/>
    </xf>
    <xf numFmtId="0" fontId="34" fillId="8" borderId="29" xfId="4" applyFont="1" applyFill="1" applyBorder="1" applyAlignment="1">
      <alignment vertical="center"/>
    </xf>
    <xf numFmtId="3" fontId="34" fillId="8" borderId="30" xfId="4" applyNumberFormat="1" applyFont="1" applyFill="1" applyBorder="1" applyAlignment="1">
      <alignment vertical="center"/>
    </xf>
    <xf numFmtId="3" fontId="65" fillId="8" borderId="30" xfId="4" applyNumberFormat="1" applyFont="1" applyFill="1" applyBorder="1" applyAlignment="1">
      <alignment vertical="center"/>
    </xf>
    <xf numFmtId="0" fontId="34" fillId="8" borderId="26" xfId="4" applyFont="1" applyFill="1" applyBorder="1" applyAlignment="1">
      <alignment vertical="center"/>
    </xf>
    <xf numFmtId="0" fontId="34" fillId="8" borderId="32" xfId="4" applyFont="1" applyFill="1" applyBorder="1" applyAlignment="1">
      <alignment vertical="center"/>
    </xf>
    <xf numFmtId="3" fontId="52" fillId="8" borderId="43" xfId="4" applyNumberFormat="1" applyFont="1" applyFill="1" applyBorder="1" applyAlignment="1">
      <alignment vertical="center" wrapText="1"/>
    </xf>
    <xf numFmtId="3" fontId="34" fillId="0" borderId="71" xfId="4" applyNumberFormat="1" applyFont="1" applyFill="1" applyBorder="1" applyAlignment="1">
      <alignment vertical="top"/>
    </xf>
    <xf numFmtId="3" fontId="34" fillId="0" borderId="10" xfId="4" applyNumberFormat="1" applyFont="1" applyFill="1" applyBorder="1" applyAlignment="1">
      <alignment vertical="top"/>
    </xf>
    <xf numFmtId="3" fontId="34" fillId="35" borderId="10" xfId="4" applyNumberFormat="1" applyFont="1" applyFill="1" applyBorder="1" applyAlignment="1">
      <alignment vertical="top"/>
    </xf>
    <xf numFmtId="3" fontId="63" fillId="0" borderId="10" xfId="4" applyNumberFormat="1" applyFont="1" applyFill="1" applyBorder="1" applyAlignment="1">
      <alignment horizontal="right" vertical="center"/>
    </xf>
    <xf numFmtId="0" fontId="34" fillId="0" borderId="98" xfId="4" applyFont="1" applyFill="1" applyBorder="1" applyAlignment="1">
      <alignment vertical="top"/>
    </xf>
    <xf numFmtId="3" fontId="34" fillId="0" borderId="7" xfId="4" applyNumberFormat="1" applyFont="1" applyFill="1" applyBorder="1" applyAlignment="1">
      <alignment vertical="top"/>
    </xf>
    <xf numFmtId="3" fontId="59" fillId="6" borderId="20" xfId="4" applyNumberFormat="1" applyFont="1" applyFill="1" applyBorder="1" applyAlignment="1">
      <alignment vertical="center"/>
    </xf>
    <xf numFmtId="3" fontId="34" fillId="0" borderId="12" xfId="4" applyNumberFormat="1" applyFont="1" applyFill="1" applyBorder="1" applyAlignment="1">
      <alignment vertical="top"/>
    </xf>
    <xf numFmtId="3" fontId="59" fillId="8" borderId="70" xfId="4" applyNumberFormat="1" applyFont="1" applyFill="1" applyBorder="1" applyAlignment="1">
      <alignment horizontal="center" vertical="center"/>
    </xf>
    <xf numFmtId="3" fontId="34" fillId="8" borderId="79" xfId="4" applyNumberFormat="1" applyFont="1" applyFill="1" applyBorder="1" applyAlignment="1">
      <alignment horizontal="right" vertical="center"/>
    </xf>
    <xf numFmtId="3" fontId="59" fillId="6" borderId="8" xfId="0" applyNumberFormat="1" applyFont="1" applyFill="1" applyBorder="1" applyAlignment="1">
      <alignment vertical="center"/>
    </xf>
    <xf numFmtId="3" fontId="59" fillId="6" borderId="71" xfId="0" applyNumberFormat="1" applyFont="1" applyFill="1" applyBorder="1" applyAlignment="1">
      <alignment vertical="center"/>
    </xf>
    <xf numFmtId="3" fontId="59" fillId="6" borderId="30" xfId="0" applyNumberFormat="1" applyFont="1" applyFill="1" applyBorder="1" applyAlignment="1">
      <alignment vertical="center"/>
    </xf>
    <xf numFmtId="0" fontId="51" fillId="0" borderId="0" xfId="112" applyFont="1" applyAlignment="1">
      <alignment vertical="top"/>
    </xf>
    <xf numFmtId="0" fontId="52" fillId="0" borderId="0" xfId="112" applyFont="1" applyAlignment="1">
      <alignment vertical="top"/>
    </xf>
    <xf numFmtId="0" fontId="62" fillId="0" borderId="0" xfId="112" applyFont="1" applyFill="1" applyAlignment="1"/>
    <xf numFmtId="0" fontId="45" fillId="0" borderId="0" xfId="112" applyFont="1" applyFill="1" applyAlignment="1"/>
    <xf numFmtId="0" fontId="48" fillId="2" borderId="0" xfId="113" applyFont="1" applyFill="1" applyBorder="1" applyAlignment="1">
      <alignment horizontal="right" vertical="center"/>
    </xf>
    <xf numFmtId="0" fontId="49" fillId="2" borderId="0" xfId="112" applyFont="1" applyFill="1" applyBorder="1" applyAlignment="1">
      <alignment horizontal="right" vertical="center"/>
    </xf>
    <xf numFmtId="0" fontId="47" fillId="0" borderId="0" xfId="112" applyFont="1" applyFill="1" applyAlignment="1">
      <alignment horizontal="left"/>
    </xf>
    <xf numFmtId="0" fontId="62" fillId="0" borderId="0" xfId="112" applyFont="1" applyFill="1" applyAlignment="1">
      <alignment horizontal="left"/>
    </xf>
    <xf numFmtId="0" fontId="55" fillId="0" borderId="0" xfId="112" applyFont="1" applyAlignment="1">
      <alignment vertical="top"/>
    </xf>
    <xf numFmtId="0" fontId="54" fillId="2" borderId="5" xfId="112" applyFont="1" applyFill="1" applyBorder="1" applyAlignment="1">
      <alignment horizontal="center" vertical="top"/>
    </xf>
    <xf numFmtId="0" fontId="54" fillId="2" borderId="11" xfId="112" applyFont="1" applyFill="1" applyBorder="1" applyAlignment="1">
      <alignment horizontal="center" vertical="top"/>
    </xf>
    <xf numFmtId="0" fontId="60" fillId="0" borderId="12" xfId="112" applyFont="1" applyBorder="1" applyAlignment="1">
      <alignment horizontal="center" vertical="center" wrapText="1"/>
    </xf>
    <xf numFmtId="0" fontId="51" fillId="0" borderId="12" xfId="112" applyFont="1" applyBorder="1" applyAlignment="1">
      <alignment horizontal="center" vertical="center"/>
    </xf>
    <xf numFmtId="0" fontId="60" fillId="0" borderId="12" xfId="114" applyFont="1" applyBorder="1" applyAlignment="1">
      <alignment horizontal="center" vertical="center"/>
    </xf>
    <xf numFmtId="0" fontId="55" fillId="0" borderId="37" xfId="112" applyFont="1" applyBorder="1" applyAlignment="1">
      <alignment horizontal="center" vertical="top"/>
    </xf>
    <xf numFmtId="0" fontId="55" fillId="0" borderId="47" xfId="112" applyFont="1" applyBorder="1" applyAlignment="1">
      <alignment horizontal="center" vertical="top"/>
    </xf>
    <xf numFmtId="0" fontId="55" fillId="0" borderId="47" xfId="112" quotePrefix="1" applyFont="1" applyBorder="1" applyAlignment="1">
      <alignment horizontal="center" vertical="top"/>
    </xf>
    <xf numFmtId="0" fontId="55" fillId="2" borderId="47" xfId="112" applyFont="1" applyFill="1" applyBorder="1" applyAlignment="1">
      <alignment horizontal="center" vertical="top"/>
    </xf>
    <xf numFmtId="0" fontId="55" fillId="2" borderId="47" xfId="112" quotePrefix="1" applyFont="1" applyFill="1" applyBorder="1" applyAlignment="1">
      <alignment horizontal="center" vertical="top"/>
    </xf>
    <xf numFmtId="0" fontId="55" fillId="26" borderId="75" xfId="112" quotePrefix="1" applyFont="1" applyFill="1" applyBorder="1" applyAlignment="1">
      <alignment horizontal="center" vertical="top"/>
    </xf>
    <xf numFmtId="0" fontId="55" fillId="2" borderId="48" xfId="112" quotePrefix="1" applyFont="1" applyFill="1" applyBorder="1" applyAlignment="1">
      <alignment horizontal="center" vertical="top"/>
    </xf>
    <xf numFmtId="0" fontId="61" fillId="51" borderId="19" xfId="4" applyFont="1" applyFill="1" applyBorder="1" applyAlignment="1">
      <alignment horizontal="left" vertical="center"/>
    </xf>
    <xf numFmtId="0" fontId="61" fillId="51" borderId="25" xfId="112" applyFont="1" applyFill="1" applyBorder="1" applyAlignment="1">
      <alignment horizontal="left" vertical="top"/>
    </xf>
    <xf numFmtId="0" fontId="62" fillId="51" borderId="22" xfId="112" quotePrefix="1" applyFont="1" applyFill="1" applyBorder="1" applyAlignment="1">
      <alignment horizontal="center" vertical="top"/>
    </xf>
    <xf numFmtId="3" fontId="61" fillId="51" borderId="23" xfId="112" quotePrefix="1" applyNumberFormat="1" applyFont="1" applyFill="1" applyBorder="1" applyAlignment="1">
      <alignment horizontal="right" vertical="top"/>
    </xf>
    <xf numFmtId="3" fontId="63" fillId="25" borderId="30" xfId="4" applyNumberFormat="1" applyFont="1" applyFill="1" applyBorder="1" applyAlignment="1">
      <alignment horizontal="right" vertical="center"/>
    </xf>
    <xf numFmtId="3" fontId="61" fillId="8" borderId="30" xfId="112" applyNumberFormat="1" applyFont="1" applyFill="1" applyBorder="1" applyAlignment="1">
      <alignment vertical="top"/>
    </xf>
    <xf numFmtId="3" fontId="61" fillId="23" borderId="30" xfId="112" applyNumberFormat="1" applyFont="1" applyFill="1" applyBorder="1" applyAlignment="1">
      <alignment vertical="top"/>
    </xf>
    <xf numFmtId="3" fontId="65" fillId="8" borderId="30" xfId="112" applyNumberFormat="1" applyFont="1" applyFill="1" applyBorder="1" applyAlignment="1">
      <alignment vertical="top"/>
    </xf>
    <xf numFmtId="3" fontId="66" fillId="8" borderId="29" xfId="114" applyNumberFormat="1" applyFont="1" applyFill="1" applyBorder="1" applyAlignment="1">
      <alignment vertical="center"/>
    </xf>
    <xf numFmtId="0" fontId="51" fillId="8" borderId="11" xfId="4" applyFont="1" applyFill="1" applyBorder="1" applyAlignment="1">
      <alignment horizontal="center" vertical="center"/>
    </xf>
    <xf numFmtId="0" fontId="61" fillId="8" borderId="34" xfId="4" applyFont="1" applyFill="1" applyBorder="1" applyAlignment="1">
      <alignment vertical="center"/>
    </xf>
    <xf numFmtId="0" fontId="61" fillId="8" borderId="28" xfId="4" applyFont="1" applyFill="1" applyBorder="1" applyAlignment="1">
      <alignment vertical="center"/>
    </xf>
    <xf numFmtId="3" fontId="67" fillId="8" borderId="29" xfId="114" applyNumberFormat="1" applyFont="1" applyFill="1" applyBorder="1" applyAlignment="1">
      <alignment vertical="center"/>
    </xf>
    <xf numFmtId="0" fontId="52" fillId="8" borderId="43" xfId="4" applyFont="1" applyFill="1" applyBorder="1" applyAlignment="1">
      <alignment horizontal="center" vertical="center"/>
    </xf>
    <xf numFmtId="3" fontId="65" fillId="8" borderId="47" xfId="112" applyNumberFormat="1" applyFont="1" applyFill="1" applyBorder="1" applyAlignment="1">
      <alignment vertical="top"/>
    </xf>
    <xf numFmtId="0" fontId="58" fillId="8" borderId="19" xfId="112" applyFont="1" applyFill="1" applyBorder="1" applyAlignment="1">
      <alignment vertical="center" wrapText="1"/>
    </xf>
    <xf numFmtId="0" fontId="58" fillId="8" borderId="14" xfId="112" applyFont="1" applyFill="1" applyBorder="1" applyAlignment="1">
      <alignment horizontal="center" vertical="center" wrapText="1"/>
    </xf>
    <xf numFmtId="0" fontId="34" fillId="8" borderId="3" xfId="112" applyFont="1" applyFill="1" applyBorder="1" applyAlignment="1">
      <alignment vertical="top"/>
    </xf>
    <xf numFmtId="0" fontId="34" fillId="8" borderId="70" xfId="112" applyFont="1" applyFill="1" applyBorder="1" applyAlignment="1">
      <alignment vertical="top"/>
    </xf>
    <xf numFmtId="0" fontId="34" fillId="8" borderId="79" xfId="112" applyFont="1" applyFill="1" applyBorder="1" applyAlignment="1">
      <alignment vertical="top"/>
    </xf>
    <xf numFmtId="3" fontId="34" fillId="8" borderId="79" xfId="112" applyNumberFormat="1" applyFont="1" applyFill="1" applyBorder="1" applyAlignment="1">
      <alignment vertical="top"/>
    </xf>
    <xf numFmtId="3" fontId="34" fillId="23" borderId="70" xfId="112" applyNumberFormat="1" applyFont="1" applyFill="1" applyBorder="1" applyAlignment="1">
      <alignment vertical="top"/>
    </xf>
    <xf numFmtId="3" fontId="63" fillId="0" borderId="65" xfId="4" applyNumberFormat="1" applyFont="1" applyFill="1" applyBorder="1" applyAlignment="1">
      <alignment horizontal="right" vertical="center"/>
    </xf>
    <xf numFmtId="3" fontId="67" fillId="0" borderId="30" xfId="114" applyNumberFormat="1" applyFont="1" applyFill="1" applyBorder="1" applyAlignment="1">
      <alignment vertical="center"/>
    </xf>
    <xf numFmtId="3" fontId="34" fillId="0" borderId="30" xfId="112" applyNumberFormat="1" applyFont="1" applyFill="1" applyBorder="1" applyAlignment="1">
      <alignment vertical="center"/>
    </xf>
    <xf numFmtId="3" fontId="65" fillId="0" borderId="30" xfId="112" applyNumberFormat="1" applyFont="1" applyFill="1" applyBorder="1" applyAlignment="1">
      <alignment vertical="center"/>
    </xf>
    <xf numFmtId="3" fontId="34" fillId="0" borderId="35" xfId="112" applyNumberFormat="1" applyFont="1" applyFill="1" applyBorder="1" applyAlignment="1">
      <alignment vertical="center"/>
    </xf>
    <xf numFmtId="3" fontId="67" fillId="0" borderId="29" xfId="114" applyNumberFormat="1" applyFont="1" applyFill="1" applyBorder="1" applyAlignment="1">
      <alignment vertical="center"/>
    </xf>
    <xf numFmtId="0" fontId="2" fillId="0" borderId="0" xfId="112" applyFont="1" applyBorder="1"/>
    <xf numFmtId="0" fontId="2" fillId="0" borderId="24" xfId="112" applyFont="1" applyBorder="1"/>
    <xf numFmtId="3" fontId="65" fillId="0" borderId="47" xfId="112" applyNumberFormat="1" applyFont="1" applyFill="1" applyBorder="1" applyAlignment="1">
      <alignment vertical="center"/>
    </xf>
    <xf numFmtId="3" fontId="66" fillId="0" borderId="30" xfId="114" applyNumberFormat="1" applyFont="1" applyFill="1" applyBorder="1" applyAlignment="1">
      <alignment vertical="center"/>
    </xf>
    <xf numFmtId="3" fontId="67" fillId="0" borderId="9" xfId="114" applyNumberFormat="1" applyFont="1" applyFill="1" applyBorder="1" applyAlignment="1">
      <alignment vertical="center"/>
    </xf>
    <xf numFmtId="0" fontId="52" fillId="0" borderId="0" xfId="112" applyFont="1" applyBorder="1" applyAlignment="1">
      <alignment vertical="top"/>
    </xf>
    <xf numFmtId="0" fontId="52" fillId="0" borderId="0" xfId="112" applyFont="1" applyBorder="1" applyAlignment="1">
      <alignment horizontal="center" vertical="top" wrapText="1"/>
    </xf>
    <xf numFmtId="0" fontId="52" fillId="0" borderId="67" xfId="112" applyFont="1" applyBorder="1" applyAlignment="1">
      <alignment vertical="top"/>
    </xf>
    <xf numFmtId="0" fontId="52" fillId="0" borderId="0" xfId="112" applyFont="1" applyAlignment="1">
      <alignment horizontal="center" vertical="top" wrapText="1"/>
    </xf>
    <xf numFmtId="0" fontId="55" fillId="2" borderId="14" xfId="0" applyFont="1" applyFill="1" applyBorder="1" applyAlignment="1">
      <alignment horizontal="center" vertical="top"/>
    </xf>
    <xf numFmtId="0" fontId="55" fillId="2" borderId="42" xfId="0" applyFont="1" applyFill="1" applyBorder="1" applyAlignment="1">
      <alignment horizontal="center" vertical="top"/>
    </xf>
    <xf numFmtId="0" fontId="55" fillId="2" borderId="15" xfId="0" quotePrefix="1" applyFont="1" applyFill="1" applyBorder="1" applyAlignment="1">
      <alignment horizontal="center" vertical="top"/>
    </xf>
    <xf numFmtId="0" fontId="55" fillId="2" borderId="4" xfId="0" quotePrefix="1" applyFont="1" applyFill="1" applyBorder="1" applyAlignment="1">
      <alignment horizontal="center" vertical="top"/>
    </xf>
    <xf numFmtId="0" fontId="64" fillId="8" borderId="5" xfId="0" applyFont="1" applyFill="1" applyBorder="1" applyAlignment="1">
      <alignment vertical="top"/>
    </xf>
    <xf numFmtId="3" fontId="61" fillId="21" borderId="44" xfId="4" applyNumberFormat="1" applyFont="1" applyFill="1" applyBorder="1" applyAlignment="1">
      <alignment horizontal="right" vertical="center"/>
    </xf>
    <xf numFmtId="3" fontId="52" fillId="8" borderId="66" xfId="4" applyNumberFormat="1" applyFont="1" applyFill="1" applyBorder="1" applyAlignment="1">
      <alignment vertical="top" wrapText="1"/>
    </xf>
    <xf numFmtId="0" fontId="51" fillId="8" borderId="6" xfId="4" applyFont="1" applyFill="1" applyBorder="1" applyAlignment="1">
      <alignment horizontal="center" vertical="top" wrapText="1"/>
    </xf>
    <xf numFmtId="3" fontId="102" fillId="0" borderId="30" xfId="5" applyNumberFormat="1" applyFont="1" applyBorder="1" applyAlignment="1">
      <alignment vertical="center"/>
    </xf>
    <xf numFmtId="0" fontId="59" fillId="0" borderId="23" xfId="4" applyFont="1" applyBorder="1" applyAlignment="1">
      <alignment horizontal="center" vertical="center" wrapText="1"/>
    </xf>
    <xf numFmtId="3" fontId="0" fillId="0" borderId="63" xfId="0" applyNumberFormat="1" applyFont="1" applyBorder="1"/>
    <xf numFmtId="3" fontId="66" fillId="0" borderId="12" xfId="0" applyNumberFormat="1" applyFont="1" applyBorder="1"/>
    <xf numFmtId="3" fontId="61" fillId="2" borderId="35" xfId="0" applyNumberFormat="1" applyFont="1" applyFill="1" applyBorder="1" applyAlignment="1">
      <alignment vertical="center"/>
    </xf>
    <xf numFmtId="3" fontId="61" fillId="2" borderId="9" xfId="0" applyNumberFormat="1" applyFont="1" applyFill="1" applyBorder="1" applyAlignment="1">
      <alignment vertical="center"/>
    </xf>
    <xf numFmtId="0" fontId="0" fillId="53" borderId="0" xfId="0" applyFont="1" applyFill="1" applyBorder="1" applyAlignment="1">
      <alignment vertical="top"/>
    </xf>
    <xf numFmtId="0" fontId="0" fillId="53" borderId="0" xfId="0" applyFont="1" applyFill="1" applyAlignment="1">
      <alignment vertical="top"/>
    </xf>
    <xf numFmtId="0" fontId="55" fillId="53" borderId="39" xfId="0" applyFont="1" applyFill="1" applyBorder="1" applyAlignment="1">
      <alignment horizontal="center" vertical="top"/>
    </xf>
    <xf numFmtId="3" fontId="61" fillId="53" borderId="29" xfId="4" applyNumberFormat="1" applyFont="1" applyFill="1" applyBorder="1" applyAlignment="1">
      <alignment horizontal="right" vertical="center"/>
    </xf>
    <xf numFmtId="3" fontId="61" fillId="53" borderId="27" xfId="4" applyNumberFormat="1" applyFont="1" applyFill="1" applyBorder="1" applyAlignment="1">
      <alignment horizontal="right" vertical="center"/>
    </xf>
    <xf numFmtId="3" fontId="61" fillId="53" borderId="27" xfId="0" quotePrefix="1" applyNumberFormat="1" applyFont="1" applyFill="1" applyBorder="1" applyAlignment="1">
      <alignment horizontal="right" vertical="top"/>
    </xf>
    <xf numFmtId="3" fontId="58" fillId="54" borderId="70" xfId="0" applyNumberFormat="1" applyFont="1" applyFill="1" applyBorder="1" applyAlignment="1">
      <alignment vertical="center"/>
    </xf>
    <xf numFmtId="3" fontId="63" fillId="53" borderId="30" xfId="0" applyNumberFormat="1" applyFont="1" applyFill="1" applyBorder="1" applyAlignment="1">
      <alignment vertical="center"/>
    </xf>
    <xf numFmtId="3" fontId="34" fillId="54" borderId="30" xfId="0" applyNumberFormat="1" applyFont="1" applyFill="1" applyBorder="1" applyAlignment="1">
      <alignment vertical="center"/>
    </xf>
    <xf numFmtId="3" fontId="63" fillId="53" borderId="9" xfId="0" applyNumberFormat="1" applyFont="1" applyFill="1" applyBorder="1" applyAlignment="1">
      <alignment vertical="center"/>
    </xf>
    <xf numFmtId="3" fontId="58" fillId="53" borderId="35" xfId="0" applyNumberFormat="1" applyFont="1" applyFill="1" applyBorder="1" applyAlignment="1">
      <alignment vertical="top"/>
    </xf>
    <xf numFmtId="3" fontId="34" fillId="54" borderId="47" xfId="0" applyNumberFormat="1" applyFont="1" applyFill="1" applyBorder="1" applyAlignment="1">
      <alignment vertical="center"/>
    </xf>
    <xf numFmtId="0" fontId="34" fillId="53" borderId="70" xfId="0" applyFont="1" applyFill="1" applyBorder="1" applyAlignment="1">
      <alignment vertical="top"/>
    </xf>
    <xf numFmtId="3" fontId="34" fillId="53" borderId="70" xfId="0" applyNumberFormat="1" applyFont="1" applyFill="1" applyBorder="1" applyAlignment="1">
      <alignment vertical="top"/>
    </xf>
    <xf numFmtId="3" fontId="59" fillId="53" borderId="29" xfId="0" applyNumberFormat="1" applyFont="1" applyFill="1" applyBorder="1" applyAlignment="1">
      <alignment vertical="top"/>
    </xf>
    <xf numFmtId="3" fontId="61" fillId="53" borderId="29" xfId="0" applyNumberFormat="1" applyFont="1" applyFill="1" applyBorder="1" applyAlignment="1">
      <alignment vertical="top"/>
    </xf>
    <xf numFmtId="3" fontId="65" fillId="53" borderId="29" xfId="0" applyNumberFormat="1" applyFont="1" applyFill="1" applyBorder="1" applyAlignment="1">
      <alignment vertical="top"/>
    </xf>
    <xf numFmtId="3" fontId="65" fillId="53" borderId="63" xfId="0" applyNumberFormat="1" applyFont="1" applyFill="1" applyBorder="1" applyAlignment="1">
      <alignment horizontal="right" vertical="center"/>
    </xf>
    <xf numFmtId="3" fontId="65" fillId="53" borderId="30" xfId="0" applyNumberFormat="1" applyFont="1" applyFill="1" applyBorder="1" applyAlignment="1">
      <alignment vertical="top"/>
    </xf>
    <xf numFmtId="3" fontId="65" fillId="53" borderId="47" xfId="0" applyNumberFormat="1" applyFont="1" applyFill="1" applyBorder="1" applyAlignment="1">
      <alignment horizontal="right" vertical="center"/>
    </xf>
    <xf numFmtId="3" fontId="65" fillId="53" borderId="30" xfId="0" applyNumberFormat="1" applyFont="1" applyFill="1" applyBorder="1" applyAlignment="1">
      <alignment horizontal="right" vertical="center"/>
    </xf>
    <xf numFmtId="3" fontId="65" fillId="53" borderId="65" xfId="0" applyNumberFormat="1" applyFont="1" applyFill="1" applyBorder="1" applyAlignment="1">
      <alignment horizontal="right" vertical="center"/>
    </xf>
    <xf numFmtId="3" fontId="62" fillId="53" borderId="9" xfId="0" applyNumberFormat="1" applyFont="1" applyFill="1" applyBorder="1" applyAlignment="1">
      <alignment horizontal="right" vertical="center"/>
    </xf>
    <xf numFmtId="3" fontId="59" fillId="53" borderId="9" xfId="0" applyNumberFormat="1" applyFont="1" applyFill="1" applyBorder="1" applyAlignment="1">
      <alignment vertical="top"/>
    </xf>
    <xf numFmtId="3" fontId="65" fillId="53" borderId="9" xfId="0" applyNumberFormat="1" applyFont="1" applyFill="1" applyBorder="1" applyAlignment="1">
      <alignment vertical="top"/>
    </xf>
    <xf numFmtId="3" fontId="61" fillId="53" borderId="29" xfId="0" applyNumberFormat="1" applyFont="1" applyFill="1" applyBorder="1" applyAlignment="1">
      <alignment vertical="center"/>
    </xf>
    <xf numFmtId="0" fontId="0" fillId="53" borderId="0" xfId="0" applyFont="1" applyFill="1" applyBorder="1" applyAlignment="1">
      <alignment vertical="center"/>
    </xf>
    <xf numFmtId="0" fontId="0" fillId="53" borderId="0" xfId="0" applyFont="1" applyFill="1" applyAlignment="1">
      <alignment vertical="center"/>
    </xf>
    <xf numFmtId="0" fontId="68" fillId="53" borderId="51" xfId="0" applyFont="1" applyFill="1" applyBorder="1" applyAlignment="1">
      <alignment vertical="top"/>
    </xf>
    <xf numFmtId="3" fontId="61" fillId="53" borderId="9" xfId="4" applyNumberFormat="1" applyFont="1" applyFill="1" applyBorder="1" applyAlignment="1">
      <alignment horizontal="right" vertical="center"/>
    </xf>
    <xf numFmtId="3" fontId="61" fillId="53" borderId="30" xfId="0" applyNumberFormat="1" applyFont="1" applyFill="1" applyBorder="1" applyAlignment="1">
      <alignment vertical="center"/>
    </xf>
    <xf numFmtId="3" fontId="65" fillId="54" borderId="30" xfId="0" applyNumberFormat="1" applyFont="1" applyFill="1" applyBorder="1" applyAlignment="1">
      <alignment vertical="center"/>
    </xf>
    <xf numFmtId="3" fontId="58" fillId="54" borderId="35" xfId="0" applyNumberFormat="1" applyFont="1" applyFill="1" applyBorder="1" applyAlignment="1">
      <alignment vertical="center"/>
    </xf>
    <xf numFmtId="0" fontId="65" fillId="53" borderId="70" xfId="0" applyFont="1" applyFill="1" applyBorder="1" applyAlignment="1">
      <alignment vertical="top"/>
    </xf>
    <xf numFmtId="3" fontId="65" fillId="53" borderId="47" xfId="0" applyNumberFormat="1" applyFont="1" applyFill="1" applyBorder="1" applyAlignment="1">
      <alignment vertical="top"/>
    </xf>
    <xf numFmtId="0" fontId="34" fillId="53" borderId="15" xfId="0" applyFont="1" applyFill="1" applyBorder="1" applyAlignment="1">
      <alignment vertical="top"/>
    </xf>
    <xf numFmtId="3" fontId="34" fillId="53" borderId="15" xfId="0" applyNumberFormat="1" applyFont="1" applyFill="1" applyBorder="1" applyAlignment="1">
      <alignment vertical="top"/>
    </xf>
    <xf numFmtId="3" fontId="0" fillId="53" borderId="30" xfId="0" applyNumberFormat="1" applyFont="1" applyFill="1" applyBorder="1"/>
    <xf numFmtId="3" fontId="66" fillId="53" borderId="30" xfId="0" applyNumberFormat="1" applyFont="1" applyFill="1" applyBorder="1"/>
    <xf numFmtId="3" fontId="66" fillId="53" borderId="47" xfId="0" applyNumberFormat="1" applyFont="1" applyFill="1" applyBorder="1"/>
    <xf numFmtId="0" fontId="0" fillId="53" borderId="3" xfId="0" applyFont="1" applyFill="1" applyBorder="1" applyAlignment="1">
      <alignment vertical="top"/>
    </xf>
    <xf numFmtId="0" fontId="0" fillId="53" borderId="24" xfId="0" applyFont="1" applyFill="1" applyBorder="1" applyAlignment="1">
      <alignment vertical="top"/>
    </xf>
    <xf numFmtId="0" fontId="0" fillId="53" borderId="26" xfId="0" applyFont="1" applyFill="1" applyBorder="1" applyAlignment="1">
      <alignment vertical="top"/>
    </xf>
    <xf numFmtId="0" fontId="0" fillId="55" borderId="0" xfId="0" applyFont="1" applyFill="1" applyAlignment="1">
      <alignment vertical="top"/>
    </xf>
    <xf numFmtId="3" fontId="56" fillId="55" borderId="0" xfId="0" applyNumberFormat="1" applyFont="1" applyFill="1" applyAlignment="1">
      <alignment vertical="top"/>
    </xf>
    <xf numFmtId="3" fontId="0" fillId="55" borderId="0" xfId="0" applyNumberFormat="1" applyFont="1" applyFill="1" applyAlignment="1">
      <alignment vertical="top"/>
    </xf>
    <xf numFmtId="0" fontId="55" fillId="55" borderId="39" xfId="0" quotePrefix="1" applyFont="1" applyFill="1" applyBorder="1" applyAlignment="1">
      <alignment horizontal="center" vertical="top"/>
    </xf>
    <xf numFmtId="3" fontId="61" fillId="55" borderId="29" xfId="4" applyNumberFormat="1" applyFont="1" applyFill="1" applyBorder="1" applyAlignment="1">
      <alignment horizontal="right" vertical="center"/>
    </xf>
    <xf numFmtId="3" fontId="61" fillId="55" borderId="27" xfId="4" applyNumberFormat="1" applyFont="1" applyFill="1" applyBorder="1" applyAlignment="1">
      <alignment horizontal="right" vertical="center"/>
    </xf>
    <xf numFmtId="3" fontId="61" fillId="55" borderId="27" xfId="0" quotePrefix="1" applyNumberFormat="1" applyFont="1" applyFill="1" applyBorder="1" applyAlignment="1">
      <alignment horizontal="right" vertical="top"/>
    </xf>
    <xf numFmtId="3" fontId="58" fillId="56" borderId="70" xfId="0" applyNumberFormat="1" applyFont="1" applyFill="1" applyBorder="1" applyAlignment="1">
      <alignment vertical="center"/>
    </xf>
    <xf numFmtId="3" fontId="63" fillId="55" borderId="30" xfId="0" applyNumberFormat="1" applyFont="1" applyFill="1" applyBorder="1" applyAlignment="1">
      <alignment vertical="center"/>
    </xf>
    <xf numFmtId="3" fontId="34" fillId="56" borderId="30" xfId="0" applyNumberFormat="1" applyFont="1" applyFill="1" applyBorder="1" applyAlignment="1">
      <alignment vertical="center"/>
    </xf>
    <xf numFmtId="3" fontId="63" fillId="55" borderId="9" xfId="0" applyNumberFormat="1" applyFont="1" applyFill="1" applyBorder="1" applyAlignment="1">
      <alignment vertical="center"/>
    </xf>
    <xf numFmtId="3" fontId="58" fillId="55" borderId="35" xfId="0" applyNumberFormat="1" applyFont="1" applyFill="1" applyBorder="1" applyAlignment="1">
      <alignment vertical="top"/>
    </xf>
    <xf numFmtId="3" fontId="34" fillId="56" borderId="47" xfId="0" applyNumberFormat="1" applyFont="1" applyFill="1" applyBorder="1" applyAlignment="1">
      <alignment vertical="center"/>
    </xf>
    <xf numFmtId="3" fontId="34" fillId="55" borderId="70" xfId="0" applyNumberFormat="1" applyFont="1" applyFill="1" applyBorder="1" applyAlignment="1">
      <alignment vertical="top"/>
    </xf>
    <xf numFmtId="0" fontId="34" fillId="55" borderId="70" xfId="0" applyFont="1" applyFill="1" applyBorder="1" applyAlignment="1">
      <alignment vertical="top"/>
    </xf>
    <xf numFmtId="3" fontId="59" fillId="55" borderId="29" xfId="0" applyNumberFormat="1" applyFont="1" applyFill="1" applyBorder="1" applyAlignment="1">
      <alignment vertical="top"/>
    </xf>
    <xf numFmtId="3" fontId="61" fillId="55" borderId="29" xfId="0" applyNumberFormat="1" applyFont="1" applyFill="1" applyBorder="1" applyAlignment="1">
      <alignment vertical="top"/>
    </xf>
    <xf numFmtId="3" fontId="65" fillId="55" borderId="29" xfId="0" applyNumberFormat="1" applyFont="1" applyFill="1" applyBorder="1" applyAlignment="1">
      <alignment vertical="top"/>
    </xf>
    <xf numFmtId="3" fontId="65" fillId="55" borderId="63" xfId="0" applyNumberFormat="1" applyFont="1" applyFill="1" applyBorder="1" applyAlignment="1">
      <alignment horizontal="right" vertical="center"/>
    </xf>
    <xf numFmtId="3" fontId="65" fillId="55" borderId="30" xfId="0" applyNumberFormat="1" applyFont="1" applyFill="1" applyBorder="1" applyAlignment="1">
      <alignment vertical="top"/>
    </xf>
    <xf numFmtId="3" fontId="65" fillId="55" borderId="47" xfId="0" applyNumberFormat="1" applyFont="1" applyFill="1" applyBorder="1" applyAlignment="1">
      <alignment horizontal="right" vertical="center"/>
    </xf>
    <xf numFmtId="3" fontId="65" fillId="55" borderId="65" xfId="0" applyNumberFormat="1" applyFont="1" applyFill="1" applyBorder="1" applyAlignment="1">
      <alignment vertical="top"/>
    </xf>
    <xf numFmtId="3" fontId="62" fillId="55" borderId="9" xfId="0" applyNumberFormat="1" applyFont="1" applyFill="1" applyBorder="1" applyAlignment="1">
      <alignment horizontal="right" vertical="center"/>
    </xf>
    <xf numFmtId="3" fontId="62" fillId="55" borderId="9" xfId="0" applyNumberFormat="1" applyFont="1" applyFill="1" applyBorder="1" applyAlignment="1">
      <alignment horizontal="right"/>
    </xf>
    <xf numFmtId="3" fontId="59" fillId="55" borderId="9" xfId="0" applyNumberFormat="1" applyFont="1" applyFill="1" applyBorder="1" applyAlignment="1">
      <alignment vertical="top"/>
    </xf>
    <xf numFmtId="3" fontId="65" fillId="55" borderId="30" xfId="0" applyNumberFormat="1" applyFont="1" applyFill="1" applyBorder="1" applyAlignment="1">
      <alignment horizontal="right" vertical="center"/>
    </xf>
    <xf numFmtId="3" fontId="65" fillId="55" borderId="9" xfId="0" applyNumberFormat="1" applyFont="1" applyFill="1" applyBorder="1" applyAlignment="1">
      <alignment vertical="top"/>
    </xf>
    <xf numFmtId="3" fontId="65" fillId="55" borderId="47" xfId="0" applyNumberFormat="1" applyFont="1" applyFill="1" applyBorder="1" applyAlignment="1">
      <alignment vertical="top"/>
    </xf>
    <xf numFmtId="3" fontId="61" fillId="55" borderId="29" xfId="0" applyNumberFormat="1" applyFont="1" applyFill="1" applyBorder="1" applyAlignment="1">
      <alignment vertical="center"/>
    </xf>
    <xf numFmtId="0" fontId="0" fillId="55" borderId="0" xfId="0" applyFont="1" applyFill="1" applyAlignment="1">
      <alignment vertical="center"/>
    </xf>
    <xf numFmtId="0" fontId="68" fillId="55" borderId="51" xfId="0" applyFont="1" applyFill="1" applyBorder="1" applyAlignment="1">
      <alignment vertical="top"/>
    </xf>
    <xf numFmtId="3" fontId="61" fillId="55" borderId="9" xfId="4" applyNumberFormat="1" applyFont="1" applyFill="1" applyBorder="1" applyAlignment="1">
      <alignment horizontal="right" vertical="center"/>
    </xf>
    <xf numFmtId="3" fontId="61" fillId="55" borderId="30" xfId="0" applyNumberFormat="1" applyFont="1" applyFill="1" applyBorder="1" applyAlignment="1">
      <alignment vertical="center"/>
    </xf>
    <xf numFmtId="3" fontId="65" fillId="56" borderId="30" xfId="0" applyNumberFormat="1" applyFont="1" applyFill="1" applyBorder="1" applyAlignment="1">
      <alignment vertical="center"/>
    </xf>
    <xf numFmtId="3" fontId="58" fillId="56" borderId="35" xfId="0" applyNumberFormat="1" applyFont="1" applyFill="1" applyBorder="1" applyAlignment="1">
      <alignment vertical="center"/>
    </xf>
    <xf numFmtId="0" fontId="65" fillId="55" borderId="70" xfId="0" applyFont="1" applyFill="1" applyBorder="1" applyAlignment="1">
      <alignment vertical="top"/>
    </xf>
    <xf numFmtId="3" fontId="34" fillId="55" borderId="15" xfId="0" applyNumberFormat="1" applyFont="1" applyFill="1" applyBorder="1" applyAlignment="1">
      <alignment vertical="top"/>
    </xf>
    <xf numFmtId="0" fontId="34" fillId="55" borderId="15" xfId="0" applyFont="1" applyFill="1" applyBorder="1" applyAlignment="1">
      <alignment vertical="top"/>
    </xf>
    <xf numFmtId="0" fontId="65" fillId="55" borderId="15" xfId="0" applyFont="1" applyFill="1" applyBorder="1" applyAlignment="1">
      <alignment vertical="top"/>
    </xf>
    <xf numFmtId="3" fontId="0" fillId="55" borderId="30" xfId="0" applyNumberFormat="1" applyFont="1" applyFill="1" applyBorder="1"/>
    <xf numFmtId="3" fontId="66" fillId="55" borderId="30" xfId="0" applyNumberFormat="1" applyFont="1" applyFill="1" applyBorder="1"/>
    <xf numFmtId="3" fontId="66" fillId="55" borderId="47" xfId="0" applyNumberFormat="1" applyFont="1" applyFill="1" applyBorder="1"/>
    <xf numFmtId="0" fontId="0" fillId="55" borderId="3" xfId="0" applyFont="1" applyFill="1" applyBorder="1" applyAlignment="1">
      <alignment vertical="top"/>
    </xf>
    <xf numFmtId="0" fontId="0" fillId="55" borderId="0" xfId="0" applyFont="1" applyFill="1" applyBorder="1" applyAlignment="1">
      <alignment vertical="top"/>
    </xf>
    <xf numFmtId="0" fontId="0" fillId="55" borderId="24" xfId="0" applyFont="1" applyFill="1" applyBorder="1" applyAlignment="1">
      <alignment vertical="top"/>
    </xf>
    <xf numFmtId="0" fontId="51" fillId="2" borderId="74" xfId="0" applyFont="1" applyFill="1" applyBorder="1" applyAlignment="1">
      <alignment horizontal="center" vertical="center" wrapText="1"/>
    </xf>
    <xf numFmtId="0" fontId="51" fillId="2" borderId="24" xfId="0" applyFont="1" applyFill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01" fillId="0" borderId="12" xfId="0" applyFont="1" applyBorder="1" applyAlignment="1">
      <alignment horizontal="center" vertical="center" wrapText="1"/>
    </xf>
    <xf numFmtId="0" fontId="103" fillId="0" borderId="12" xfId="0" applyFont="1" applyBorder="1" applyAlignment="1">
      <alignment horizontal="center" vertical="center"/>
    </xf>
    <xf numFmtId="0" fontId="104" fillId="0" borderId="12" xfId="4" applyFont="1" applyBorder="1" applyAlignment="1">
      <alignment horizontal="center" vertical="center" wrapText="1"/>
    </xf>
    <xf numFmtId="0" fontId="105" fillId="0" borderId="13" xfId="4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03" fillId="53" borderId="12" xfId="0" applyFont="1" applyFill="1" applyBorder="1" applyAlignment="1">
      <alignment horizontal="center" vertical="center"/>
    </xf>
    <xf numFmtId="3" fontId="65" fillId="2" borderId="9" xfId="4" applyNumberFormat="1" applyFont="1" applyFill="1" applyBorder="1" applyAlignment="1">
      <alignment horizontal="right" vertical="center"/>
    </xf>
    <xf numFmtId="3" fontId="57" fillId="6" borderId="30" xfId="6" applyNumberFormat="1" applyFont="1" applyFill="1" applyBorder="1" applyAlignment="1">
      <alignment horizontal="right" vertical="center"/>
    </xf>
    <xf numFmtId="3" fontId="67" fillId="0" borderId="30" xfId="6" applyNumberFormat="1" applyFont="1" applyFill="1" applyBorder="1" applyAlignment="1">
      <alignment horizontal="right" vertical="center"/>
    </xf>
    <xf numFmtId="3" fontId="58" fillId="8" borderId="3" xfId="4" applyNumberFormat="1" applyFont="1" applyFill="1" applyBorder="1" applyAlignment="1">
      <alignment horizontal="right" vertical="center"/>
    </xf>
    <xf numFmtId="3" fontId="65" fillId="0" borderId="72" xfId="4" applyNumberFormat="1" applyFont="1" applyFill="1" applyBorder="1" applyAlignment="1">
      <alignment horizontal="right" vertical="center"/>
    </xf>
    <xf numFmtId="3" fontId="65" fillId="2" borderId="72" xfId="4" applyNumberFormat="1" applyFont="1" applyFill="1" applyBorder="1" applyAlignment="1">
      <alignment horizontal="right" vertical="center"/>
    </xf>
    <xf numFmtId="3" fontId="65" fillId="0" borderId="76" xfId="4" applyNumberFormat="1" applyFont="1" applyFill="1" applyBorder="1" applyAlignment="1">
      <alignment horizontal="right" vertical="center"/>
    </xf>
    <xf numFmtId="3" fontId="65" fillId="0" borderId="13" xfId="4" applyNumberFormat="1" applyFont="1" applyFill="1" applyBorder="1" applyAlignment="1">
      <alignment horizontal="right" vertical="center"/>
    </xf>
    <xf numFmtId="3" fontId="59" fillId="22" borderId="71" xfId="4" applyNumberFormat="1" applyFont="1" applyFill="1" applyBorder="1" applyAlignment="1">
      <alignment horizontal="right" vertical="center"/>
    </xf>
    <xf numFmtId="3" fontId="61" fillId="25" borderId="31" xfId="4" applyNumberFormat="1" applyFont="1" applyFill="1" applyBorder="1" applyAlignment="1">
      <alignment horizontal="right" vertical="center"/>
    </xf>
    <xf numFmtId="3" fontId="65" fillId="25" borderId="64" xfId="4" applyNumberFormat="1" applyFont="1" applyFill="1" applyBorder="1" applyAlignment="1">
      <alignment horizontal="right" vertical="center"/>
    </xf>
    <xf numFmtId="3" fontId="58" fillId="8" borderId="2" xfId="0" applyNumberFormat="1" applyFont="1" applyFill="1" applyBorder="1" applyAlignment="1">
      <alignment vertical="center"/>
    </xf>
    <xf numFmtId="3" fontId="59" fillId="6" borderId="0" xfId="4" applyNumberFormat="1" applyFont="1" applyFill="1" applyBorder="1" applyAlignment="1">
      <alignment horizontal="right" vertical="center"/>
    </xf>
    <xf numFmtId="3" fontId="61" fillId="0" borderId="0" xfId="4" applyNumberFormat="1" applyFont="1" applyFill="1" applyBorder="1" applyAlignment="1">
      <alignment horizontal="right" vertical="center"/>
    </xf>
    <xf numFmtId="3" fontId="65" fillId="0" borderId="0" xfId="4" applyNumberFormat="1" applyFont="1" applyFill="1" applyBorder="1" applyAlignment="1">
      <alignment horizontal="right" vertical="center"/>
    </xf>
    <xf numFmtId="3" fontId="67" fillId="0" borderId="0" xfId="6" applyNumberFormat="1" applyFont="1" applyFill="1" applyBorder="1" applyAlignment="1">
      <alignment vertical="center"/>
    </xf>
    <xf numFmtId="3" fontId="59" fillId="8" borderId="10" xfId="4" applyNumberFormat="1" applyFont="1" applyFill="1" applyBorder="1" applyAlignment="1">
      <alignment horizontal="right" vertical="center"/>
    </xf>
    <xf numFmtId="3" fontId="61" fillId="0" borderId="0" xfId="4" applyNumberFormat="1" applyFont="1" applyFill="1" applyBorder="1" applyAlignment="1"/>
    <xf numFmtId="3" fontId="56" fillId="8" borderId="27" xfId="6" applyNumberFormat="1" applyFont="1" applyFill="1" applyBorder="1" applyAlignment="1">
      <alignment vertical="center"/>
    </xf>
    <xf numFmtId="3" fontId="59" fillId="6" borderId="8" xfId="4" applyNumberFormat="1" applyFont="1" applyFill="1" applyBorder="1" applyAlignment="1">
      <alignment horizontal="right" vertical="center"/>
    </xf>
    <xf numFmtId="3" fontId="34" fillId="0" borderId="64" xfId="4" applyNumberFormat="1" applyFont="1" applyFill="1" applyBorder="1" applyAlignment="1">
      <alignment horizontal="right" vertical="center"/>
    </xf>
    <xf numFmtId="0" fontId="57" fillId="0" borderId="12" xfId="6" applyFont="1" applyBorder="1" applyAlignment="1">
      <alignment horizontal="center" vertical="center"/>
    </xf>
    <xf numFmtId="3" fontId="65" fillId="0" borderId="30" xfId="4" applyNumberFormat="1" applyFont="1" applyFill="1" applyBorder="1" applyAlignment="1"/>
    <xf numFmtId="3" fontId="65" fillId="0" borderId="47" xfId="4" applyNumberFormat="1" applyFont="1" applyFill="1" applyBorder="1" applyAlignment="1"/>
    <xf numFmtId="3" fontId="65" fillId="0" borderId="65" xfId="4" applyNumberFormat="1" applyFont="1" applyFill="1" applyBorder="1" applyAlignment="1">
      <alignment vertical="center"/>
    </xf>
    <xf numFmtId="3" fontId="58" fillId="22" borderId="29" xfId="4" applyNumberFormat="1" applyFont="1" applyFill="1" applyBorder="1" applyAlignment="1">
      <alignment horizontal="right" vertical="center"/>
    </xf>
    <xf numFmtId="3" fontId="34" fillId="8" borderId="0" xfId="4" applyNumberFormat="1" applyFont="1" applyFill="1" applyBorder="1" applyAlignment="1">
      <alignment horizontal="right" vertical="center"/>
    </xf>
    <xf numFmtId="3" fontId="66" fillId="8" borderId="47" xfId="6" applyNumberFormat="1" applyFont="1" applyFill="1" applyBorder="1" applyAlignment="1">
      <alignment vertical="center"/>
    </xf>
    <xf numFmtId="3" fontId="66" fillId="8" borderId="72" xfId="6" applyNumberFormat="1" applyFont="1" applyFill="1" applyBorder="1" applyAlignment="1">
      <alignment vertical="center"/>
    </xf>
    <xf numFmtId="3" fontId="65" fillId="0" borderId="35" xfId="0" applyNumberFormat="1" applyFont="1" applyFill="1" applyBorder="1" applyAlignment="1">
      <alignment vertical="center"/>
    </xf>
    <xf numFmtId="0" fontId="0" fillId="0" borderId="30" xfId="0" applyFont="1" applyBorder="1" applyAlignment="1">
      <alignment vertical="center"/>
    </xf>
    <xf numFmtId="3" fontId="0" fillId="0" borderId="0" xfId="0" applyNumberFormat="1" applyFont="1" applyBorder="1"/>
    <xf numFmtId="0" fontId="56" fillId="0" borderId="70" xfId="6" applyFont="1" applyBorder="1" applyAlignment="1">
      <alignment horizontal="center" vertical="center"/>
    </xf>
    <xf numFmtId="0" fontId="56" fillId="0" borderId="17" xfId="6" applyFont="1" applyBorder="1" applyAlignment="1">
      <alignment horizontal="center" vertical="center"/>
    </xf>
    <xf numFmtId="0" fontId="56" fillId="19" borderId="70" xfId="0" applyFont="1" applyFill="1" applyBorder="1" applyAlignment="1">
      <alignment horizontal="center" vertical="center" wrapText="1"/>
    </xf>
    <xf numFmtId="0" fontId="55" fillId="0" borderId="45" xfId="4" applyFont="1" applyBorder="1" applyAlignment="1">
      <alignment horizontal="center" vertical="center" wrapText="1"/>
    </xf>
    <xf numFmtId="0" fontId="69" fillId="8" borderId="11" xfId="0" applyFont="1" applyFill="1" applyBorder="1" applyAlignment="1">
      <alignment vertical="top"/>
    </xf>
    <xf numFmtId="3" fontId="61" fillId="8" borderId="29" xfId="0" applyNumberFormat="1" applyFont="1" applyFill="1" applyBorder="1" applyAlignment="1">
      <alignment vertical="center"/>
    </xf>
    <xf numFmtId="3" fontId="69" fillId="8" borderId="67" xfId="0" applyNumberFormat="1" applyFont="1" applyFill="1" applyBorder="1" applyAlignment="1">
      <alignment horizontal="center" vertical="center" wrapText="1"/>
    </xf>
    <xf numFmtId="0" fontId="69" fillId="0" borderId="0" xfId="0" applyFont="1" applyFill="1" applyAlignment="1">
      <alignment vertical="top"/>
    </xf>
    <xf numFmtId="0" fontId="69" fillId="30" borderId="0" xfId="0" applyFont="1" applyFill="1" applyAlignment="1">
      <alignment vertical="top"/>
    </xf>
    <xf numFmtId="0" fontId="64" fillId="0" borderId="0" xfId="0" applyFont="1" applyAlignment="1">
      <alignment vertical="top"/>
    </xf>
    <xf numFmtId="3" fontId="51" fillId="6" borderId="31" xfId="4" applyNumberFormat="1" applyFont="1" applyFill="1" applyBorder="1" applyAlignment="1">
      <alignment vertical="center"/>
    </xf>
    <xf numFmtId="0" fontId="53" fillId="2" borderId="4" xfId="0" applyFont="1" applyFill="1" applyBorder="1" applyAlignment="1">
      <alignment vertical="center" wrapText="1"/>
    </xf>
    <xf numFmtId="0" fontId="53" fillId="2" borderId="7" xfId="0" applyFont="1" applyFill="1" applyBorder="1" applyAlignment="1">
      <alignment vertical="center" wrapText="1"/>
    </xf>
    <xf numFmtId="0" fontId="53" fillId="2" borderId="8" xfId="0" applyFont="1" applyFill="1" applyBorder="1" applyAlignment="1">
      <alignment vertical="center" wrapText="1"/>
    </xf>
    <xf numFmtId="0" fontId="53" fillId="2" borderId="9" xfId="0" applyFont="1" applyFill="1" applyBorder="1" applyAlignment="1">
      <alignment vertical="center" wrapText="1"/>
    </xf>
    <xf numFmtId="3" fontId="34" fillId="0" borderId="63" xfId="4" applyNumberFormat="1" applyFont="1" applyFill="1" applyBorder="1" applyAlignment="1">
      <alignment vertical="top"/>
    </xf>
    <xf numFmtId="3" fontId="34" fillId="0" borderId="13" xfId="4" applyNumberFormat="1" applyFont="1" applyFill="1" applyBorder="1" applyAlignment="1">
      <alignment vertical="top"/>
    </xf>
    <xf numFmtId="3" fontId="54" fillId="6" borderId="63" xfId="4" applyNumberFormat="1" applyFont="1" applyFill="1" applyBorder="1" applyAlignment="1">
      <alignment vertical="center"/>
    </xf>
    <xf numFmtId="3" fontId="69" fillId="0" borderId="13" xfId="4" applyNumberFormat="1" applyFont="1" applyFill="1" applyBorder="1" applyAlignment="1">
      <alignment horizontal="right" vertical="center"/>
    </xf>
    <xf numFmtId="3" fontId="58" fillId="6" borderId="27" xfId="4" applyNumberFormat="1" applyFont="1" applyFill="1" applyBorder="1" applyAlignment="1">
      <alignment vertical="center"/>
    </xf>
    <xf numFmtId="3" fontId="34" fillId="0" borderId="0" xfId="4" applyNumberFormat="1" applyFont="1" applyFill="1" applyBorder="1" applyAlignment="1">
      <alignment vertical="top"/>
    </xf>
    <xf numFmtId="3" fontId="62" fillId="0" borderId="9" xfId="0" applyNumberFormat="1" applyFont="1" applyFill="1" applyBorder="1" applyAlignment="1">
      <alignment horizontal="right"/>
    </xf>
    <xf numFmtId="3" fontId="65" fillId="8" borderId="4" xfId="0" applyNumberFormat="1" applyFont="1" applyFill="1" applyBorder="1" applyAlignment="1">
      <alignment vertical="top"/>
    </xf>
    <xf numFmtId="3" fontId="65" fillId="53" borderId="70" xfId="0" applyNumberFormat="1" applyFont="1" applyFill="1" applyBorder="1" applyAlignment="1">
      <alignment vertical="top"/>
    </xf>
    <xf numFmtId="3" fontId="65" fillId="55" borderId="70" xfId="0" applyNumberFormat="1" applyFont="1" applyFill="1" applyBorder="1" applyAlignment="1">
      <alignment vertical="top"/>
    </xf>
    <xf numFmtId="0" fontId="65" fillId="8" borderId="15" xfId="0" applyFont="1" applyFill="1" applyBorder="1" applyAlignment="1">
      <alignment vertical="top"/>
    </xf>
    <xf numFmtId="0" fontId="55" fillId="2" borderId="75" xfId="112" quotePrefix="1" applyFont="1" applyFill="1" applyBorder="1" applyAlignment="1">
      <alignment horizontal="center" vertical="top"/>
    </xf>
    <xf numFmtId="0" fontId="2" fillId="0" borderId="47" xfId="112" applyFont="1" applyBorder="1"/>
    <xf numFmtId="43" fontId="16" fillId="0" borderId="0" xfId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vertical="center" wrapText="1"/>
    </xf>
    <xf numFmtId="3" fontId="65" fillId="8" borderId="10" xfId="0" applyNumberFormat="1" applyFont="1" applyFill="1" applyBorder="1" applyAlignment="1">
      <alignment vertical="top"/>
    </xf>
    <xf numFmtId="3" fontId="65" fillId="8" borderId="2" xfId="0" applyNumberFormat="1" applyFont="1" applyFill="1" applyBorder="1" applyAlignment="1">
      <alignment vertical="top"/>
    </xf>
    <xf numFmtId="3" fontId="16" fillId="0" borderId="50" xfId="0" quotePrefix="1" applyNumberFormat="1" applyFont="1" applyBorder="1" applyAlignment="1">
      <alignment horizontal="center"/>
    </xf>
    <xf numFmtId="43" fontId="61" fillId="25" borderId="49" xfId="1" applyFont="1" applyFill="1" applyBorder="1" applyAlignment="1">
      <alignment horizontal="center" vertical="top"/>
    </xf>
    <xf numFmtId="43" fontId="22" fillId="9" borderId="34" xfId="1" applyFont="1" applyFill="1" applyBorder="1" applyAlignment="1">
      <alignment vertical="center" wrapText="1"/>
    </xf>
    <xf numFmtId="43" fontId="18" fillId="3" borderId="21" xfId="1" applyFont="1" applyFill="1" applyBorder="1" applyAlignment="1">
      <alignment vertical="center" wrapText="1"/>
    </xf>
    <xf numFmtId="3" fontId="35" fillId="0" borderId="29" xfId="0" applyNumberFormat="1" applyFont="1" applyFill="1" applyBorder="1" applyAlignment="1">
      <alignment vertical="center" wrapText="1"/>
    </xf>
    <xf numFmtId="3" fontId="35" fillId="2" borderId="9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3" fontId="3" fillId="8" borderId="8" xfId="0" applyNumberFormat="1" applyFont="1" applyFill="1" applyBorder="1"/>
    <xf numFmtId="3" fontId="78" fillId="6" borderId="47" xfId="0" applyNumberFormat="1" applyFont="1" applyFill="1" applyBorder="1"/>
    <xf numFmtId="3" fontId="16" fillId="0" borderId="39" xfId="0" quotePrefix="1" applyNumberFormat="1" applyFont="1" applyBorder="1" applyAlignment="1">
      <alignment horizontal="center"/>
    </xf>
    <xf numFmtId="3" fontId="34" fillId="13" borderId="47" xfId="4" applyNumberFormat="1" applyFont="1" applyFill="1" applyBorder="1" applyAlignment="1">
      <alignment horizontal="right" vertical="center"/>
    </xf>
    <xf numFmtId="3" fontId="34" fillId="13" borderId="72" xfId="4" applyNumberFormat="1" applyFont="1" applyFill="1" applyBorder="1" applyAlignment="1">
      <alignment horizontal="right" vertical="center"/>
    </xf>
    <xf numFmtId="3" fontId="52" fillId="27" borderId="15" xfId="4" applyNumberFormat="1" applyFont="1" applyFill="1" applyBorder="1" applyAlignment="1">
      <alignment vertical="top" wrapText="1"/>
    </xf>
    <xf numFmtId="0" fontId="3" fillId="15" borderId="2" xfId="0" applyFont="1" applyFill="1" applyBorder="1"/>
    <xf numFmtId="3" fontId="14" fillId="15" borderId="74" xfId="0" applyNumberFormat="1" applyFont="1" applyFill="1" applyBorder="1" applyAlignment="1">
      <alignment vertical="center"/>
    </xf>
    <xf numFmtId="3" fontId="35" fillId="6" borderId="79" xfId="0" applyNumberFormat="1" applyFont="1" applyFill="1" applyBorder="1"/>
    <xf numFmtId="3" fontId="35" fillId="6" borderId="31" xfId="0" applyNumberFormat="1" applyFont="1" applyFill="1" applyBorder="1"/>
    <xf numFmtId="3" fontId="15" fillId="6" borderId="76" xfId="0" applyNumberFormat="1" applyFont="1" applyFill="1" applyBorder="1"/>
    <xf numFmtId="3" fontId="14" fillId="15" borderId="78" xfId="0" applyNumberFormat="1" applyFont="1" applyFill="1" applyBorder="1"/>
    <xf numFmtId="3" fontId="3" fillId="6" borderId="79" xfId="0" applyNumberFormat="1" applyFont="1" applyFill="1" applyBorder="1"/>
    <xf numFmtId="3" fontId="35" fillId="6" borderId="71" xfId="0" applyNumberFormat="1" applyFont="1" applyFill="1" applyBorder="1"/>
    <xf numFmtId="3" fontId="3" fillId="6" borderId="75" xfId="0" applyNumberFormat="1" applyFont="1" applyFill="1" applyBorder="1"/>
    <xf numFmtId="0" fontId="3" fillId="15" borderId="4" xfId="0" applyFont="1" applyFill="1" applyBorder="1"/>
    <xf numFmtId="3" fontId="14" fillId="15" borderId="23" xfId="0" applyNumberFormat="1" applyFont="1" applyFill="1" applyBorder="1" applyAlignment="1">
      <alignment vertical="center"/>
    </xf>
    <xf numFmtId="3" fontId="35" fillId="6" borderId="17" xfId="0" applyNumberFormat="1" applyFont="1" applyFill="1" applyBorder="1"/>
    <xf numFmtId="3" fontId="14" fillId="15" borderId="50" xfId="0" applyNumberFormat="1" applyFont="1" applyFill="1" applyBorder="1"/>
    <xf numFmtId="3" fontId="21" fillId="2" borderId="11" xfId="0" applyNumberFormat="1" applyFont="1" applyFill="1" applyBorder="1" applyAlignment="1">
      <alignment vertical="center" wrapText="1"/>
    </xf>
    <xf numFmtId="3" fontId="16" fillId="0" borderId="11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13" fillId="14" borderId="5" xfId="0" applyNumberFormat="1" applyFont="1" applyFill="1" applyBorder="1" applyAlignment="1">
      <alignment vertical="center" wrapText="1"/>
    </xf>
    <xf numFmtId="3" fontId="32" fillId="14" borderId="11" xfId="0" applyNumberFormat="1" applyFont="1" applyFill="1" applyBorder="1" applyAlignment="1">
      <alignment vertical="center" wrapText="1"/>
    </xf>
    <xf numFmtId="3" fontId="32" fillId="14" borderId="25" xfId="0" applyNumberFormat="1" applyFont="1" applyFill="1" applyBorder="1" applyAlignment="1">
      <alignment vertical="center" wrapText="1"/>
    </xf>
    <xf numFmtId="3" fontId="19" fillId="0" borderId="11" xfId="0" applyNumberFormat="1" applyFont="1" applyFill="1" applyBorder="1" applyAlignment="1">
      <alignment vertical="center" wrapText="1"/>
    </xf>
    <xf numFmtId="0" fontId="3" fillId="15" borderId="5" xfId="0" applyFont="1" applyFill="1" applyBorder="1"/>
    <xf numFmtId="3" fontId="14" fillId="15" borderId="25" xfId="0" applyNumberFormat="1" applyFont="1" applyFill="1" applyBorder="1" applyAlignment="1">
      <alignment vertical="center"/>
    </xf>
    <xf numFmtId="3" fontId="35" fillId="6" borderId="19" xfId="0" applyNumberFormat="1" applyFont="1" applyFill="1" applyBorder="1"/>
    <xf numFmtId="3" fontId="35" fillId="6" borderId="32" xfId="0" applyNumberFormat="1" applyFont="1" applyFill="1" applyBorder="1"/>
    <xf numFmtId="3" fontId="15" fillId="6" borderId="77" xfId="0" applyNumberFormat="1" applyFont="1" applyFill="1" applyBorder="1"/>
    <xf numFmtId="3" fontId="36" fillId="12" borderId="11" xfId="0" applyNumberFormat="1" applyFont="1" applyFill="1" applyBorder="1"/>
    <xf numFmtId="3" fontId="36" fillId="8" borderId="11" xfId="0" applyNumberFormat="1" applyFont="1" applyFill="1" applyBorder="1"/>
    <xf numFmtId="3" fontId="14" fillId="15" borderId="52" xfId="0" applyNumberFormat="1" applyFont="1" applyFill="1" applyBorder="1"/>
    <xf numFmtId="3" fontId="3" fillId="6" borderId="19" xfId="0" applyNumberFormat="1" applyFont="1" applyFill="1" applyBorder="1"/>
    <xf numFmtId="3" fontId="3" fillId="6" borderId="77" xfId="0" applyNumberFormat="1" applyFont="1" applyFill="1" applyBorder="1"/>
    <xf numFmtId="3" fontId="36" fillId="12" borderId="25" xfId="0" applyNumberFormat="1" applyFont="1" applyFill="1" applyBorder="1"/>
    <xf numFmtId="3" fontId="67" fillId="0" borderId="65" xfId="6" applyNumberFormat="1" applyFont="1" applyFill="1" applyBorder="1" applyAlignment="1">
      <alignment horizontal="right" vertical="center"/>
    </xf>
    <xf numFmtId="3" fontId="55" fillId="2" borderId="33" xfId="4" applyNumberFormat="1" applyFont="1" applyFill="1" applyBorder="1" applyAlignment="1">
      <alignment vertical="top" wrapText="1"/>
    </xf>
    <xf numFmtId="0" fontId="71" fillId="32" borderId="0" xfId="0" applyFont="1" applyFill="1" applyAlignment="1">
      <alignment vertical="top"/>
    </xf>
    <xf numFmtId="0" fontId="45" fillId="0" borderId="0" xfId="0" applyFont="1" applyFill="1" applyAlignment="1">
      <alignment vertical="center"/>
    </xf>
    <xf numFmtId="3" fontId="58" fillId="8" borderId="7" xfId="4" applyNumberFormat="1" applyFont="1" applyFill="1" applyBorder="1" applyAlignment="1">
      <alignment horizontal="right" vertical="center"/>
    </xf>
    <xf numFmtId="3" fontId="58" fillId="23" borderId="7" xfId="4" applyNumberFormat="1" applyFont="1" applyFill="1" applyBorder="1" applyAlignment="1">
      <alignment horizontal="right" vertical="center"/>
    </xf>
    <xf numFmtId="0" fontId="51" fillId="8" borderId="36" xfId="4" applyFont="1" applyFill="1" applyBorder="1" applyAlignment="1">
      <alignment vertical="center" wrapText="1"/>
    </xf>
    <xf numFmtId="3" fontId="61" fillId="0" borderId="30" xfId="4" applyNumberFormat="1" applyFont="1" applyFill="1" applyBorder="1" applyAlignment="1">
      <alignment vertical="center" wrapText="1"/>
    </xf>
    <xf numFmtId="0" fontId="66" fillId="0" borderId="13" xfId="0" applyFont="1" applyBorder="1" applyAlignment="1">
      <alignment vertical="center"/>
    </xf>
    <xf numFmtId="3" fontId="61" fillId="2" borderId="30" xfId="4" applyNumberFormat="1" applyFont="1" applyFill="1" applyBorder="1" applyAlignment="1">
      <alignment vertical="center" wrapText="1"/>
    </xf>
    <xf numFmtId="0" fontId="66" fillId="0" borderId="47" xfId="0" applyFont="1" applyBorder="1" applyAlignment="1">
      <alignment vertical="center"/>
    </xf>
    <xf numFmtId="0" fontId="67" fillId="0" borderId="30" xfId="0" applyFont="1" applyBorder="1" applyAlignment="1">
      <alignment vertical="center"/>
    </xf>
    <xf numFmtId="3" fontId="61" fillId="0" borderId="30" xfId="0" applyNumberFormat="1" applyFont="1" applyFill="1" applyBorder="1" applyAlignment="1">
      <alignment vertical="center"/>
    </xf>
    <xf numFmtId="3" fontId="61" fillId="25" borderId="35" xfId="0" applyNumberFormat="1" applyFont="1" applyFill="1" applyBorder="1" applyAlignment="1">
      <alignment horizontal="center" vertical="center"/>
    </xf>
    <xf numFmtId="0" fontId="65" fillId="6" borderId="30" xfId="0" applyFont="1" applyFill="1" applyBorder="1" applyAlignment="1">
      <alignment vertical="center"/>
    </xf>
    <xf numFmtId="3" fontId="59" fillId="22" borderId="30" xfId="0" applyNumberFormat="1" applyFont="1" applyFill="1" applyBorder="1" applyAlignment="1">
      <alignment vertical="center"/>
    </xf>
    <xf numFmtId="3" fontId="59" fillId="2" borderId="3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3" fontId="65" fillId="0" borderId="72" xfId="4" applyNumberFormat="1" applyFont="1" applyFill="1" applyBorder="1" applyAlignment="1"/>
    <xf numFmtId="0" fontId="0" fillId="0" borderId="0" xfId="0" applyFont="1"/>
    <xf numFmtId="3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0" fillId="0" borderId="42" xfId="0" applyFont="1" applyBorder="1"/>
    <xf numFmtId="3" fontId="106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79" fillId="0" borderId="0" xfId="0" applyFont="1" applyFill="1"/>
    <xf numFmtId="0" fontId="106" fillId="0" borderId="0" xfId="0" applyFont="1"/>
    <xf numFmtId="0" fontId="66" fillId="0" borderId="11" xfId="0" applyFont="1" applyBorder="1"/>
    <xf numFmtId="0" fontId="34" fillId="0" borderId="32" xfId="4" applyFont="1" applyFill="1" applyBorder="1" applyAlignment="1">
      <alignment vertical="center"/>
    </xf>
    <xf numFmtId="0" fontId="34" fillId="0" borderId="25" xfId="4" applyFont="1" applyFill="1" applyBorder="1" applyAlignment="1">
      <alignment vertical="center"/>
    </xf>
    <xf numFmtId="0" fontId="68" fillId="0" borderId="0" xfId="0" applyFont="1" applyFill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5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top"/>
    </xf>
    <xf numFmtId="0" fontId="58" fillId="8" borderId="4" xfId="0" applyFont="1" applyFill="1" applyBorder="1" applyAlignment="1">
      <alignment horizontal="center" vertical="center" wrapText="1"/>
    </xf>
    <xf numFmtId="3" fontId="59" fillId="6" borderId="30" xfId="0" applyNumberFormat="1" applyFont="1" applyFill="1" applyBorder="1" applyAlignment="1">
      <alignment horizontal="center"/>
    </xf>
    <xf numFmtId="3" fontId="61" fillId="2" borderId="30" xfId="0" applyNumberFormat="1" applyFont="1" applyFill="1" applyBorder="1" applyAlignment="1">
      <alignment horizontal="center"/>
    </xf>
    <xf numFmtId="3" fontId="65" fillId="0" borderId="30" xfId="0" applyNumberFormat="1" applyFont="1" applyFill="1" applyBorder="1" applyAlignment="1">
      <alignment horizontal="center" vertical="top"/>
    </xf>
    <xf numFmtId="3" fontId="65" fillId="0" borderId="63" xfId="0" applyNumberFormat="1" applyFont="1" applyFill="1" applyBorder="1" applyAlignment="1">
      <alignment horizontal="center" vertical="top"/>
    </xf>
    <xf numFmtId="3" fontId="65" fillId="2" borderId="32" xfId="4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3" fontId="59" fillId="2" borderId="30" xfId="0" applyNumberFormat="1" applyFont="1" applyFill="1" applyBorder="1" applyAlignment="1"/>
    <xf numFmtId="3" fontId="65" fillId="2" borderId="30" xfId="0" applyNumberFormat="1" applyFont="1" applyFill="1" applyBorder="1" applyAlignment="1"/>
    <xf numFmtId="3" fontId="62" fillId="2" borderId="30" xfId="0" applyNumberFormat="1" applyFont="1" applyFill="1" applyBorder="1" applyAlignment="1"/>
    <xf numFmtId="3" fontId="62" fillId="2" borderId="30" xfId="0" applyNumberFormat="1" applyFont="1" applyFill="1" applyBorder="1" applyAlignment="1">
      <alignment horizontal="center"/>
    </xf>
    <xf numFmtId="3" fontId="65" fillId="2" borderId="77" xfId="4" applyNumberFormat="1" applyFont="1" applyFill="1" applyBorder="1" applyAlignment="1">
      <alignment vertical="center" wrapText="1"/>
    </xf>
    <xf numFmtId="0" fontId="58" fillId="8" borderId="88" xfId="0" applyFont="1" applyFill="1" applyBorder="1" applyAlignment="1">
      <alignment vertical="center" wrapText="1"/>
    </xf>
    <xf numFmtId="0" fontId="58" fillId="8" borderId="70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vertical="top"/>
    </xf>
    <xf numFmtId="0" fontId="58" fillId="6" borderId="85" xfId="4" applyFont="1" applyFill="1" applyBorder="1" applyAlignment="1">
      <alignment horizontal="left" vertical="center"/>
    </xf>
    <xf numFmtId="0" fontId="63" fillId="0" borderId="85" xfId="0" applyFont="1" applyFill="1" applyBorder="1" applyAlignment="1">
      <alignment vertical="center"/>
    </xf>
    <xf numFmtId="0" fontId="34" fillId="0" borderId="87" xfId="0" applyFont="1" applyFill="1" applyBorder="1" applyAlignment="1">
      <alignment vertical="center" wrapText="1"/>
    </xf>
    <xf numFmtId="3" fontId="65" fillId="2" borderId="47" xfId="0" applyNumberFormat="1" applyFont="1" applyFill="1" applyBorder="1" applyAlignment="1"/>
    <xf numFmtId="0" fontId="68" fillId="0" borderId="0" xfId="0" applyFont="1" applyFill="1" applyAlignment="1">
      <alignment vertical="top"/>
    </xf>
    <xf numFmtId="0" fontId="52" fillId="33" borderId="0" xfId="0" applyFont="1" applyFill="1" applyAlignment="1">
      <alignment vertical="center"/>
    </xf>
    <xf numFmtId="0" fontId="97" fillId="0" borderId="0" xfId="0" applyFont="1" applyAlignment="1">
      <alignment vertical="top"/>
    </xf>
    <xf numFmtId="0" fontId="52" fillId="33" borderId="0" xfId="0" applyFont="1" applyFill="1" applyAlignment="1">
      <alignment vertical="top"/>
    </xf>
    <xf numFmtId="0" fontId="52" fillId="2" borderId="0" xfId="0" applyFont="1" applyFill="1" applyBorder="1" applyAlignment="1">
      <alignment vertical="top"/>
    </xf>
    <xf numFmtId="0" fontId="52" fillId="2" borderId="0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5" fillId="33" borderId="0" xfId="0" applyFont="1" applyFill="1" applyAlignment="1">
      <alignment vertical="center"/>
    </xf>
    <xf numFmtId="0" fontId="34" fillId="8" borderId="35" xfId="0" applyFont="1" applyFill="1" applyBorder="1" applyAlignment="1">
      <alignment vertical="top"/>
    </xf>
    <xf numFmtId="0" fontId="34" fillId="23" borderId="35" xfId="0" applyFont="1" applyFill="1" applyBorder="1" applyAlignment="1">
      <alignment vertical="top"/>
    </xf>
    <xf numFmtId="3" fontId="61" fillId="32" borderId="29" xfId="0" applyNumberFormat="1" applyFont="1" applyFill="1" applyBorder="1" applyAlignment="1">
      <alignment vertical="center"/>
    </xf>
    <xf numFmtId="0" fontId="65" fillId="2" borderId="77" xfId="0" applyFont="1" applyFill="1" applyBorder="1" applyAlignment="1">
      <alignment vertical="center"/>
    </xf>
    <xf numFmtId="3" fontId="65" fillId="2" borderId="47" xfId="0" applyNumberFormat="1" applyFont="1" applyFill="1" applyBorder="1" applyAlignment="1">
      <alignment vertical="top"/>
    </xf>
    <xf numFmtId="3" fontId="65" fillId="32" borderId="47" xfId="0" applyNumberFormat="1" applyFont="1" applyFill="1" applyBorder="1" applyAlignment="1">
      <alignment vertical="top"/>
    </xf>
    <xf numFmtId="0" fontId="100" fillId="0" borderId="0" xfId="0" applyFont="1" applyFill="1" applyAlignment="1">
      <alignment vertical="top"/>
    </xf>
    <xf numFmtId="0" fontId="100" fillId="30" borderId="0" xfId="0" applyFont="1" applyFill="1" applyAlignment="1">
      <alignment vertical="top"/>
    </xf>
    <xf numFmtId="0" fontId="55" fillId="30" borderId="0" xfId="0" applyFont="1" applyFill="1" applyAlignment="1">
      <alignment vertical="top"/>
    </xf>
    <xf numFmtId="0" fontId="54" fillId="0" borderId="0" xfId="0" applyFont="1" applyFill="1" applyBorder="1" applyAlignment="1">
      <alignment vertical="top"/>
    </xf>
    <xf numFmtId="0" fontId="54" fillId="0" borderId="0" xfId="0" applyFont="1" applyFill="1" applyAlignment="1">
      <alignment vertical="top"/>
    </xf>
    <xf numFmtId="0" fontId="54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5" fillId="0" borderId="39" xfId="0" applyFont="1" applyBorder="1" applyAlignment="1">
      <alignment horizontal="center" vertical="top"/>
    </xf>
    <xf numFmtId="0" fontId="15" fillId="0" borderId="0" xfId="0" applyFont="1" applyFill="1" applyAlignment="1">
      <alignment vertical="center"/>
    </xf>
    <xf numFmtId="0" fontId="15" fillId="30" borderId="0" xfId="0" applyFont="1" applyFill="1" applyAlignment="1">
      <alignment vertical="center"/>
    </xf>
    <xf numFmtId="3" fontId="58" fillId="6" borderId="31" xfId="4" applyNumberFormat="1" applyFont="1" applyFill="1" applyBorder="1" applyAlignment="1">
      <alignment vertical="center"/>
    </xf>
    <xf numFmtId="3" fontId="63" fillId="0" borderId="8" xfId="4" applyNumberFormat="1" applyFont="1" applyFill="1" applyBorder="1" applyAlignment="1">
      <alignment horizontal="right" vertical="center"/>
    </xf>
    <xf numFmtId="3" fontId="34" fillId="0" borderId="101" xfId="4" applyNumberFormat="1" applyFont="1" applyFill="1" applyBorder="1" applyAlignment="1">
      <alignment vertical="top"/>
    </xf>
    <xf numFmtId="3" fontId="34" fillId="0" borderId="29" xfId="4" applyNumberFormat="1" applyFont="1" applyFill="1" applyBorder="1" applyAlignment="1">
      <alignment vertical="top"/>
    </xf>
    <xf numFmtId="3" fontId="34" fillId="0" borderId="101" xfId="4" applyNumberFormat="1" applyFont="1" applyFill="1" applyBorder="1" applyAlignment="1">
      <alignment horizontal="right" vertical="center"/>
    </xf>
    <xf numFmtId="3" fontId="58" fillId="6" borderId="8" xfId="4" applyNumberFormat="1" applyFont="1" applyFill="1" applyBorder="1" applyAlignment="1">
      <alignment vertical="center"/>
    </xf>
    <xf numFmtId="3" fontId="63" fillId="0" borderId="7" xfId="4" applyNumberFormat="1" applyFont="1" applyFill="1" applyBorder="1" applyAlignment="1">
      <alignment horizontal="right" vertical="center"/>
    </xf>
    <xf numFmtId="3" fontId="63" fillId="0" borderId="23" xfId="4" applyNumberFormat="1" applyFont="1" applyFill="1" applyBorder="1" applyAlignment="1">
      <alignment horizontal="right" vertical="center"/>
    </xf>
    <xf numFmtId="43" fontId="58" fillId="6" borderId="31" xfId="1" applyFont="1" applyFill="1" applyBorder="1" applyAlignment="1">
      <alignment vertical="center"/>
    </xf>
    <xf numFmtId="43" fontId="34" fillId="0" borderId="71" xfId="1" applyFont="1" applyFill="1" applyBorder="1" applyAlignment="1">
      <alignment horizontal="right" vertical="center"/>
    </xf>
    <xf numFmtId="43" fontId="34" fillId="0" borderId="8" xfId="1" applyFont="1" applyFill="1" applyBorder="1" applyAlignment="1">
      <alignment horizontal="right" vertical="center"/>
    </xf>
    <xf numFmtId="43" fontId="58" fillId="6" borderId="8" xfId="1" applyFont="1" applyFill="1" applyBorder="1" applyAlignment="1">
      <alignment vertical="center"/>
    </xf>
    <xf numFmtId="43" fontId="63" fillId="0" borderId="7" xfId="1" applyFont="1" applyFill="1" applyBorder="1" applyAlignment="1">
      <alignment horizontal="right" vertical="center"/>
    </xf>
    <xf numFmtId="43" fontId="34" fillId="0" borderId="71" xfId="1" applyFont="1" applyFill="1" applyBorder="1" applyAlignment="1">
      <alignment vertical="top"/>
    </xf>
    <xf numFmtId="43" fontId="34" fillId="0" borderId="7" xfId="1" applyFont="1" applyFill="1" applyBorder="1" applyAlignment="1">
      <alignment vertical="top"/>
    </xf>
    <xf numFmtId="0" fontId="65" fillId="0" borderId="0" xfId="0" applyFont="1" applyAlignment="1">
      <alignment vertical="top"/>
    </xf>
    <xf numFmtId="3" fontId="59" fillId="6" borderId="31" xfId="4" applyNumberFormat="1" applyFont="1" applyFill="1" applyBorder="1" applyAlignment="1">
      <alignment vertical="center"/>
    </xf>
    <xf numFmtId="3" fontId="34" fillId="0" borderId="7" xfId="4" applyNumberFormat="1" applyFont="1" applyFill="1" applyBorder="1" applyAlignment="1">
      <alignment horizontal="right" vertical="center"/>
    </xf>
    <xf numFmtId="43" fontId="34" fillId="0" borderId="72" xfId="1" applyFont="1" applyFill="1" applyBorder="1" applyAlignment="1">
      <alignment vertical="top"/>
    </xf>
    <xf numFmtId="43" fontId="34" fillId="0" borderId="47" xfId="1" applyFont="1" applyFill="1" applyBorder="1" applyAlignment="1">
      <alignment vertical="top"/>
    </xf>
    <xf numFmtId="3" fontId="34" fillId="0" borderId="72" xfId="4" applyNumberFormat="1" applyFont="1" applyFill="1" applyBorder="1" applyAlignment="1">
      <alignment vertical="top"/>
    </xf>
    <xf numFmtId="43" fontId="34" fillId="0" borderId="9" xfId="1" applyFont="1" applyFill="1" applyBorder="1" applyAlignment="1"/>
    <xf numFmtId="43" fontId="34" fillId="0" borderId="35" xfId="1" applyFont="1" applyFill="1" applyBorder="1" applyAlignment="1"/>
    <xf numFmtId="3" fontId="34" fillId="0" borderId="7" xfId="4" applyNumberFormat="1" applyFont="1" applyFill="1" applyBorder="1" applyAlignment="1"/>
    <xf numFmtId="0" fontId="65" fillId="0" borderId="0" xfId="0" applyFont="1" applyAlignment="1"/>
    <xf numFmtId="3" fontId="65" fillId="8" borderId="17" xfId="4" applyNumberFormat="1" applyFont="1" applyFill="1" applyBorder="1" applyAlignment="1">
      <alignment horizontal="right" vertical="center"/>
    </xf>
    <xf numFmtId="0" fontId="66" fillId="0" borderId="0" xfId="0" applyFont="1" applyFill="1"/>
    <xf numFmtId="0" fontId="66" fillId="0" borderId="0" xfId="0" applyFont="1" applyBorder="1"/>
    <xf numFmtId="3" fontId="65" fillId="0" borderId="29" xfId="4" applyNumberFormat="1" applyFont="1" applyFill="1" applyBorder="1" applyAlignment="1">
      <alignment vertical="top"/>
    </xf>
    <xf numFmtId="43" fontId="65" fillId="0" borderId="8" xfId="1" applyFont="1" applyFill="1" applyBorder="1" applyAlignment="1">
      <alignment vertical="top"/>
    </xf>
    <xf numFmtId="3" fontId="59" fillId="6" borderId="8" xfId="4" applyNumberFormat="1" applyFont="1" applyFill="1" applyBorder="1" applyAlignment="1">
      <alignment vertical="center"/>
    </xf>
    <xf numFmtId="3" fontId="34" fillId="0" borderId="23" xfId="4" applyNumberFormat="1" applyFont="1" applyFill="1" applyBorder="1" applyAlignment="1">
      <alignment vertical="top"/>
    </xf>
    <xf numFmtId="43" fontId="34" fillId="0" borderId="29" xfId="1" applyFont="1" applyFill="1" applyBorder="1" applyAlignment="1">
      <alignment vertical="top"/>
    </xf>
    <xf numFmtId="43" fontId="55" fillId="0" borderId="12" xfId="1" applyFont="1" applyFill="1" applyBorder="1" applyAlignment="1">
      <alignment vertical="top" wrapText="1"/>
    </xf>
    <xf numFmtId="0" fontId="55" fillId="0" borderId="0" xfId="0" applyFont="1" applyAlignment="1">
      <alignment vertical="center"/>
    </xf>
    <xf numFmtId="3" fontId="52" fillId="8" borderId="17" xfId="4" applyNumberFormat="1" applyFont="1" applyFill="1" applyBorder="1" applyAlignment="1">
      <alignment horizontal="right" vertical="center"/>
    </xf>
    <xf numFmtId="43" fontId="51" fillId="6" borderId="30" xfId="1" applyFont="1" applyFill="1" applyBorder="1" applyAlignment="1">
      <alignment vertical="center"/>
    </xf>
    <xf numFmtId="3" fontId="51" fillId="6" borderId="30" xfId="4" applyNumberFormat="1" applyFont="1" applyFill="1" applyBorder="1" applyAlignment="1">
      <alignment vertical="center"/>
    </xf>
    <xf numFmtId="43" fontId="69" fillId="0" borderId="9" xfId="1" applyFont="1" applyFill="1" applyBorder="1" applyAlignment="1">
      <alignment horizontal="right" vertical="center"/>
    </xf>
    <xf numFmtId="43" fontId="52" fillId="0" borderId="29" xfId="1" applyFont="1" applyFill="1" applyBorder="1" applyAlignment="1">
      <alignment vertical="top"/>
    </xf>
    <xf numFmtId="3" fontId="52" fillId="0" borderId="29" xfId="4" applyNumberFormat="1" applyFont="1" applyFill="1" applyBorder="1" applyAlignment="1">
      <alignment vertical="top"/>
    </xf>
    <xf numFmtId="43" fontId="55" fillId="0" borderId="29" xfId="1" applyFont="1" applyFill="1" applyBorder="1" applyAlignment="1">
      <alignment vertical="top"/>
    </xf>
    <xf numFmtId="3" fontId="55" fillId="0" borderId="29" xfId="4" applyNumberFormat="1" applyFont="1" applyFill="1" applyBorder="1" applyAlignment="1">
      <alignment vertical="top"/>
    </xf>
    <xf numFmtId="3" fontId="55" fillId="0" borderId="30" xfId="4" applyNumberFormat="1" applyFont="1" applyFill="1" applyBorder="1" applyAlignment="1">
      <alignment vertical="top"/>
    </xf>
    <xf numFmtId="3" fontId="55" fillId="0" borderId="96" xfId="4" applyNumberFormat="1" applyFont="1" applyFill="1" applyBorder="1" applyAlignment="1">
      <alignment vertical="top"/>
    </xf>
    <xf numFmtId="43" fontId="54" fillId="6" borderId="30" xfId="1" applyFont="1" applyFill="1" applyBorder="1" applyAlignment="1">
      <alignment vertical="center"/>
    </xf>
    <xf numFmtId="43" fontId="69" fillId="0" borderId="29" xfId="1" applyFont="1" applyFill="1" applyBorder="1" applyAlignment="1">
      <alignment horizontal="right" vertical="center"/>
    </xf>
    <xf numFmtId="3" fontId="55" fillId="0" borderId="97" xfId="4" applyNumberFormat="1" applyFont="1" applyFill="1" applyBorder="1" applyAlignment="1">
      <alignment vertical="top"/>
    </xf>
    <xf numFmtId="3" fontId="52" fillId="36" borderId="30" xfId="4" applyNumberFormat="1" applyFont="1" applyFill="1" applyBorder="1" applyAlignment="1">
      <alignment vertical="top"/>
    </xf>
    <xf numFmtId="43" fontId="69" fillId="0" borderId="30" xfId="1" applyFont="1" applyFill="1" applyBorder="1" applyAlignment="1">
      <alignment horizontal="right" vertical="center"/>
    </xf>
    <xf numFmtId="43" fontId="55" fillId="0" borderId="30" xfId="1" applyFont="1" applyFill="1" applyBorder="1" applyAlignment="1">
      <alignment vertical="top"/>
    </xf>
    <xf numFmtId="3" fontId="55" fillId="0" borderId="30" xfId="4" applyNumberFormat="1" applyFont="1" applyFill="1" applyBorder="1" applyAlignment="1">
      <alignment vertical="center"/>
    </xf>
    <xf numFmtId="3" fontId="55" fillId="0" borderId="96" xfId="4" applyNumberFormat="1" applyFont="1" applyFill="1" applyBorder="1" applyAlignment="1">
      <alignment vertical="center"/>
    </xf>
    <xf numFmtId="3" fontId="100" fillId="2" borderId="51" xfId="0" applyNumberFormat="1" applyFont="1" applyFill="1" applyBorder="1" applyAlignment="1">
      <alignment horizontal="left" vertical="center"/>
    </xf>
    <xf numFmtId="43" fontId="58" fillId="6" borderId="29" xfId="1" applyFont="1" applyFill="1" applyBorder="1" applyAlignment="1">
      <alignment vertical="center"/>
    </xf>
    <xf numFmtId="43" fontId="34" fillId="0" borderId="23" xfId="1" applyFont="1" applyFill="1" applyBorder="1" applyAlignment="1">
      <alignment vertical="top"/>
    </xf>
    <xf numFmtId="43" fontId="59" fillId="6" borderId="71" xfId="1" applyFont="1" applyFill="1" applyBorder="1" applyAlignment="1">
      <alignment vertical="center"/>
    </xf>
    <xf numFmtId="43" fontId="59" fillId="6" borderId="8" xfId="1" applyFont="1" applyFill="1" applyBorder="1" applyAlignment="1">
      <alignment vertical="center"/>
    </xf>
    <xf numFmtId="43" fontId="0" fillId="0" borderId="24" xfId="1" applyFont="1" applyBorder="1"/>
    <xf numFmtId="43" fontId="0" fillId="0" borderId="0" xfId="1" applyFont="1" applyBorder="1"/>
    <xf numFmtId="43" fontId="63" fillId="0" borderId="47" xfId="1" applyFont="1" applyFill="1" applyBorder="1" applyAlignment="1">
      <alignment horizontal="right" vertical="center"/>
    </xf>
    <xf numFmtId="0" fontId="58" fillId="8" borderId="16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58" fillId="8" borderId="36" xfId="0" applyFont="1" applyFill="1" applyBorder="1" applyAlignment="1">
      <alignment vertical="center" wrapText="1"/>
    </xf>
    <xf numFmtId="0" fontId="58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vertical="top"/>
    </xf>
    <xf numFmtId="3" fontId="34" fillId="8" borderId="7" xfId="0" applyNumberFormat="1" applyFont="1" applyFill="1" applyBorder="1" applyAlignment="1">
      <alignment vertical="top"/>
    </xf>
    <xf numFmtId="3" fontId="34" fillId="23" borderId="35" xfId="0" applyNumberFormat="1" applyFont="1" applyFill="1" applyBorder="1" applyAlignment="1">
      <alignment vertical="top"/>
    </xf>
    <xf numFmtId="3" fontId="34" fillId="23" borderId="30" xfId="4" applyNumberFormat="1" applyFont="1" applyFill="1" applyBorder="1" applyAlignment="1">
      <alignment horizontal="center" vertical="top"/>
    </xf>
    <xf numFmtId="3" fontId="2" fillId="0" borderId="0" xfId="112" applyNumberFormat="1" applyFont="1"/>
    <xf numFmtId="0" fontId="2" fillId="0" borderId="0" xfId="112" applyFont="1"/>
    <xf numFmtId="0" fontId="52" fillId="0" borderId="0" xfId="112" applyFont="1" applyAlignment="1">
      <alignment vertical="center"/>
    </xf>
    <xf numFmtId="3" fontId="52" fillId="0" borderId="0" xfId="112" applyNumberFormat="1" applyFont="1" applyAlignment="1">
      <alignment vertical="top"/>
    </xf>
    <xf numFmtId="3" fontId="14" fillId="6" borderId="70" xfId="0" applyNumberFormat="1" applyFont="1" applyFill="1" applyBorder="1"/>
    <xf numFmtId="3" fontId="14" fillId="6" borderId="35" xfId="0" applyNumberFormat="1" applyFont="1" applyFill="1" applyBorder="1"/>
    <xf numFmtId="3" fontId="14" fillId="6" borderId="12" xfId="0" applyNumberFormat="1" applyFont="1" applyFill="1" applyBorder="1"/>
    <xf numFmtId="0" fontId="22" fillId="0" borderId="7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3" fontId="3" fillId="11" borderId="47" xfId="0" applyNumberFormat="1" applyFont="1" applyFill="1" applyBorder="1"/>
    <xf numFmtId="3" fontId="3" fillId="8" borderId="30" xfId="0" applyNumberFormat="1" applyFont="1" applyFill="1" applyBorder="1" applyAlignment="1">
      <alignment vertical="center"/>
    </xf>
    <xf numFmtId="3" fontId="3" fillId="8" borderId="49" xfId="0" applyNumberFormat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29" xfId="0" applyNumberFormat="1" applyFont="1" applyFill="1" applyBorder="1" applyAlignment="1">
      <alignment vertical="center"/>
    </xf>
    <xf numFmtId="3" fontId="3" fillId="8" borderId="71" xfId="0" applyNumberFormat="1" applyFont="1" applyFill="1" applyBorder="1" applyAlignment="1">
      <alignment vertical="center"/>
    </xf>
    <xf numFmtId="3" fontId="18" fillId="11" borderId="30" xfId="0" applyNumberFormat="1" applyFont="1" applyFill="1" applyBorder="1" applyAlignment="1">
      <alignment vertical="center"/>
    </xf>
    <xf numFmtId="3" fontId="18" fillId="11" borderId="71" xfId="0" applyNumberFormat="1" applyFont="1" applyFill="1" applyBorder="1" applyAlignment="1">
      <alignment vertical="center"/>
    </xf>
    <xf numFmtId="3" fontId="18" fillId="11" borderId="49" xfId="0" applyNumberFormat="1" applyFont="1" applyFill="1" applyBorder="1" applyAlignment="1">
      <alignment vertical="center"/>
    </xf>
    <xf numFmtId="3" fontId="18" fillId="11" borderId="32" xfId="0" applyNumberFormat="1" applyFont="1" applyFill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3" fillId="11" borderId="30" xfId="0" applyNumberFormat="1" applyFont="1" applyFill="1" applyBorder="1" applyAlignment="1">
      <alignment vertical="center"/>
    </xf>
    <xf numFmtId="43" fontId="3" fillId="11" borderId="30" xfId="1" applyFont="1" applyFill="1" applyBorder="1" applyAlignment="1">
      <alignment vertical="center"/>
    </xf>
    <xf numFmtId="0" fontId="108" fillId="0" borderId="30" xfId="0" applyFont="1" applyBorder="1" applyAlignment="1">
      <alignment horizontal="center" vertical="center"/>
    </xf>
    <xf numFmtId="3" fontId="35" fillId="6" borderId="63" xfId="0" applyNumberFormat="1" applyFont="1" applyFill="1" applyBorder="1"/>
    <xf numFmtId="3" fontId="35" fillId="6" borderId="62" xfId="0" applyNumberFormat="1" applyFont="1" applyFill="1" applyBorder="1"/>
    <xf numFmtId="3" fontId="35" fillId="6" borderId="33" xfId="0" applyNumberFormat="1" applyFont="1" applyFill="1" applyBorder="1"/>
    <xf numFmtId="3" fontId="35" fillId="6" borderId="65" xfId="0" applyNumberFormat="1" applyFont="1" applyFill="1" applyBorder="1"/>
    <xf numFmtId="0" fontId="109" fillId="0" borderId="0" xfId="0" applyFont="1" applyAlignment="1">
      <alignment vertical="top"/>
    </xf>
    <xf numFmtId="0" fontId="58" fillId="13" borderId="36" xfId="4" applyFont="1" applyFill="1" applyBorder="1" applyAlignment="1">
      <alignment vertical="center" wrapText="1"/>
    </xf>
    <xf numFmtId="0" fontId="66" fillId="0" borderId="20" xfId="0" applyFont="1" applyBorder="1" applyAlignment="1">
      <alignment vertical="center" wrapText="1"/>
    </xf>
    <xf numFmtId="0" fontId="34" fillId="27" borderId="32" xfId="4" applyFont="1" applyFill="1" applyBorder="1" applyAlignment="1">
      <alignment vertical="center" wrapText="1"/>
    </xf>
    <xf numFmtId="0" fontId="34" fillId="13" borderId="21" xfId="4" applyFont="1" applyFill="1" applyBorder="1" applyAlignment="1">
      <alignment vertical="center"/>
    </xf>
    <xf numFmtId="0" fontId="59" fillId="8" borderId="19" xfId="4" applyFont="1" applyFill="1" applyBorder="1" applyAlignment="1">
      <alignment horizontal="left" vertical="center"/>
    </xf>
    <xf numFmtId="3" fontId="61" fillId="2" borderId="31" xfId="4" applyNumberFormat="1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109" fillId="0" borderId="0" xfId="0" applyFont="1" applyFill="1" applyBorder="1" applyAlignment="1">
      <alignment vertical="top"/>
    </xf>
    <xf numFmtId="0" fontId="109" fillId="0" borderId="0" xfId="0" applyFont="1" applyFill="1" applyBorder="1" applyAlignment="1">
      <alignment vertical="center"/>
    </xf>
    <xf numFmtId="0" fontId="53" fillId="0" borderId="0" xfId="0" applyFont="1" applyBorder="1" applyAlignment="1">
      <alignment horizontal="center" vertical="top"/>
    </xf>
    <xf numFmtId="3" fontId="111" fillId="2" borderId="0" xfId="0" applyNumberFormat="1" applyFont="1" applyFill="1" applyBorder="1" applyAlignment="1">
      <alignment vertical="center" wrapText="1"/>
    </xf>
    <xf numFmtId="0" fontId="58" fillId="28" borderId="11" xfId="0" applyFont="1" applyFill="1" applyBorder="1" applyAlignment="1">
      <alignment vertical="center"/>
    </xf>
    <xf numFmtId="3" fontId="59" fillId="22" borderId="35" xfId="0" applyNumberFormat="1" applyFont="1" applyFill="1" applyBorder="1" applyAlignment="1">
      <alignment vertical="center"/>
    </xf>
    <xf numFmtId="0" fontId="51" fillId="0" borderId="0" xfId="0" applyFont="1" applyAlignment="1">
      <alignment vertical="center"/>
    </xf>
    <xf numFmtId="3" fontId="14" fillId="4" borderId="46" xfId="0" quotePrefix="1" applyNumberFormat="1" applyFont="1" applyFill="1" applyBorder="1" applyAlignment="1">
      <alignment horizontal="right" vertical="center"/>
    </xf>
    <xf numFmtId="3" fontId="61" fillId="2" borderId="6" xfId="4" applyNumberFormat="1" applyFont="1" applyFill="1" applyBorder="1" applyAlignment="1">
      <alignment horizontal="center" vertical="center" wrapText="1"/>
    </xf>
    <xf numFmtId="3" fontId="62" fillId="0" borderId="27" xfId="4" applyNumberFormat="1" applyFont="1" applyFill="1" applyBorder="1" applyAlignment="1"/>
    <xf numFmtId="3" fontId="62" fillId="2" borderId="9" xfId="4" applyNumberFormat="1" applyFont="1" applyFill="1" applyBorder="1" applyAlignment="1"/>
    <xf numFmtId="3" fontId="62" fillId="2" borderId="35" xfId="4" applyNumberFormat="1" applyFont="1" applyFill="1" applyBorder="1" applyAlignment="1"/>
    <xf numFmtId="3" fontId="76" fillId="0" borderId="10" xfId="4" applyNumberFormat="1" applyFont="1" applyFill="1" applyBorder="1" applyAlignment="1">
      <alignment horizontal="right" vertical="center"/>
    </xf>
    <xf numFmtId="3" fontId="62" fillId="2" borderId="10" xfId="4" applyNumberFormat="1" applyFont="1" applyFill="1" applyBorder="1" applyAlignment="1"/>
    <xf numFmtId="3" fontId="61" fillId="26" borderId="13" xfId="4" applyNumberFormat="1" applyFont="1" applyFill="1" applyBorder="1" applyAlignment="1">
      <alignment horizontal="center" vertical="center"/>
    </xf>
    <xf numFmtId="0" fontId="79" fillId="0" borderId="43" xfId="0" applyFont="1" applyBorder="1" applyAlignment="1">
      <alignment horizontal="center" vertical="center" wrapText="1"/>
    </xf>
    <xf numFmtId="0" fontId="112" fillId="0" borderId="67" xfId="4" applyFont="1" applyFill="1" applyBorder="1" applyAlignment="1">
      <alignment horizontal="center" vertical="center"/>
    </xf>
    <xf numFmtId="3" fontId="65" fillId="2" borderId="47" xfId="0" applyNumberFormat="1" applyFont="1" applyFill="1" applyBorder="1" applyAlignment="1">
      <alignment vertical="center"/>
    </xf>
    <xf numFmtId="3" fontId="59" fillId="8" borderId="29" xfId="0" applyNumberFormat="1" applyFont="1" applyFill="1" applyBorder="1" applyAlignment="1">
      <alignment vertical="center"/>
    </xf>
    <xf numFmtId="0" fontId="52" fillId="8" borderId="43" xfId="4" applyFont="1" applyFill="1" applyBorder="1" applyAlignment="1">
      <alignment horizontal="center" vertical="top"/>
    </xf>
    <xf numFmtId="0" fontId="0" fillId="0" borderId="11" xfId="0" applyFont="1" applyBorder="1"/>
    <xf numFmtId="0" fontId="51" fillId="0" borderId="67" xfId="4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50" fillId="2" borderId="24" xfId="0" applyFont="1" applyFill="1" applyBorder="1" applyAlignment="1">
      <alignment horizontal="left" vertical="top" wrapText="1"/>
    </xf>
    <xf numFmtId="0" fontId="51" fillId="0" borderId="11" xfId="4" applyFont="1" applyBorder="1" applyAlignment="1">
      <alignment horizontal="center" vertical="center"/>
    </xf>
    <xf numFmtId="0" fontId="59" fillId="0" borderId="13" xfId="4" applyFont="1" applyBorder="1" applyAlignment="1">
      <alignment horizontal="center" vertical="center" wrapText="1"/>
    </xf>
    <xf numFmtId="0" fontId="59" fillId="0" borderId="12" xfId="4" applyFont="1" applyBorder="1" applyAlignment="1">
      <alignment horizontal="center" vertical="center" wrapText="1"/>
    </xf>
    <xf numFmtId="0" fontId="54" fillId="0" borderId="12" xfId="4" applyFont="1" applyBorder="1" applyAlignment="1">
      <alignment horizontal="center" vertical="center" wrapText="1"/>
    </xf>
    <xf numFmtId="3" fontId="34" fillId="25" borderId="29" xfId="4" applyNumberFormat="1" applyFont="1" applyFill="1" applyBorder="1" applyAlignment="1">
      <alignment horizontal="right" vertical="center"/>
    </xf>
    <xf numFmtId="0" fontId="61" fillId="2" borderId="34" xfId="4" applyFont="1" applyFill="1" applyBorder="1" applyAlignment="1">
      <alignment vertical="center"/>
    </xf>
    <xf numFmtId="43" fontId="67" fillId="0" borderId="29" xfId="1" applyFont="1" applyFill="1" applyBorder="1" applyAlignment="1">
      <alignment vertical="center"/>
    </xf>
    <xf numFmtId="43" fontId="34" fillId="0" borderId="63" xfId="1" applyFont="1" applyFill="1" applyBorder="1" applyAlignment="1">
      <alignment horizontal="right" vertical="center"/>
    </xf>
    <xf numFmtId="43" fontId="58" fillId="6" borderId="29" xfId="1" applyFont="1" applyFill="1" applyBorder="1" applyAlignment="1"/>
    <xf numFmtId="43" fontId="67" fillId="0" borderId="9" xfId="1" applyFont="1" applyFill="1" applyBorder="1" applyAlignment="1">
      <alignment vertical="center"/>
    </xf>
    <xf numFmtId="43" fontId="66" fillId="0" borderId="29" xfId="1" applyFont="1" applyFill="1" applyBorder="1" applyAlignment="1">
      <alignment vertical="center"/>
    </xf>
    <xf numFmtId="43" fontId="66" fillId="0" borderId="30" xfId="1" applyFont="1" applyFill="1" applyBorder="1" applyAlignment="1">
      <alignment vertical="center"/>
    </xf>
    <xf numFmtId="0" fontId="34" fillId="0" borderId="83" xfId="4" applyFont="1" applyFill="1" applyBorder="1" applyAlignment="1">
      <alignment horizontal="left" vertical="center"/>
    </xf>
    <xf numFmtId="3" fontId="34" fillId="0" borderId="47" xfId="4" applyNumberFormat="1" applyFont="1" applyFill="1" applyBorder="1" applyAlignment="1">
      <alignment vertical="center"/>
    </xf>
    <xf numFmtId="3" fontId="34" fillId="0" borderId="72" xfId="4" applyNumberFormat="1" applyFont="1" applyFill="1" applyBorder="1" applyAlignment="1">
      <alignment vertical="center"/>
    </xf>
    <xf numFmtId="43" fontId="34" fillId="0" borderId="47" xfId="1" applyFont="1" applyFill="1" applyBorder="1" applyAlignment="1">
      <alignment vertical="center"/>
    </xf>
    <xf numFmtId="3" fontId="34" fillId="0" borderId="47" xfId="4" applyNumberFormat="1" applyFont="1" applyFill="1" applyBorder="1" applyAlignment="1">
      <alignment horizontal="center" vertical="center"/>
    </xf>
    <xf numFmtId="3" fontId="51" fillId="8" borderId="79" xfId="4" applyNumberFormat="1" applyFont="1" applyFill="1" applyBorder="1" applyAlignment="1">
      <alignment horizontal="right" vertical="center"/>
    </xf>
    <xf numFmtId="3" fontId="65" fillId="0" borderId="23" xfId="4" applyNumberFormat="1" applyFont="1" applyFill="1" applyBorder="1" applyAlignment="1">
      <alignment horizontal="right" vertical="center"/>
    </xf>
    <xf numFmtId="3" fontId="65" fillId="2" borderId="23" xfId="4" applyNumberFormat="1" applyFont="1" applyFill="1" applyBorder="1" applyAlignment="1">
      <alignment horizontal="right" vertical="center"/>
    </xf>
    <xf numFmtId="0" fontId="55" fillId="0" borderId="77" xfId="4" applyFont="1" applyFill="1" applyBorder="1" applyAlignment="1">
      <alignment horizontal="left" vertical="center"/>
    </xf>
    <xf numFmtId="3" fontId="61" fillId="26" borderId="49" xfId="0" applyNumberFormat="1" applyFont="1" applyFill="1" applyBorder="1" applyAlignment="1"/>
    <xf numFmtId="3" fontId="65" fillId="25" borderId="82" xfId="0" applyNumberFormat="1" applyFont="1" applyFill="1" applyBorder="1" applyAlignment="1">
      <alignment horizontal="center" vertical="top"/>
    </xf>
    <xf numFmtId="0" fontId="34" fillId="6" borderId="20" xfId="0" applyFont="1" applyFill="1" applyBorder="1" applyAlignment="1">
      <alignment vertical="top"/>
    </xf>
    <xf numFmtId="0" fontId="34" fillId="0" borderId="77" xfId="4" applyFont="1" applyFill="1" applyBorder="1" applyAlignment="1">
      <alignment horizontal="left"/>
    </xf>
    <xf numFmtId="0" fontId="65" fillId="0" borderId="77" xfId="0" applyFont="1" applyFill="1" applyBorder="1" applyAlignment="1">
      <alignment horizontal="left" vertical="center" wrapText="1"/>
    </xf>
    <xf numFmtId="3" fontId="59" fillId="6" borderId="9" xfId="4" applyNumberFormat="1" applyFont="1" applyFill="1" applyBorder="1" applyAlignment="1">
      <alignment vertical="center"/>
    </xf>
    <xf numFmtId="43" fontId="59" fillId="22" borderId="30" xfId="1" applyFont="1" applyFill="1" applyBorder="1" applyAlignment="1">
      <alignment vertical="center"/>
    </xf>
    <xf numFmtId="43" fontId="61" fillId="0" borderId="35" xfId="1" applyFont="1" applyFill="1" applyBorder="1" applyAlignment="1">
      <alignment horizontal="right" vertical="center"/>
    </xf>
    <xf numFmtId="43" fontId="61" fillId="25" borderId="35" xfId="1" applyFont="1" applyFill="1" applyBorder="1" applyAlignment="1">
      <alignment horizontal="right" vertical="center"/>
    </xf>
    <xf numFmtId="43" fontId="65" fillId="0" borderId="30" xfId="1" applyFont="1" applyFill="1" applyBorder="1" applyAlignment="1">
      <alignment vertical="top"/>
    </xf>
    <xf numFmtId="43" fontId="63" fillId="0" borderId="8" xfId="1" applyFont="1" applyFill="1" applyBorder="1" applyAlignment="1">
      <alignment horizontal="right" vertical="center"/>
    </xf>
    <xf numFmtId="43" fontId="59" fillId="6" borderId="35" xfId="1" applyFont="1" applyFill="1" applyBorder="1" applyAlignment="1">
      <alignment vertical="center"/>
    </xf>
    <xf numFmtId="3" fontId="34" fillId="0" borderId="47" xfId="4" applyNumberFormat="1" applyFont="1" applyFill="1" applyBorder="1" applyAlignment="1">
      <alignment vertical="top" wrapText="1"/>
    </xf>
    <xf numFmtId="43" fontId="34" fillId="0" borderId="75" xfId="1" applyFont="1" applyFill="1" applyBorder="1" applyAlignment="1">
      <alignment vertical="top"/>
    </xf>
    <xf numFmtId="43" fontId="65" fillId="0" borderId="47" xfId="1" applyFont="1" applyFill="1" applyBorder="1" applyAlignment="1">
      <alignment vertical="top"/>
    </xf>
    <xf numFmtId="0" fontId="34" fillId="0" borderId="77" xfId="4" applyFont="1" applyFill="1" applyBorder="1" applyAlignment="1">
      <alignment horizontal="left" vertical="center"/>
    </xf>
    <xf numFmtId="3" fontId="34" fillId="2" borderId="47" xfId="4" applyNumberFormat="1" applyFont="1" applyFill="1" applyBorder="1" applyAlignment="1">
      <alignment horizontal="right" vertical="center"/>
    </xf>
    <xf numFmtId="3" fontId="34" fillId="2" borderId="12" xfId="4" applyNumberFormat="1" applyFont="1" applyFill="1" applyBorder="1" applyAlignment="1">
      <alignment horizontal="right" vertical="center"/>
    </xf>
    <xf numFmtId="0" fontId="58" fillId="8" borderId="85" xfId="0" applyFont="1" applyFill="1" applyBorder="1" applyAlignment="1">
      <alignment vertical="center" wrapText="1"/>
    </xf>
    <xf numFmtId="0" fontId="34" fillId="8" borderId="0" xfId="0" applyFont="1" applyFill="1" applyBorder="1" applyAlignment="1">
      <alignment vertical="top"/>
    </xf>
    <xf numFmtId="0" fontId="59" fillId="6" borderId="34" xfId="4" applyFont="1" applyFill="1" applyBorder="1" applyAlignment="1">
      <alignment vertical="center"/>
    </xf>
    <xf numFmtId="0" fontId="59" fillId="6" borderId="32" xfId="4" applyFont="1" applyFill="1" applyBorder="1" applyAlignment="1">
      <alignment vertical="center"/>
    </xf>
    <xf numFmtId="0" fontId="59" fillId="6" borderId="84" xfId="4" applyFont="1" applyFill="1" applyBorder="1" applyAlignment="1">
      <alignment vertical="center"/>
    </xf>
    <xf numFmtId="0" fontId="59" fillId="6" borderId="29" xfId="4" applyFont="1" applyFill="1" applyBorder="1" applyAlignment="1">
      <alignment vertical="center"/>
    </xf>
    <xf numFmtId="0" fontId="59" fillId="6" borderId="30" xfId="4" applyFont="1" applyFill="1" applyBorder="1" applyAlignment="1">
      <alignment vertical="center"/>
    </xf>
    <xf numFmtId="0" fontId="59" fillId="6" borderId="31" xfId="4" applyFont="1" applyFill="1" applyBorder="1" applyAlignment="1">
      <alignment vertical="center"/>
    </xf>
    <xf numFmtId="3" fontId="67" fillId="32" borderId="30" xfId="6" applyNumberFormat="1" applyFont="1" applyFill="1" applyBorder="1" applyAlignment="1">
      <alignment horizontal="right" vertical="center"/>
    </xf>
    <xf numFmtId="3" fontId="67" fillId="32" borderId="30" xfId="6" applyNumberFormat="1" applyFont="1" applyFill="1" applyBorder="1" applyAlignment="1">
      <alignment vertical="center"/>
    </xf>
    <xf numFmtId="3" fontId="61" fillId="32" borderId="30" xfId="4" applyNumberFormat="1" applyFont="1" applyFill="1" applyBorder="1" applyAlignment="1">
      <alignment horizontal="right" vertical="center"/>
    </xf>
    <xf numFmtId="3" fontId="61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66" fillId="32" borderId="30" xfId="6" applyNumberFormat="1" applyFont="1" applyFill="1" applyBorder="1" applyAlignment="1">
      <alignment horizontal="right" vertical="center"/>
    </xf>
    <xf numFmtId="3" fontId="34" fillId="32" borderId="30" xfId="4" applyNumberFormat="1" applyFont="1" applyFill="1" applyBorder="1" applyAlignment="1">
      <alignment horizontal="right" vertical="center"/>
    </xf>
    <xf numFmtId="3" fontId="34" fillId="23" borderId="30" xfId="4" applyNumberFormat="1" applyFont="1" applyFill="1" applyBorder="1" applyAlignment="1">
      <alignment vertical="center"/>
    </xf>
    <xf numFmtId="0" fontId="59" fillId="6" borderId="85" xfId="4" applyFont="1" applyFill="1" applyBorder="1" applyAlignment="1">
      <alignment horizontal="left" vertical="center"/>
    </xf>
    <xf numFmtId="3" fontId="58" fillId="6" borderId="29" xfId="4" applyNumberFormat="1" applyFont="1" applyFill="1" applyBorder="1" applyAlignment="1">
      <alignment horizontal="right"/>
    </xf>
    <xf numFmtId="3" fontId="66" fillId="0" borderId="47" xfId="6" applyNumberFormat="1" applyFont="1" applyFill="1" applyBorder="1" applyAlignment="1">
      <alignment horizontal="right" vertical="center"/>
    </xf>
    <xf numFmtId="0" fontId="0" fillId="0" borderId="0" xfId="0" applyFont="1"/>
    <xf numFmtId="0" fontId="60" fillId="0" borderId="73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3" fontId="114" fillId="0" borderId="0" xfId="0" applyNumberFormat="1" applyFont="1"/>
    <xf numFmtId="0" fontId="114" fillId="0" borderId="0" xfId="0" applyFont="1"/>
    <xf numFmtId="3" fontId="114" fillId="0" borderId="0" xfId="0" applyNumberFormat="1" applyFont="1" applyAlignment="1"/>
    <xf numFmtId="0" fontId="114" fillId="0" borderId="0" xfId="0" applyFont="1" applyFill="1" applyBorder="1"/>
    <xf numFmtId="0" fontId="114" fillId="0" borderId="3" xfId="0" applyFont="1" applyFill="1" applyBorder="1"/>
    <xf numFmtId="3" fontId="114" fillId="0" borderId="0" xfId="0" applyNumberFormat="1" applyFont="1" applyFill="1" applyBorder="1"/>
    <xf numFmtId="0" fontId="115" fillId="0" borderId="0" xfId="0" applyFont="1"/>
    <xf numFmtId="3" fontId="115" fillId="0" borderId="0" xfId="0" applyNumberFormat="1" applyFont="1"/>
    <xf numFmtId="0" fontId="115" fillId="0" borderId="0" xfId="0" applyFont="1" applyAlignment="1"/>
    <xf numFmtId="0" fontId="115" fillId="2" borderId="0" xfId="0" applyFont="1" applyFill="1" applyAlignment="1"/>
    <xf numFmtId="0" fontId="114" fillId="0" borderId="0" xfId="0" applyFont="1" applyAlignment="1"/>
    <xf numFmtId="0" fontId="114" fillId="2" borderId="0" xfId="0" applyFont="1" applyFill="1" applyAlignment="1"/>
    <xf numFmtId="0" fontId="116" fillId="2" borderId="0" xfId="0" applyFont="1" applyFill="1" applyAlignment="1"/>
    <xf numFmtId="0" fontId="116" fillId="0" borderId="0" xfId="0" applyFont="1"/>
    <xf numFmtId="0" fontId="0" fillId="0" borderId="0" xfId="0" applyFont="1"/>
    <xf numFmtId="0" fontId="0" fillId="0" borderId="0" xfId="0" applyFont="1"/>
    <xf numFmtId="0" fontId="112" fillId="0" borderId="80" xfId="4" applyFont="1" applyFill="1" applyBorder="1" applyAlignment="1">
      <alignment horizontal="center" vertical="center"/>
    </xf>
    <xf numFmtId="0" fontId="51" fillId="13" borderId="25" xfId="4" applyFont="1" applyFill="1" applyBorder="1" applyAlignment="1">
      <alignment horizontal="center" vertical="top"/>
    </xf>
    <xf numFmtId="3" fontId="34" fillId="13" borderId="69" xfId="4" applyNumberFormat="1" applyFont="1" applyFill="1" applyBorder="1" applyAlignment="1">
      <alignment vertical="top" wrapText="1"/>
    </xf>
    <xf numFmtId="3" fontId="52" fillId="27" borderId="41" xfId="4" applyNumberFormat="1" applyFont="1" applyFill="1" applyBorder="1" applyAlignment="1">
      <alignment horizontal="center" vertical="top" wrapText="1"/>
    </xf>
    <xf numFmtId="0" fontId="113" fillId="0" borderId="0" xfId="0" applyFont="1" applyFill="1" applyBorder="1" applyAlignment="1">
      <alignment vertical="top"/>
    </xf>
    <xf numFmtId="0" fontId="110" fillId="0" borderId="0" xfId="0" applyFont="1" applyFill="1" applyBorder="1" applyAlignment="1">
      <alignment vertical="top"/>
    </xf>
    <xf numFmtId="0" fontId="110" fillId="0" borderId="0" xfId="0" applyFont="1" applyFill="1" applyBorder="1" applyAlignment="1">
      <alignment vertical="center"/>
    </xf>
    <xf numFmtId="43" fontId="65" fillId="25" borderId="49" xfId="1" applyFont="1" applyFill="1" applyBorder="1" applyAlignment="1">
      <alignment horizontal="center" vertical="top"/>
    </xf>
    <xf numFmtId="0" fontId="52" fillId="0" borderId="43" xfId="4" applyFont="1" applyFill="1" applyBorder="1" applyAlignment="1">
      <alignment horizontal="center" vertical="center" wrapText="1"/>
    </xf>
    <xf numFmtId="0" fontId="52" fillId="0" borderId="41" xfId="4" applyFont="1" applyFill="1" applyBorder="1" applyAlignment="1">
      <alignment horizontal="center" vertical="center" wrapText="1"/>
    </xf>
    <xf numFmtId="0" fontId="51" fillId="0" borderId="11" xfId="4" applyFont="1" applyBorder="1" applyAlignment="1">
      <alignment horizontal="center" vertical="center"/>
    </xf>
    <xf numFmtId="0" fontId="59" fillId="0" borderId="13" xfId="4" applyFont="1" applyBorder="1" applyAlignment="1">
      <alignment horizontal="center" vertical="center" wrapText="1"/>
    </xf>
    <xf numFmtId="0" fontId="59" fillId="0" borderId="12" xfId="4" applyFont="1" applyBorder="1" applyAlignment="1">
      <alignment horizontal="center" vertical="center" wrapText="1"/>
    </xf>
    <xf numFmtId="3" fontId="52" fillId="0" borderId="43" xfId="4" applyNumberFormat="1" applyFont="1" applyFill="1" applyBorder="1" applyAlignment="1">
      <alignment horizontal="center" vertical="center" wrapText="1"/>
    </xf>
    <xf numFmtId="3" fontId="52" fillId="0" borderId="41" xfId="4" applyNumberFormat="1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51" fillId="0" borderId="11" xfId="4" applyFont="1" applyFill="1" applyBorder="1" applyAlignment="1">
      <alignment horizontal="center" vertical="center"/>
    </xf>
    <xf numFmtId="0" fontId="51" fillId="0" borderId="11" xfId="4" applyFont="1" applyFill="1" applyBorder="1" applyAlignment="1">
      <alignment horizontal="center" vertical="top"/>
    </xf>
    <xf numFmtId="0" fontId="52" fillId="8" borderId="43" xfId="4" applyFont="1" applyFill="1" applyBorder="1" applyAlignment="1">
      <alignment horizontal="center" vertical="top"/>
    </xf>
    <xf numFmtId="0" fontId="51" fillId="13" borderId="11" xfId="4" applyFont="1" applyFill="1" applyBorder="1" applyAlignment="1">
      <alignment horizontal="center" vertical="top"/>
    </xf>
    <xf numFmtId="0" fontId="52" fillId="13" borderId="43" xfId="4" applyFont="1" applyFill="1" applyBorder="1" applyAlignment="1">
      <alignment horizontal="center" vertical="center" wrapText="1"/>
    </xf>
    <xf numFmtId="0" fontId="0" fillId="0" borderId="25" xfId="0" applyFont="1" applyBorder="1"/>
    <xf numFmtId="3" fontId="58" fillId="22" borderId="12" xfId="4" applyNumberFormat="1" applyFont="1" applyFill="1" applyBorder="1" applyAlignment="1">
      <alignment horizontal="center" vertical="center"/>
    </xf>
    <xf numFmtId="0" fontId="57" fillId="0" borderId="73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3" fontId="59" fillId="22" borderId="43" xfId="0" applyNumberFormat="1" applyFont="1" applyFill="1" applyBorder="1" applyAlignment="1">
      <alignment horizontal="center" vertical="center"/>
    </xf>
    <xf numFmtId="3" fontId="59" fillId="22" borderId="41" xfId="0" applyNumberFormat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0" fontId="0" fillId="0" borderId="11" xfId="0" applyFont="1" applyBorder="1"/>
    <xf numFmtId="0" fontId="71" fillId="0" borderId="22" xfId="0" applyFont="1" applyBorder="1" applyAlignment="1">
      <alignment horizontal="center" vertical="center" wrapText="1"/>
    </xf>
    <xf numFmtId="3" fontId="59" fillId="8" borderId="15" xfId="0" applyNumberFormat="1" applyFont="1" applyFill="1" applyBorder="1" applyAlignment="1">
      <alignment vertical="top"/>
    </xf>
    <xf numFmtId="3" fontId="65" fillId="8" borderId="13" xfId="0" applyNumberFormat="1" applyFont="1" applyFill="1" applyBorder="1" applyAlignment="1"/>
    <xf numFmtId="0" fontId="58" fillId="8" borderId="14" xfId="0" applyFont="1" applyFill="1" applyBorder="1" applyAlignment="1">
      <alignment horizontal="center" vertical="center" wrapText="1"/>
    </xf>
    <xf numFmtId="0" fontId="51" fillId="0" borderId="67" xfId="4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51" fillId="2" borderId="11" xfId="0" applyFont="1" applyFill="1" applyBorder="1" applyAlignment="1">
      <alignment horizontal="center" vertical="center"/>
    </xf>
    <xf numFmtId="0" fontId="0" fillId="0" borderId="0" xfId="0" applyFont="1"/>
    <xf numFmtId="0" fontId="66" fillId="0" borderId="63" xfId="0" applyFont="1" applyBorder="1" applyAlignment="1">
      <alignment horizontal="center" vertical="center"/>
    </xf>
    <xf numFmtId="3" fontId="59" fillId="2" borderId="63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24" xfId="0" applyFont="1" applyBorder="1"/>
    <xf numFmtId="0" fontId="58" fillId="2" borderId="6" xfId="4" applyFont="1" applyFill="1" applyBorder="1" applyAlignment="1">
      <alignment horizontal="center" vertical="center" wrapText="1"/>
    </xf>
    <xf numFmtId="0" fontId="58" fillId="0" borderId="25" xfId="4" quotePrefix="1" applyFont="1" applyFill="1" applyBorder="1" applyAlignment="1">
      <alignment horizontal="center" vertical="center"/>
    </xf>
    <xf numFmtId="3" fontId="65" fillId="0" borderId="72" xfId="4" applyNumberFormat="1" applyFont="1" applyFill="1" applyBorder="1" applyAlignment="1">
      <alignment horizontal="right"/>
    </xf>
    <xf numFmtId="3" fontId="65" fillId="0" borderId="12" xfId="4" applyNumberFormat="1" applyFont="1" applyFill="1" applyBorder="1" applyAlignment="1">
      <alignment horizontal="right" vertical="center"/>
    </xf>
    <xf numFmtId="3" fontId="65" fillId="0" borderId="74" xfId="4" applyNumberFormat="1" applyFont="1" applyFill="1" applyBorder="1" applyAlignment="1">
      <alignment horizontal="right"/>
    </xf>
    <xf numFmtId="0" fontId="59" fillId="8" borderId="19" xfId="4" applyFont="1" applyFill="1" applyBorder="1" applyAlignment="1">
      <alignment vertical="center" wrapText="1"/>
    </xf>
    <xf numFmtId="0" fontId="58" fillId="8" borderId="19" xfId="4" applyFont="1" applyFill="1" applyBorder="1" applyAlignment="1">
      <alignment vertical="top" wrapText="1"/>
    </xf>
    <xf numFmtId="3" fontId="34" fillId="8" borderId="8" xfId="4" applyNumberFormat="1" applyFont="1" applyFill="1" applyBorder="1" applyAlignment="1">
      <alignment horizontal="right" vertical="center"/>
    </xf>
    <xf numFmtId="3" fontId="65" fillId="0" borderId="71" xfId="4" applyNumberFormat="1" applyFont="1" applyFill="1" applyBorder="1" applyAlignment="1">
      <alignment horizontal="right" vertical="center"/>
    </xf>
    <xf numFmtId="3" fontId="66" fillId="0" borderId="74" xfId="6" applyNumberFormat="1" applyFont="1" applyFill="1" applyBorder="1" applyAlignment="1">
      <alignment vertical="center"/>
    </xf>
    <xf numFmtId="0" fontId="59" fillId="8" borderId="19" xfId="4" applyFont="1" applyFill="1" applyBorder="1" applyAlignment="1">
      <alignment vertical="top" wrapText="1"/>
    </xf>
    <xf numFmtId="3" fontId="59" fillId="23" borderId="2" xfId="4" applyNumberFormat="1" applyFont="1" applyFill="1" applyBorder="1" applyAlignment="1">
      <alignment horizontal="right" vertical="center"/>
    </xf>
    <xf numFmtId="3" fontId="34" fillId="2" borderId="74" xfId="4" applyNumberFormat="1" applyFont="1" applyFill="1" applyBorder="1" applyAlignment="1"/>
    <xf numFmtId="0" fontId="59" fillId="8" borderId="19" xfId="4" applyFont="1" applyFill="1" applyBorder="1" applyAlignment="1">
      <alignment horizontal="left" vertical="center" wrapText="1"/>
    </xf>
    <xf numFmtId="43" fontId="59" fillId="6" borderId="29" xfId="1" applyFont="1" applyFill="1" applyBorder="1" applyAlignment="1">
      <alignment horizontal="right" vertical="center"/>
    </xf>
    <xf numFmtId="43" fontId="61" fillId="0" borderId="29" xfId="1" applyFont="1" applyFill="1" applyBorder="1" applyAlignment="1">
      <alignment horizontal="right" vertical="center"/>
    </xf>
    <xf numFmtId="43" fontId="65" fillId="0" borderId="29" xfId="1" applyFont="1" applyFill="1" applyBorder="1" applyAlignment="1"/>
    <xf numFmtId="43" fontId="65" fillId="0" borderId="29" xfId="1" applyFont="1" applyFill="1" applyBorder="1" applyAlignment="1">
      <alignment horizontal="right" vertical="center"/>
    </xf>
    <xf numFmtId="43" fontId="61" fillId="2" borderId="29" xfId="1" applyFont="1" applyFill="1" applyBorder="1" applyAlignment="1"/>
    <xf numFmtId="43" fontId="65" fillId="2" borderId="47" xfId="1" applyFont="1" applyFill="1" applyBorder="1" applyAlignment="1"/>
    <xf numFmtId="43" fontId="66" fillId="0" borderId="23" xfId="1" applyFont="1" applyFill="1" applyBorder="1" applyAlignment="1">
      <alignment vertical="center"/>
    </xf>
    <xf numFmtId="43" fontId="59" fillId="6" borderId="30" xfId="1" applyFont="1" applyFill="1" applyBorder="1" applyAlignment="1">
      <alignment horizontal="right" vertical="center"/>
    </xf>
    <xf numFmtId="3" fontId="65" fillId="0" borderId="29" xfId="4" applyNumberFormat="1" applyFont="1" applyFill="1" applyBorder="1" applyAlignment="1">
      <alignment vertical="center"/>
    </xf>
    <xf numFmtId="0" fontId="34" fillId="0" borderId="21" xfId="4" applyFont="1" applyFill="1" applyBorder="1" applyAlignment="1">
      <alignment horizontal="left" vertical="center"/>
    </xf>
    <xf numFmtId="43" fontId="67" fillId="0" borderId="30" xfId="1" applyFont="1" applyFill="1" applyBorder="1" applyAlignment="1">
      <alignment vertical="center"/>
    </xf>
    <xf numFmtId="43" fontId="34" fillId="0" borderId="47" xfId="1" applyFont="1" applyFill="1" applyBorder="1" applyAlignment="1">
      <alignment horizontal="right" vertical="center"/>
    </xf>
    <xf numFmtId="3" fontId="58" fillId="6" borderId="31" xfId="4" applyNumberFormat="1" applyFont="1" applyFill="1" applyBorder="1" applyAlignment="1">
      <alignment horizontal="right" vertical="center"/>
    </xf>
    <xf numFmtId="3" fontId="58" fillId="6" borderId="30" xfId="4" applyNumberFormat="1" applyFont="1" applyFill="1" applyBorder="1" applyAlignment="1">
      <alignment horizontal="right" vertical="center"/>
    </xf>
    <xf numFmtId="43" fontId="58" fillId="6" borderId="30" xfId="1" applyFont="1" applyFill="1" applyBorder="1" applyAlignment="1">
      <alignment horizontal="right" vertical="center"/>
    </xf>
    <xf numFmtId="43" fontId="61" fillId="0" borderId="30" xfId="1" applyFont="1" applyFill="1" applyBorder="1" applyAlignment="1">
      <alignment horizontal="right" vertical="center"/>
    </xf>
    <xf numFmtId="43" fontId="34" fillId="0" borderId="29" xfId="1" applyFont="1" applyFill="1" applyBorder="1" applyAlignment="1">
      <alignment horizontal="right" vertical="center"/>
    </xf>
    <xf numFmtId="3" fontId="65" fillId="0" borderId="30" xfId="4" applyNumberFormat="1" applyFont="1" applyFill="1" applyBorder="1" applyAlignment="1">
      <alignment vertical="center"/>
    </xf>
    <xf numFmtId="43" fontId="58" fillId="6" borderId="9" xfId="1" applyFont="1" applyFill="1" applyBorder="1" applyAlignment="1"/>
    <xf numFmtId="3" fontId="65" fillId="0" borderId="72" xfId="4" applyNumberFormat="1" applyFont="1" applyFill="1" applyBorder="1" applyAlignment="1">
      <alignment vertical="center"/>
    </xf>
    <xf numFmtId="3" fontId="58" fillId="8" borderId="0" xfId="4" applyNumberFormat="1" applyFont="1" applyFill="1" applyBorder="1" applyAlignment="1">
      <alignment horizontal="right" vertical="center"/>
    </xf>
    <xf numFmtId="3" fontId="58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65" fillId="0" borderId="51" xfId="4" applyNumberFormat="1" applyFont="1" applyFill="1" applyBorder="1" applyAlignment="1"/>
    <xf numFmtId="3" fontId="34" fillId="0" borderId="50" xfId="4" applyNumberFormat="1" applyFont="1" applyFill="1" applyBorder="1" applyAlignment="1">
      <alignment horizontal="right"/>
    </xf>
    <xf numFmtId="3" fontId="65" fillId="0" borderId="39" xfId="4" applyNumberFormat="1" applyFont="1" applyFill="1" applyBorder="1" applyAlignment="1">
      <alignment horizontal="right"/>
    </xf>
    <xf numFmtId="3" fontId="65" fillId="0" borderId="50" xfId="4" applyNumberFormat="1" applyFont="1" applyFill="1" applyBorder="1" applyAlignment="1">
      <alignment horizontal="right"/>
    </xf>
    <xf numFmtId="3" fontId="34" fillId="0" borderId="78" xfId="4" applyNumberFormat="1" applyFont="1" applyFill="1" applyBorder="1" applyAlignment="1">
      <alignment horizontal="right"/>
    </xf>
    <xf numFmtId="3" fontId="59" fillId="26" borderId="51" xfId="4" applyNumberFormat="1" applyFont="1" applyFill="1" applyBorder="1" applyAlignment="1">
      <alignment horizontal="center" vertical="center"/>
    </xf>
    <xf numFmtId="0" fontId="56" fillId="0" borderId="40" xfId="0" applyFont="1" applyBorder="1" applyAlignment="1">
      <alignment horizontal="center" vertical="center" wrapText="1"/>
    </xf>
    <xf numFmtId="0" fontId="59" fillId="8" borderId="21" xfId="4" applyFont="1" applyFill="1" applyBorder="1" applyAlignment="1">
      <alignment horizontal="left" vertical="center" wrapText="1"/>
    </xf>
    <xf numFmtId="0" fontId="58" fillId="8" borderId="6" xfId="4" applyFont="1" applyFill="1" applyBorder="1" applyAlignment="1">
      <alignment horizontal="center" vertical="top" wrapText="1"/>
    </xf>
    <xf numFmtId="3" fontId="67" fillId="8" borderId="0" xfId="6" applyNumberFormat="1" applyFont="1" applyFill="1" applyBorder="1" applyAlignment="1">
      <alignment horizontal="right" vertical="center"/>
    </xf>
    <xf numFmtId="3" fontId="58" fillId="8" borderId="9" xfId="4" applyNumberFormat="1" applyFont="1" applyFill="1" applyBorder="1" applyAlignment="1">
      <alignment horizontal="right" vertical="center"/>
    </xf>
    <xf numFmtId="0" fontId="58" fillId="8" borderId="19" xfId="0" applyFont="1" applyFill="1" applyBorder="1" applyAlignment="1">
      <alignment horizontal="left" vertical="center" wrapText="1"/>
    </xf>
    <xf numFmtId="3" fontId="58" fillId="8" borderId="3" xfId="0" applyNumberFormat="1" applyFont="1" applyFill="1" applyBorder="1" applyAlignment="1">
      <alignment vertical="center"/>
    </xf>
    <xf numFmtId="3" fontId="65" fillId="0" borderId="29" xfId="0" applyNumberFormat="1" applyFont="1" applyFill="1" applyBorder="1" applyAlignment="1">
      <alignment horizontal="right" vertical="center"/>
    </xf>
    <xf numFmtId="3" fontId="34" fillId="0" borderId="30" xfId="0" applyNumberFormat="1" applyFont="1" applyFill="1" applyBorder="1" applyAlignment="1">
      <alignment horizontal="right" vertical="center"/>
    </xf>
    <xf numFmtId="0" fontId="67" fillId="0" borderId="6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3" fontId="65" fillId="0" borderId="9" xfId="0" applyNumberFormat="1" applyFont="1" applyFill="1" applyBorder="1" applyAlignment="1">
      <alignment horizontal="right" vertical="center"/>
    </xf>
    <xf numFmtId="3" fontId="34" fillId="0" borderId="29" xfId="0" applyNumberFormat="1" applyFont="1" applyFill="1" applyBorder="1" applyAlignment="1">
      <alignment horizontal="right" vertical="center"/>
    </xf>
    <xf numFmtId="3" fontId="58" fillId="22" borderId="10" xfId="4" applyNumberFormat="1" applyFont="1" applyFill="1" applyBorder="1" applyAlignment="1"/>
    <xf numFmtId="3" fontId="65" fillId="2" borderId="65" xfId="4" applyNumberFormat="1" applyFont="1" applyFill="1" applyBorder="1" applyAlignment="1"/>
    <xf numFmtId="3" fontId="34" fillId="2" borderId="30" xfId="4" applyNumberFormat="1" applyFont="1" applyFill="1" applyBorder="1" applyAlignment="1"/>
    <xf numFmtId="3" fontId="34" fillId="2" borderId="29" xfId="4" applyNumberFormat="1" applyFont="1" applyFill="1" applyBorder="1" applyAlignment="1"/>
    <xf numFmtId="3" fontId="65" fillId="2" borderId="29" xfId="4" applyNumberFormat="1" applyFont="1" applyFill="1" applyBorder="1" applyAlignment="1"/>
    <xf numFmtId="3" fontId="34" fillId="2" borderId="65" xfId="4" applyNumberFormat="1" applyFont="1" applyFill="1" applyBorder="1" applyAlignment="1"/>
    <xf numFmtId="3" fontId="34" fillId="2" borderId="35" xfId="4" applyNumberFormat="1" applyFont="1" applyFill="1" applyBorder="1" applyAlignment="1"/>
    <xf numFmtId="3" fontId="34" fillId="2" borderId="9" xfId="4" applyNumberFormat="1" applyFont="1" applyFill="1" applyBorder="1" applyAlignment="1"/>
    <xf numFmtId="3" fontId="65" fillId="2" borderId="9" xfId="4" applyNumberFormat="1" applyFont="1" applyFill="1" applyBorder="1" applyAlignment="1"/>
    <xf numFmtId="3" fontId="65" fillId="2" borderId="30" xfId="4" applyNumberFormat="1" applyFont="1" applyFill="1" applyBorder="1" applyAlignment="1"/>
    <xf numFmtId="3" fontId="65" fillId="2" borderId="71" xfId="4" applyNumberFormat="1" applyFont="1" applyFill="1" applyBorder="1" applyAlignment="1"/>
    <xf numFmtId="3" fontId="63" fillId="2" borderId="71" xfId="4" applyNumberFormat="1" applyFont="1" applyFill="1" applyBorder="1" applyAlignment="1"/>
    <xf numFmtId="3" fontId="61" fillId="2" borderId="71" xfId="4" applyNumberFormat="1" applyFont="1" applyFill="1" applyBorder="1" applyAlignment="1"/>
    <xf numFmtId="3" fontId="34" fillId="0" borderId="71" xfId="0" applyNumberFormat="1" applyFont="1" applyFill="1" applyBorder="1" applyAlignment="1">
      <alignment horizontal="right" vertical="center"/>
    </xf>
    <xf numFmtId="3" fontId="65" fillId="0" borderId="71" xfId="0" applyNumberFormat="1" applyFont="1" applyFill="1" applyBorder="1" applyAlignment="1">
      <alignment horizontal="right" vertical="center"/>
    </xf>
    <xf numFmtId="3" fontId="65" fillId="2" borderId="12" xfId="4" applyNumberFormat="1" applyFont="1" applyFill="1" applyBorder="1" applyAlignment="1"/>
    <xf numFmtId="3" fontId="65" fillId="2" borderId="23" xfId="4" applyNumberFormat="1" applyFont="1" applyFill="1" applyBorder="1" applyAlignment="1"/>
    <xf numFmtId="3" fontId="34" fillId="0" borderId="74" xfId="0" applyNumberFormat="1" applyFont="1" applyFill="1" applyBorder="1" applyAlignment="1">
      <alignment horizontal="right" vertical="center"/>
    </xf>
    <xf numFmtId="3" fontId="65" fillId="0" borderId="74" xfId="0" applyNumberFormat="1" applyFont="1" applyFill="1" applyBorder="1" applyAlignment="1">
      <alignment horizontal="right" vertical="center"/>
    </xf>
    <xf numFmtId="3" fontId="65" fillId="0" borderId="75" xfId="0" applyNumberFormat="1" applyFont="1" applyFill="1" applyBorder="1" applyAlignment="1">
      <alignment horizontal="right" vertical="center"/>
    </xf>
    <xf numFmtId="0" fontId="51" fillId="8" borderId="45" xfId="4" applyFont="1" applyFill="1" applyBorder="1" applyAlignment="1">
      <alignment vertical="center" wrapText="1"/>
    </xf>
    <xf numFmtId="3" fontId="51" fillId="8" borderId="4" xfId="0" applyNumberFormat="1" applyFont="1" applyFill="1" applyBorder="1" applyAlignment="1">
      <alignment vertical="center"/>
    </xf>
    <xf numFmtId="3" fontId="51" fillId="8" borderId="70" xfId="0" applyNumberFormat="1" applyFont="1" applyFill="1" applyBorder="1" applyAlignment="1">
      <alignment vertical="center"/>
    </xf>
    <xf numFmtId="3" fontId="51" fillId="8" borderId="15" xfId="0" applyNumberFormat="1" applyFont="1" applyFill="1" applyBorder="1" applyAlignment="1">
      <alignment vertical="center"/>
    </xf>
    <xf numFmtId="3" fontId="51" fillId="8" borderId="2" xfId="0" applyNumberFormat="1" applyFont="1" applyFill="1" applyBorder="1" applyAlignment="1">
      <alignment vertical="center"/>
    </xf>
    <xf numFmtId="0" fontId="52" fillId="0" borderId="77" xfId="4" applyFont="1" applyFill="1" applyBorder="1" applyAlignment="1">
      <alignment vertical="top"/>
    </xf>
    <xf numFmtId="3" fontId="61" fillId="0" borderId="47" xfId="0" applyNumberFormat="1" applyFont="1" applyFill="1" applyBorder="1" applyAlignment="1">
      <alignment horizontal="right" vertical="center"/>
    </xf>
    <xf numFmtId="3" fontId="61" fillId="0" borderId="72" xfId="0" applyNumberFormat="1" applyFont="1" applyFill="1" applyBorder="1" applyAlignment="1">
      <alignment horizontal="right" vertical="center"/>
    </xf>
    <xf numFmtId="3" fontId="34" fillId="0" borderId="47" xfId="0" applyNumberFormat="1" applyFont="1" applyFill="1" applyBorder="1" applyAlignment="1">
      <alignment horizontal="right" vertical="center"/>
    </xf>
    <xf numFmtId="3" fontId="65" fillId="0" borderId="72" xfId="0" applyNumberFormat="1" applyFont="1" applyFill="1" applyBorder="1" applyAlignment="1">
      <alignment horizontal="right" vertical="center"/>
    </xf>
    <xf numFmtId="3" fontId="75" fillId="8" borderId="17" xfId="6" applyNumberFormat="1" applyFont="1" applyFill="1" applyBorder="1" applyAlignment="1">
      <alignment vertical="center"/>
    </xf>
    <xf numFmtId="3" fontId="64" fillId="2" borderId="32" xfId="4" applyNumberFormat="1" applyFont="1" applyFill="1" applyBorder="1" applyAlignment="1">
      <alignment vertical="center" wrapText="1"/>
    </xf>
    <xf numFmtId="0" fontId="51" fillId="8" borderId="45" xfId="0" applyFont="1" applyFill="1" applyBorder="1" applyAlignment="1">
      <alignment horizontal="left" vertical="center" wrapText="1"/>
    </xf>
    <xf numFmtId="3" fontId="58" fillId="8" borderId="17" xfId="0" applyNumberFormat="1" applyFont="1" applyFill="1" applyBorder="1" applyAlignment="1">
      <alignment vertical="center"/>
    </xf>
    <xf numFmtId="3" fontId="58" fillId="23" borderId="79" xfId="4" applyNumberFormat="1" applyFont="1" applyFill="1" applyBorder="1" applyAlignment="1">
      <alignment horizontal="right" vertical="center"/>
    </xf>
    <xf numFmtId="0" fontId="52" fillId="0" borderId="25" xfId="0" applyFont="1" applyFill="1" applyBorder="1" applyAlignment="1">
      <alignment horizontal="left" vertical="center"/>
    </xf>
    <xf numFmtId="3" fontId="34" fillId="0" borderId="72" xfId="0" applyNumberFormat="1" applyFont="1" applyFill="1" applyBorder="1" applyAlignment="1">
      <alignment horizontal="right" vertical="center"/>
    </xf>
    <xf numFmtId="3" fontId="52" fillId="0" borderId="46" xfId="4" applyNumberFormat="1" applyFont="1" applyFill="1" applyBorder="1" applyAlignment="1">
      <alignment horizontal="center" vertical="center" wrapText="1"/>
    </xf>
    <xf numFmtId="43" fontId="57" fillId="6" borderId="29" xfId="1" applyFont="1" applyFill="1" applyBorder="1" applyAlignment="1">
      <alignment horizontal="right" vertical="center"/>
    </xf>
    <xf numFmtId="43" fontId="67" fillId="0" borderId="29" xfId="1" applyFont="1" applyFill="1" applyBorder="1" applyAlignment="1">
      <alignment horizontal="right" vertical="center"/>
    </xf>
    <xf numFmtId="0" fontId="55" fillId="0" borderId="32" xfId="4" applyFont="1" applyFill="1" applyBorder="1" applyAlignment="1">
      <alignment horizontal="left" vertical="center"/>
    </xf>
    <xf numFmtId="3" fontId="65" fillId="0" borderId="64" xfId="4" applyNumberFormat="1" applyFont="1" applyFill="1" applyBorder="1" applyAlignment="1">
      <alignment horizontal="right" vertical="center"/>
    </xf>
    <xf numFmtId="3" fontId="65" fillId="2" borderId="65" xfId="4" applyNumberFormat="1" applyFont="1" applyFill="1" applyBorder="1" applyAlignment="1">
      <alignment horizontal="right" vertical="center"/>
    </xf>
    <xf numFmtId="43" fontId="65" fillId="0" borderId="65" xfId="1" applyFont="1" applyFill="1" applyBorder="1" applyAlignment="1">
      <alignment horizontal="right" vertical="center"/>
    </xf>
    <xf numFmtId="43" fontId="65" fillId="0" borderId="30" xfId="1" applyFont="1" applyFill="1" applyBorder="1" applyAlignment="1">
      <alignment horizontal="right" vertical="center"/>
    </xf>
    <xf numFmtId="43" fontId="61" fillId="0" borderId="71" xfId="1" applyFont="1" applyFill="1" applyBorder="1" applyAlignment="1">
      <alignment horizontal="right" vertical="center"/>
    </xf>
    <xf numFmtId="43" fontId="65" fillId="0" borderId="47" xfId="1" applyFont="1" applyFill="1" applyBorder="1" applyAlignment="1">
      <alignment horizontal="right" vertical="center"/>
    </xf>
    <xf numFmtId="43" fontId="65" fillId="0" borderId="75" xfId="1" applyFont="1" applyFill="1" applyBorder="1" applyAlignment="1">
      <alignment horizontal="right" vertical="center"/>
    </xf>
    <xf numFmtId="43" fontId="63" fillId="0" borderId="71" xfId="1" applyFont="1" applyFill="1" applyBorder="1" applyAlignment="1">
      <alignment horizontal="right" vertical="center"/>
    </xf>
    <xf numFmtId="3" fontId="61" fillId="0" borderId="71" xfId="4" applyNumberFormat="1" applyFont="1" applyFill="1" applyBorder="1" applyAlignment="1">
      <alignment horizontal="right" vertical="center"/>
    </xf>
    <xf numFmtId="3" fontId="66" fillId="0" borderId="75" xfId="6" applyNumberFormat="1" applyFont="1" applyFill="1" applyBorder="1" applyAlignment="1">
      <alignment vertical="center"/>
    </xf>
    <xf numFmtId="43" fontId="34" fillId="0" borderId="75" xfId="1" applyFont="1" applyFill="1" applyBorder="1" applyAlignment="1">
      <alignment horizontal="right" vertical="center"/>
    </xf>
    <xf numFmtId="3" fontId="65" fillId="0" borderId="75" xfId="4" applyNumberFormat="1" applyFont="1" applyFill="1" applyBorder="1" applyAlignment="1">
      <alignment horizontal="right" vertical="center"/>
    </xf>
    <xf numFmtId="3" fontId="61" fillId="23" borderId="49" xfId="0" applyNumberFormat="1" applyFont="1" applyFill="1" applyBorder="1" applyAlignment="1"/>
    <xf numFmtId="0" fontId="34" fillId="2" borderId="77" xfId="0" applyFont="1" applyFill="1" applyBorder="1" applyAlignment="1">
      <alignment vertical="top" wrapText="1"/>
    </xf>
    <xf numFmtId="0" fontId="58" fillId="8" borderId="5" xfId="0" applyFont="1" applyFill="1" applyBorder="1" applyAlignment="1">
      <alignment vertical="top" wrapText="1"/>
    </xf>
    <xf numFmtId="3" fontId="65" fillId="0" borderId="12" xfId="0" applyNumberFormat="1" applyFont="1" applyFill="1" applyBorder="1" applyAlignment="1">
      <alignment vertical="center"/>
    </xf>
    <xf numFmtId="3" fontId="61" fillId="2" borderId="30" xfId="0" applyNumberFormat="1" applyFont="1" applyFill="1" applyBorder="1" applyAlignment="1">
      <alignment vertical="center"/>
    </xf>
    <xf numFmtId="3" fontId="65" fillId="2" borderId="63" xfId="0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4" fillId="0" borderId="32" xfId="0" applyFont="1" applyFill="1" applyBorder="1" applyAlignment="1">
      <alignment vertical="top"/>
    </xf>
    <xf numFmtId="0" fontId="0" fillId="0" borderId="63" xfId="0" applyFont="1" applyBorder="1" applyAlignment="1">
      <alignment vertical="center"/>
    </xf>
    <xf numFmtId="3" fontId="65" fillId="0" borderId="63" xfId="0" applyNumberFormat="1" applyFont="1" applyFill="1" applyBorder="1" applyAlignment="1">
      <alignment vertical="center"/>
    </xf>
    <xf numFmtId="3" fontId="65" fillId="25" borderId="82" xfId="0" applyNumberFormat="1" applyFont="1" applyFill="1" applyBorder="1" applyAlignment="1">
      <alignment vertical="top"/>
    </xf>
    <xf numFmtId="0" fontId="51" fillId="2" borderId="11" xfId="0" quotePrefix="1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vertical="center"/>
    </xf>
    <xf numFmtId="3" fontId="65" fillId="23" borderId="48" xfId="0" applyNumberFormat="1" applyFont="1" applyFill="1" applyBorder="1" applyAlignment="1"/>
    <xf numFmtId="0" fontId="0" fillId="0" borderId="3" xfId="0" applyFont="1" applyBorder="1" applyAlignment="1">
      <alignment horizontal="center" wrapText="1"/>
    </xf>
    <xf numFmtId="0" fontId="65" fillId="0" borderId="32" xfId="0" applyFont="1" applyFill="1" applyBorder="1" applyAlignment="1">
      <alignment horizontal="left" vertical="center" wrapText="1"/>
    </xf>
    <xf numFmtId="0" fontId="75" fillId="0" borderId="21" xfId="0" applyFont="1" applyBorder="1"/>
    <xf numFmtId="3" fontId="62" fillId="0" borderId="35" xfId="0" applyNumberFormat="1" applyFont="1" applyFill="1" applyBorder="1" applyAlignment="1">
      <alignment vertical="top"/>
    </xf>
    <xf numFmtId="0" fontId="75" fillId="0" borderId="32" xfId="0" applyFont="1" applyBorder="1"/>
    <xf numFmtId="3" fontId="62" fillId="0" borderId="30" xfId="0" applyNumberFormat="1" applyFont="1" applyFill="1" applyBorder="1" applyAlignment="1">
      <alignment vertical="top"/>
    </xf>
    <xf numFmtId="0" fontId="65" fillId="0" borderId="0" xfId="0" applyFont="1" applyFill="1" applyBorder="1" applyAlignment="1">
      <alignment horizontal="left" vertical="center" wrapText="1"/>
    </xf>
    <xf numFmtId="0" fontId="66" fillId="0" borderId="21" xfId="0" applyFont="1" applyBorder="1"/>
    <xf numFmtId="0" fontId="66" fillId="0" borderId="32" xfId="0" applyFont="1" applyBorder="1"/>
    <xf numFmtId="3" fontId="58" fillId="22" borderId="17" xfId="0" applyNumberFormat="1" applyFont="1" applyFill="1" applyBorder="1" applyAlignment="1">
      <alignment vertical="top"/>
    </xf>
    <xf numFmtId="3" fontId="58" fillId="6" borderId="71" xfId="4" applyNumberFormat="1" applyFont="1" applyFill="1" applyBorder="1" applyAlignment="1">
      <alignment vertical="center"/>
    </xf>
    <xf numFmtId="3" fontId="58" fillId="6" borderId="7" xfId="4" applyNumberFormat="1" applyFont="1" applyFill="1" applyBorder="1" applyAlignment="1">
      <alignment vertical="center"/>
    </xf>
    <xf numFmtId="3" fontId="34" fillId="2" borderId="9" xfId="4" applyNumberFormat="1" applyFont="1" applyFill="1" applyBorder="1" applyAlignment="1">
      <alignment vertical="top"/>
    </xf>
    <xf numFmtId="3" fontId="34" fillId="0" borderId="30" xfId="4" applyNumberFormat="1" applyFont="1" applyFill="1" applyBorder="1" applyAlignment="1">
      <alignment vertical="top" wrapText="1"/>
    </xf>
    <xf numFmtId="0" fontId="34" fillId="0" borderId="12" xfId="4" applyFont="1" applyFill="1" applyBorder="1" applyAlignment="1">
      <alignment vertical="top" wrapText="1"/>
    </xf>
    <xf numFmtId="3" fontId="34" fillId="0" borderId="12" xfId="4" applyNumberFormat="1" applyFont="1" applyFill="1" applyBorder="1" applyAlignment="1">
      <alignment vertical="center"/>
    </xf>
    <xf numFmtId="3" fontId="58" fillId="8" borderId="17" xfId="4" applyNumberFormat="1" applyFont="1" applyFill="1" applyBorder="1" applyAlignment="1">
      <alignment horizontal="center" vertical="center"/>
    </xf>
    <xf numFmtId="3" fontId="51" fillId="6" borderId="28" xfId="4" applyNumberFormat="1" applyFont="1" applyFill="1" applyBorder="1" applyAlignment="1">
      <alignment vertical="center"/>
    </xf>
    <xf numFmtId="0" fontId="34" fillId="32" borderId="21" xfId="4" applyFont="1" applyFill="1" applyBorder="1" applyAlignment="1">
      <alignment vertical="top"/>
    </xf>
    <xf numFmtId="3" fontId="63" fillId="25" borderId="9" xfId="4" applyNumberFormat="1" applyFont="1" applyFill="1" applyBorder="1" applyAlignment="1">
      <alignment horizontal="right" vertical="center"/>
    </xf>
    <xf numFmtId="0" fontId="34" fillId="32" borderId="32" xfId="4" applyFont="1" applyFill="1" applyBorder="1" applyAlignment="1">
      <alignment vertical="top"/>
    </xf>
    <xf numFmtId="4" fontId="34" fillId="0" borderId="13" xfId="4" applyNumberFormat="1" applyFont="1" applyFill="1" applyBorder="1" applyAlignment="1">
      <alignment vertical="top"/>
    </xf>
    <xf numFmtId="3" fontId="65" fillId="23" borderId="70" xfId="4" applyNumberFormat="1" applyFont="1" applyFill="1" applyBorder="1" applyAlignment="1">
      <alignment horizontal="right" vertical="center"/>
    </xf>
    <xf numFmtId="3" fontId="61" fillId="25" borderId="9" xfId="4" applyNumberFormat="1" applyFont="1" applyFill="1" applyBorder="1" applyAlignment="1">
      <alignment horizontal="right" vertical="center"/>
    </xf>
    <xf numFmtId="4" fontId="65" fillId="0" borderId="13" xfId="4" applyNumberFormat="1" applyFont="1" applyFill="1" applyBorder="1" applyAlignment="1">
      <alignment vertical="top"/>
    </xf>
    <xf numFmtId="3" fontId="65" fillId="0" borderId="13" xfId="4" applyNumberFormat="1" applyFont="1" applyFill="1" applyBorder="1" applyAlignment="1">
      <alignment vertical="top"/>
    </xf>
    <xf numFmtId="0" fontId="51" fillId="6" borderId="34" xfId="4" applyFont="1" applyFill="1" applyBorder="1" applyAlignment="1">
      <alignment horizontal="left" vertical="center"/>
    </xf>
    <xf numFmtId="0" fontId="64" fillId="2" borderId="34" xfId="4" applyFont="1" applyFill="1" applyBorder="1" applyAlignment="1">
      <alignment vertical="top"/>
    </xf>
    <xf numFmtId="43" fontId="59" fillId="22" borderId="82" xfId="1" applyFont="1" applyFill="1" applyBorder="1" applyAlignment="1">
      <alignment horizontal="center" vertical="center"/>
    </xf>
    <xf numFmtId="43" fontId="59" fillId="22" borderId="43" xfId="1" applyFont="1" applyFill="1" applyBorder="1" applyAlignment="1">
      <alignment horizontal="center" vertical="center"/>
    </xf>
    <xf numFmtId="43" fontId="59" fillId="22" borderId="41" xfId="1" applyFont="1" applyFill="1" applyBorder="1" applyAlignment="1">
      <alignment horizontal="center" vertical="center"/>
    </xf>
    <xf numFmtId="0" fontId="52" fillId="0" borderId="15" xfId="4" applyFont="1" applyBorder="1" applyAlignment="1">
      <alignment horizontal="center" vertical="center" wrapText="1"/>
    </xf>
    <xf numFmtId="0" fontId="56" fillId="0" borderId="13" xfId="6" applyFont="1" applyBorder="1" applyAlignment="1">
      <alignment horizontal="center" vertical="center" wrapText="1"/>
    </xf>
    <xf numFmtId="0" fontId="56" fillId="0" borderId="12" xfId="6" applyFont="1" applyBorder="1" applyAlignment="1">
      <alignment horizontal="center" vertical="center" wrapText="1"/>
    </xf>
    <xf numFmtId="0" fontId="54" fillId="0" borderId="2" xfId="4" applyFont="1" applyBorder="1" applyAlignment="1">
      <alignment horizontal="center" vertical="center" wrapText="1"/>
    </xf>
    <xf numFmtId="0" fontId="54" fillId="0" borderId="3" xfId="4" applyFont="1" applyBorder="1" applyAlignment="1">
      <alignment horizontal="center" vertical="center" wrapText="1"/>
    </xf>
    <xf numFmtId="0" fontId="51" fillId="0" borderId="5" xfId="4" applyFont="1" applyBorder="1" applyAlignment="1">
      <alignment horizontal="center" vertical="center" wrapText="1"/>
    </xf>
    <xf numFmtId="0" fontId="51" fillId="0" borderId="11" xfId="4" applyFont="1" applyBorder="1" applyAlignment="1">
      <alignment horizontal="center" vertical="center" wrapText="1"/>
    </xf>
    <xf numFmtId="0" fontId="51" fillId="0" borderId="25" xfId="4" applyFont="1" applyBorder="1" applyAlignment="1">
      <alignment horizontal="center" vertical="center" wrapText="1"/>
    </xf>
    <xf numFmtId="0" fontId="55" fillId="0" borderId="42" xfId="4" applyFont="1" applyFill="1" applyBorder="1" applyAlignment="1">
      <alignment horizontal="center" vertical="center" wrapText="1"/>
    </xf>
    <xf numFmtId="0" fontId="55" fillId="0" borderId="43" xfId="4" applyFont="1" applyFill="1" applyBorder="1" applyAlignment="1">
      <alignment horizontal="center" vertical="center" wrapText="1"/>
    </xf>
    <xf numFmtId="0" fontId="55" fillId="0" borderId="41" xfId="4" applyFont="1" applyFill="1" applyBorder="1" applyAlignment="1">
      <alignment horizontal="center" vertical="center" wrapText="1"/>
    </xf>
    <xf numFmtId="0" fontId="52" fillId="0" borderId="66" xfId="4" applyFont="1" applyFill="1" applyBorder="1" applyAlignment="1">
      <alignment horizontal="center" vertical="center" wrapText="1"/>
    </xf>
    <xf numFmtId="0" fontId="52" fillId="0" borderId="67" xfId="4" applyFont="1" applyFill="1" applyBorder="1" applyAlignment="1">
      <alignment horizontal="center" vertical="center" wrapText="1"/>
    </xf>
    <xf numFmtId="0" fontId="52" fillId="0" borderId="42" xfId="4" applyFont="1" applyFill="1" applyBorder="1" applyAlignment="1">
      <alignment horizontal="center" vertical="center" wrapText="1"/>
    </xf>
    <xf numFmtId="0" fontId="52" fillId="0" borderId="43" xfId="4" applyFont="1" applyFill="1" applyBorder="1" applyAlignment="1">
      <alignment horizontal="center" vertical="center" wrapText="1"/>
    </xf>
    <xf numFmtId="0" fontId="52" fillId="0" borderId="41" xfId="4" applyFont="1" applyFill="1" applyBorder="1" applyAlignment="1">
      <alignment horizontal="center" vertical="center" wrapText="1"/>
    </xf>
    <xf numFmtId="0" fontId="52" fillId="0" borderId="69" xfId="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3" fontId="21" fillId="10" borderId="33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40" fillId="20" borderId="71" xfId="5" applyFont="1" applyFill="1" applyBorder="1" applyAlignment="1">
      <alignment horizontal="center" vertical="center"/>
    </xf>
    <xf numFmtId="0" fontId="40" fillId="20" borderId="31" xfId="5" applyFont="1" applyFill="1" applyBorder="1" applyAlignment="1">
      <alignment horizontal="center" vertical="center"/>
    </xf>
    <xf numFmtId="0" fontId="40" fillId="20" borderId="29" xfId="5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vertical="center" wrapText="1"/>
    </xf>
    <xf numFmtId="3" fontId="16" fillId="2" borderId="2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center" wrapText="1"/>
    </xf>
    <xf numFmtId="0" fontId="14" fillId="16" borderId="3" xfId="0" applyFont="1" applyFill="1" applyBorder="1" applyAlignment="1">
      <alignment horizontal="center" wrapText="1"/>
    </xf>
    <xf numFmtId="0" fontId="14" fillId="16" borderId="24" xfId="0" applyFont="1" applyFill="1" applyBorder="1" applyAlignment="1">
      <alignment horizontal="center" wrapText="1"/>
    </xf>
    <xf numFmtId="0" fontId="108" fillId="0" borderId="71" xfId="5" applyFont="1" applyBorder="1" applyAlignment="1">
      <alignment horizontal="center" vertical="center" wrapText="1"/>
    </xf>
    <xf numFmtId="0" fontId="108" fillId="0" borderId="31" xfId="5" applyFont="1" applyBorder="1" applyAlignment="1">
      <alignment horizontal="center" vertical="center" wrapText="1"/>
    </xf>
    <xf numFmtId="0" fontId="108" fillId="0" borderId="29" xfId="5" applyFont="1" applyBorder="1" applyAlignment="1">
      <alignment horizontal="center" vertical="center" wrapText="1"/>
    </xf>
    <xf numFmtId="0" fontId="99" fillId="0" borderId="30" xfId="5" applyFont="1" applyBorder="1" applyAlignment="1">
      <alignment horizontal="left" vertical="center" wrapText="1"/>
    </xf>
    <xf numFmtId="0" fontId="0" fillId="0" borderId="0" xfId="0"/>
    <xf numFmtId="0" fontId="38" fillId="0" borderId="30" xfId="5" applyFont="1" applyBorder="1" applyAlignment="1">
      <alignment horizontal="left" vertical="center" wrapText="1"/>
    </xf>
    <xf numFmtId="0" fontId="107" fillId="0" borderId="8" xfId="0" applyFont="1" applyBorder="1" applyAlignment="1">
      <alignment horizontal="center"/>
    </xf>
    <xf numFmtId="0" fontId="51" fillId="0" borderId="5" xfId="4" applyFont="1" applyFill="1" applyBorder="1" applyAlignment="1">
      <alignment horizontal="center" vertical="center"/>
    </xf>
    <xf numFmtId="0" fontId="51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52" fillId="0" borderId="46" xfId="4" applyFont="1" applyFill="1" applyBorder="1" applyAlignment="1">
      <alignment horizontal="center" vertical="center" wrapText="1"/>
    </xf>
    <xf numFmtId="3" fontId="59" fillId="2" borderId="73" xfId="4" applyNumberFormat="1" applyFont="1" applyFill="1" applyBorder="1" applyAlignment="1">
      <alignment horizontal="center" vertical="center" wrapText="1"/>
    </xf>
    <xf numFmtId="3" fontId="59" fillId="2" borderId="6" xfId="4" applyNumberFormat="1" applyFont="1" applyFill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 vertical="center" wrapText="1"/>
    </xf>
    <xf numFmtId="3" fontId="58" fillId="26" borderId="63" xfId="4" applyNumberFormat="1" applyFont="1" applyFill="1" applyBorder="1" applyAlignment="1">
      <alignment horizontal="center" vertical="center"/>
    </xf>
    <xf numFmtId="3" fontId="58" fillId="26" borderId="13" xfId="4" applyNumberFormat="1" applyFont="1" applyFill="1" applyBorder="1" applyAlignment="1">
      <alignment horizontal="center" vertical="center"/>
    </xf>
    <xf numFmtId="3" fontId="58" fillId="26" borderId="12" xfId="4" applyNumberFormat="1" applyFont="1" applyFill="1" applyBorder="1" applyAlignment="1">
      <alignment horizontal="center" vertical="center"/>
    </xf>
    <xf numFmtId="0" fontId="56" fillId="0" borderId="82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 wrapText="1"/>
    </xf>
    <xf numFmtId="3" fontId="59" fillId="2" borderId="22" xfId="4" applyNumberFormat="1" applyFont="1" applyFill="1" applyBorder="1" applyAlignment="1">
      <alignment horizontal="center" vertical="center" wrapText="1"/>
    </xf>
    <xf numFmtId="0" fontId="50" fillId="2" borderId="24" xfId="4" applyFont="1" applyFill="1" applyBorder="1" applyAlignment="1">
      <alignment horizontal="left" vertical="center" wrapText="1"/>
    </xf>
    <xf numFmtId="0" fontId="52" fillId="0" borderId="14" xfId="4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52" fillId="0" borderId="3" xfId="4" applyFont="1" applyBorder="1" applyAlignment="1">
      <alignment horizontal="center" vertical="center" wrapText="1"/>
    </xf>
    <xf numFmtId="0" fontId="56" fillId="0" borderId="0" xfId="6" applyFont="1" applyBorder="1" applyAlignment="1">
      <alignment horizontal="center" vertical="center" wrapText="1"/>
    </xf>
    <xf numFmtId="0" fontId="56" fillId="0" borderId="24" xfId="6" applyFont="1" applyBorder="1" applyAlignment="1">
      <alignment horizontal="center" vertical="center" wrapText="1"/>
    </xf>
    <xf numFmtId="0" fontId="54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0" fontId="55" fillId="0" borderId="66" xfId="4" applyFont="1" applyBorder="1" applyAlignment="1">
      <alignment horizontal="center" vertical="center" wrapText="1"/>
    </xf>
    <xf numFmtId="0" fontId="55" fillId="0" borderId="67" xfId="4" applyFont="1" applyBorder="1" applyAlignment="1">
      <alignment horizontal="center" vertical="center" wrapText="1"/>
    </xf>
    <xf numFmtId="0" fontId="55" fillId="0" borderId="69" xfId="4" applyFont="1" applyBorder="1" applyAlignment="1">
      <alignment horizontal="center" vertical="center" wrapText="1"/>
    </xf>
    <xf numFmtId="0" fontId="59" fillId="0" borderId="2" xfId="4" applyFont="1" applyBorder="1" applyAlignment="1">
      <alignment horizontal="center" vertical="center" wrapText="1"/>
    </xf>
    <xf numFmtId="0" fontId="59" fillId="0" borderId="3" xfId="4" applyFont="1" applyBorder="1" applyAlignment="1">
      <alignment horizontal="center" vertical="center" wrapText="1"/>
    </xf>
    <xf numFmtId="0" fontId="59" fillId="0" borderId="4" xfId="4" applyFont="1" applyBorder="1" applyAlignment="1">
      <alignment horizontal="center" vertical="center" wrapText="1"/>
    </xf>
    <xf numFmtId="0" fontId="59" fillId="0" borderId="7" xfId="4" applyFont="1" applyBorder="1" applyAlignment="1">
      <alignment horizontal="center" vertical="center" wrapText="1"/>
    </xf>
    <xf numFmtId="0" fontId="59" fillId="0" borderId="8" xfId="4" applyFont="1" applyBorder="1" applyAlignment="1">
      <alignment horizontal="center" vertical="center" wrapText="1"/>
    </xf>
    <xf numFmtId="0" fontId="59" fillId="0" borderId="9" xfId="4" applyFont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1" fillId="0" borderId="25" xfId="4" applyFont="1" applyFill="1" applyBorder="1" applyAlignment="1">
      <alignment horizontal="center" vertical="center"/>
    </xf>
    <xf numFmtId="0" fontId="52" fillId="8" borderId="5" xfId="4" applyFont="1" applyFill="1" applyBorder="1" applyAlignment="1">
      <alignment horizontal="center" vertical="top" wrapText="1"/>
    </xf>
    <xf numFmtId="0" fontId="52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3" fontId="59" fillId="23" borderId="63" xfId="4" applyNumberFormat="1" applyFont="1" applyFill="1" applyBorder="1" applyAlignment="1">
      <alignment horizontal="center" vertical="center"/>
    </xf>
    <xf numFmtId="3" fontId="59" fillId="23" borderId="13" xfId="4" applyNumberFormat="1" applyFont="1" applyFill="1" applyBorder="1" applyAlignment="1">
      <alignment horizontal="center" vertical="center"/>
    </xf>
    <xf numFmtId="3" fontId="59" fillId="23" borderId="12" xfId="4" applyNumberFormat="1" applyFont="1" applyFill="1" applyBorder="1" applyAlignment="1">
      <alignment horizontal="center" vertical="center"/>
    </xf>
    <xf numFmtId="3" fontId="67" fillId="24" borderId="63" xfId="6" applyNumberFormat="1" applyFont="1" applyFill="1" applyBorder="1" applyAlignment="1">
      <alignment horizontal="center" vertical="center"/>
    </xf>
    <xf numFmtId="3" fontId="67" fillId="24" borderId="13" xfId="6" applyNumberFormat="1" applyFont="1" applyFill="1" applyBorder="1" applyAlignment="1">
      <alignment horizontal="center" vertical="center"/>
    </xf>
    <xf numFmtId="3" fontId="67" fillId="24" borderId="12" xfId="6" applyNumberFormat="1" applyFont="1" applyFill="1" applyBorder="1" applyAlignment="1">
      <alignment horizontal="center" vertical="center"/>
    </xf>
    <xf numFmtId="0" fontId="52" fillId="0" borderId="82" xfId="4" applyFont="1" applyFill="1" applyBorder="1" applyAlignment="1">
      <alignment horizontal="center" vertical="center" wrapText="1"/>
    </xf>
    <xf numFmtId="0" fontId="51" fillId="0" borderId="5" xfId="4" applyFont="1" applyFill="1" applyBorder="1" applyAlignment="1">
      <alignment horizontal="center" vertical="center" wrapText="1"/>
    </xf>
    <xf numFmtId="0" fontId="51" fillId="0" borderId="11" xfId="4" applyFont="1" applyFill="1" applyBorder="1" applyAlignment="1">
      <alignment horizontal="center" vertical="center" wrapText="1"/>
    </xf>
    <xf numFmtId="0" fontId="51" fillId="0" borderId="25" xfId="4" applyFont="1" applyFill="1" applyBorder="1" applyAlignment="1">
      <alignment horizontal="center" vertical="center" wrapText="1"/>
    </xf>
    <xf numFmtId="3" fontId="59" fillId="2" borderId="20" xfId="4" applyNumberFormat="1" applyFont="1" applyFill="1" applyBorder="1" applyAlignment="1">
      <alignment horizontal="center" vertical="center" wrapText="1"/>
    </xf>
    <xf numFmtId="0" fontId="66" fillId="0" borderId="82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3" fontId="59" fillId="26" borderId="63" xfId="4" applyNumberFormat="1" applyFont="1" applyFill="1" applyBorder="1" applyAlignment="1">
      <alignment horizontal="center" vertical="center"/>
    </xf>
    <xf numFmtId="3" fontId="59" fillId="26" borderId="13" xfId="4" applyNumberFormat="1" applyFont="1" applyFill="1" applyBorder="1" applyAlignment="1">
      <alignment horizontal="center" vertical="center"/>
    </xf>
    <xf numFmtId="3" fontId="59" fillId="26" borderId="12" xfId="4" applyNumberFormat="1" applyFont="1" applyFill="1" applyBorder="1" applyAlignment="1">
      <alignment horizontal="center" vertical="center"/>
    </xf>
    <xf numFmtId="0" fontId="59" fillId="2" borderId="73" xfId="4" applyFont="1" applyFill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66" fillId="0" borderId="6" xfId="0" applyFont="1" applyBorder="1" applyAlignment="1">
      <alignment wrapText="1"/>
    </xf>
    <xf numFmtId="0" fontId="66" fillId="0" borderId="22" xfId="0" applyFont="1" applyBorder="1" applyAlignment="1">
      <alignment wrapText="1"/>
    </xf>
    <xf numFmtId="3" fontId="58" fillId="26" borderId="62" xfId="4" applyNumberFormat="1" applyFont="1" applyFill="1" applyBorder="1" applyAlignment="1">
      <alignment horizontal="center" vertical="center"/>
    </xf>
    <xf numFmtId="3" fontId="58" fillId="26" borderId="10" xfId="4" applyNumberFormat="1" applyFont="1" applyFill="1" applyBorder="1" applyAlignment="1">
      <alignment horizontal="center" vertical="center"/>
    </xf>
    <xf numFmtId="3" fontId="58" fillId="26" borderId="74" xfId="4" applyNumberFormat="1" applyFont="1" applyFill="1" applyBorder="1" applyAlignment="1">
      <alignment horizontal="center" vertical="center"/>
    </xf>
    <xf numFmtId="3" fontId="58" fillId="26" borderId="65" xfId="4" applyNumberFormat="1" applyFont="1" applyFill="1" applyBorder="1" applyAlignment="1">
      <alignment horizontal="center" vertical="center"/>
    </xf>
    <xf numFmtId="3" fontId="58" fillId="26" borderId="27" xfId="4" applyNumberFormat="1" applyFont="1" applyFill="1" applyBorder="1" applyAlignment="1">
      <alignment horizontal="center" vertical="center"/>
    </xf>
    <xf numFmtId="3" fontId="58" fillId="26" borderId="23" xfId="4" applyNumberFormat="1" applyFont="1" applyFill="1" applyBorder="1" applyAlignment="1">
      <alignment horizontal="center" vertical="center"/>
    </xf>
    <xf numFmtId="3" fontId="65" fillId="26" borderId="63" xfId="4" applyNumberFormat="1" applyFont="1" applyFill="1" applyBorder="1" applyAlignment="1">
      <alignment horizontal="center" vertical="center"/>
    </xf>
    <xf numFmtId="3" fontId="65" fillId="26" borderId="13" xfId="4" applyNumberFormat="1" applyFont="1" applyFill="1" applyBorder="1" applyAlignment="1">
      <alignment horizontal="center" vertical="center"/>
    </xf>
    <xf numFmtId="3" fontId="65" fillId="26" borderId="12" xfId="4" applyNumberFormat="1" applyFont="1" applyFill="1" applyBorder="1" applyAlignment="1">
      <alignment horizontal="center" vertical="center"/>
    </xf>
    <xf numFmtId="3" fontId="65" fillId="26" borderId="62" xfId="4" applyNumberFormat="1" applyFont="1" applyFill="1" applyBorder="1" applyAlignment="1">
      <alignment horizontal="center" vertical="center"/>
    </xf>
    <xf numFmtId="3" fontId="65" fillId="26" borderId="10" xfId="4" applyNumberFormat="1" applyFont="1" applyFill="1" applyBorder="1" applyAlignment="1">
      <alignment horizontal="center" vertical="center"/>
    </xf>
    <xf numFmtId="3" fontId="65" fillId="26" borderId="74" xfId="4" applyNumberFormat="1" applyFont="1" applyFill="1" applyBorder="1" applyAlignment="1">
      <alignment horizontal="center" vertical="center"/>
    </xf>
    <xf numFmtId="0" fontId="59" fillId="0" borderId="73" xfId="4" applyFont="1" applyFill="1" applyBorder="1" applyAlignment="1">
      <alignment horizontal="center" vertical="center"/>
    </xf>
    <xf numFmtId="0" fontId="59" fillId="0" borderId="20" xfId="4" applyFont="1" applyFill="1" applyBorder="1" applyAlignment="1">
      <alignment horizontal="center" vertical="center"/>
    </xf>
    <xf numFmtId="3" fontId="66" fillId="25" borderId="62" xfId="6" applyNumberFormat="1" applyFont="1" applyFill="1" applyBorder="1" applyAlignment="1">
      <alignment horizontal="center" vertical="center"/>
    </xf>
    <xf numFmtId="3" fontId="66" fillId="25" borderId="10" xfId="6" applyNumberFormat="1" applyFont="1" applyFill="1" applyBorder="1" applyAlignment="1">
      <alignment horizontal="center" vertical="center"/>
    </xf>
    <xf numFmtId="3" fontId="66" fillId="25" borderId="74" xfId="6" applyNumberFormat="1" applyFont="1" applyFill="1" applyBorder="1" applyAlignment="1">
      <alignment horizontal="center" vertical="center"/>
    </xf>
    <xf numFmtId="3" fontId="52" fillId="0" borderId="42" xfId="4" applyNumberFormat="1" applyFont="1" applyFill="1" applyBorder="1" applyAlignment="1">
      <alignment horizontal="center" vertical="center" wrapText="1"/>
    </xf>
    <xf numFmtId="3" fontId="52" fillId="0" borderId="43" xfId="4" applyNumberFormat="1" applyFont="1" applyFill="1" applyBorder="1" applyAlignment="1">
      <alignment horizontal="center" vertical="center" wrapText="1"/>
    </xf>
    <xf numFmtId="3" fontId="52" fillId="0" borderId="41" xfId="4" applyNumberFormat="1" applyFont="1" applyFill="1" applyBorder="1" applyAlignment="1">
      <alignment horizontal="center" vertical="center" wrapText="1"/>
    </xf>
    <xf numFmtId="0" fontId="51" fillId="13" borderId="5" xfId="4" applyFont="1" applyFill="1" applyBorder="1" applyAlignment="1">
      <alignment horizontal="center" vertical="top"/>
    </xf>
    <xf numFmtId="0" fontId="51" fillId="13" borderId="11" xfId="4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52" fillId="13" borderId="42" xfId="4" applyFont="1" applyFill="1" applyBorder="1" applyAlignment="1">
      <alignment horizontal="center" vertical="center" wrapText="1"/>
    </xf>
    <xf numFmtId="0" fontId="52" fillId="13" borderId="43" xfId="4" applyFont="1" applyFill="1" applyBorder="1" applyAlignment="1">
      <alignment horizontal="center" vertical="center" wrapText="1"/>
    </xf>
    <xf numFmtId="3" fontId="52" fillId="0" borderId="46" xfId="4" applyNumberFormat="1" applyFont="1" applyFill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51" fillId="27" borderId="5" xfId="4" applyFont="1" applyFill="1" applyBorder="1" applyAlignment="1">
      <alignment horizontal="center" vertical="top"/>
    </xf>
    <xf numFmtId="0" fontId="51" fillId="27" borderId="11" xfId="4" applyFont="1" applyFill="1" applyBorder="1" applyAlignment="1">
      <alignment horizontal="center" vertical="top"/>
    </xf>
    <xf numFmtId="0" fontId="51" fillId="27" borderId="25" xfId="4" applyFont="1" applyFill="1" applyBorder="1" applyAlignment="1">
      <alignment horizontal="center" vertical="top"/>
    </xf>
    <xf numFmtId="3" fontId="52" fillId="27" borderId="42" xfId="4" applyNumberFormat="1" applyFont="1" applyFill="1" applyBorder="1" applyAlignment="1">
      <alignment horizontal="center" vertical="top" wrapText="1"/>
    </xf>
    <xf numFmtId="3" fontId="52" fillId="27" borderId="43" xfId="4" applyNumberFormat="1" applyFont="1" applyFill="1" applyBorder="1" applyAlignment="1">
      <alignment horizontal="center" vertical="top" wrapText="1"/>
    </xf>
    <xf numFmtId="0" fontId="51" fillId="0" borderId="5" xfId="4" applyFont="1" applyFill="1" applyBorder="1" applyAlignment="1">
      <alignment horizontal="center" vertical="top"/>
    </xf>
    <xf numFmtId="0" fontId="51" fillId="0" borderId="11" xfId="4" applyFont="1" applyFill="1" applyBorder="1" applyAlignment="1">
      <alignment horizontal="center" vertical="top"/>
    </xf>
    <xf numFmtId="0" fontId="52" fillId="8" borderId="43" xfId="4" applyFont="1" applyFill="1" applyBorder="1" applyAlignment="1">
      <alignment horizontal="center" vertical="top"/>
    </xf>
    <xf numFmtId="0" fontId="52" fillId="8" borderId="41" xfId="4" applyFont="1" applyFill="1" applyBorder="1" applyAlignment="1">
      <alignment horizontal="center" vertical="top"/>
    </xf>
    <xf numFmtId="3" fontId="51" fillId="26" borderId="63" xfId="4" applyNumberFormat="1" applyFont="1" applyFill="1" applyBorder="1" applyAlignment="1">
      <alignment horizontal="center" vertical="center"/>
    </xf>
    <xf numFmtId="3" fontId="51" fillId="26" borderId="13" xfId="4" applyNumberFormat="1" applyFont="1" applyFill="1" applyBorder="1" applyAlignment="1">
      <alignment horizontal="center" vertical="center"/>
    </xf>
    <xf numFmtId="3" fontId="51" fillId="26" borderId="12" xfId="4" applyNumberFormat="1" applyFont="1" applyFill="1" applyBorder="1" applyAlignment="1">
      <alignment horizontal="center" vertical="center"/>
    </xf>
    <xf numFmtId="3" fontId="52" fillId="0" borderId="42" xfId="4" applyNumberFormat="1" applyFont="1" applyFill="1" applyBorder="1" applyAlignment="1">
      <alignment horizontal="center" vertical="center"/>
    </xf>
    <xf numFmtId="3" fontId="52" fillId="0" borderId="43" xfId="4" applyNumberFormat="1" applyFont="1" applyFill="1" applyBorder="1" applyAlignment="1">
      <alignment horizontal="center" vertical="center"/>
    </xf>
    <xf numFmtId="3" fontId="52" fillId="0" borderId="41" xfId="4" applyNumberFormat="1" applyFont="1" applyFill="1" applyBorder="1" applyAlignment="1">
      <alignment horizontal="center" vertical="center"/>
    </xf>
    <xf numFmtId="3" fontId="54" fillId="2" borderId="73" xfId="4" applyNumberFormat="1" applyFont="1" applyFill="1" applyBorder="1" applyAlignment="1">
      <alignment horizontal="center" vertical="center" wrapText="1"/>
    </xf>
    <xf numFmtId="3" fontId="54" fillId="2" borderId="22" xfId="4" applyNumberFormat="1" applyFont="1" applyFill="1" applyBorder="1" applyAlignment="1">
      <alignment horizontal="center" vertical="center" wrapText="1"/>
    </xf>
    <xf numFmtId="0" fontId="58" fillId="27" borderId="5" xfId="4" applyFont="1" applyFill="1" applyBorder="1" applyAlignment="1">
      <alignment horizontal="center" vertical="top" wrapText="1"/>
    </xf>
    <xf numFmtId="0" fontId="58" fillId="27" borderId="11" xfId="4" applyFont="1" applyFill="1" applyBorder="1" applyAlignment="1">
      <alignment horizontal="center" vertical="top" wrapText="1"/>
    </xf>
    <xf numFmtId="0" fontId="58" fillId="27" borderId="25" xfId="4" applyFont="1" applyFill="1" applyBorder="1" applyAlignment="1">
      <alignment horizontal="center" vertical="top" wrapText="1"/>
    </xf>
    <xf numFmtId="0" fontId="58" fillId="27" borderId="66" xfId="4" applyFont="1" applyFill="1" applyBorder="1" applyAlignment="1">
      <alignment horizontal="center" vertical="center" wrapText="1"/>
    </xf>
    <xf numFmtId="0" fontId="58" fillId="27" borderId="67" xfId="4" applyFont="1" applyFill="1" applyBorder="1" applyAlignment="1">
      <alignment horizontal="center" vertical="center" wrapText="1"/>
    </xf>
    <xf numFmtId="0" fontId="58" fillId="27" borderId="69" xfId="4" applyFont="1" applyFill="1" applyBorder="1" applyAlignment="1">
      <alignment horizontal="center" vertical="center" wrapText="1"/>
    </xf>
    <xf numFmtId="0" fontId="60" fillId="0" borderId="73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51" fillId="2" borderId="5" xfId="4" applyFont="1" applyFill="1" applyBorder="1" applyAlignment="1">
      <alignment horizontal="center" vertical="center"/>
    </xf>
    <xf numFmtId="0" fontId="51" fillId="2" borderId="11" xfId="4" applyFont="1" applyFill="1" applyBorder="1" applyAlignment="1">
      <alignment horizontal="center" vertical="center"/>
    </xf>
    <xf numFmtId="0" fontId="51" fillId="2" borderId="25" xfId="4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52" fillId="0" borderId="42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52" fillId="0" borderId="49" xfId="4" applyFont="1" applyFill="1" applyBorder="1" applyAlignment="1">
      <alignment horizontal="center" vertical="center" wrapText="1"/>
    </xf>
    <xf numFmtId="0" fontId="52" fillId="0" borderId="48" xfId="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3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43" fontId="58" fillId="22" borderId="62" xfId="1" applyFont="1" applyFill="1" applyBorder="1" applyAlignment="1">
      <alignment horizontal="center" vertical="center"/>
    </xf>
    <xf numFmtId="43" fontId="58" fillId="22" borderId="10" xfId="1" applyFont="1" applyFill="1" applyBorder="1" applyAlignment="1">
      <alignment horizontal="center" vertical="center"/>
    </xf>
    <xf numFmtId="43" fontId="58" fillId="22" borderId="74" xfId="1" applyFont="1" applyFill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3" fontId="54" fillId="2" borderId="6" xfId="4" applyNumberFormat="1" applyFont="1" applyFill="1" applyBorder="1" applyAlignment="1">
      <alignment horizontal="center" vertical="center" wrapText="1"/>
    </xf>
    <xf numFmtId="3" fontId="54" fillId="2" borderId="20" xfId="4" applyNumberFormat="1" applyFont="1" applyFill="1" applyBorder="1" applyAlignment="1">
      <alignment horizontal="center" vertical="center" wrapText="1"/>
    </xf>
    <xf numFmtId="3" fontId="52" fillId="0" borderId="82" xfId="4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3" fontId="58" fillId="22" borderId="64" xfId="1" applyFont="1" applyFill="1" applyBorder="1" applyAlignment="1">
      <alignment horizontal="center" vertical="center"/>
    </xf>
    <xf numFmtId="43" fontId="58" fillId="22" borderId="0" xfId="1" applyFont="1" applyFill="1" applyBorder="1" applyAlignment="1">
      <alignment horizontal="center" vertical="center"/>
    </xf>
    <xf numFmtId="43" fontId="58" fillId="22" borderId="24" xfId="1" applyFont="1" applyFill="1" applyBorder="1" applyAlignment="1">
      <alignment horizontal="center" vertical="center"/>
    </xf>
    <xf numFmtId="3" fontId="65" fillId="25" borderId="63" xfId="4" applyNumberFormat="1" applyFont="1" applyFill="1" applyBorder="1" applyAlignment="1">
      <alignment horizontal="center" vertical="center"/>
    </xf>
    <xf numFmtId="3" fontId="65" fillId="25" borderId="13" xfId="4" applyNumberFormat="1" applyFont="1" applyFill="1" applyBorder="1" applyAlignment="1">
      <alignment horizontal="center" vertical="center"/>
    </xf>
    <xf numFmtId="3" fontId="65" fillId="25" borderId="12" xfId="4" applyNumberFormat="1" applyFont="1" applyFill="1" applyBorder="1" applyAlignment="1">
      <alignment horizontal="center" vertical="center"/>
    </xf>
    <xf numFmtId="0" fontId="51" fillId="0" borderId="42" xfId="4" applyFont="1" applyFill="1" applyBorder="1" applyAlignment="1">
      <alignment horizontal="center" vertical="center" wrapText="1"/>
    </xf>
    <xf numFmtId="0" fontId="51" fillId="0" borderId="43" xfId="4" applyFont="1" applyFill="1" applyBorder="1" applyAlignment="1">
      <alignment horizontal="center" vertical="center" wrapText="1"/>
    </xf>
    <xf numFmtId="0" fontId="71" fillId="0" borderId="43" xfId="0" applyFont="1" applyFill="1" applyBorder="1" applyAlignment="1">
      <alignment horizontal="center" vertical="center" wrapText="1"/>
    </xf>
    <xf numFmtId="0" fontId="71" fillId="0" borderId="41" xfId="0" applyFont="1" applyFill="1" applyBorder="1" applyAlignment="1">
      <alignment horizontal="center" vertical="center" wrapText="1"/>
    </xf>
    <xf numFmtId="0" fontId="54" fillId="0" borderId="4" xfId="4" applyFont="1" applyBorder="1" applyAlignment="1">
      <alignment horizontal="center" vertical="center" wrapText="1"/>
    </xf>
    <xf numFmtId="0" fontId="54" fillId="0" borderId="7" xfId="4" applyFont="1" applyBorder="1" applyAlignment="1">
      <alignment horizontal="center" vertical="center" wrapText="1"/>
    </xf>
    <xf numFmtId="0" fontId="54" fillId="0" borderId="8" xfId="4" applyFont="1" applyBorder="1" applyAlignment="1">
      <alignment horizontal="center" vertical="center" wrapText="1"/>
    </xf>
    <xf numFmtId="0" fontId="54" fillId="0" borderId="9" xfId="4" applyFont="1" applyBorder="1" applyAlignment="1">
      <alignment horizontal="center" vertical="center" wrapText="1"/>
    </xf>
    <xf numFmtId="0" fontId="54" fillId="19" borderId="4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51" fillId="0" borderId="5" xfId="4" quotePrefix="1" applyFont="1" applyFill="1" applyBorder="1" applyAlignment="1">
      <alignment horizontal="center" vertical="center" wrapText="1"/>
    </xf>
    <xf numFmtId="0" fontId="71" fillId="0" borderId="43" xfId="0" applyFont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 wrapText="1"/>
    </xf>
    <xf numFmtId="3" fontId="58" fillId="22" borderId="63" xfId="4" applyNumberFormat="1" applyFont="1" applyFill="1" applyBorder="1" applyAlignment="1">
      <alignment horizontal="center" vertical="center"/>
    </xf>
    <xf numFmtId="3" fontId="58" fillId="22" borderId="13" xfId="4" applyNumberFormat="1" applyFont="1" applyFill="1" applyBorder="1" applyAlignment="1">
      <alignment horizontal="center" vertical="center"/>
    </xf>
    <xf numFmtId="3" fontId="58" fillId="22" borderId="12" xfId="4" applyNumberFormat="1" applyFont="1" applyFill="1" applyBorder="1" applyAlignment="1">
      <alignment horizontal="center" vertical="center"/>
    </xf>
    <xf numFmtId="0" fontId="51" fillId="0" borderId="5" xfId="4" quotePrefix="1" applyFont="1" applyFill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7" fillId="0" borderId="73" xfId="0" applyFont="1" applyFill="1" applyBorder="1" applyAlignment="1">
      <alignment horizontal="center" wrapText="1"/>
    </xf>
    <xf numFmtId="0" fontId="57" fillId="0" borderId="22" xfId="0" applyFont="1" applyFill="1" applyBorder="1" applyAlignment="1">
      <alignment horizontal="center" wrapText="1"/>
    </xf>
    <xf numFmtId="0" fontId="0" fillId="0" borderId="26" xfId="0" applyFont="1" applyBorder="1" applyAlignment="1">
      <alignment horizontal="center" vertical="center"/>
    </xf>
    <xf numFmtId="3" fontId="59" fillId="0" borderId="73" xfId="4" applyNumberFormat="1" applyFont="1" applyFill="1" applyBorder="1" applyAlignment="1">
      <alignment horizontal="center" vertical="center" wrapText="1"/>
    </xf>
    <xf numFmtId="0" fontId="66" fillId="0" borderId="6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0" fontId="59" fillId="0" borderId="73" xfId="4" applyFont="1" applyFill="1" applyBorder="1" applyAlignment="1">
      <alignment horizontal="center" vertical="center" wrapText="1"/>
    </xf>
    <xf numFmtId="0" fontId="66" fillId="0" borderId="6" xfId="0" applyFont="1" applyFill="1" applyBorder="1" applyAlignment="1">
      <alignment wrapText="1"/>
    </xf>
    <xf numFmtId="0" fontId="66" fillId="0" borderId="22" xfId="0" applyFont="1" applyFill="1" applyBorder="1" applyAlignment="1">
      <alignment wrapText="1"/>
    </xf>
    <xf numFmtId="0" fontId="51" fillId="0" borderId="41" xfId="4" applyFont="1" applyFill="1" applyBorder="1" applyAlignment="1">
      <alignment horizontal="center" vertical="center" wrapText="1"/>
    </xf>
    <xf numFmtId="3" fontId="59" fillId="22" borderId="63" xfId="4" applyNumberFormat="1" applyFont="1" applyFill="1" applyBorder="1" applyAlignment="1">
      <alignment horizontal="center" vertical="center"/>
    </xf>
    <xf numFmtId="3" fontId="59" fillId="22" borderId="13" xfId="4" applyNumberFormat="1" applyFont="1" applyFill="1" applyBorder="1" applyAlignment="1">
      <alignment horizontal="center" vertical="center"/>
    </xf>
    <xf numFmtId="3" fontId="59" fillId="22" borderId="12" xfId="4" applyNumberFormat="1" applyFont="1" applyFill="1" applyBorder="1" applyAlignment="1">
      <alignment horizontal="center" vertical="center"/>
    </xf>
    <xf numFmtId="0" fontId="51" fillId="0" borderId="5" xfId="0" quotePrefix="1" applyFont="1" applyFill="1" applyBorder="1" applyAlignment="1">
      <alignment horizontal="center" vertical="center" wrapText="1"/>
    </xf>
    <xf numFmtId="0" fontId="51" fillId="0" borderId="11" xfId="0" quotePrefix="1" applyFont="1" applyFill="1" applyBorder="1" applyAlignment="1">
      <alignment horizontal="center" vertical="center" wrapText="1"/>
    </xf>
    <xf numFmtId="0" fontId="51" fillId="0" borderId="25" xfId="0" quotePrefix="1" applyFont="1" applyFill="1" applyBorder="1" applyAlignment="1">
      <alignment horizontal="center" vertical="center" wrapText="1"/>
    </xf>
    <xf numFmtId="0" fontId="52" fillId="0" borderId="66" xfId="0" applyFont="1" applyFill="1" applyBorder="1" applyAlignment="1">
      <alignment horizontal="center" vertical="center" wrapText="1"/>
    </xf>
    <xf numFmtId="0" fontId="52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58" fillId="0" borderId="73" xfId="0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0" fillId="2" borderId="24" xfId="0" applyFont="1" applyFill="1" applyBorder="1" applyAlignment="1">
      <alignment vertical="top"/>
    </xf>
    <xf numFmtId="0" fontId="51" fillId="0" borderId="66" xfId="4" applyFont="1" applyBorder="1" applyAlignment="1">
      <alignment horizontal="center" vertical="center" wrapText="1"/>
    </xf>
    <xf numFmtId="0" fontId="51" fillId="0" borderId="67" xfId="4" applyFont="1" applyBorder="1" applyAlignment="1">
      <alignment horizontal="center" vertical="center" wrapText="1"/>
    </xf>
    <xf numFmtId="0" fontId="51" fillId="0" borderId="69" xfId="4" applyFont="1" applyBorder="1" applyAlignment="1">
      <alignment horizontal="center" vertical="center" wrapText="1"/>
    </xf>
    <xf numFmtId="3" fontId="59" fillId="22" borderId="82" xfId="0" applyNumberFormat="1" applyFont="1" applyFill="1" applyBorder="1" applyAlignment="1">
      <alignment horizontal="center" vertical="center"/>
    </xf>
    <xf numFmtId="3" fontId="59" fillId="22" borderId="43" xfId="0" applyNumberFormat="1" applyFont="1" applyFill="1" applyBorder="1" applyAlignment="1">
      <alignment horizontal="center" vertical="center"/>
    </xf>
    <xf numFmtId="3" fontId="59" fillId="22" borderId="41" xfId="0" applyNumberFormat="1" applyFont="1" applyFill="1" applyBorder="1" applyAlignment="1">
      <alignment horizontal="center" vertical="center"/>
    </xf>
    <xf numFmtId="0" fontId="51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3" fontId="59" fillId="8" borderId="15" xfId="0" applyNumberFormat="1" applyFont="1" applyFill="1" applyBorder="1" applyAlignment="1">
      <alignment vertical="top"/>
    </xf>
    <xf numFmtId="0" fontId="58" fillId="8" borderId="5" xfId="0" applyFont="1" applyFill="1" applyBorder="1" applyAlignment="1">
      <alignment horizontal="left" vertical="center" wrapText="1"/>
    </xf>
    <xf numFmtId="0" fontId="58" fillId="8" borderId="21" xfId="0" applyFont="1" applyFill="1" applyBorder="1" applyAlignment="1">
      <alignment horizontal="left" vertical="center" wrapText="1"/>
    </xf>
    <xf numFmtId="0" fontId="58" fillId="8" borderId="14" xfId="0" applyFont="1" applyFill="1" applyBorder="1" applyAlignment="1">
      <alignment horizontal="center" vertical="center" wrapText="1"/>
    </xf>
    <xf numFmtId="0" fontId="58" fillId="8" borderId="20" xfId="0" applyFont="1" applyFill="1" applyBorder="1" applyAlignment="1">
      <alignment horizontal="center" vertical="center" wrapText="1"/>
    </xf>
    <xf numFmtId="0" fontId="59" fillId="2" borderId="73" xfId="0" applyFont="1" applyFill="1" applyBorder="1" applyAlignment="1">
      <alignment horizontal="center" vertical="top" wrapText="1"/>
    </xf>
    <xf numFmtId="0" fontId="59" fillId="2" borderId="20" xfId="0" applyFont="1" applyFill="1" applyBorder="1" applyAlignment="1">
      <alignment horizontal="center" vertical="top" wrapText="1"/>
    </xf>
    <xf numFmtId="0" fontId="71" fillId="0" borderId="73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0" fillId="0" borderId="11" xfId="0" applyFont="1" applyBorder="1"/>
    <xf numFmtId="0" fontId="0" fillId="0" borderId="6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8" fillId="0" borderId="6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7" fillId="0" borderId="73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0" fontId="58" fillId="2" borderId="73" xfId="0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 wrapText="1"/>
    </xf>
    <xf numFmtId="0" fontId="51" fillId="2" borderId="11" xfId="0" quotePrefix="1" applyFont="1" applyFill="1" applyBorder="1" applyAlignment="1">
      <alignment horizontal="center" vertical="center" wrapText="1"/>
    </xf>
    <xf numFmtId="49" fontId="56" fillId="0" borderId="66" xfId="3" applyNumberFormat="1" applyFont="1" applyBorder="1" applyAlignment="1">
      <alignment horizontal="center" vertical="center" wrapText="1"/>
    </xf>
    <xf numFmtId="49" fontId="56" fillId="0" borderId="67" xfId="3" applyNumberFormat="1" applyFont="1" applyBorder="1" applyAlignment="1">
      <alignment horizontal="center" vertical="center" wrapText="1"/>
    </xf>
    <xf numFmtId="0" fontId="51" fillId="2" borderId="25" xfId="0" quotePrefix="1" applyFont="1" applyFill="1" applyBorder="1" applyAlignment="1">
      <alignment horizontal="center" vertical="center" wrapText="1"/>
    </xf>
    <xf numFmtId="0" fontId="0" fillId="0" borderId="67" xfId="0" applyFont="1" applyBorder="1"/>
    <xf numFmtId="0" fontId="58" fillId="2" borderId="22" xfId="0" applyFont="1" applyFill="1" applyBorder="1" applyAlignment="1">
      <alignment horizontal="center" vertical="center" wrapText="1"/>
    </xf>
    <xf numFmtId="49" fontId="56" fillId="0" borderId="5" xfId="3" applyNumberFormat="1" applyFont="1" applyBorder="1" applyAlignment="1">
      <alignment horizontal="center" vertical="center" wrapText="1"/>
    </xf>
    <xf numFmtId="49" fontId="56" fillId="0" borderId="11" xfId="3" applyNumberFormat="1" applyFont="1" applyBorder="1" applyAlignment="1">
      <alignment horizontal="center" vertical="center" wrapText="1"/>
    </xf>
    <xf numFmtId="49" fontId="56" fillId="0" borderId="25" xfId="3" applyNumberFormat="1" applyFont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left" vertical="center" wrapText="1"/>
    </xf>
    <xf numFmtId="0" fontId="57" fillId="0" borderId="22" xfId="0" applyFont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left" vertical="center" wrapText="1"/>
    </xf>
    <xf numFmtId="0" fontId="47" fillId="2" borderId="3" xfId="0" applyFont="1" applyFill="1" applyBorder="1" applyAlignment="1">
      <alignment horizontal="left" vertical="center" wrapText="1"/>
    </xf>
    <xf numFmtId="0" fontId="50" fillId="2" borderId="24" xfId="0" applyFont="1" applyFill="1" applyBorder="1" applyAlignment="1">
      <alignment horizontal="left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52" fillId="0" borderId="6" xfId="4" applyFont="1" applyBorder="1" applyAlignment="1">
      <alignment horizontal="center" vertical="center" wrapText="1"/>
    </xf>
    <xf numFmtId="0" fontId="52" fillId="0" borderId="22" xfId="4" applyFont="1" applyBorder="1" applyAlignment="1">
      <alignment horizontal="center" vertical="center" wrapText="1"/>
    </xf>
    <xf numFmtId="0" fontId="52" fillId="0" borderId="13" xfId="4" applyFont="1" applyBorder="1" applyAlignment="1">
      <alignment horizontal="center" vertical="center" wrapText="1"/>
    </xf>
    <xf numFmtId="0" fontId="52" fillId="0" borderId="12" xfId="4" applyFont="1" applyBorder="1" applyAlignment="1">
      <alignment horizontal="center" vertical="center" wrapText="1"/>
    </xf>
    <xf numFmtId="3" fontId="51" fillId="22" borderId="63" xfId="0" applyNumberFormat="1" applyFont="1" applyFill="1" applyBorder="1" applyAlignment="1">
      <alignment horizontal="center" vertical="center"/>
    </xf>
    <xf numFmtId="3" fontId="51" fillId="22" borderId="13" xfId="0" applyNumberFormat="1" applyFont="1" applyFill="1" applyBorder="1" applyAlignment="1">
      <alignment horizontal="center" vertical="center"/>
    </xf>
    <xf numFmtId="3" fontId="51" fillId="22" borderId="12" xfId="0" applyNumberFormat="1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horizontal="center" vertical="center"/>
    </xf>
    <xf numFmtId="0" fontId="59" fillId="2" borderId="73" xfId="0" applyFont="1" applyFill="1" applyBorder="1" applyAlignment="1">
      <alignment horizontal="center" vertical="center" wrapText="1"/>
    </xf>
    <xf numFmtId="3" fontId="54" fillId="22" borderId="63" xfId="0" applyNumberFormat="1" applyFont="1" applyFill="1" applyBorder="1" applyAlignment="1">
      <alignment horizontal="center" vertical="center"/>
    </xf>
    <xf numFmtId="3" fontId="54" fillId="22" borderId="13" xfId="0" applyNumberFormat="1" applyFont="1" applyFill="1" applyBorder="1" applyAlignment="1">
      <alignment horizontal="center" vertical="center"/>
    </xf>
    <xf numFmtId="3" fontId="54" fillId="22" borderId="12" xfId="0" applyNumberFormat="1" applyFont="1" applyFill="1" applyBorder="1" applyAlignment="1">
      <alignment horizontal="center" vertical="center"/>
    </xf>
    <xf numFmtId="0" fontId="56" fillId="0" borderId="42" xfId="0" applyFont="1" applyBorder="1" applyAlignment="1">
      <alignment horizontal="center" vertical="center" wrapText="1"/>
    </xf>
    <xf numFmtId="3" fontId="54" fillId="31" borderId="42" xfId="0" applyNumberFormat="1" applyFont="1" applyFill="1" applyBorder="1" applyAlignment="1">
      <alignment horizontal="center" vertical="center" wrapText="1"/>
    </xf>
    <xf numFmtId="3" fontId="54" fillId="31" borderId="43" xfId="0" applyNumberFormat="1" applyFont="1" applyFill="1" applyBorder="1" applyAlignment="1">
      <alignment horizontal="center" vertical="center" wrapText="1"/>
    </xf>
    <xf numFmtId="0" fontId="51" fillId="52" borderId="5" xfId="0" applyFont="1" applyFill="1" applyBorder="1" applyAlignment="1">
      <alignment horizontal="center" vertical="center" wrapText="1"/>
    </xf>
    <xf numFmtId="0" fontId="0" fillId="52" borderId="11" xfId="0" applyFont="1" applyFill="1" applyBorder="1" applyAlignment="1">
      <alignment vertical="center" wrapText="1"/>
    </xf>
    <xf numFmtId="0" fontId="0" fillId="52" borderId="25" xfId="0" applyFont="1" applyFill="1" applyBorder="1" applyAlignment="1">
      <alignment vertical="center" wrapText="1"/>
    </xf>
    <xf numFmtId="3" fontId="54" fillId="0" borderId="42" xfId="0" applyNumberFormat="1" applyFont="1" applyFill="1" applyBorder="1" applyAlignment="1">
      <alignment horizontal="center" vertical="center" wrapText="1"/>
    </xf>
    <xf numFmtId="3" fontId="54" fillId="0" borderId="43" xfId="0" applyNumberFormat="1" applyFont="1" applyFill="1" applyBorder="1" applyAlignment="1">
      <alignment horizontal="center" vertical="center" wrapText="1"/>
    </xf>
    <xf numFmtId="3" fontId="54" fillId="0" borderId="46" xfId="0" applyNumberFormat="1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57" fillId="0" borderId="63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5" fillId="0" borderId="43" xfId="0" applyFont="1" applyFill="1" applyBorder="1" applyAlignment="1">
      <alignment horizontal="center" vertical="center" wrapText="1"/>
    </xf>
    <xf numFmtId="0" fontId="55" fillId="0" borderId="41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65" fillId="32" borderId="0" xfId="0" applyFont="1" applyFill="1" applyBorder="1" applyAlignment="1">
      <alignment horizontal="left" vertical="center" wrapText="1"/>
    </xf>
    <xf numFmtId="0" fontId="51" fillId="0" borderId="42" xfId="0" applyFont="1" applyFill="1" applyBorder="1" applyAlignment="1">
      <alignment horizontal="center" vertical="center" wrapText="1"/>
    </xf>
    <xf numFmtId="0" fontId="71" fillId="0" borderId="43" xfId="0" applyFont="1" applyBorder="1" applyAlignment="1">
      <alignment horizontal="center" wrapText="1"/>
    </xf>
    <xf numFmtId="0" fontId="71" fillId="0" borderId="41" xfId="0" applyFont="1" applyBorder="1" applyAlignment="1">
      <alignment horizontal="center" wrapText="1"/>
    </xf>
    <xf numFmtId="3" fontId="59" fillId="22" borderId="63" xfId="0" applyNumberFormat="1" applyFont="1" applyFill="1" applyBorder="1" applyAlignment="1">
      <alignment horizontal="center" vertical="center"/>
    </xf>
    <xf numFmtId="3" fontId="59" fillId="22" borderId="13" xfId="0" applyNumberFormat="1" applyFont="1" applyFill="1" applyBorder="1" applyAlignment="1">
      <alignment horizontal="center" vertical="center"/>
    </xf>
    <xf numFmtId="3" fontId="59" fillId="22" borderId="12" xfId="0" applyNumberFormat="1" applyFont="1" applyFill="1" applyBorder="1" applyAlignment="1">
      <alignment horizontal="center" vertical="center"/>
    </xf>
    <xf numFmtId="0" fontId="51" fillId="0" borderId="25" xfId="0" applyFont="1" applyFill="1" applyBorder="1" applyAlignment="1">
      <alignment horizontal="center" vertical="center"/>
    </xf>
    <xf numFmtId="0" fontId="51" fillId="2" borderId="42" xfId="0" applyFont="1" applyFill="1" applyBorder="1" applyAlignment="1">
      <alignment horizontal="center" vertical="center" wrapText="1"/>
    </xf>
    <xf numFmtId="0" fontId="51" fillId="2" borderId="43" xfId="0" applyFont="1" applyFill="1" applyBorder="1" applyAlignment="1">
      <alignment horizontal="center" vertical="center" wrapText="1"/>
    </xf>
    <xf numFmtId="0" fontId="51" fillId="2" borderId="41" xfId="0" applyFont="1" applyFill="1" applyBorder="1" applyAlignment="1">
      <alignment horizontal="center" vertical="center" wrapText="1"/>
    </xf>
    <xf numFmtId="0" fontId="71" fillId="2" borderId="43" xfId="0" applyFont="1" applyFill="1" applyBorder="1" applyAlignment="1">
      <alignment horizontal="center" wrapText="1"/>
    </xf>
    <xf numFmtId="0" fontId="71" fillId="2" borderId="41" xfId="0" applyFont="1" applyFill="1" applyBorder="1" applyAlignment="1">
      <alignment horizontal="center" wrapText="1"/>
    </xf>
    <xf numFmtId="0" fontId="51" fillId="0" borderId="43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58" fillId="22" borderId="63" xfId="0" applyNumberFormat="1" applyFont="1" applyFill="1" applyBorder="1" applyAlignment="1">
      <alignment horizontal="center" vertical="center"/>
    </xf>
    <xf numFmtId="3" fontId="58" fillId="22" borderId="13" xfId="0" applyNumberFormat="1" applyFont="1" applyFill="1" applyBorder="1" applyAlignment="1">
      <alignment horizontal="center" vertical="center"/>
    </xf>
    <xf numFmtId="3" fontId="58" fillId="22" borderId="12" xfId="0" applyNumberFormat="1" applyFont="1" applyFill="1" applyBorder="1" applyAlignment="1">
      <alignment horizontal="center" vertical="center"/>
    </xf>
    <xf numFmtId="0" fontId="54" fillId="0" borderId="52" xfId="0" applyFont="1" applyBorder="1" applyAlignment="1">
      <alignment horizontal="center" vertical="center" wrapText="1"/>
    </xf>
    <xf numFmtId="0" fontId="54" fillId="19" borderId="42" xfId="4" applyFont="1" applyFill="1" applyBorder="1" applyAlignment="1">
      <alignment horizontal="center" vertical="center" wrapText="1"/>
    </xf>
    <xf numFmtId="0" fontId="54" fillId="19" borderId="43" xfId="4" applyFont="1" applyFill="1" applyBorder="1" applyAlignment="1">
      <alignment horizontal="center" vertical="center" wrapText="1"/>
    </xf>
    <xf numFmtId="0" fontId="54" fillId="19" borderId="41" xfId="4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horizontal="center" vertical="center" wrapText="1"/>
    </xf>
    <xf numFmtId="0" fontId="59" fillId="0" borderId="73" xfId="0" applyFont="1" applyFill="1" applyBorder="1" applyAlignment="1">
      <alignment horizontal="center" vertical="center" wrapText="1"/>
    </xf>
    <xf numFmtId="3" fontId="59" fillId="28" borderId="42" xfId="0" applyNumberFormat="1" applyFont="1" applyFill="1" applyBorder="1" applyAlignment="1">
      <alignment horizontal="center" vertical="center" wrapText="1"/>
    </xf>
    <xf numFmtId="3" fontId="59" fillId="28" borderId="43" xfId="0" applyNumberFormat="1" applyFont="1" applyFill="1" applyBorder="1" applyAlignment="1">
      <alignment horizontal="center" vertical="center" wrapText="1"/>
    </xf>
    <xf numFmtId="3" fontId="59" fillId="28" borderId="41" xfId="0" applyNumberFormat="1" applyFont="1" applyFill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 wrapText="1"/>
    </xf>
    <xf numFmtId="0" fontId="59" fillId="8" borderId="6" xfId="0" applyFont="1" applyFill="1" applyBorder="1" applyAlignment="1">
      <alignment horizontal="center" vertical="center" wrapText="1"/>
    </xf>
    <xf numFmtId="0" fontId="0" fillId="0" borderId="0" xfId="0" applyFont="1"/>
    <xf numFmtId="0" fontId="51" fillId="2" borderId="5" xfId="0" applyFont="1" applyFill="1" applyBorder="1" applyAlignment="1">
      <alignment horizontal="center" vertical="center"/>
    </xf>
    <xf numFmtId="0" fontId="51" fillId="2" borderId="11" xfId="0" applyFont="1" applyFill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51" fillId="0" borderId="41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59" fillId="2" borderId="6" xfId="0" applyFont="1" applyFill="1" applyBorder="1" applyAlignment="1">
      <alignment horizontal="center" vertical="center" wrapText="1"/>
    </xf>
    <xf numFmtId="0" fontId="59" fillId="2" borderId="20" xfId="0" applyFont="1" applyFill="1" applyBorder="1" applyAlignment="1">
      <alignment horizontal="center" vertical="center" wrapText="1"/>
    </xf>
    <xf numFmtId="0" fontId="54" fillId="0" borderId="39" xfId="0" applyFont="1" applyBorder="1" applyAlignment="1">
      <alignment horizontal="center" vertical="center" wrapText="1"/>
    </xf>
    <xf numFmtId="0" fontId="52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54" fillId="8" borderId="43" xfId="0" applyNumberFormat="1" applyFont="1" applyFill="1" applyBorder="1" applyAlignment="1">
      <alignment horizontal="center" vertical="center" wrapText="1"/>
    </xf>
    <xf numFmtId="3" fontId="54" fillId="8" borderId="41" xfId="0" applyNumberFormat="1" applyFont="1" applyFill="1" applyBorder="1" applyAlignment="1">
      <alignment horizontal="center" vertical="center" wrapText="1"/>
    </xf>
    <xf numFmtId="0" fontId="61" fillId="8" borderId="30" xfId="4" applyFont="1" applyFill="1" applyBorder="1" applyAlignment="1">
      <alignment horizontal="center" vertical="center"/>
    </xf>
    <xf numFmtId="3" fontId="59" fillId="23" borderId="63" xfId="0" applyNumberFormat="1" applyFont="1" applyFill="1" applyBorder="1" applyAlignment="1">
      <alignment horizontal="center" vertical="center"/>
    </xf>
    <xf numFmtId="3" fontId="59" fillId="23" borderId="13" xfId="0" applyNumberFormat="1" applyFont="1" applyFill="1" applyBorder="1" applyAlignment="1">
      <alignment horizontal="center" vertical="center"/>
    </xf>
    <xf numFmtId="3" fontId="59" fillId="23" borderId="12" xfId="0" applyNumberFormat="1" applyFont="1" applyFill="1" applyBorder="1" applyAlignment="1">
      <alignment horizontal="center" vertical="center"/>
    </xf>
    <xf numFmtId="0" fontId="61" fillId="8" borderId="63" xfId="4" applyFont="1" applyFill="1" applyBorder="1" applyAlignment="1">
      <alignment horizontal="center" vertical="center"/>
    </xf>
    <xf numFmtId="0" fontId="61" fillId="8" borderId="13" xfId="4" applyFont="1" applyFill="1" applyBorder="1" applyAlignment="1">
      <alignment horizontal="center" vertical="center"/>
    </xf>
    <xf numFmtId="0" fontId="61" fillId="8" borderId="12" xfId="4" applyFont="1" applyFill="1" applyBorder="1" applyAlignment="1">
      <alignment horizontal="center" vertical="center"/>
    </xf>
    <xf numFmtId="0" fontId="54" fillId="2" borderId="16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55" fillId="0" borderId="42" xfId="0" applyFont="1" applyFill="1" applyBorder="1" applyAlignment="1">
      <alignment horizontal="center" vertical="center" wrapText="1"/>
    </xf>
    <xf numFmtId="3" fontId="59" fillId="2" borderId="30" xfId="4" applyNumberFormat="1" applyFont="1" applyFill="1" applyBorder="1" applyAlignment="1">
      <alignment horizontal="center" vertical="center" wrapText="1"/>
    </xf>
    <xf numFmtId="0" fontId="66" fillId="0" borderId="30" xfId="0" applyFont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54" fillId="2" borderId="14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22" xfId="0" applyFont="1" applyFill="1" applyBorder="1" applyAlignment="1">
      <alignment horizontal="center" vertical="center" wrapText="1"/>
    </xf>
    <xf numFmtId="0" fontId="57" fillId="0" borderId="63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3" fontId="59" fillId="2" borderId="63" xfId="4" applyNumberFormat="1" applyFont="1" applyFill="1" applyBorder="1" applyAlignment="1">
      <alignment horizontal="center" vertical="center" wrapText="1"/>
    </xf>
    <xf numFmtId="3" fontId="59" fillId="2" borderId="13" xfId="4" applyNumberFormat="1" applyFont="1" applyFill="1" applyBorder="1" applyAlignment="1">
      <alignment horizontal="center" vertical="center" wrapText="1"/>
    </xf>
    <xf numFmtId="3" fontId="59" fillId="25" borderId="6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" fontId="59" fillId="25" borderId="12" xfId="0" applyNumberFormat="1" applyFont="1" applyFill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3" fontId="59" fillId="25" borderId="13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5" fillId="0" borderId="67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0" fillId="0" borderId="68" xfId="0" applyFont="1" applyBorder="1" applyAlignment="1">
      <alignment horizontal="center" vertical="center"/>
    </xf>
    <xf numFmtId="3" fontId="59" fillId="2" borderId="35" xfId="4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/>
    </xf>
    <xf numFmtId="0" fontId="80" fillId="2" borderId="24" xfId="0" applyFont="1" applyFill="1" applyBorder="1" applyAlignment="1">
      <alignment horizontal="left" wrapText="1"/>
    </xf>
    <xf numFmtId="0" fontId="55" fillId="0" borderId="14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8" fillId="0" borderId="5" xfId="4" quotePrefix="1" applyFont="1" applyFill="1" applyBorder="1" applyAlignment="1">
      <alignment horizontal="center" vertical="center"/>
    </xf>
    <xf numFmtId="0" fontId="58" fillId="0" borderId="11" xfId="4" quotePrefix="1" applyFont="1" applyFill="1" applyBorder="1" applyAlignment="1">
      <alignment horizontal="center" vertical="center"/>
    </xf>
    <xf numFmtId="0" fontId="58" fillId="0" borderId="25" xfId="4" quotePrefix="1" applyFont="1" applyFill="1" applyBorder="1" applyAlignment="1">
      <alignment horizontal="center" vertical="center"/>
    </xf>
    <xf numFmtId="0" fontId="58" fillId="2" borderId="73" xfId="4" applyFont="1" applyFill="1" applyBorder="1" applyAlignment="1">
      <alignment horizontal="center" vertical="center" wrapText="1"/>
    </xf>
    <xf numFmtId="0" fontId="58" fillId="2" borderId="6" xfId="4" applyFont="1" applyFill="1" applyBorder="1" applyAlignment="1">
      <alignment horizontal="center" vertical="center" wrapText="1"/>
    </xf>
    <xf numFmtId="0" fontId="58" fillId="2" borderId="20" xfId="4" applyFont="1" applyFill="1" applyBorder="1" applyAlignment="1">
      <alignment horizontal="center" vertical="center" wrapText="1"/>
    </xf>
    <xf numFmtId="0" fontId="58" fillId="2" borderId="22" xfId="4" applyFont="1" applyFill="1" applyBorder="1" applyAlignment="1">
      <alignment horizontal="center" vertical="center" wrapText="1"/>
    </xf>
    <xf numFmtId="0" fontId="58" fillId="0" borderId="5" xfId="4" applyFont="1" applyFill="1" applyBorder="1" applyAlignment="1">
      <alignment horizontal="center" vertical="center"/>
    </xf>
    <xf numFmtId="0" fontId="58" fillId="0" borderId="11" xfId="4" applyFont="1" applyFill="1" applyBorder="1" applyAlignment="1">
      <alignment horizontal="center" vertical="center"/>
    </xf>
    <xf numFmtId="0" fontId="58" fillId="0" borderId="25" xfId="4" applyFont="1" applyFill="1" applyBorder="1" applyAlignment="1">
      <alignment horizontal="center" vertical="center"/>
    </xf>
    <xf numFmtId="3" fontId="58" fillId="34" borderId="63" xfId="4" applyNumberFormat="1" applyFont="1" applyFill="1" applyBorder="1" applyAlignment="1">
      <alignment horizontal="center" vertical="center"/>
    </xf>
    <xf numFmtId="3" fontId="58" fillId="34" borderId="13" xfId="4" applyNumberFormat="1" applyFont="1" applyFill="1" applyBorder="1" applyAlignment="1">
      <alignment horizontal="center" vertical="center"/>
    </xf>
    <xf numFmtId="3" fontId="58" fillId="34" borderId="12" xfId="4" applyNumberFormat="1" applyFont="1" applyFill="1" applyBorder="1" applyAlignment="1">
      <alignment horizontal="center" vertical="center"/>
    </xf>
    <xf numFmtId="0" fontId="66" fillId="0" borderId="22" xfId="0" applyFont="1" applyFill="1" applyBorder="1" applyAlignment="1">
      <alignment horizontal="center" vertical="center" wrapText="1"/>
    </xf>
    <xf numFmtId="0" fontId="58" fillId="0" borderId="26" xfId="4" applyFont="1" applyFill="1" applyBorder="1" applyAlignment="1">
      <alignment horizontal="center" vertical="center"/>
    </xf>
    <xf numFmtId="0" fontId="58" fillId="0" borderId="68" xfId="4" applyFont="1" applyFill="1" applyBorder="1" applyAlignment="1">
      <alignment horizontal="center" vertical="center"/>
    </xf>
    <xf numFmtId="0" fontId="66" fillId="0" borderId="6" xfId="0" applyFont="1" applyBorder="1" applyAlignment="1">
      <alignment horizontal="center" wrapText="1"/>
    </xf>
    <xf numFmtId="0" fontId="66" fillId="0" borderId="9" xfId="0" applyFont="1" applyBorder="1" applyAlignment="1">
      <alignment horizontal="center" wrapText="1"/>
    </xf>
    <xf numFmtId="0" fontId="59" fillId="2" borderId="65" xfId="4" applyFont="1" applyFill="1" applyBorder="1" applyAlignment="1">
      <alignment horizontal="center" vertical="center" wrapText="1"/>
    </xf>
    <xf numFmtId="0" fontId="59" fillId="2" borderId="27" xfId="4" applyFont="1" applyFill="1" applyBorder="1" applyAlignment="1">
      <alignment horizontal="center" vertical="center" wrapText="1"/>
    </xf>
    <xf numFmtId="0" fontId="59" fillId="2" borderId="23" xfId="4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66" fillId="0" borderId="11" xfId="0" applyFont="1" applyBorder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58" fillId="2" borderId="73" xfId="4" applyFont="1" applyFill="1" applyBorder="1" applyAlignment="1">
      <alignment horizontal="center" vertical="center" wrapText="1" shrinkToFit="1"/>
    </xf>
    <xf numFmtId="0" fontId="58" fillId="2" borderId="6" xfId="4" applyFont="1" applyFill="1" applyBorder="1" applyAlignment="1">
      <alignment horizontal="center" vertical="center" wrapText="1" shrinkToFit="1"/>
    </xf>
    <xf numFmtId="0" fontId="58" fillId="2" borderId="22" xfId="4" applyFont="1" applyFill="1" applyBorder="1" applyAlignment="1">
      <alignment horizontal="center" vertical="center" wrapText="1" shrinkToFit="1"/>
    </xf>
    <xf numFmtId="0" fontId="59" fillId="2" borderId="73" xfId="4" applyFont="1" applyFill="1" applyBorder="1" applyAlignment="1">
      <alignment horizontal="center" vertical="center" wrapText="1" shrinkToFit="1"/>
    </xf>
    <xf numFmtId="0" fontId="59" fillId="2" borderId="6" xfId="4" applyFont="1" applyFill="1" applyBorder="1" applyAlignment="1">
      <alignment horizontal="center" vertical="center" wrapText="1" shrinkToFit="1"/>
    </xf>
    <xf numFmtId="0" fontId="59" fillId="2" borderId="22" xfId="4" applyFont="1" applyFill="1" applyBorder="1" applyAlignment="1">
      <alignment horizontal="center" vertical="center" wrapText="1" shrinkToFit="1"/>
    </xf>
    <xf numFmtId="0" fontId="54" fillId="2" borderId="73" xfId="4" applyFont="1" applyFill="1" applyBorder="1" applyAlignment="1">
      <alignment horizontal="center" vertical="center" wrapText="1"/>
    </xf>
    <xf numFmtId="3" fontId="54" fillId="22" borderId="63" xfId="4" applyNumberFormat="1" applyFont="1" applyFill="1" applyBorder="1" applyAlignment="1">
      <alignment horizontal="center" vertical="center"/>
    </xf>
    <xf numFmtId="3" fontId="54" fillId="22" borderId="13" xfId="4" applyNumberFormat="1" applyFont="1" applyFill="1" applyBorder="1" applyAlignment="1">
      <alignment horizontal="center" vertical="center"/>
    </xf>
    <xf numFmtId="0" fontId="54" fillId="2" borderId="73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0" fillId="0" borderId="22" xfId="0" applyFont="1" applyBorder="1" applyAlignment="1">
      <alignment horizontal="center" wrapText="1" shrinkToFit="1"/>
    </xf>
    <xf numFmtId="0" fontId="59" fillId="2" borderId="6" xfId="4" applyFont="1" applyFill="1" applyBorder="1" applyAlignment="1">
      <alignment horizontal="center" vertical="center" wrapText="1"/>
    </xf>
    <xf numFmtId="0" fontId="59" fillId="2" borderId="22" xfId="4" applyFont="1" applyFill="1" applyBorder="1" applyAlignment="1">
      <alignment horizontal="center" vertical="center" wrapText="1"/>
    </xf>
    <xf numFmtId="0" fontId="0" fillId="0" borderId="24" xfId="0" applyFont="1" applyBorder="1"/>
    <xf numFmtId="0" fontId="51" fillId="32" borderId="11" xfId="0" applyFont="1" applyFill="1" applyBorder="1" applyAlignment="1">
      <alignment horizontal="center" vertical="center" wrapText="1"/>
    </xf>
    <xf numFmtId="0" fontId="52" fillId="32" borderId="10" xfId="0" applyFont="1" applyFill="1" applyBorder="1" applyAlignment="1">
      <alignment horizontal="center" vertical="center" wrapText="1"/>
    </xf>
    <xf numFmtId="3" fontId="59" fillId="32" borderId="28" xfId="4" applyNumberFormat="1" applyFont="1" applyFill="1" applyBorder="1" applyAlignment="1">
      <alignment horizontal="center" vertical="center" wrapText="1"/>
    </xf>
    <xf numFmtId="0" fontId="66" fillId="32" borderId="28" xfId="0" applyFont="1" applyFill="1" applyBorder="1" applyAlignment="1">
      <alignment horizontal="center" vertical="center" wrapText="1"/>
    </xf>
    <xf numFmtId="0" fontId="50" fillId="2" borderId="24" xfId="0" applyFont="1" applyFill="1" applyBorder="1" applyAlignment="1">
      <alignment horizontal="left" vertical="top" wrapText="1"/>
    </xf>
    <xf numFmtId="0" fontId="54" fillId="0" borderId="1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 wrapText="1"/>
    </xf>
    <xf numFmtId="0" fontId="66" fillId="0" borderId="27" xfId="0" applyFont="1" applyBorder="1" applyAlignment="1">
      <alignment horizontal="center" vertical="center" wrapText="1"/>
    </xf>
    <xf numFmtId="0" fontId="57" fillId="0" borderId="65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3" fontId="59" fillId="2" borderId="26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59" fillId="2" borderId="86" xfId="4" applyFont="1" applyFill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 wrapText="1"/>
    </xf>
    <xf numFmtId="0" fontId="54" fillId="2" borderId="20" xfId="4" applyFont="1" applyFill="1" applyBorder="1" applyAlignment="1">
      <alignment horizontal="center" vertical="center" wrapText="1"/>
    </xf>
    <xf numFmtId="0" fontId="54" fillId="2" borderId="22" xfId="4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3" fontId="59" fillId="28" borderId="82" xfId="0" applyNumberFormat="1" applyFont="1" applyFill="1" applyBorder="1" applyAlignment="1">
      <alignment horizontal="center" vertical="center" wrapText="1"/>
    </xf>
    <xf numFmtId="0" fontId="51" fillId="0" borderId="5" xfId="112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2" fillId="0" borderId="25" xfId="112" applyFont="1" applyBorder="1" applyAlignment="1">
      <alignment vertical="center" wrapText="1"/>
    </xf>
    <xf numFmtId="0" fontId="52" fillId="0" borderId="66" xfId="112" applyFont="1" applyFill="1" applyBorder="1" applyAlignment="1">
      <alignment horizontal="center" vertical="center" wrapText="1"/>
    </xf>
    <xf numFmtId="0" fontId="52" fillId="0" borderId="67" xfId="112" applyFont="1" applyFill="1" applyBorder="1" applyAlignment="1">
      <alignment horizontal="center" vertical="center" wrapText="1"/>
    </xf>
    <xf numFmtId="0" fontId="2" fillId="0" borderId="67" xfId="112" applyFont="1" applyBorder="1" applyAlignment="1">
      <alignment horizontal="center" vertical="center" wrapText="1"/>
    </xf>
    <xf numFmtId="0" fontId="2" fillId="0" borderId="69" xfId="112" applyFont="1" applyBorder="1" applyAlignment="1">
      <alignment horizontal="center" vertical="center" wrapText="1"/>
    </xf>
    <xf numFmtId="0" fontId="66" fillId="0" borderId="6" xfId="112" applyFont="1" applyBorder="1" applyAlignment="1">
      <alignment horizontal="center" vertical="center" wrapText="1"/>
    </xf>
    <xf numFmtId="0" fontId="66" fillId="0" borderId="22" xfId="112" applyFont="1" applyBorder="1" applyAlignment="1">
      <alignment horizontal="center" vertical="center" wrapText="1"/>
    </xf>
    <xf numFmtId="0" fontId="52" fillId="0" borderId="42" xfId="112" applyFont="1" applyFill="1" applyBorder="1" applyAlignment="1">
      <alignment horizontal="center" vertical="center" wrapText="1"/>
    </xf>
    <xf numFmtId="0" fontId="52" fillId="0" borderId="43" xfId="112" applyFont="1" applyFill="1" applyBorder="1" applyAlignment="1">
      <alignment horizontal="center" vertical="center" wrapText="1"/>
    </xf>
    <xf numFmtId="0" fontId="2" fillId="0" borderId="43" xfId="112" applyFont="1" applyBorder="1" applyAlignment="1">
      <alignment horizontal="center" vertical="center" wrapText="1"/>
    </xf>
    <xf numFmtId="0" fontId="2" fillId="0" borderId="41" xfId="112" applyFont="1" applyBorder="1" applyAlignment="1">
      <alignment horizontal="center" vertical="center" wrapText="1"/>
    </xf>
    <xf numFmtId="0" fontId="50" fillId="2" borderId="24" xfId="112" applyFont="1" applyFill="1" applyBorder="1" applyAlignment="1">
      <alignment horizontal="left" vertical="top" wrapText="1"/>
    </xf>
    <xf numFmtId="0" fontId="54" fillId="0" borderId="5" xfId="112" applyFont="1" applyBorder="1" applyAlignment="1">
      <alignment horizontal="center" vertical="center" wrapText="1"/>
    </xf>
    <xf numFmtId="0" fontId="54" fillId="0" borderId="11" xfId="112" applyFont="1" applyBorder="1" applyAlignment="1">
      <alignment horizontal="center" vertical="center" wrapText="1"/>
    </xf>
    <xf numFmtId="0" fontId="54" fillId="0" borderId="25" xfId="112" applyFont="1" applyBorder="1" applyAlignment="1">
      <alignment horizontal="center" vertical="center" wrapText="1"/>
    </xf>
    <xf numFmtId="0" fontId="53" fillId="2" borderId="2" xfId="112" applyFont="1" applyFill="1" applyBorder="1" applyAlignment="1">
      <alignment horizontal="center" vertical="center" wrapText="1"/>
    </xf>
    <xf numFmtId="0" fontId="53" fillId="2" borderId="3" xfId="112" applyFont="1" applyFill="1" applyBorder="1" applyAlignment="1">
      <alignment horizontal="center" vertical="center" wrapText="1"/>
    </xf>
    <xf numFmtId="0" fontId="53" fillId="2" borderId="4" xfId="112" applyFont="1" applyFill="1" applyBorder="1" applyAlignment="1">
      <alignment horizontal="center" vertical="center" wrapText="1"/>
    </xf>
    <xf numFmtId="0" fontId="53" fillId="2" borderId="7" xfId="112" applyFont="1" applyFill="1" applyBorder="1" applyAlignment="1">
      <alignment horizontal="center" vertical="center" wrapText="1"/>
    </xf>
    <xf numFmtId="0" fontId="53" fillId="2" borderId="8" xfId="112" applyFont="1" applyFill="1" applyBorder="1" applyAlignment="1">
      <alignment horizontal="center" vertical="center" wrapText="1"/>
    </xf>
    <xf numFmtId="0" fontId="53" fillId="2" borderId="9" xfId="112" applyFont="1" applyFill="1" applyBorder="1" applyAlignment="1">
      <alignment horizontal="center" vertical="center" wrapText="1"/>
    </xf>
    <xf numFmtId="0" fontId="2" fillId="19" borderId="27" xfId="112" applyFont="1" applyFill="1" applyBorder="1" applyAlignment="1">
      <alignment horizontal="center" vertical="center" wrapText="1"/>
    </xf>
    <xf numFmtId="0" fontId="2" fillId="19" borderId="23" xfId="112" applyFont="1" applyFill="1" applyBorder="1" applyAlignment="1">
      <alignment horizontal="center" vertical="center" wrapText="1"/>
    </xf>
    <xf numFmtId="0" fontId="53" fillId="2" borderId="15" xfId="112" applyFont="1" applyFill="1" applyBorder="1" applyAlignment="1">
      <alignment horizontal="center" vertical="center" wrapText="1"/>
    </xf>
    <xf numFmtId="0" fontId="53" fillId="2" borderId="35" xfId="112" applyFont="1" applyFill="1" applyBorder="1" applyAlignment="1">
      <alignment horizontal="center" vertical="center" wrapText="1"/>
    </xf>
    <xf numFmtId="3" fontId="59" fillId="8" borderId="35" xfId="0" applyNumberFormat="1" applyFont="1" applyFill="1" applyBorder="1" applyAlignment="1">
      <alignment vertical="top"/>
    </xf>
  </cellXfs>
  <cellStyles count="115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4" xfId="20"/>
    <cellStyle name="Normalny 5" xfId="21"/>
    <cellStyle name="Normalny 6" xfId="22"/>
    <cellStyle name="Normalny 7" xfId="11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Emph" xfId="74"/>
    <cellStyle name="SAPBEXaggItem" xfId="75"/>
    <cellStyle name="SAPBEXaggItemX" xfId="76"/>
    <cellStyle name="SAPBEXchaText" xfId="77"/>
    <cellStyle name="SAPBEXexcBad7" xfId="78"/>
    <cellStyle name="SAPBEXexcBad8" xfId="79"/>
    <cellStyle name="SAPBEXexcBad9" xfId="80"/>
    <cellStyle name="SAPBEXexcCritical4" xfId="81"/>
    <cellStyle name="SAPBEXexcCritical5" xfId="82"/>
    <cellStyle name="SAPBEXexcCritical6" xfId="83"/>
    <cellStyle name="SAPBEXexcGood1" xfId="84"/>
    <cellStyle name="SAPBEXexcGood2" xfId="85"/>
    <cellStyle name="SAPBEXexcGood3" xfId="86"/>
    <cellStyle name="SAPBEXfilterDrill" xfId="87"/>
    <cellStyle name="SAPBEXfilterItem" xfId="88"/>
    <cellStyle name="SAPBEXfilterText" xfId="89"/>
    <cellStyle name="SAPBEXformats" xfId="90"/>
    <cellStyle name="SAPBEXheaderItem" xfId="91"/>
    <cellStyle name="SAPBEXheaderText" xfId="92"/>
    <cellStyle name="SAPBEXHLevel0" xfId="93"/>
    <cellStyle name="SAPBEXHLevel0X" xfId="94"/>
    <cellStyle name="SAPBEXHLevel1" xfId="95"/>
    <cellStyle name="SAPBEXHLevel1X" xfId="96"/>
    <cellStyle name="SAPBEXHLevel2" xfId="97"/>
    <cellStyle name="SAPBEXHLevel2X" xfId="98"/>
    <cellStyle name="SAPBEXHLevel3" xfId="99"/>
    <cellStyle name="SAPBEXHLevel3X" xfId="100"/>
    <cellStyle name="SAPBEXresData" xfId="101"/>
    <cellStyle name="SAPBEXresDataEmph" xfId="102"/>
    <cellStyle name="SAPBEXresItem" xfId="103"/>
    <cellStyle name="SAPBEXresItemX" xfId="104"/>
    <cellStyle name="SAPBEXstdData" xfId="105"/>
    <cellStyle name="SAPBEXstdDataEmph" xfId="106"/>
    <cellStyle name="SAPBEXstdItem" xfId="107"/>
    <cellStyle name="SAPBEXstdItemX" xfId="108"/>
    <cellStyle name="SAPBEXtitle" xfId="109"/>
    <cellStyle name="SAPBEXundefined" xfId="110"/>
    <cellStyle name="Walutowy 2" xfId="111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52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uchwaly/sejmik/czerwiec/czerwiec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>
        <row r="358">
          <cell r="D358">
            <v>200223536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9">
          <cell r="D59">
            <v>2842867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1117"/>
  <sheetViews>
    <sheetView showGridLines="0" tabSelected="1" zoomScaleNormal="100" zoomScaleSheetLayoutView="100" workbookViewId="0"/>
  </sheetViews>
  <sheetFormatPr defaultRowHeight="12.75" outlineLevelCol="1"/>
  <cols>
    <col min="1" max="1" width="48" style="1" customWidth="1"/>
    <col min="2" max="2" width="13" style="1" hidden="1" customWidth="1"/>
    <col min="3" max="3" width="11.85546875" style="373" hidden="1" customWidth="1"/>
    <col min="4" max="4" width="12.28515625" style="350" hidden="1" customWidth="1"/>
    <col min="5" max="5" width="11.85546875" style="350" hidden="1" customWidth="1"/>
    <col min="6" max="6" width="12.5703125" style="374" hidden="1" customWidth="1"/>
    <col min="7" max="8" width="12.85546875" style="2" hidden="1" customWidth="1"/>
    <col min="9" max="9" width="13" style="2" hidden="1" customWidth="1"/>
    <col min="10" max="10" width="13" style="2" customWidth="1"/>
    <col min="11" max="11" width="13.140625" style="2" customWidth="1"/>
    <col min="12" max="12" width="12.5703125" style="2" customWidth="1"/>
    <col min="13" max="14" width="13.140625" style="2" customWidth="1"/>
    <col min="15" max="16" width="13" style="2" customWidth="1"/>
    <col min="17" max="17" width="12.7109375" style="2" customWidth="1"/>
    <col min="18" max="18" width="15.140625" style="1" customWidth="1"/>
    <col min="19" max="19" width="14.85546875" style="5" customWidth="1" outlineLevel="1"/>
    <col min="20" max="16384" width="9.140625" style="1"/>
  </cols>
  <sheetData>
    <row r="1" spans="1:19" ht="23.25" customHeight="1">
      <c r="C1" s="2"/>
      <c r="D1" s="2"/>
      <c r="E1" s="2"/>
      <c r="F1" s="2"/>
      <c r="M1" s="3"/>
      <c r="P1" s="4"/>
      <c r="Q1" s="4" t="s">
        <v>0</v>
      </c>
    </row>
    <row r="2" spans="1:19" ht="3.75" customHeight="1">
      <c r="C2" s="2"/>
      <c r="D2" s="2"/>
      <c r="E2" s="2"/>
      <c r="F2" s="2"/>
      <c r="M2" s="6"/>
      <c r="N2" s="7"/>
      <c r="O2" s="7"/>
      <c r="P2" s="7"/>
      <c r="Q2" s="7"/>
      <c r="R2" s="6"/>
    </row>
    <row r="3" spans="1:19" ht="12.75" customHeight="1">
      <c r="C3" s="2"/>
      <c r="D3" s="2"/>
      <c r="E3" s="2"/>
      <c r="F3" s="2"/>
      <c r="M3" s="6"/>
      <c r="N3" s="7"/>
      <c r="O3" s="7"/>
      <c r="P3" s="7"/>
      <c r="Q3" s="7"/>
      <c r="R3" s="6"/>
    </row>
    <row r="4" spans="1:19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</row>
    <row r="5" spans="1:19" ht="72" customHeight="1">
      <c r="A5" s="2387" t="s">
        <v>1</v>
      </c>
      <c r="B5" s="2387"/>
      <c r="C5" s="2387"/>
      <c r="D5" s="2387"/>
      <c r="E5" s="2387"/>
      <c r="F5" s="2387"/>
      <c r="G5" s="2387"/>
      <c r="H5" s="2387"/>
      <c r="I5" s="2387"/>
      <c r="J5" s="2387"/>
      <c r="K5" s="2387"/>
      <c r="L5" s="2387"/>
      <c r="M5" s="2387"/>
      <c r="N5" s="2387"/>
      <c r="O5" s="2387"/>
      <c r="P5" s="2387"/>
      <c r="Q5" s="2387"/>
      <c r="R5" s="2387"/>
      <c r="S5" s="2387"/>
    </row>
    <row r="6" spans="1:19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.75" customHeight="1" thickBot="1">
      <c r="A7" s="2388" t="s">
        <v>2</v>
      </c>
      <c r="B7" s="2388"/>
      <c r="C7" s="2388"/>
      <c r="D7" s="2388"/>
      <c r="E7" s="2388"/>
      <c r="F7" s="2388"/>
      <c r="G7" s="2388"/>
      <c r="H7" s="2388"/>
      <c r="I7" s="2388"/>
      <c r="J7" s="2388"/>
      <c r="K7" s="2388"/>
      <c r="L7" s="2388"/>
      <c r="M7" s="2388"/>
      <c r="N7" s="2388"/>
      <c r="O7" s="2388"/>
      <c r="P7" s="2388"/>
      <c r="Q7" s="2388"/>
      <c r="R7" s="2388"/>
      <c r="S7" s="2388"/>
    </row>
    <row r="8" spans="1:19" s="2" customFormat="1" ht="24.75" customHeight="1">
      <c r="A8" s="1840"/>
      <c r="B8" s="2389" t="s">
        <v>3</v>
      </c>
      <c r="C8" s="2390"/>
      <c r="D8" s="2390"/>
      <c r="E8" s="2390"/>
      <c r="F8" s="2390"/>
      <c r="G8" s="2390"/>
      <c r="H8" s="2390"/>
      <c r="I8" s="2390"/>
      <c r="J8" s="2390"/>
      <c r="K8" s="2391"/>
      <c r="L8" s="2399" t="s">
        <v>328</v>
      </c>
      <c r="M8" s="2400"/>
      <c r="N8" s="2400"/>
      <c r="O8" s="2400"/>
      <c r="P8" s="2400"/>
      <c r="Q8" s="2401"/>
      <c r="R8" s="2395" t="s">
        <v>4</v>
      </c>
      <c r="S8" s="2397" t="s">
        <v>329</v>
      </c>
    </row>
    <row r="9" spans="1:19" ht="21" customHeight="1">
      <c r="A9" s="10" t="s">
        <v>5</v>
      </c>
      <c r="B9" s="2392"/>
      <c r="C9" s="2393"/>
      <c r="D9" s="2393"/>
      <c r="E9" s="2393"/>
      <c r="F9" s="2393"/>
      <c r="G9" s="2393"/>
      <c r="H9" s="2393"/>
      <c r="I9" s="2393"/>
      <c r="J9" s="2393"/>
      <c r="K9" s="2394"/>
      <c r="L9" s="2402"/>
      <c r="M9" s="2403"/>
      <c r="N9" s="2403"/>
      <c r="O9" s="2403"/>
      <c r="P9" s="2403"/>
      <c r="Q9" s="2404"/>
      <c r="R9" s="2396"/>
      <c r="S9" s="2398"/>
    </row>
    <row r="10" spans="1:19" ht="19.5" customHeight="1" thickBot="1">
      <c r="A10" s="10"/>
      <c r="B10" s="1763" t="s">
        <v>6</v>
      </c>
      <c r="C10" s="1769" t="s">
        <v>7</v>
      </c>
      <c r="D10" s="1769" t="s">
        <v>8</v>
      </c>
      <c r="E10" s="1769" t="s">
        <v>9</v>
      </c>
      <c r="F10" s="1765" t="s">
        <v>10</v>
      </c>
      <c r="G10" s="1765" t="s">
        <v>11</v>
      </c>
      <c r="H10" s="1765" t="s">
        <v>12</v>
      </c>
      <c r="I10" s="1765" t="s">
        <v>13</v>
      </c>
      <c r="J10" s="1761" t="s">
        <v>321</v>
      </c>
      <c r="K10" s="11" t="s">
        <v>14</v>
      </c>
      <c r="L10" s="11" t="s">
        <v>15</v>
      </c>
      <c r="M10" s="11" t="s">
        <v>16</v>
      </c>
      <c r="N10" s="12" t="s">
        <v>17</v>
      </c>
      <c r="O10" s="12" t="s">
        <v>18</v>
      </c>
      <c r="P10" s="12" t="s">
        <v>315</v>
      </c>
      <c r="Q10" s="12" t="s">
        <v>322</v>
      </c>
      <c r="R10" s="2396"/>
      <c r="S10" s="2398"/>
    </row>
    <row r="11" spans="1:19" ht="13.5" customHeight="1" thickBot="1">
      <c r="A11" s="13">
        <v>1</v>
      </c>
      <c r="B11" s="14"/>
      <c r="C11" s="15"/>
      <c r="D11" s="16"/>
      <c r="E11" s="16"/>
      <c r="F11" s="17"/>
      <c r="G11" s="17"/>
      <c r="H11" s="17"/>
      <c r="I11" s="17"/>
      <c r="J11" s="17">
        <v>2</v>
      </c>
      <c r="K11" s="17">
        <v>3</v>
      </c>
      <c r="L11" s="17">
        <v>4</v>
      </c>
      <c r="M11" s="17">
        <v>5</v>
      </c>
      <c r="N11" s="18">
        <v>6</v>
      </c>
      <c r="O11" s="17">
        <v>7</v>
      </c>
      <c r="P11" s="1844">
        <v>8</v>
      </c>
      <c r="Q11" s="1834">
        <v>9</v>
      </c>
      <c r="R11" s="19">
        <v>10</v>
      </c>
      <c r="S11" s="20">
        <v>11</v>
      </c>
    </row>
    <row r="12" spans="1:19" s="25" customFormat="1" ht="18.75" customHeight="1">
      <c r="A12" s="21" t="s">
        <v>19</v>
      </c>
      <c r="B12" s="22">
        <f>+B13+B14</f>
        <v>52835492</v>
      </c>
      <c r="C12" s="22">
        <f t="shared" ref="C12:S12" si="0">+C13+C14</f>
        <v>2148368</v>
      </c>
      <c r="D12" s="22">
        <f t="shared" si="0"/>
        <v>11637625</v>
      </c>
      <c r="E12" s="22">
        <f t="shared" si="0"/>
        <v>46226914</v>
      </c>
      <c r="F12" s="22">
        <f t="shared" si="0"/>
        <v>92429215.299999997</v>
      </c>
      <c r="G12" s="22">
        <f t="shared" si="0"/>
        <v>142216699.30000001</v>
      </c>
      <c r="H12" s="22">
        <f t="shared" si="0"/>
        <v>168232053</v>
      </c>
      <c r="I12" s="22">
        <f t="shared" si="0"/>
        <v>229564967</v>
      </c>
      <c r="J12" s="22">
        <f t="shared" ref="J12" si="1">+J13+J14</f>
        <v>685676877</v>
      </c>
      <c r="K12" s="22">
        <f t="shared" si="0"/>
        <v>285784266</v>
      </c>
      <c r="L12" s="22">
        <f t="shared" si="0"/>
        <v>247859684</v>
      </c>
      <c r="M12" s="22">
        <f t="shared" si="0"/>
        <v>130072193</v>
      </c>
      <c r="N12" s="22">
        <f t="shared" si="0"/>
        <v>25957313</v>
      </c>
      <c r="O12" s="22">
        <f t="shared" si="0"/>
        <v>6094000</v>
      </c>
      <c r="P12" s="22">
        <f t="shared" ref="P12:Q12" si="2">+P13+P14</f>
        <v>4000000</v>
      </c>
      <c r="Q12" s="22">
        <f t="shared" si="2"/>
        <v>1400000</v>
      </c>
      <c r="R12" s="23">
        <f t="shared" si="0"/>
        <v>1386844333</v>
      </c>
      <c r="S12" s="24">
        <f t="shared" si="0"/>
        <v>415383190</v>
      </c>
    </row>
    <row r="13" spans="1:19" s="25" customFormat="1" ht="18" customHeight="1">
      <c r="A13" s="26" t="s">
        <v>20</v>
      </c>
      <c r="B13" s="27">
        <f>+'Tab. 6B Polit społ i rozwój prz'!E9+'Tab. 6D - Oświata'!E11+'Tab. 6A -Drogi'!E10+'Tab. 6E - Administracja'!E11+'Tab. 6G - Roln i ochrona środ.'!E10+'Tab. 6H - Kultura fiz. i turyst'!E9+'Tab.6I - Planow. przestrz.'!E10</f>
        <v>33407653</v>
      </c>
      <c r="C13" s="28">
        <f>+'Tab. 6B Polit społ i rozwój prz'!F9+'Tab. 6D - Oświata'!F11+'Tab. 6A -Drogi'!F10+'Tab. 6E - Administracja'!F11+'Tab. 6G - Roln i ochrona środ.'!F10+'Tab. 6H - Kultura fiz. i turyst'!F9+'Tab.6I - Planow. przestrz.'!F10</f>
        <v>2043433</v>
      </c>
      <c r="D13" s="28">
        <f>+'Tab. 6B Polit społ i rozwój prz'!G9+'Tab. 6D - Oświata'!G11+'Tab. 6A -Drogi'!G10+'Tab. 6E - Administracja'!G11+'Tab. 6G - Roln i ochrona środ.'!G10+'Tab. 6H - Kultura fiz. i turyst'!G9+'Tab.6I - Planow. przestrz.'!G10</f>
        <v>11079549</v>
      </c>
      <c r="E13" s="28">
        <f>+'Tab. 6B Polit społ i rozwój prz'!H9+'Tab. 6D - Oświata'!H11+'Tab. 6A -Drogi'!H10+'Tab. 6E - Administracja'!H11+'Tab. 6G - Roln i ochrona środ.'!H10+'Tab. 6H - Kultura fiz. i turyst'!H9+'Tab.6I - Planow. przestrz.'!H10</f>
        <v>24930120</v>
      </c>
      <c r="F13" s="27">
        <f>+'Tab. 6B Polit społ i rozwój prz'!I9+'Tab. 6D - Oświata'!I11+'Tab. 6A -Drogi'!I10+'Tab. 6E - Administracja'!I11+'Tab. 6G - Roln i ochrona środ.'!I10+'Tab. 6H - Kultura fiz. i turyst'!I9+'Tab.6I - Planow. przestrz.'!I10+0.3</f>
        <v>40061521.299999997</v>
      </c>
      <c r="G13" s="27">
        <f>+'Tab. 6B Polit społ i rozwój prz'!J9+'Tab. 6D - Oświata'!J11+'Tab. 6A -Drogi'!J10+'Tab. 6E - Administracja'!J11+'Tab. 6G - Roln i ochrona środ.'!J10+'Tab. 6H - Kultura fiz. i turyst'!J9+'Tab.6I - Planow. przestrz.'!J10+0.3</f>
        <v>31832044.300000001</v>
      </c>
      <c r="H13" s="27">
        <f>+'Tab. 6B Polit społ i rozwój prz'!K9+'Tab. 6D - Oświata'!K11+'Tab. 6A -Drogi'!K10+'Tab. 6E - Administracja'!K11+'Tab. 6G - Roln i ochrona środ.'!K10+'Tab. 6H - Kultura fiz. i turyst'!K9+'Tab.6I - Planow. przestrz.'!K10</f>
        <v>40066238</v>
      </c>
      <c r="I13" s="27">
        <f>+'Tab. 6B Polit społ i rozwój prz'!L9+'Tab. 6D - Oświata'!L11+'Tab. 6A -Drogi'!L10+'Tab. 6E - Administracja'!L11+'Tab. 6G - Roln i ochrona środ.'!L10+'Tab. 6H - Kultura fiz. i turyst'!L9+'Tab.6I - Planow. przestrz.'!L10</f>
        <v>49694553</v>
      </c>
      <c r="J13" s="27">
        <f>+'Tab. 6B Polit społ i rozwój prz'!M9+'Tab. 6D - Oświata'!M11+'Tab. 6A -Drogi'!M10+'Tab. 6E - Administracja'!M11+'Tab. 6G - Roln i ochrona środ.'!M10+'Tab. 6H - Kultura fiz. i turyst'!M9+'Tab.6I - Planow. przestrz.'!M10</f>
        <v>195045509</v>
      </c>
      <c r="K13" s="27">
        <f>+'Tab. 6B Polit społ i rozwój prz'!N9+'Tab. 6D - Oświata'!N11+'Tab. 6A -Drogi'!N10+'Tab. 6E - Administracja'!N11+'Tab. 6G - Roln i ochrona środ.'!N10+'Tab. 6H - Kultura fiz. i turyst'!N9+'Tab.6I - Planow. przestrz.'!N10</f>
        <v>61728495</v>
      </c>
      <c r="L13" s="27">
        <f>+'Tab. 6B Polit społ i rozwój prz'!O9+'Tab. 6D - Oświata'!O11+'Tab. 6A -Drogi'!O10+'Tab. 6E - Administracja'!O11+'Tab. 6G - Roln i ochrona środ.'!O10+'Tab. 6H - Kultura fiz. i turyst'!O9+'Tab.6I - Planow. przestrz.'!O10</f>
        <v>62941866</v>
      </c>
      <c r="M13" s="27">
        <f>+'Tab. 6B Polit społ i rozwój prz'!P9+'Tab. 6D - Oświata'!P11+'Tab. 6A -Drogi'!P10+'Tab. 6E - Administracja'!P11+'Tab. 6G - Roln i ochrona środ.'!P10+'Tab. 6H - Kultura fiz. i turyst'!P9+'Tab.6I - Planow. przestrz.'!P10</f>
        <v>9359090</v>
      </c>
      <c r="N13" s="27">
        <f>+'Tab. 6B Polit społ i rozwój prz'!Q9+'Tab. 6D - Oświata'!Q11+'Tab. 6A -Drogi'!Q10+'Tab. 6E - Administracja'!Q11+'Tab. 6G - Roln i ochrona środ.'!Q10+'Tab. 6H - Kultura fiz. i turyst'!Q9+'Tab.6I - Planow. przestrz.'!Q10</f>
        <v>6243590</v>
      </c>
      <c r="O13" s="27">
        <f>+'Tab. 6B Polit społ i rozwój prz'!R9+'Tab. 6D - Oświata'!R11+'Tab. 6A -Drogi'!R10+'Tab. 6E - Administracja'!R11+'Tab. 6G - Roln i ochrona środ.'!R10+'Tab. 6H - Kultura fiz. i turyst'!R9+'Tab.6I - Planow. przestrz.'!R10</f>
        <v>6094000</v>
      </c>
      <c r="P13" s="27">
        <f>+'Tab. 6B Polit społ i rozwój prz'!S9+'Tab. 6D - Oświata'!S11+'Tab. 6A -Drogi'!S10+'Tab. 6E - Administracja'!S11+'Tab. 6G - Roln i ochrona środ.'!S10+'Tab. 6H - Kultura fiz. i turyst'!S9+'Tab.6I - Planow. przestrz.'!S10</f>
        <v>4000000</v>
      </c>
      <c r="Q13" s="27">
        <f>+'Tab. 6B Polit społ i rozwój prz'!T9+'Tab. 6D - Oświata'!T11+'Tab. 6A -Drogi'!T10+'Tab. 6E - Administracja'!T11+'Tab. 6G - Roln i ochrona środ.'!T10+'Tab. 6H - Kultura fiz. i turyst'!T9+'Tab.6I - Planow. przestrz.'!T10</f>
        <v>1400000</v>
      </c>
      <c r="R13" s="29">
        <f>SUM(J13:Q13)</f>
        <v>346812550</v>
      </c>
      <c r="S13" s="30">
        <f>SUM(L13:Q13)</f>
        <v>90038546</v>
      </c>
    </row>
    <row r="14" spans="1:19" s="25" customFormat="1" ht="18" customHeight="1" thickBot="1">
      <c r="A14" s="32" t="s">
        <v>21</v>
      </c>
      <c r="B14" s="33">
        <f>+'Tab. 6D - Oświata'!E12+'Tab. 6A -Drogi'!E11+'Tab. 6E - Administracja'!E12+'Tab. 6G - Roln i ochrona środ.'!E11+'Tab. 6H - Kultura fiz. i turyst'!E10+'Tab. 6B Polit społ i rozwój prz'!E10+'Tab.6I - Planow. przestrz.'!E11</f>
        <v>19427839</v>
      </c>
      <c r="C14" s="34">
        <f>+'Tab. 6D - Oświata'!F12+'Tab. 6A -Drogi'!F11+'Tab. 6E - Administracja'!F12+'Tab. 6G - Roln i ochrona środ.'!F11+'Tab. 6H - Kultura fiz. i turyst'!F10+'Tab.6I - Planow. przestrz.'!F11</f>
        <v>104935</v>
      </c>
      <c r="D14" s="34">
        <f>+'Tab. 6D - Oświata'!G12+'Tab. 6A -Drogi'!G11+'Tab. 6E - Administracja'!G12+'Tab. 6G - Roln i ochrona środ.'!G11+'Tab. 6H - Kultura fiz. i turyst'!G10+'Tab.6I - Planow. przestrz.'!G11</f>
        <v>558076</v>
      </c>
      <c r="E14" s="34">
        <f>+'Tab. 6D - Oświata'!H12+'Tab. 6A -Drogi'!H11+'Tab. 6E - Administracja'!H12+'Tab. 6G - Roln i ochrona środ.'!H11+'Tab. 6H - Kultura fiz. i turyst'!H10+'Tab.6I - Planow. przestrz.'!H11</f>
        <v>21296794</v>
      </c>
      <c r="F14" s="33">
        <f>+'Tab. 6D - Oświata'!I12+'Tab. 6A -Drogi'!I11+'Tab. 6E - Administracja'!I12+'Tab. 6G - Roln i ochrona środ.'!I11+'Tab. 6H - Kultura fiz. i turyst'!I10+'Tab. 6B Polit społ i rozwój prz'!I10+'Tab.6I - Planow. przestrz.'!I11</f>
        <v>52367694</v>
      </c>
      <c r="G14" s="33">
        <f>+'Tab. 6D - Oświata'!J12+'Tab. 6A -Drogi'!J11+'Tab. 6E - Administracja'!J12+'Tab. 6G - Roln i ochrona środ.'!J11+'Tab. 6H - Kultura fiz. i turyst'!J10+'Tab.6I - Planow. przestrz.'!J11+'Tab. 6B Polit społ i rozwój prz'!J10</f>
        <v>110384655</v>
      </c>
      <c r="H14" s="33">
        <f>+'Tab. 6D - Oświata'!K12+'Tab. 6A -Drogi'!K11+'Tab. 6E - Administracja'!K12+'Tab. 6G - Roln i ochrona środ.'!K11+'Tab. 6H - Kultura fiz. i turyst'!K10+'Tab.6I - Planow. przestrz.'!K11+'Tab. 6B Polit społ i rozwój prz'!K10</f>
        <v>128165815</v>
      </c>
      <c r="I14" s="33">
        <f>+'Tab. 6D - Oświata'!L12+'Tab. 6A -Drogi'!L11+'Tab. 6E - Administracja'!L12+'Tab. 6G - Roln i ochrona środ.'!L11+'Tab. 6H - Kultura fiz. i turyst'!L10+'Tab.6I - Planow. przestrz.'!L11+'Tab. 6B Polit społ i rozwój prz'!L10</f>
        <v>179870414</v>
      </c>
      <c r="J14" s="33">
        <f>+'Tab. 6D - Oświata'!M12+'Tab. 6A -Drogi'!M11+'Tab. 6E - Administracja'!M12+'Tab. 6G - Roln i ochrona środ.'!M11+'Tab. 6H - Kultura fiz. i turyst'!M10+'Tab. 6B Polit społ i rozwój prz'!M10+'Tab.6I - Planow. przestrz.'!M11</f>
        <v>490631368</v>
      </c>
      <c r="K14" s="33">
        <f>+'Tab. 6D - Oświata'!N12+'Tab. 6A -Drogi'!N11+'Tab. 6E - Administracja'!N12+'Tab. 6G - Roln i ochrona środ.'!N11+'Tab. 6H - Kultura fiz. i turyst'!N10+'Tab. 6B Polit społ i rozwój prz'!N10+'Tab.6I - Planow. przestrz.'!N11</f>
        <v>224055771</v>
      </c>
      <c r="L14" s="33">
        <f>+'Tab. 6D - Oświata'!O12+'Tab. 6A -Drogi'!O11+'Tab. 6E - Administracja'!O12+'Tab. 6G - Roln i ochrona środ.'!O11+'Tab. 6H - Kultura fiz. i turyst'!O10+'Tab. 6B Polit społ i rozwój prz'!O10+'Tab.6I - Planow. przestrz.'!O11</f>
        <v>184917818</v>
      </c>
      <c r="M14" s="33">
        <f>+'Tab. 6D - Oświata'!P12+'Tab. 6A -Drogi'!P11+'Tab. 6E - Administracja'!P12+'Tab. 6G - Roln i ochrona środ.'!P11+'Tab. 6H - Kultura fiz. i turyst'!P10+'Tab. 6B Polit społ i rozwój prz'!P10+'Tab.6I - Planow. przestrz.'!P11</f>
        <v>120713103</v>
      </c>
      <c r="N14" s="33">
        <f>+'Tab. 6D - Oświata'!Q12+'Tab. 6A -Drogi'!Q11+'Tab. 6E - Administracja'!Q12+'Tab. 6G - Roln i ochrona środ.'!Q11+'Tab. 6H - Kultura fiz. i turyst'!Q10+'Tab. 6B Polit społ i rozwój prz'!Q10+'Tab.6I - Planow. przestrz.'!Q11</f>
        <v>19713723</v>
      </c>
      <c r="O14" s="33">
        <f>+'Tab. 6D - Oświata'!R12+'Tab. 6A -Drogi'!R11+'Tab. 6E - Administracja'!R12+'Tab. 6G - Roln i ochrona środ.'!R11+'Tab. 6H - Kultura fiz. i turyst'!R10+'Tab. 6B Polit społ i rozwój prz'!R10+'Tab.6I - Planow. przestrz.'!R11</f>
        <v>0</v>
      </c>
      <c r="P14" s="33">
        <f>+'Tab. 6D - Oświata'!S12+'Tab. 6A -Drogi'!S11+'Tab. 6E - Administracja'!S12+'Tab. 6G - Roln i ochrona środ.'!S11+'Tab. 6H - Kultura fiz. i turyst'!S10+'Tab. 6B Polit społ i rozwój prz'!S10+'Tab.6I - Planow. przestrz.'!S11</f>
        <v>0</v>
      </c>
      <c r="Q14" s="33">
        <f>+'Tab. 6D - Oświata'!T12+'Tab. 6A -Drogi'!T11+'Tab. 6E - Administracja'!T12+'Tab. 6G - Roln i ochrona środ.'!T11+'Tab. 6H - Kultura fiz. i turyst'!T10+'Tab. 6B Polit społ i rozwój prz'!T10+'Tab.6I - Planow. przestrz.'!T11</f>
        <v>0</v>
      </c>
      <c r="R14" s="35">
        <f>SUM(J14:Q14)</f>
        <v>1040031783</v>
      </c>
      <c r="S14" s="36">
        <f>SUM(L14:Q14)</f>
        <v>325344644</v>
      </c>
    </row>
    <row r="15" spans="1:19" s="42" customFormat="1" ht="9.75" customHeight="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1830"/>
      <c r="Q15" s="1830"/>
      <c r="R15" s="38"/>
      <c r="S15" s="40"/>
    </row>
    <row r="16" spans="1:19" s="48" customFormat="1" ht="18" customHeight="1">
      <c r="A16" s="43" t="s">
        <v>22</v>
      </c>
      <c r="B16" s="44">
        <f t="shared" ref="B16:N16" si="3">+B17+B24</f>
        <v>52835492</v>
      </c>
      <c r="C16" s="44">
        <f t="shared" si="3"/>
        <v>2160825</v>
      </c>
      <c r="D16" s="45">
        <f t="shared" si="3"/>
        <v>11722879</v>
      </c>
      <c r="E16" s="45">
        <f t="shared" si="3"/>
        <v>46299187</v>
      </c>
      <c r="F16" s="45">
        <f t="shared" si="3"/>
        <v>92429215</v>
      </c>
      <c r="G16" s="45">
        <f t="shared" si="3"/>
        <v>142216699</v>
      </c>
      <c r="H16" s="45">
        <f t="shared" si="3"/>
        <v>168216143</v>
      </c>
      <c r="I16" s="45">
        <f t="shared" si="3"/>
        <v>229505927.30000001</v>
      </c>
      <c r="J16" s="45">
        <f t="shared" si="3"/>
        <v>685676877.29999995</v>
      </c>
      <c r="K16" s="45">
        <f t="shared" si="3"/>
        <v>285784266</v>
      </c>
      <c r="L16" s="45">
        <f t="shared" si="3"/>
        <v>247859684</v>
      </c>
      <c r="M16" s="45">
        <f t="shared" si="3"/>
        <v>130072193</v>
      </c>
      <c r="N16" s="45">
        <f t="shared" si="3"/>
        <v>25957313</v>
      </c>
      <c r="O16" s="45">
        <f>+O17+O24</f>
        <v>6094000</v>
      </c>
      <c r="P16" s="45">
        <f t="shared" ref="P16:Q16" si="4">+P17+P24</f>
        <v>4000000</v>
      </c>
      <c r="Q16" s="45">
        <f t="shared" si="4"/>
        <v>1400000</v>
      </c>
      <c r="R16" s="46">
        <f t="shared" ref="R16:S16" si="5">+R17+R24</f>
        <v>1386844333.3</v>
      </c>
      <c r="S16" s="47">
        <f t="shared" si="5"/>
        <v>415383190</v>
      </c>
    </row>
    <row r="17" spans="1:19" s="53" customFormat="1" ht="17.25" customHeight="1">
      <c r="A17" s="49" t="s">
        <v>23</v>
      </c>
      <c r="B17" s="50">
        <f>SUM(B18:B23)</f>
        <v>13652166</v>
      </c>
      <c r="C17" s="50">
        <f t="shared" ref="C17:S17" si="6">SUM(C18:C23)</f>
        <v>216755</v>
      </c>
      <c r="D17" s="50">
        <f t="shared" si="6"/>
        <v>1840231</v>
      </c>
      <c r="E17" s="50">
        <f t="shared" si="6"/>
        <v>13815491</v>
      </c>
      <c r="F17" s="50">
        <f t="shared" si="6"/>
        <v>21571286</v>
      </c>
      <c r="G17" s="50">
        <f t="shared" si="6"/>
        <v>56498536</v>
      </c>
      <c r="H17" s="50">
        <f t="shared" si="6"/>
        <v>40692933</v>
      </c>
      <c r="I17" s="50">
        <f t="shared" si="6"/>
        <v>40113402.299999997</v>
      </c>
      <c r="J17" s="50">
        <f t="shared" si="6"/>
        <v>173020019.30000001</v>
      </c>
      <c r="K17" s="50">
        <f t="shared" si="6"/>
        <v>44266012</v>
      </c>
      <c r="L17" s="50">
        <f t="shared" si="6"/>
        <v>39536171</v>
      </c>
      <c r="M17" s="50">
        <f t="shared" si="6"/>
        <v>29241100</v>
      </c>
      <c r="N17" s="50">
        <f t="shared" si="6"/>
        <v>7507182</v>
      </c>
      <c r="O17" s="50">
        <f>SUM(O18:O23)</f>
        <v>1458387</v>
      </c>
      <c r="P17" s="50">
        <f t="shared" ref="P17:Q17" si="7">SUM(P18:P23)</f>
        <v>1134250</v>
      </c>
      <c r="Q17" s="50">
        <f t="shared" si="7"/>
        <v>210000</v>
      </c>
      <c r="R17" s="51">
        <f t="shared" si="6"/>
        <v>296373121.30000001</v>
      </c>
      <c r="S17" s="52">
        <f t="shared" si="6"/>
        <v>79087090</v>
      </c>
    </row>
    <row r="18" spans="1:19" s="42" customFormat="1" ht="14.25" customHeight="1">
      <c r="A18" s="54" t="s">
        <v>24</v>
      </c>
      <c r="B18" s="55">
        <f>+'Tab. 6B Polit społ i rozwój prz'!E13+'Tab. 6D - Oświata'!E15+'Tab. 6A -Drogi'!E14+'Tab. 6E - Administracja'!E15+'Tab. 6G - Roln i ochrona środ.'!E14+'Tab. 6H - Kultura fiz. i turyst'!E13+'Tab.6I - Planow. przestrz.'!E14</f>
        <v>3246576</v>
      </c>
      <c r="C18" s="55">
        <f>+'Tab. 6B Polit społ i rozwój prz'!F13+'Tab. 6D - Oświata'!F15+'Tab. 6A -Drogi'!F14+'Tab. 6E - Administracja'!F15+'Tab. 6G - Roln i ochrona środ.'!F14+'Tab. 6H - Kultura fiz. i turyst'!F13+'Tab.6I - Planow. przestrz.'!F14</f>
        <v>212651</v>
      </c>
      <c r="D18" s="55">
        <f>+'Tab. 6B Polit społ i rozwój prz'!G13+'Tab. 6D - Oświata'!G15+'Tab. 6A -Drogi'!G14+'Tab. 6E - Administracja'!G15+'Tab. 6G - Roln i ochrona środ.'!G14+'Tab. 6H - Kultura fiz. i turyst'!G13+'Tab.6I - Planow. przestrz.'!G14</f>
        <v>1503045</v>
      </c>
      <c r="E18" s="55">
        <f>+'Tab. 6B Polit społ i rozwój prz'!H13+'Tab. 6D - Oświata'!H15+'Tab. 6A -Drogi'!H14+'Tab. 6E - Administracja'!H15+'Tab. 6G - Roln i ochrona środ.'!H14+'Tab. 6H - Kultura fiz. i turyst'!H13+'Tab.6I - Planow. przestrz.'!H14</f>
        <v>2391830</v>
      </c>
      <c r="F18" s="55">
        <f>+'Tab. 6B Polit społ i rozwój prz'!I13+'Tab. 6D - Oświata'!I15+'Tab. 6A -Drogi'!I14+'Tab. 6E - Administracja'!I15+'Tab. 6G - Roln i ochrona środ.'!I14+'Tab. 6H - Kultura fiz. i turyst'!I13+'Tab.6I - Planow. przestrz.'!I14</f>
        <v>8549910</v>
      </c>
      <c r="G18" s="55">
        <f>+'Tab. 6B Polit społ i rozwój prz'!J13+'Tab. 6D - Oświata'!J15+'Tab. 6A -Drogi'!J14+'Tab. 6E - Administracja'!J15+'Tab. 6G - Roln i ochrona środ.'!J14+'Tab. 6H - Kultura fiz. i turyst'!J13+'Tab.6I - Planow. przestrz.'!J14</f>
        <v>11069081</v>
      </c>
      <c r="H18" s="55">
        <f>+'Tab. 6B Polit społ i rozwój prz'!K13+'Tab. 6D - Oświata'!K15+'Tab. 6A -Drogi'!K14+'Tab. 6E - Administracja'!K15+'Tab. 6G - Roln i ochrona środ.'!K14+'Tab. 6H - Kultura fiz. i turyst'!K13+'Tab.6I - Planow. przestrz.'!K14</f>
        <v>10281193</v>
      </c>
      <c r="I18" s="55">
        <f>+'Tab. 6B Polit społ i rozwój prz'!L13+'Tab. 6D - Oświata'!L15+'Tab. 6A -Drogi'!L14+'Tab. 6E - Administracja'!L15+'Tab. 6G - Roln i ochrona środ.'!L14+'Tab. 6H - Kultura fiz. i turyst'!L13+'Tab.6I - Planow. przestrz.'!L14+0.3</f>
        <v>13501460.300000001</v>
      </c>
      <c r="J18" s="55">
        <f>+'Tab. 6B Polit społ i rozwój prz'!M13+'Tab. 6D - Oświata'!M15+'Tab. 6A -Drogi'!M14+'Tab. 6E - Administracja'!M15+'Tab. 6G - Roln i ochrona środ.'!M14+'Tab. 6H - Kultura fiz. i turyst'!M13+'Tab.6I - Planow. przestrz.'!M14+0.3</f>
        <v>47139916.299999997</v>
      </c>
      <c r="K18" s="55">
        <f>+'Tab. 6B Polit społ i rozwój prz'!N13+'Tab. 6D - Oświata'!N15+'Tab. 6A -Drogi'!N14+'Tab. 6E - Administracja'!N15+'Tab. 6G - Roln i ochrona środ.'!N14+'Tab. 6H - Kultura fiz. i turyst'!N13+'Tab.6I - Planow. przestrz.'!N14</f>
        <v>9803479</v>
      </c>
      <c r="L18" s="55">
        <f>+'Tab. 6B Polit społ i rozwój prz'!O13+'Tab. 6D - Oświata'!O15+'Tab. 6A -Drogi'!O14+'Tab. 6E - Administracja'!O15+'Tab. 6G - Roln i ochrona środ.'!O14+'Tab. 6H - Kultura fiz. i turyst'!O13+'Tab.6I - Planow. przestrz.'!O14</f>
        <v>8907092</v>
      </c>
      <c r="M18" s="55">
        <f>+'Tab. 6B Polit społ i rozwój prz'!P13+'Tab. 6D - Oświata'!P15+'Tab. 6A -Drogi'!P14+'Tab. 6E - Administracja'!P15+'Tab. 6G - Roln i ochrona środ.'!P14+'Tab. 6H - Kultura fiz. i turyst'!P13+'Tab.6I - Planow. przestrz.'!P14</f>
        <v>24925193</v>
      </c>
      <c r="N18" s="55">
        <f>+'Tab. 6B Polit społ i rozwój prz'!Q13+'Tab. 6D - Oświata'!Q15+'Tab. 6A -Drogi'!Q14+'Tab. 6E - Administracja'!Q15+'Tab. 6G - Roln i ochrona środ.'!Q14+'Tab. 6H - Kultura fiz. i turyst'!Q13+'Tab.6I - Planow. przestrz.'!Q14</f>
        <v>5887374</v>
      </c>
      <c r="O18" s="55">
        <f>+'Tab. 6B Polit społ i rozwój prz'!R13+'Tab. 6D - Oświata'!R15+'Tab. 6A -Drogi'!R14+'Tab. 6E - Administracja'!R15+'Tab. 6G - Roln i ochrona środ.'!R14+'Tab. 6H - Kultura fiz. i turyst'!R13+'Tab.6I - Planow. przestrz.'!R14</f>
        <v>219137</v>
      </c>
      <c r="P18" s="55">
        <f>+'Tab. 6B Polit społ i rozwój prz'!S13+'Tab. 6D - Oświata'!S15+'Tab. 6A -Drogi'!S14+'Tab. 6E - Administracja'!S15+'Tab. 6G - Roln i ochrona środ.'!S14+'Tab. 6H - Kultura fiz. i turyst'!S13+'Tab.6I - Planow. przestrz.'!S14</f>
        <v>0</v>
      </c>
      <c r="Q18" s="55">
        <f>+'Tab. 6B Polit społ i rozwój prz'!T13+'Tab. 6D - Oświata'!T15+'Tab. 6A -Drogi'!T14+'Tab. 6E - Administracja'!T15+'Tab. 6G - Roln i ochrona środ.'!T14+'Tab. 6H - Kultura fiz. i turyst'!T13+'Tab.6I - Planow. przestrz.'!T14</f>
        <v>0</v>
      </c>
      <c r="R18" s="55">
        <f>SUM(J18:Q18)</f>
        <v>96882191.299999997</v>
      </c>
      <c r="S18" s="30">
        <f>SUM(L18:Q18)</f>
        <v>39938796</v>
      </c>
    </row>
    <row r="19" spans="1:19" s="42" customFormat="1" ht="15.75" customHeight="1">
      <c r="A19" s="57" t="s">
        <v>25</v>
      </c>
      <c r="B19" s="55">
        <f>+'Tab. 6B Polit społ i rozwój prz'!E14+'Tab. 6A -Drogi'!E15+'Tab. 6E - Administracja'!E16+'Tab. 6G - Roln i ochrona środ.'!E15</f>
        <v>535781</v>
      </c>
      <c r="C19" s="55">
        <f>+'Tab. 6B Polit społ i rozwój prz'!F14+'Tab. 6A -Drogi'!F15+'Tab. 6E - Administracja'!F16+'Tab. 6G - Roln i ochrona środ.'!F15</f>
        <v>4104</v>
      </c>
      <c r="D19" s="55">
        <f>+'Tab. 6B Polit społ i rozwój prz'!G14+'Tab. 6A -Drogi'!G15+'Tab. 6E - Administracja'!G16+'Tab. 6G - Roln i ochrona środ.'!G15</f>
        <v>294175</v>
      </c>
      <c r="E19" s="55">
        <f>+'Tab. 6B Polit społ i rozwój prz'!H14+'Tab. 6A -Drogi'!H15+'Tab. 6E - Administracja'!H16+'Tab. 6G - Roln i ochrona środ.'!H15</f>
        <v>901463</v>
      </c>
      <c r="F19" s="55">
        <f>+'Tab. 6B Polit społ i rozwój prz'!I14+'Tab. 6A -Drogi'!I15+'Tab. 6E - Administracja'!I16+'Tab. 6G - Roln i ochrona środ.'!I15</f>
        <v>624623</v>
      </c>
      <c r="G19" s="55">
        <f>+'Tab. 6B Polit społ i rozwój prz'!J14+'Tab. 6A -Drogi'!J15+'Tab. 6E - Administracja'!J16+'Tab. 6G - Roln i ochrona środ.'!J15</f>
        <v>669797</v>
      </c>
      <c r="H19" s="55">
        <f>+'Tab. 6B Polit społ i rozwój prz'!K14+'Tab. 6A -Drogi'!K15+'Tab. 6E - Administracja'!K16+'Tab. 6G - Roln i ochrona środ.'!K15</f>
        <v>944854</v>
      </c>
      <c r="I19" s="55">
        <f>+'Tab. 6B Polit społ i rozwój prz'!L14+'Tab. 6A -Drogi'!L15+'Tab. 6E - Administracja'!L16+'Tab. 6G - Roln i ochrona środ.'!L15</f>
        <v>1288756</v>
      </c>
      <c r="J19" s="55">
        <f>+'Tab. 6B Polit społ i rozwój prz'!M14+'Tab. 6A -Drogi'!M15+'Tab. 6E - Administracja'!M16+'Tab. 6G - Roln i ochrona środ.'!M15</f>
        <v>4063811</v>
      </c>
      <c r="K19" s="55">
        <f>+'Tab. 6B Polit społ i rozwój prz'!N14+'Tab. 6A -Drogi'!N15+'Tab. 6E - Administracja'!N16+'Tab. 6G - Roln i ochrona środ.'!N15</f>
        <v>8600583</v>
      </c>
      <c r="L19" s="55">
        <f>+'Tab. 6B Polit społ i rozwój prz'!O14+'Tab. 6A -Drogi'!O15+'Tab. 6E - Administracja'!O16+'Tab. 6G - Roln i ochrona środ.'!O15</f>
        <v>10043285</v>
      </c>
      <c r="M19" s="55">
        <f>+'Tab. 6B Polit społ i rozwój prz'!P14+'Tab. 6A -Drogi'!P15+'Tab. 6E - Administracja'!P16+'Tab. 6G - Roln i ochrona środ.'!P15</f>
        <v>2345350</v>
      </c>
      <c r="N19" s="55">
        <f>+'Tab. 6B Polit społ i rozwój prz'!Q14+'Tab. 6A -Drogi'!Q15+'Tab. 6E - Administracja'!Q16+'Tab. 6G - Roln i ochrona środ.'!Q15</f>
        <v>1239250</v>
      </c>
      <c r="O19" s="55">
        <f>+'Tab. 6B Polit społ i rozwój prz'!R14+'Tab. 6A -Drogi'!R15+'Tab. 6E - Administracja'!R16+'Tab. 6G - Roln i ochrona środ.'!R15</f>
        <v>1239250</v>
      </c>
      <c r="P19" s="55">
        <f>+'Tab. 6B Polit społ i rozwój prz'!S14+'Tab. 6A -Drogi'!S15+'Tab. 6E - Administracja'!S16+'Tab. 6G - Roln i ochrona środ.'!S15</f>
        <v>1134250</v>
      </c>
      <c r="Q19" s="55">
        <f>+'Tab. 6B Polit społ i rozwój prz'!T14+'Tab. 6A -Drogi'!T15+'Tab. 6E - Administracja'!T16+'Tab. 6G - Roln i ochrona środ.'!T15</f>
        <v>210000</v>
      </c>
      <c r="R19" s="55">
        <f t="shared" ref="R19:R29" si="8">SUM(J19:Q19)</f>
        <v>28875779</v>
      </c>
      <c r="S19" s="30">
        <f t="shared" ref="S19:S29" si="9">SUM(L19:Q19)</f>
        <v>16211385</v>
      </c>
    </row>
    <row r="20" spans="1:19" s="42" customFormat="1" ht="13.5" customHeight="1">
      <c r="A20" s="57" t="s">
        <v>26</v>
      </c>
      <c r="B20" s="55">
        <f>+'Tab. 6G - Roln i ochrona środ.'!E16</f>
        <v>5935894</v>
      </c>
      <c r="C20" s="55">
        <f>+'Tab. 6G - Roln i ochrona środ.'!F16</f>
        <v>0</v>
      </c>
      <c r="D20" s="55">
        <f>+'Tab. 6G - Roln i ochrona środ.'!G16</f>
        <v>0</v>
      </c>
      <c r="E20" s="55">
        <f>+'Tab. 6G - Roln i ochrona środ.'!H16</f>
        <v>6647405</v>
      </c>
      <c r="F20" s="55">
        <f>+'Tab. 6G - Roln i ochrona środ.'!I16</f>
        <v>10285500</v>
      </c>
      <c r="G20" s="55">
        <f>+'Tab. 6G - Roln i ochrona środ.'!J16</f>
        <v>12796084</v>
      </c>
      <c r="H20" s="55">
        <f>+'Tab. 6G - Roln i ochrona środ.'!K16</f>
        <v>12744811</v>
      </c>
      <c r="I20" s="55">
        <f>+'Tab. 6G - Roln i ochrona środ.'!L16</f>
        <v>9659941</v>
      </c>
      <c r="J20" s="55">
        <f>+'Tab. 6G - Roln i ochrona środ.'!M16</f>
        <v>51422230</v>
      </c>
      <c r="K20" s="55">
        <f>+'Tab. 6G - Roln i ochrona środ.'!N16</f>
        <v>9681531</v>
      </c>
      <c r="L20" s="55">
        <f>+'Tab. 6G - Roln i ochrona środ.'!O16</f>
        <v>6806000</v>
      </c>
      <c r="M20" s="55">
        <f>+'Tab. 6G - Roln i ochrona środ.'!P16</f>
        <v>0</v>
      </c>
      <c r="N20" s="55">
        <f>+'Tab. 6G - Roln i ochrona środ.'!Q16</f>
        <v>0</v>
      </c>
      <c r="O20" s="55">
        <f>+'Tab. 6G - Roln i ochrona środ.'!R16</f>
        <v>0</v>
      </c>
      <c r="P20" s="55">
        <f>+'Tab. 6G - Roln i ochrona środ.'!S16</f>
        <v>0</v>
      </c>
      <c r="Q20" s="55">
        <f>+'Tab. 6G - Roln i ochrona środ.'!T16</f>
        <v>0</v>
      </c>
      <c r="R20" s="55">
        <f t="shared" si="8"/>
        <v>67909761</v>
      </c>
      <c r="S20" s="30">
        <f t="shared" si="9"/>
        <v>6806000</v>
      </c>
    </row>
    <row r="21" spans="1:19" s="42" customFormat="1" ht="15.75" customHeight="1">
      <c r="A21" s="57" t="s">
        <v>27</v>
      </c>
      <c r="B21" s="59">
        <f>+'Tab. 6A -Drogi'!E16</f>
        <v>3643961</v>
      </c>
      <c r="C21" s="59">
        <f>+'Tab. 6A -Drogi'!F16</f>
        <v>0</v>
      </c>
      <c r="D21" s="59">
        <f>+'Tab. 6A -Drogi'!G16</f>
        <v>0</v>
      </c>
      <c r="E21" s="59">
        <f>+'Tab. 6A -Drogi'!H16</f>
        <v>3643961</v>
      </c>
      <c r="F21" s="59">
        <f>+'Tab. 6A -Drogi'!I16</f>
        <v>1323420</v>
      </c>
      <c r="G21" s="59">
        <f>+'Tab. 6A -Drogi'!J16</f>
        <v>2000000</v>
      </c>
      <c r="H21" s="59">
        <f>+'Tab. 6A -Drogi'!K16</f>
        <v>5514464</v>
      </c>
      <c r="I21" s="59">
        <f>+'Tab. 6A -Drogi'!L16</f>
        <v>0</v>
      </c>
      <c r="J21" s="59">
        <f>+'Tab. 6A -Drogi'!M16</f>
        <v>12481845</v>
      </c>
      <c r="K21" s="59">
        <f>+'Tab. 6A -Drogi'!N16</f>
        <v>1000000</v>
      </c>
      <c r="L21" s="60">
        <f>+'Tab. 6A -Drogi'!O16</f>
        <v>0</v>
      </c>
      <c r="M21" s="60">
        <f>+'Tab. 6A -Drogi'!P16</f>
        <v>0</v>
      </c>
      <c r="N21" s="60">
        <f>+'Tab. 6A -Drogi'!Q16</f>
        <v>0</v>
      </c>
      <c r="O21" s="60">
        <f>+'Tab. 6A -Drogi'!R16</f>
        <v>0</v>
      </c>
      <c r="P21" s="60">
        <f>+'Tab. 6A -Drogi'!S16</f>
        <v>0</v>
      </c>
      <c r="Q21" s="60">
        <f>+'Tab. 6A -Drogi'!T16</f>
        <v>0</v>
      </c>
      <c r="R21" s="55">
        <f t="shared" si="8"/>
        <v>13481845</v>
      </c>
      <c r="S21" s="30">
        <f t="shared" si="9"/>
        <v>0</v>
      </c>
    </row>
    <row r="22" spans="1:19" s="42" customFormat="1" ht="15.75" customHeight="1">
      <c r="A22" s="57" t="s">
        <v>28</v>
      </c>
      <c r="B22" s="61">
        <f>+'Tab. 6A -Drogi'!E17+'Tab. 6G - Roln i ochrona środ.'!E17</f>
        <v>0</v>
      </c>
      <c r="C22" s="61">
        <f>+'Tab. 6A -Drogi'!F17+'Tab. 6G - Roln i ochrona środ.'!F17</f>
        <v>0</v>
      </c>
      <c r="D22" s="61">
        <f>+'Tab. 6A -Drogi'!G17+'Tab. 6G - Roln i ochrona środ.'!G17</f>
        <v>0</v>
      </c>
      <c r="E22" s="61">
        <f>+'Tab. 6A -Drogi'!H17+'Tab. 6G - Roln i ochrona środ.'!H17</f>
        <v>0</v>
      </c>
      <c r="F22" s="61">
        <f>+'Tab. 6A -Drogi'!I17+'Tab. 6G - Roln i ochrona środ.'!I17</f>
        <v>0</v>
      </c>
      <c r="G22" s="61">
        <f>+'Tab. 6A -Drogi'!J17+'Tab. 6G - Roln i ochrona środ.'!J17</f>
        <v>0</v>
      </c>
      <c r="H22" s="62">
        <f>+'Tab. 6A -Drogi'!K17+'Tab. 6G - Roln i ochrona środ.'!K17</f>
        <v>3801777</v>
      </c>
      <c r="I22" s="62">
        <f>+'Tab. 6A -Drogi'!L17+'Tab. 6G - Roln i ochrona środ.'!L17</f>
        <v>13701339</v>
      </c>
      <c r="J22" s="62">
        <f>+'Tab. 6A -Drogi'!M17+'Tab. 6G - Roln i ochrona środ.'!M17</f>
        <v>17503116</v>
      </c>
      <c r="K22" s="62">
        <f>+'Tab. 6A -Drogi'!N17+'Tab. 6G - Roln i ochrona środ.'!N17</f>
        <v>13586250</v>
      </c>
      <c r="L22" s="62">
        <f>+'Tab. 6A -Drogi'!O17+'Tab. 6G - Roln i ochrona środ.'!O17</f>
        <v>13776763</v>
      </c>
      <c r="M22" s="62">
        <f>+'Tab. 6A -Drogi'!P17+'Tab. 6G - Roln i ochrona środ.'!P17</f>
        <v>1970557</v>
      </c>
      <c r="N22" s="62">
        <f>+'Tab. 6A -Drogi'!Q17+'Tab. 6G - Roln i ochrona środ.'!Q17</f>
        <v>380558</v>
      </c>
      <c r="O22" s="61">
        <f>+'Tab. 6A -Drogi'!R17+'Tab. 6G - Roln i ochrona środ.'!R17</f>
        <v>0</v>
      </c>
      <c r="P22" s="61">
        <f>+'Tab. 6A -Drogi'!S17+'Tab. 6G - Roln i ochrona środ.'!S17</f>
        <v>0</v>
      </c>
      <c r="Q22" s="61">
        <f>+'Tab. 6A -Drogi'!T17+'Tab. 6G - Roln i ochrona środ.'!T17</f>
        <v>0</v>
      </c>
      <c r="R22" s="55">
        <f t="shared" si="8"/>
        <v>47217244</v>
      </c>
      <c r="S22" s="30">
        <f t="shared" si="9"/>
        <v>16127878</v>
      </c>
    </row>
    <row r="23" spans="1:19" s="42" customFormat="1" ht="15.75" customHeight="1">
      <c r="A23" s="57" t="s">
        <v>29</v>
      </c>
      <c r="B23" s="63">
        <f>+'Tab. 6A -Drogi'!E18</f>
        <v>289954</v>
      </c>
      <c r="C23" s="63">
        <f>+'Tab. 6A -Drogi'!F18</f>
        <v>0</v>
      </c>
      <c r="D23" s="63">
        <f>+'Tab. 6A -Drogi'!G18</f>
        <v>43011</v>
      </c>
      <c r="E23" s="63">
        <f>+'Tab. 6A -Drogi'!H18</f>
        <v>230832</v>
      </c>
      <c r="F23" s="63">
        <f>+'Tab. 6A -Drogi'!I18</f>
        <v>787833</v>
      </c>
      <c r="G23" s="63">
        <f>+'Tab. 6A -Drogi'!J18</f>
        <v>29963574</v>
      </c>
      <c r="H23" s="63">
        <f>+'Tab. 6A -Drogi'!K18</f>
        <v>7405834</v>
      </c>
      <c r="I23" s="63">
        <f>+'Tab. 6A -Drogi'!L18</f>
        <v>1961906</v>
      </c>
      <c r="J23" s="63">
        <f>+'Tab. 6A -Drogi'!M18</f>
        <v>40409101</v>
      </c>
      <c r="K23" s="63">
        <f>+'Tab. 6A -Drogi'!N18</f>
        <v>1594169</v>
      </c>
      <c r="L23" s="62">
        <f>+'Tab. 6A -Drogi'!O18</f>
        <v>3031</v>
      </c>
      <c r="M23" s="64">
        <f>+'Tab. 6A -Drogi'!P18</f>
        <v>0</v>
      </c>
      <c r="N23" s="64">
        <f>+'Tab. 6A -Drogi'!Q18</f>
        <v>0</v>
      </c>
      <c r="O23" s="64">
        <f>+'Tab. 6A -Drogi'!R18</f>
        <v>0</v>
      </c>
      <c r="P23" s="64">
        <f>+'Tab. 6A -Drogi'!S18</f>
        <v>0</v>
      </c>
      <c r="Q23" s="64">
        <f>+'Tab. 6A -Drogi'!T18</f>
        <v>0</v>
      </c>
      <c r="R23" s="55">
        <f t="shared" si="8"/>
        <v>42006301</v>
      </c>
      <c r="S23" s="30">
        <f t="shared" si="9"/>
        <v>3031</v>
      </c>
    </row>
    <row r="24" spans="1:19" s="42" customFormat="1" ht="17.25" customHeight="1">
      <c r="A24" s="65" t="s">
        <v>30</v>
      </c>
      <c r="B24" s="66">
        <f>SUM(B25:B29)</f>
        <v>39183326</v>
      </c>
      <c r="C24" s="66">
        <f t="shared" ref="C24:N24" si="10">SUM(C25:C29)</f>
        <v>1944070</v>
      </c>
      <c r="D24" s="66">
        <f t="shared" si="10"/>
        <v>9882648</v>
      </c>
      <c r="E24" s="66">
        <f t="shared" si="10"/>
        <v>32483696</v>
      </c>
      <c r="F24" s="66">
        <f t="shared" si="10"/>
        <v>70857929</v>
      </c>
      <c r="G24" s="66">
        <f t="shared" si="10"/>
        <v>85718163</v>
      </c>
      <c r="H24" s="66">
        <f t="shared" si="10"/>
        <v>127523210</v>
      </c>
      <c r="I24" s="66">
        <f t="shared" si="10"/>
        <v>189392525</v>
      </c>
      <c r="J24" s="66">
        <f t="shared" si="10"/>
        <v>512656858</v>
      </c>
      <c r="K24" s="66">
        <f t="shared" si="10"/>
        <v>241518254</v>
      </c>
      <c r="L24" s="66">
        <f t="shared" si="10"/>
        <v>208323513</v>
      </c>
      <c r="M24" s="66">
        <f t="shared" si="10"/>
        <v>100831093</v>
      </c>
      <c r="N24" s="66">
        <f t="shared" si="10"/>
        <v>18450131</v>
      </c>
      <c r="O24" s="66">
        <f>SUM(O25:O29)</f>
        <v>4635613</v>
      </c>
      <c r="P24" s="66">
        <f t="shared" ref="P24:Q24" si="11">SUM(P25:P29)</f>
        <v>2865750</v>
      </c>
      <c r="Q24" s="66">
        <f t="shared" si="11"/>
        <v>1190000</v>
      </c>
      <c r="R24" s="67">
        <f>SUM(R25:R29)</f>
        <v>1090471212</v>
      </c>
      <c r="S24" s="68">
        <f>SUM(S27:S29)</f>
        <v>336296100</v>
      </c>
    </row>
    <row r="25" spans="1:19" s="42" customFormat="1" ht="15.75" customHeight="1">
      <c r="A25" s="54" t="s">
        <v>24</v>
      </c>
      <c r="B25" s="55">
        <f>+'Tab. 6G - Roln i ochrona środ.'!E19</f>
        <v>3422614</v>
      </c>
      <c r="C25" s="55">
        <f>+'Tab. 6G - Roln i ochrona środ.'!F19</f>
        <v>172045</v>
      </c>
      <c r="D25" s="55">
        <f>+'Tab. 6G - Roln i ochrona środ.'!G19</f>
        <v>1473492</v>
      </c>
      <c r="E25" s="55">
        <f>+'Tab. 6G - Roln i ochrona środ.'!H19</f>
        <v>1744361</v>
      </c>
      <c r="F25" s="55">
        <f>+'Tab. 6G - Roln i ochrona środ.'!I19</f>
        <v>1013833</v>
      </c>
      <c r="G25" s="55">
        <f>+'Tab. 6G - Roln i ochrona środ.'!J19</f>
        <v>657500</v>
      </c>
      <c r="H25" s="55">
        <f>+'Tab. 6G - Roln i ochrona środ.'!K19</f>
        <v>39646</v>
      </c>
      <c r="I25" s="55">
        <f>+'Tab. 6G - Roln i ochrona środ.'!L19</f>
        <v>30059</v>
      </c>
      <c r="J25" s="55">
        <f>+'Tab. 6G - Roln i ochrona środ.'!M19</f>
        <v>5163652</v>
      </c>
      <c r="K25" s="55">
        <f>+'Tab. 6G - Roln i ochrona środ.'!N19</f>
        <v>26051</v>
      </c>
      <c r="L25" s="55">
        <f>+'Tab. 6G - Roln i ochrona środ.'!O19</f>
        <v>0</v>
      </c>
      <c r="M25" s="55">
        <f>+'Tab. 6G - Roln i ochrona środ.'!P19</f>
        <v>0</v>
      </c>
      <c r="N25" s="55">
        <f>+'Tab. 6G - Roln i ochrona środ.'!Q19</f>
        <v>0</v>
      </c>
      <c r="O25" s="55">
        <f>+'Tab. 6G - Roln i ochrona środ.'!R19</f>
        <v>0</v>
      </c>
      <c r="P25" s="55">
        <f>+'Tab. 6G - Roln i ochrona środ.'!S19</f>
        <v>0</v>
      </c>
      <c r="Q25" s="55">
        <f>+'Tab. 6G - Roln i ochrona środ.'!T19</f>
        <v>0</v>
      </c>
      <c r="R25" s="55">
        <f t="shared" si="8"/>
        <v>5189703</v>
      </c>
      <c r="S25" s="30">
        <f t="shared" si="9"/>
        <v>0</v>
      </c>
    </row>
    <row r="26" spans="1:19" s="42" customFormat="1" ht="13.5" customHeight="1">
      <c r="A26" s="54" t="s">
        <v>31</v>
      </c>
      <c r="B26" s="58">
        <f>+'Tab. 6A -Drogi'!E22</f>
        <v>0</v>
      </c>
      <c r="C26" s="58">
        <f>+'Tab. 6A -Drogi'!F22</f>
        <v>0</v>
      </c>
      <c r="D26" s="58">
        <f>+'Tab. 6A -Drogi'!G22</f>
        <v>0</v>
      </c>
      <c r="E26" s="58">
        <f>+'Tab. 6A -Drogi'!H22</f>
        <v>0</v>
      </c>
      <c r="F26" s="58">
        <f>+'Tab. 6A -Drogi'!I22</f>
        <v>0</v>
      </c>
      <c r="G26" s="58">
        <f>+'Tab. 6A -Drogi'!J22</f>
        <v>0</v>
      </c>
      <c r="H26" s="58">
        <f>+'Tab. 6A -Drogi'!K22</f>
        <v>0</v>
      </c>
      <c r="I26" s="55">
        <f>+'Tab. 6A -Drogi'!L22</f>
        <v>0</v>
      </c>
      <c r="J26" s="55">
        <f>+'Tab. 6A -Drogi'!M22</f>
        <v>0</v>
      </c>
      <c r="K26" s="55">
        <f>+'Tab. 6A -Drogi'!N22</f>
        <v>0</v>
      </c>
      <c r="L26" s="55">
        <f>+'Tab. 6A -Drogi'!O22</f>
        <v>0</v>
      </c>
      <c r="M26" s="55">
        <f>+'Tab. 6A -Drogi'!P22</f>
        <v>0</v>
      </c>
      <c r="N26" s="55">
        <f>+'Tab. 6A -Drogi'!Q22</f>
        <v>0</v>
      </c>
      <c r="O26" s="55">
        <f>+'Tab. 6A -Drogi'!R22</f>
        <v>0</v>
      </c>
      <c r="P26" s="55">
        <f>+'Tab. 6A -Drogi'!S22</f>
        <v>0</v>
      </c>
      <c r="Q26" s="55">
        <f>+'Tab. 6A -Drogi'!T22</f>
        <v>0</v>
      </c>
      <c r="R26" s="55">
        <f t="shared" si="8"/>
        <v>0</v>
      </c>
      <c r="S26" s="30">
        <f t="shared" si="9"/>
        <v>0</v>
      </c>
    </row>
    <row r="27" spans="1:19" s="42" customFormat="1" ht="14.25" customHeight="1">
      <c r="A27" s="57" t="s">
        <v>32</v>
      </c>
      <c r="B27" s="58">
        <f>+'Tab. 6D - Oświata'!E17+'Tab. 6A -Drogi'!E20+'Tab. 6G - Roln i ochrona środ.'!E22</f>
        <v>0</v>
      </c>
      <c r="C27" s="55">
        <f>+'Tab. 6D - Oświata'!F17+'Tab. 6A -Drogi'!F20+'Tab. 6G - Roln i ochrona środ.'!F22</f>
        <v>0</v>
      </c>
      <c r="D27" s="55">
        <f>+'Tab. 6D - Oświata'!G17+'Tab. 6A -Drogi'!G20+'Tab. 6G - Roln i ochrona środ.'!G22</f>
        <v>0</v>
      </c>
      <c r="E27" s="55">
        <f>+'Tab. 6D - Oświata'!H17+'Tab. 6A -Drogi'!H20+'Tab. 6G - Roln i ochrona środ.'!H22</f>
        <v>0</v>
      </c>
      <c r="F27" s="55">
        <f>+'Tab. 6D - Oświata'!I17+'Tab. 6A -Drogi'!I20+'Tab. 6G - Roln i ochrona środ.'!I22</f>
        <v>829536</v>
      </c>
      <c r="G27" s="55">
        <f>+'Tab. 6D - Oświata'!J17+'Tab. 6A -Drogi'!J20+'Tab. 6G - Roln i ochrona środ.'!J22</f>
        <v>4707541</v>
      </c>
      <c r="H27" s="55">
        <f>+'Tab. 6D - Oświata'!K17+'Tab. 6A -Drogi'!K20+'Tab. 6G - Roln i ochrona środ.'!K22</f>
        <v>2188317</v>
      </c>
      <c r="I27" s="55">
        <f>+'Tab. 6D - Oświata'!L17+'Tab. 6A -Drogi'!L20+'Tab. 6G - Roln i ochrona środ.'!L22</f>
        <v>1192714</v>
      </c>
      <c r="J27" s="55">
        <f>+'Tab. 6D - Oświata'!M17+'Tab. 6A -Drogi'!M20+'Tab. 6G - Roln i ochrona środ.'!M22</f>
        <v>8901608</v>
      </c>
      <c r="K27" s="55">
        <f>+'Tab. 6D - Oświata'!N17+'Tab. 6A -Drogi'!N20+'Tab. 6G - Roln i ochrona środ.'!N22</f>
        <v>3238709</v>
      </c>
      <c r="L27" s="55">
        <f>+'Tab. 6D - Oświata'!O17+'Tab. 6A -Drogi'!O20+'Tab. 6G - Roln i ochrona środ.'!O22</f>
        <v>7641625</v>
      </c>
      <c r="M27" s="55">
        <f>+'Tab. 6D - Oświata'!P17+'Tab. 6A -Drogi'!P20+'Tab. 6G - Roln i ochrona środ.'!P22</f>
        <v>3911602</v>
      </c>
      <c r="N27" s="55">
        <f>+'Tab. 6D - Oświata'!Q17+'Tab. 6A -Drogi'!Q20+'Tab. 6G - Roln i ochrona środ.'!Q22</f>
        <v>223846</v>
      </c>
      <c r="O27" s="55">
        <f>+'Tab. 6D - Oświata'!R17+'Tab. 6A -Drogi'!R20+'Tab. 6G - Roln i ochrona środ.'!R22</f>
        <v>0</v>
      </c>
      <c r="P27" s="55">
        <f>+'Tab. 6D - Oświata'!S17+'Tab. 6A -Drogi'!S20+'Tab. 6G - Roln i ochrona środ.'!S22</f>
        <v>0</v>
      </c>
      <c r="Q27" s="55">
        <f>+'Tab. 6D - Oświata'!T17+'Tab. 6A -Drogi'!T20+'Tab. 6G - Roln i ochrona środ.'!T22</f>
        <v>0</v>
      </c>
      <c r="R27" s="55">
        <f t="shared" si="8"/>
        <v>23917390</v>
      </c>
      <c r="S27" s="30">
        <f t="shared" si="9"/>
        <v>11777073</v>
      </c>
    </row>
    <row r="28" spans="1:19" s="42" customFormat="1" ht="14.25" customHeight="1">
      <c r="A28" s="57" t="s">
        <v>26</v>
      </c>
      <c r="B28" s="59">
        <f>+'Tab. 6G - Roln i ochrona środ.'!E21</f>
        <v>10594223</v>
      </c>
      <c r="C28" s="59">
        <f>+'Tab. 6G - Roln i ochrona środ.'!F21</f>
        <v>0</v>
      </c>
      <c r="D28" s="59">
        <f>+'Tab. 6G - Roln i ochrona środ.'!G21</f>
        <v>0</v>
      </c>
      <c r="E28" s="59">
        <f>+'Tab. 6G - Roln i ochrona środ.'!H21</f>
        <v>3058368</v>
      </c>
      <c r="F28" s="59">
        <f>+'Tab. 6G - Roln i ochrona środ.'!I21</f>
        <v>17692550</v>
      </c>
      <c r="G28" s="59">
        <f>+'Tab. 6G - Roln i ochrona środ.'!J21</f>
        <v>2998223</v>
      </c>
      <c r="H28" s="59">
        <f>+'Tab. 6G - Roln i ochrona środ.'!K21</f>
        <v>3753212</v>
      </c>
      <c r="I28" s="59">
        <f>+'Tab. 6G - Roln i ochrona środ.'!L21</f>
        <v>4711864</v>
      </c>
      <c r="J28" s="59">
        <f>+'Tab. 6G - Roln i ochrona środ.'!M21</f>
        <v>39750072</v>
      </c>
      <c r="K28" s="59">
        <f>+'Tab. 6G - Roln i ochrona środ.'!N21</f>
        <v>4433074</v>
      </c>
      <c r="L28" s="59">
        <f>+'Tab. 6G - Roln i ochrona środ.'!O21</f>
        <v>1950000</v>
      </c>
      <c r="M28" s="59">
        <f>+'Tab. 6G - Roln i ochrona środ.'!P21</f>
        <v>0</v>
      </c>
      <c r="N28" s="59">
        <f>+'Tab. 6G - Roln i ochrona środ.'!Q21</f>
        <v>0</v>
      </c>
      <c r="O28" s="59">
        <f>+'Tab. 6G - Roln i ochrona środ.'!R21</f>
        <v>0</v>
      </c>
      <c r="P28" s="59">
        <f>+'Tab. 6G - Roln i ochrona środ.'!S21</f>
        <v>0</v>
      </c>
      <c r="Q28" s="59">
        <f>+'Tab. 6G - Roln i ochrona środ.'!T21</f>
        <v>0</v>
      </c>
      <c r="R28" s="55">
        <f t="shared" si="8"/>
        <v>46133146</v>
      </c>
      <c r="S28" s="30">
        <f t="shared" si="9"/>
        <v>1950000</v>
      </c>
    </row>
    <row r="29" spans="1:19" s="42" customFormat="1" ht="14.25" customHeight="1">
      <c r="A29" s="57" t="s">
        <v>33</v>
      </c>
      <c r="B29" s="59">
        <f>+'Tab. 6B Polit społ i rozwój prz'!E16+'Tab. 6A -Drogi'!E21+'Tab. 6E - Administracja'!E18+'Tab. 6G - Roln i ochrona środ.'!E20+'Tab. 6H - Kultura fiz. i turyst'!E15+'Tab.6I - Planow. przestrz.'!E16</f>
        <v>25166489</v>
      </c>
      <c r="C29" s="1838">
        <f>+'Tab. 6B Polit społ i rozwój prz'!F16+'Tab. 6A -Drogi'!F21+'Tab. 6E - Administracja'!F18+'Tab. 6G - Roln i ochrona środ.'!F20+'Tab. 6H - Kultura fiz. i turyst'!F15+'Tab.6I - Planow. przestrz.'!F16</f>
        <v>1772025</v>
      </c>
      <c r="D29" s="1838">
        <f>+'Tab. 6B Polit społ i rozwój prz'!G16+'Tab. 6A -Drogi'!G21+'Tab. 6E - Administracja'!G18+'Tab. 6G - Roln i ochrona środ.'!G20+'Tab. 6H - Kultura fiz. i turyst'!G15+'Tab.6I - Planow. przestrz.'!G16</f>
        <v>8409156</v>
      </c>
      <c r="E29" s="1838">
        <f>+'Tab. 6B Polit społ i rozwój prz'!H16+'Tab. 6A -Drogi'!H21+'Tab. 6E - Administracja'!H18+'Tab. 6G - Roln i ochrona środ.'!H20+'Tab. 6H - Kultura fiz. i turyst'!H15+'Tab.6I - Planow. przestrz.'!H16</f>
        <v>27680967</v>
      </c>
      <c r="F29" s="59">
        <f>+'Tab. 6B Polit społ i rozwój prz'!I16+'Tab. 6A -Drogi'!I21+'Tab. 6E - Administracja'!I18+'Tab. 6G - Roln i ochrona środ.'!I20+'Tab. 6H - Kultura fiz. i turyst'!I15+'Tab.6I - Planow. przestrz.'!I16</f>
        <v>51322010</v>
      </c>
      <c r="G29" s="59">
        <f>+'Tab. 6B Polit społ i rozwój prz'!J16+'Tab. 6A -Drogi'!J21+'Tab. 6E - Administracja'!J18+'Tab. 6G - Roln i ochrona środ.'!J20+'Tab. 6H - Kultura fiz. i turyst'!J15+'Tab.6I - Planow. przestrz.'!J16</f>
        <v>77354899</v>
      </c>
      <c r="H29" s="59">
        <f>+'Tab. 6B Polit społ i rozwój prz'!K16+'Tab. 6A -Drogi'!K21+'Tab. 6E - Administracja'!K18+'Tab. 6G - Roln i ochrona środ.'!K20+'Tab. 6H - Kultura fiz. i turyst'!K15+'Tab.6I - Planow. przestrz.'!K16</f>
        <v>121542035</v>
      </c>
      <c r="I29" s="59">
        <f>+'Tab. 6B Polit społ i rozwój prz'!L16+'Tab. 6A -Drogi'!L21+'Tab. 6E - Administracja'!L18+'Tab. 6G - Roln i ochrona środ.'!L20+'Tab. 6H - Kultura fiz. i turyst'!L15+'Tab.6I - Planow. przestrz.'!L16</f>
        <v>183457888</v>
      </c>
      <c r="J29" s="59">
        <f>+'Tab. 6B Polit społ i rozwój prz'!M16+'Tab. 6A -Drogi'!M21+'Tab. 6E - Administracja'!M18+'Tab. 6G - Roln i ochrona środ.'!M20+'Tab. 6H - Kultura fiz. i turyst'!M15+'Tab.6I - Planow. przestrz.'!M16</f>
        <v>458841526</v>
      </c>
      <c r="K29" s="59">
        <f>+'Tab. 6B Polit społ i rozwój prz'!N16+'Tab. 6A -Drogi'!N21+'Tab. 6E - Administracja'!N18+'Tab. 6G - Roln i ochrona środ.'!N20+'Tab. 6H - Kultura fiz. i turyst'!N15+'Tab.6I - Planow. przestrz.'!N16</f>
        <v>233820420</v>
      </c>
      <c r="L29" s="59">
        <f>+'Tab. 6B Polit społ i rozwój prz'!O16+'Tab. 6A -Drogi'!O21+'Tab. 6E - Administracja'!O18+'Tab. 6G - Roln i ochrona środ.'!O20+'Tab. 6H - Kultura fiz. i turyst'!O15+'Tab.6I - Planow. przestrz.'!O16</f>
        <v>198731888</v>
      </c>
      <c r="M29" s="59">
        <f>+'Tab. 6B Polit społ i rozwój prz'!P16+'Tab. 6A -Drogi'!P21+'Tab. 6E - Administracja'!P18+'Tab. 6G - Roln i ochrona środ.'!P20+'Tab. 6H - Kultura fiz. i turyst'!P15+'Tab.6I - Planow. przestrz.'!P16</f>
        <v>96919491</v>
      </c>
      <c r="N29" s="59">
        <f>+'Tab. 6B Polit społ i rozwój prz'!Q16+'Tab. 6A -Drogi'!Q21+'Tab. 6E - Administracja'!Q18+'Tab. 6G - Roln i ochrona środ.'!Q20+'Tab. 6H - Kultura fiz. i turyst'!Q15+'Tab.6I - Planow. przestrz.'!Q16</f>
        <v>18226285</v>
      </c>
      <c r="O29" s="59">
        <f>+'Tab. 6B Polit społ i rozwój prz'!R16+'Tab. 6A -Drogi'!R21+'Tab. 6E - Administracja'!R18+'Tab. 6G - Roln i ochrona środ.'!R20+'Tab. 6H - Kultura fiz. i turyst'!R15+'Tab.6I - Planow. przestrz.'!R16</f>
        <v>4635613</v>
      </c>
      <c r="P29" s="59">
        <f>+'Tab. 6B Polit społ i rozwój prz'!S16+'Tab. 6A -Drogi'!S21+'Tab. 6E - Administracja'!S18+'Tab. 6G - Roln i ochrona środ.'!S20+'Tab. 6H - Kultura fiz. i turyst'!S15+'Tab.6I - Planow. przestrz.'!S16</f>
        <v>2865750</v>
      </c>
      <c r="Q29" s="59">
        <f>+'Tab. 6B Polit społ i rozwój prz'!T16+'Tab. 6A -Drogi'!T21+'Tab. 6E - Administracja'!T18+'Tab. 6G - Roln i ochrona środ.'!T20+'Tab. 6H - Kultura fiz. i turyst'!T15+'Tab.6I - Planow. przestrz.'!T16</f>
        <v>1190000</v>
      </c>
      <c r="R29" s="55">
        <f t="shared" si="8"/>
        <v>1015230973</v>
      </c>
      <c r="S29" s="30">
        <f t="shared" si="9"/>
        <v>322569027</v>
      </c>
    </row>
    <row r="30" spans="1:19" s="74" customFormat="1" ht="15.75" customHeight="1">
      <c r="A30" s="69" t="s">
        <v>34</v>
      </c>
      <c r="B30" s="70">
        <f t="shared" ref="B30:O30" si="12">+B31+B39</f>
        <v>41338159</v>
      </c>
      <c r="C30" s="71">
        <f>+C31+C39</f>
        <v>312784</v>
      </c>
      <c r="D30" s="71">
        <f t="shared" si="12"/>
        <v>8350472</v>
      </c>
      <c r="E30" s="71">
        <f t="shared" si="12"/>
        <v>39846744</v>
      </c>
      <c r="F30" s="72">
        <f t="shared" si="12"/>
        <v>74623419</v>
      </c>
      <c r="G30" s="72">
        <f t="shared" si="12"/>
        <v>125527960</v>
      </c>
      <c r="H30" s="72">
        <f t="shared" si="12"/>
        <v>170233575</v>
      </c>
      <c r="I30" s="72">
        <f>+I31+I39</f>
        <v>201664999</v>
      </c>
      <c r="J30" s="72">
        <f>+J31+J39</f>
        <v>613334029</v>
      </c>
      <c r="K30" s="72">
        <f t="shared" si="12"/>
        <v>272584232</v>
      </c>
      <c r="L30" s="72">
        <f>+L31+L39</f>
        <v>239433628</v>
      </c>
      <c r="M30" s="72">
        <f t="shared" si="12"/>
        <v>132966895</v>
      </c>
      <c r="N30" s="72">
        <f t="shared" si="12"/>
        <v>30483833</v>
      </c>
      <c r="O30" s="72">
        <f t="shared" si="12"/>
        <v>5898968</v>
      </c>
      <c r="P30" s="72">
        <f t="shared" ref="P30:Q30" si="13">+P31+P39</f>
        <v>4000000</v>
      </c>
      <c r="Q30" s="72">
        <f t="shared" si="13"/>
        <v>1400000</v>
      </c>
      <c r="R30" s="73">
        <f>+R31+R39</f>
        <v>1300101585</v>
      </c>
      <c r="S30" s="2405" t="s">
        <v>35</v>
      </c>
    </row>
    <row r="31" spans="1:19" s="42" customFormat="1" ht="17.25" customHeight="1">
      <c r="A31" s="65" t="s">
        <v>36</v>
      </c>
      <c r="B31" s="75">
        <f>SUM(B32:B38)</f>
        <v>6409395</v>
      </c>
      <c r="C31" s="75">
        <f t="shared" ref="C31:R31" si="14">SUM(C32:C38)</f>
        <v>4104</v>
      </c>
      <c r="D31" s="75">
        <f t="shared" si="14"/>
        <v>294175</v>
      </c>
      <c r="E31" s="75">
        <f t="shared" si="14"/>
        <v>7548868</v>
      </c>
      <c r="F31" s="75">
        <f t="shared" si="14"/>
        <v>16348890</v>
      </c>
      <c r="G31" s="75">
        <f t="shared" si="14"/>
        <v>40435718</v>
      </c>
      <c r="H31" s="75">
        <f t="shared" si="14"/>
        <v>43743950</v>
      </c>
      <c r="I31" s="75">
        <f t="shared" si="14"/>
        <v>27111597</v>
      </c>
      <c r="J31" s="75">
        <f t="shared" ref="J31" si="15">SUM(J32:J38)</f>
        <v>134049550</v>
      </c>
      <c r="K31" s="75">
        <f t="shared" si="14"/>
        <v>28445429</v>
      </c>
      <c r="L31" s="75">
        <f t="shared" si="14"/>
        <v>30946097</v>
      </c>
      <c r="M31" s="75">
        <f t="shared" si="14"/>
        <v>4335989</v>
      </c>
      <c r="N31" s="75">
        <f t="shared" si="14"/>
        <v>1619808</v>
      </c>
      <c r="O31" s="75">
        <f t="shared" si="14"/>
        <v>1239250</v>
      </c>
      <c r="P31" s="75">
        <f t="shared" ref="P31:Q31" si="16">SUM(P32:P38)</f>
        <v>1134250</v>
      </c>
      <c r="Q31" s="75">
        <f t="shared" si="16"/>
        <v>210000</v>
      </c>
      <c r="R31" s="75">
        <f t="shared" si="14"/>
        <v>201980373</v>
      </c>
      <c r="S31" s="2406"/>
    </row>
    <row r="32" spans="1:19" s="42" customFormat="1" ht="14.25" customHeight="1">
      <c r="A32" s="57" t="s">
        <v>25</v>
      </c>
      <c r="B32" s="76">
        <f>+'Tab. 6B Polit społ i rozwój prz'!E19+'Tab. 6A -Drogi'!E25+'Tab. 6E - Administracja'!E21+'Tab. 6G - Roln i ochrona środ.'!E25</f>
        <v>473501</v>
      </c>
      <c r="C32" s="1839">
        <f>+'Tab. 6B Polit społ i rozwój prz'!F19+'Tab. 6A -Drogi'!F25+'Tab. 6E - Administracja'!F21+'Tab. 6G - Roln i ochrona środ.'!F25</f>
        <v>4104</v>
      </c>
      <c r="D32" s="1839">
        <f>+'Tab. 6B Polit społ i rozwój prz'!G19+'Tab. 6A -Drogi'!G25+'Tab. 6E - Administracja'!G21+'Tab. 6G - Roln i ochrona środ.'!G25</f>
        <v>294175</v>
      </c>
      <c r="E32" s="1839">
        <f>+'Tab. 6B Polit społ i rozwój prz'!H19+'Tab. 6A -Drogi'!H25+'Tab. 6E - Administracja'!H21+'Tab. 6G - Roln i ochrona środ.'!H25</f>
        <v>901463</v>
      </c>
      <c r="F32" s="76">
        <f>+'Tab. 6B Polit społ i rozwój prz'!I19+'Tab. 6A -Drogi'!I25+'Tab. 6E - Administracja'!I21+'Tab. 6G - Roln i ochrona środ.'!I25</f>
        <v>642141</v>
      </c>
      <c r="G32" s="76">
        <f>+'Tab. 6B Polit społ i rozwój prz'!J19+'Tab. 6A -Drogi'!J25+'Tab. 6E - Administracja'!J21+'Tab. 6G - Roln i ochrona środ.'!J25</f>
        <v>686565</v>
      </c>
      <c r="H32" s="76">
        <f>+'Tab. 6B Polit społ i rozwój prz'!K19+'Tab. 6A -Drogi'!K25+'Tab. 6E - Administracja'!K21+'Tab. 6G - Roln i ochrona środ.'!K25</f>
        <v>945239</v>
      </c>
      <c r="I32" s="76">
        <f>+'Tab. 6B Polit społ i rozwój prz'!L19+'Tab. 6A -Drogi'!L25+'Tab. 6E - Administracja'!L21+'Tab. 6G - Roln i ochrona środ.'!L25</f>
        <v>1276468</v>
      </c>
      <c r="J32" s="76">
        <f>+'Tab. 6B Polit społ i rozwój prz'!M19+'Tab. 6A -Drogi'!M25+'Tab. 6E - Administracja'!M21+'Tab. 6G - Roln i ochrona środ.'!M25</f>
        <v>4023914</v>
      </c>
      <c r="K32" s="76">
        <f>+'Tab. 6B Polit społ i rozwój prz'!N19+'Tab. 6A -Drogi'!N25+'Tab. 6E - Administracja'!N21+'Tab. 6G - Roln i ochrona środ.'!N25</f>
        <v>8624277</v>
      </c>
      <c r="L32" s="76">
        <f>+'Tab. 6B Polit społ i rozwój prz'!O19+'Tab. 6A -Drogi'!O25+'Tab. 6E - Administracja'!O21+'Tab. 6G - Roln i ochrona środ.'!O25</f>
        <v>10039406</v>
      </c>
      <c r="M32" s="76">
        <f>+'Tab. 6B Polit społ i rozwój prz'!P19+'Tab. 6A -Drogi'!P25+'Tab. 6E - Administracja'!P21+'Tab. 6G - Roln i ochrona środ.'!P25</f>
        <v>2365432</v>
      </c>
      <c r="N32" s="76">
        <f>+'Tab. 6B Polit społ i rozwój prz'!Q19+'Tab. 6A -Drogi'!Q25+'Tab. 6E - Administracja'!Q21+'Tab. 6G - Roln i ochrona środ.'!Q25</f>
        <v>1239250</v>
      </c>
      <c r="O32" s="76">
        <f>+'Tab. 6B Polit społ i rozwój prz'!R19+'Tab. 6A -Drogi'!R25+'Tab. 6E - Administracja'!R21+'Tab. 6G - Roln i ochrona środ.'!R25</f>
        <v>1239250</v>
      </c>
      <c r="P32" s="76">
        <f>+'Tab. 6B Polit społ i rozwój prz'!S19+'Tab. 6A -Drogi'!S25+'Tab. 6E - Administracja'!S21+'Tab. 6G - Roln i ochrona środ.'!S25</f>
        <v>1134250</v>
      </c>
      <c r="Q32" s="76">
        <f>+'Tab. 6B Polit społ i rozwój prz'!T19+'Tab. 6A -Drogi'!T25+'Tab. 6E - Administracja'!T21+'Tab. 6G - Roln i ochrona środ.'!T25</f>
        <v>210000</v>
      </c>
      <c r="R32" s="55">
        <f t="shared" ref="R32:R38" si="17">SUM(J32:Q32)</f>
        <v>28875779</v>
      </c>
      <c r="S32" s="2406"/>
    </row>
    <row r="33" spans="1:19" s="42" customFormat="1">
      <c r="A33" s="57" t="s">
        <v>37</v>
      </c>
      <c r="B33" s="78">
        <f>+'Tab. 6G - Roln i ochrona środ.'!E28</f>
        <v>0</v>
      </c>
      <c r="C33" s="77">
        <f>+'Tab. 6G - Roln i ochrona środ.'!F28</f>
        <v>0</v>
      </c>
      <c r="D33" s="77">
        <f>+'Tab. 6G - Roln i ochrona środ.'!G28</f>
        <v>0</v>
      </c>
      <c r="E33" s="77">
        <f>+'Tab. 6G - Roln i ochrona środ.'!H28</f>
        <v>0</v>
      </c>
      <c r="F33" s="76">
        <f>+'Tab. 6G - Roln i ochrona środ.'!I28</f>
        <v>453868</v>
      </c>
      <c r="G33" s="76">
        <f>+'Tab. 6G - Roln i ochrona środ.'!J28</f>
        <v>569798</v>
      </c>
      <c r="H33" s="76">
        <f>+'Tab. 6G - Roln i ochrona środ.'!K28</f>
        <v>474487</v>
      </c>
      <c r="I33" s="76">
        <f>+'Tab. 6G - Roln i ochrona środ.'!L28</f>
        <v>126548</v>
      </c>
      <c r="J33" s="76">
        <f>+'Tab. 6G - Roln i ochrona środ.'!M28</f>
        <v>1624701</v>
      </c>
      <c r="K33" s="76">
        <f>+'Tab. 6G - Roln i ochrona środ.'!N28</f>
        <v>14577</v>
      </c>
      <c r="L33" s="76">
        <f>+'Tab. 6G - Roln i ochrona środ.'!O28</f>
        <v>8684</v>
      </c>
      <c r="M33" s="78">
        <f>+'Tab. 6G - Roln i ochrona środ.'!P28</f>
        <v>0</v>
      </c>
      <c r="N33" s="78">
        <f>+'Tab. 6G - Roln i ochrona środ.'!Q28</f>
        <v>0</v>
      </c>
      <c r="O33" s="78">
        <f>+'Tab. 6G - Roln i ochrona środ.'!R28</f>
        <v>0</v>
      </c>
      <c r="P33" s="78">
        <f>+'Tab. 6G - Roln i ochrona środ.'!S28</f>
        <v>0</v>
      </c>
      <c r="Q33" s="78">
        <f>+'Tab. 6G - Roln i ochrona środ.'!T28</f>
        <v>0</v>
      </c>
      <c r="R33" s="55">
        <f t="shared" si="17"/>
        <v>1647962</v>
      </c>
      <c r="S33" s="2406"/>
    </row>
    <row r="34" spans="1:19" s="42" customFormat="1" ht="14.25" customHeight="1">
      <c r="A34" s="57" t="s">
        <v>26</v>
      </c>
      <c r="B34" s="76">
        <f>+'Tab. 6G - Roln i ochrona środ.'!E26</f>
        <v>5935894</v>
      </c>
      <c r="C34" s="77">
        <f>+'Tab. 6G - Roln i ochrona środ.'!F26</f>
        <v>0</v>
      </c>
      <c r="D34" s="77">
        <f>+'Tab. 6G - Roln i ochrona środ.'!G26</f>
        <v>0</v>
      </c>
      <c r="E34" s="77">
        <f>+'Tab. 6G - Roln i ochrona środ.'!H26</f>
        <v>6647405</v>
      </c>
      <c r="F34" s="76">
        <f>+'Tab. 6G - Roln i ochrona środ.'!I26</f>
        <v>10285500</v>
      </c>
      <c r="G34" s="76">
        <f>+'Tab. 6G - Roln i ochrona środ.'!J26</f>
        <v>12796084</v>
      </c>
      <c r="H34" s="76">
        <f>+'Tab. 6G - Roln i ochrona środ.'!K26</f>
        <v>12744811</v>
      </c>
      <c r="I34" s="76">
        <f>+'Tab. 6G - Roln i ochrona środ.'!L26</f>
        <v>9659941</v>
      </c>
      <c r="J34" s="76">
        <f>+'Tab. 6G - Roln i ochrona środ.'!M26</f>
        <v>51422230</v>
      </c>
      <c r="K34" s="76">
        <f>+'Tab. 6G - Roln i ochrona środ.'!N26</f>
        <v>9681531</v>
      </c>
      <c r="L34" s="76">
        <f>+'Tab. 6G - Roln i ochrona środ.'!O26</f>
        <v>6806000</v>
      </c>
      <c r="M34" s="76">
        <f>+'Tab. 6G - Roln i ochrona środ.'!P26</f>
        <v>0</v>
      </c>
      <c r="N34" s="76">
        <f>+'Tab. 6G - Roln i ochrona środ.'!Q26</f>
        <v>0</v>
      </c>
      <c r="O34" s="76">
        <f>+'Tab. 6G - Roln i ochrona środ.'!R26</f>
        <v>0</v>
      </c>
      <c r="P34" s="76">
        <f>+'Tab. 6G - Roln i ochrona środ.'!S26</f>
        <v>0</v>
      </c>
      <c r="Q34" s="76">
        <f>+'Tab. 6G - Roln i ochrona środ.'!T26</f>
        <v>0</v>
      </c>
      <c r="R34" s="55">
        <f t="shared" si="17"/>
        <v>67909761</v>
      </c>
      <c r="S34" s="2406"/>
    </row>
    <row r="35" spans="1:19" s="42" customFormat="1" ht="14.25" customHeight="1">
      <c r="A35" s="57" t="s">
        <v>27</v>
      </c>
      <c r="B35" s="58">
        <f>+'Tab. 6A -Drogi'!E26</f>
        <v>0</v>
      </c>
      <c r="C35" s="55">
        <f>+'Tab. 6A -Drogi'!F26</f>
        <v>0</v>
      </c>
      <c r="D35" s="55">
        <f>+'Tab. 6A -Drogi'!G26</f>
        <v>0</v>
      </c>
      <c r="E35" s="55">
        <f>+'Tab. 6A -Drogi'!H26</f>
        <v>0</v>
      </c>
      <c r="F35" s="55">
        <f>+'Tab. 6A -Drogi'!I26</f>
        <v>4967381</v>
      </c>
      <c r="G35" s="55">
        <f>+'Tab. 6A -Drogi'!J26</f>
        <v>2000000</v>
      </c>
      <c r="H35" s="55">
        <f>+'Tab. 6A -Drogi'!K26</f>
        <v>3524600</v>
      </c>
      <c r="I35" s="55">
        <f>+'Tab. 6A -Drogi'!L26</f>
        <v>1989864</v>
      </c>
      <c r="J35" s="55">
        <f>+'Tab. 6A -Drogi'!M26</f>
        <v>12481845</v>
      </c>
      <c r="K35" s="55">
        <f>+'Tab. 6A -Drogi'!N26</f>
        <v>1000000</v>
      </c>
      <c r="L35" s="58">
        <f>+'Tab. 6A -Drogi'!O26</f>
        <v>0</v>
      </c>
      <c r="M35" s="58">
        <f>+'Tab. 6A -Drogi'!P26</f>
        <v>0</v>
      </c>
      <c r="N35" s="58">
        <f>+'Tab. 6A -Drogi'!Q26</f>
        <v>0</v>
      </c>
      <c r="O35" s="58">
        <f>+'Tab. 6A -Drogi'!R26</f>
        <v>0</v>
      </c>
      <c r="P35" s="58">
        <f>+'Tab. 6A -Drogi'!S26</f>
        <v>0</v>
      </c>
      <c r="Q35" s="58">
        <f>+'Tab. 6A -Drogi'!T26</f>
        <v>0</v>
      </c>
      <c r="R35" s="55">
        <f t="shared" si="17"/>
        <v>13481845</v>
      </c>
      <c r="S35" s="2406"/>
    </row>
    <row r="36" spans="1:19" s="42" customFormat="1">
      <c r="A36" s="57" t="s">
        <v>28</v>
      </c>
      <c r="B36" s="61">
        <f>+'Tab. 6A -Drogi'!E27+'Tab. 6G - Roln i ochrona środ.'!E27</f>
        <v>0</v>
      </c>
      <c r="C36" s="62">
        <f>+'Tab. 6A -Drogi'!F27+'Tab. 6G - Roln i ochrona środ.'!F27</f>
        <v>0</v>
      </c>
      <c r="D36" s="62">
        <f>+'Tab. 6A -Drogi'!G27+'Tab. 6G - Roln i ochrona środ.'!G27</f>
        <v>0</v>
      </c>
      <c r="E36" s="62">
        <f>+'Tab. 6A -Drogi'!H27+'Tab. 6G - Roln i ochrona środ.'!H27</f>
        <v>0</v>
      </c>
      <c r="F36" s="62">
        <f>+'Tab. 6A -Drogi'!I27+'Tab. 6G - Roln i ochrona środ.'!I27</f>
        <v>0</v>
      </c>
      <c r="G36" s="62">
        <f>+'Tab. 6A -Drogi'!J27+'Tab. 6G - Roln i ochrona środ.'!J27</f>
        <v>5665000</v>
      </c>
      <c r="H36" s="62">
        <f>+'Tab. 6A -Drogi'!K27+'Tab. 6G - Roln i ochrona środ.'!K27</f>
        <v>10051777</v>
      </c>
      <c r="I36" s="62">
        <f>+'Tab. 6A -Drogi'!L27+'Tab. 6G - Roln i ochrona środ.'!L27</f>
        <v>9511339</v>
      </c>
      <c r="J36" s="62">
        <f>+'Tab. 6A -Drogi'!M27+'Tab. 6G - Roln i ochrona środ.'!M27</f>
        <v>25228116</v>
      </c>
      <c r="K36" s="62">
        <f>+'Tab. 6A -Drogi'!N27+'Tab. 6G - Roln i ochrona środ.'!N27</f>
        <v>6250000</v>
      </c>
      <c r="L36" s="62">
        <f>+'Tab. 6A -Drogi'!O27+'Tab. 6G - Roln i ochrona środ.'!O27</f>
        <v>13388013</v>
      </c>
      <c r="M36" s="62">
        <f>+'Tab. 6A -Drogi'!P27+'Tab. 6G - Roln i ochrona środ.'!P27</f>
        <v>1970557</v>
      </c>
      <c r="N36" s="62">
        <f>+'Tab. 6A -Drogi'!Q27+'Tab. 6G - Roln i ochrona środ.'!Q27</f>
        <v>380558</v>
      </c>
      <c r="O36" s="62">
        <f>+'Tab. 6A -Drogi'!R27+'Tab. 6G - Roln i ochrona środ.'!R27</f>
        <v>0</v>
      </c>
      <c r="P36" s="62">
        <f>+'Tab. 6A -Drogi'!S27+'Tab. 6G - Roln i ochrona środ.'!S27</f>
        <v>0</v>
      </c>
      <c r="Q36" s="62">
        <f>+'Tab. 6A -Drogi'!T27+'Tab. 6G - Roln i ochrona środ.'!T27</f>
        <v>0</v>
      </c>
      <c r="R36" s="55">
        <f t="shared" si="17"/>
        <v>47217244</v>
      </c>
      <c r="S36" s="2406"/>
    </row>
    <row r="37" spans="1:19" s="42" customFormat="1" ht="15" customHeight="1">
      <c r="A37" s="57" t="s">
        <v>29</v>
      </c>
      <c r="B37" s="79">
        <f>+'Tab. 6A -Drogi'!E28</f>
        <v>0</v>
      </c>
      <c r="C37" s="55">
        <f>+'Tab. 6A -Drogi'!F28</f>
        <v>0</v>
      </c>
      <c r="D37" s="55">
        <f>+'Tab. 6A -Drogi'!G28</f>
        <v>0</v>
      </c>
      <c r="E37" s="55">
        <f>+'Tab. 6A -Drogi'!H28</f>
        <v>0</v>
      </c>
      <c r="F37" s="58">
        <f>+'Tab. 6A -Drogi'!I28</f>
        <v>0</v>
      </c>
      <c r="G37" s="55">
        <f>+'Tab. 6A -Drogi'!J28</f>
        <v>18718271</v>
      </c>
      <c r="H37" s="55">
        <f>+'Tab. 6A -Drogi'!K28</f>
        <v>16003036</v>
      </c>
      <c r="I37" s="55">
        <f>+'Tab. 6A -Drogi'!L28</f>
        <v>3705956</v>
      </c>
      <c r="J37" s="55">
        <f>+'Tab. 6A -Drogi'!M28</f>
        <v>38427263</v>
      </c>
      <c r="K37" s="55">
        <f>+'Tab. 6A -Drogi'!N28</f>
        <v>2875044</v>
      </c>
      <c r="L37" s="55">
        <f>+'Tab. 6A -Drogi'!O28</f>
        <v>703994</v>
      </c>
      <c r="M37" s="58">
        <f>+'Tab. 6A -Drogi'!P28</f>
        <v>0</v>
      </c>
      <c r="N37" s="58">
        <f>+'Tab. 6A -Drogi'!Q28</f>
        <v>0</v>
      </c>
      <c r="O37" s="58">
        <f>+'Tab. 6A -Drogi'!R28</f>
        <v>0</v>
      </c>
      <c r="P37" s="58">
        <f>+'Tab. 6A -Drogi'!S28</f>
        <v>0</v>
      </c>
      <c r="Q37" s="58">
        <f>+'Tab. 6A -Drogi'!T28</f>
        <v>0</v>
      </c>
      <c r="R37" s="55">
        <f t="shared" si="17"/>
        <v>42006301</v>
      </c>
      <c r="S37" s="2406"/>
    </row>
    <row r="38" spans="1:19" s="42" customFormat="1" ht="25.5" customHeight="1">
      <c r="A38" s="54" t="s">
        <v>38</v>
      </c>
      <c r="B38" s="64">
        <f>+'Tab. 6A -Drogi'!E29</f>
        <v>0</v>
      </c>
      <c r="C38" s="63">
        <f>+'Tab. 6A -Drogi'!F29</f>
        <v>0</v>
      </c>
      <c r="D38" s="63">
        <f>+'Tab. 6A -Drogi'!G29</f>
        <v>0</v>
      </c>
      <c r="E38" s="63">
        <f>+'Tab. 6A -Drogi'!H29</f>
        <v>0</v>
      </c>
      <c r="F38" s="64">
        <f>+'Tab. 6A -Drogi'!I29</f>
        <v>0</v>
      </c>
      <c r="G38" s="64">
        <f>+'Tab. 6A -Drogi'!J29</f>
        <v>0</v>
      </c>
      <c r="H38" s="64">
        <f>+'Tab. 6A -Drogi'!K29</f>
        <v>0</v>
      </c>
      <c r="I38" s="63">
        <f>+'Tab. 6A -Drogi'!L29</f>
        <v>841481</v>
      </c>
      <c r="J38" s="63">
        <f>+'Tab. 6A -Drogi'!M29</f>
        <v>841481</v>
      </c>
      <c r="K38" s="64">
        <f>+'Tab. 6A -Drogi'!N29</f>
        <v>0</v>
      </c>
      <c r="L38" s="64">
        <f>+'Tab. 6A -Drogi'!O29</f>
        <v>0</v>
      </c>
      <c r="M38" s="64">
        <f>+'Tab. 6A -Drogi'!P29</f>
        <v>0</v>
      </c>
      <c r="N38" s="64">
        <f>+'Tab. 6A -Drogi'!Q29</f>
        <v>0</v>
      </c>
      <c r="O38" s="64">
        <f>+'Tab. 6A -Drogi'!R29</f>
        <v>0</v>
      </c>
      <c r="P38" s="64">
        <f>+'Tab. 6A -Drogi'!S29</f>
        <v>0</v>
      </c>
      <c r="Q38" s="64">
        <f>+'Tab. 6A -Drogi'!T29</f>
        <v>0</v>
      </c>
      <c r="R38" s="55">
        <f t="shared" si="17"/>
        <v>841481</v>
      </c>
      <c r="S38" s="2406"/>
    </row>
    <row r="39" spans="1:19" s="42" customFormat="1" ht="16.5" customHeight="1">
      <c r="A39" s="65" t="s">
        <v>30</v>
      </c>
      <c r="B39" s="75">
        <f>SUM(B40:B44)</f>
        <v>34928764</v>
      </c>
      <c r="C39" s="80">
        <f t="shared" ref="C39:N39" si="18">SUM(C40:C44)</f>
        <v>308680</v>
      </c>
      <c r="D39" s="80">
        <f t="shared" si="18"/>
        <v>8056297</v>
      </c>
      <c r="E39" s="80">
        <f t="shared" si="18"/>
        <v>32297876</v>
      </c>
      <c r="F39" s="80">
        <f t="shared" si="18"/>
        <v>58274529</v>
      </c>
      <c r="G39" s="80">
        <f t="shared" si="18"/>
        <v>85092242</v>
      </c>
      <c r="H39" s="80">
        <f t="shared" si="18"/>
        <v>126489625</v>
      </c>
      <c r="I39" s="80">
        <f t="shared" si="18"/>
        <v>174553402</v>
      </c>
      <c r="J39" s="80">
        <f t="shared" si="18"/>
        <v>479284479</v>
      </c>
      <c r="K39" s="80">
        <f t="shared" si="18"/>
        <v>244138803</v>
      </c>
      <c r="L39" s="80">
        <f t="shared" si="18"/>
        <v>208487531</v>
      </c>
      <c r="M39" s="80">
        <f t="shared" si="18"/>
        <v>128630906</v>
      </c>
      <c r="N39" s="80">
        <f t="shared" si="18"/>
        <v>28864025</v>
      </c>
      <c r="O39" s="80">
        <f>SUM(O40:O44)</f>
        <v>4659718</v>
      </c>
      <c r="P39" s="80">
        <f t="shared" ref="P39:Q39" si="19">SUM(P40:P44)</f>
        <v>2865750</v>
      </c>
      <c r="Q39" s="80">
        <f t="shared" si="19"/>
        <v>1190000</v>
      </c>
      <c r="R39" s="80">
        <f>SUM(R40:R44)</f>
        <v>1098121212</v>
      </c>
      <c r="S39" s="2406"/>
    </row>
    <row r="40" spans="1:19" s="42" customFormat="1" ht="15.75" hidden="1" customHeight="1">
      <c r="A40" s="81" t="s">
        <v>29</v>
      </c>
      <c r="B40" s="82">
        <f>+'Tab. 6A -Drogi'!E31</f>
        <v>0</v>
      </c>
      <c r="C40" s="82">
        <f>+'Tab. 6A -Drogi'!F31</f>
        <v>0</v>
      </c>
      <c r="D40" s="82">
        <f>+'Tab. 6A -Drogi'!G31</f>
        <v>0</v>
      </c>
      <c r="E40" s="82">
        <f>+'Tab. 6A -Drogi'!H31</f>
        <v>0</v>
      </c>
      <c r="F40" s="82">
        <f>+'Tab. 6A -Drogi'!I31</f>
        <v>0</v>
      </c>
      <c r="G40" s="82">
        <f>+'Tab. 6A -Drogi'!J31</f>
        <v>0</v>
      </c>
      <c r="H40" s="82">
        <f>+'Tab. 6A -Drogi'!K31</f>
        <v>0</v>
      </c>
      <c r="I40" s="82">
        <f>+'Tab. 6A -Drogi'!L31</f>
        <v>0</v>
      </c>
      <c r="J40" s="82"/>
      <c r="K40" s="82">
        <f>+'Tab. 6A -Drogi'!N31</f>
        <v>0</v>
      </c>
      <c r="L40" s="82">
        <f>+'Tab. 6A -Drogi'!O31</f>
        <v>0</v>
      </c>
      <c r="M40" s="82">
        <f>+'Tab. 6A -Drogi'!P31</f>
        <v>0</v>
      </c>
      <c r="N40" s="83"/>
      <c r="O40" s="83"/>
      <c r="P40" s="83"/>
      <c r="Q40" s="83"/>
      <c r="R40" s="83">
        <f>+B40+F40+G40+H40+I40+K40+L40+M40</f>
        <v>0</v>
      </c>
      <c r="S40" s="2406"/>
    </row>
    <row r="41" spans="1:19" s="42" customFormat="1" ht="14.25" customHeight="1">
      <c r="A41" s="57" t="s">
        <v>31</v>
      </c>
      <c r="B41" s="58">
        <f>+'Tab. 6A -Drogi'!E34</f>
        <v>0</v>
      </c>
      <c r="C41" s="58">
        <f>+'Tab. 6A -Drogi'!F34</f>
        <v>0</v>
      </c>
      <c r="D41" s="58">
        <f>+'Tab. 6A -Drogi'!G34</f>
        <v>0</v>
      </c>
      <c r="E41" s="58">
        <f>+'Tab. 6A -Drogi'!H34</f>
        <v>0</v>
      </c>
      <c r="F41" s="58">
        <f>+'Tab. 6A -Drogi'!I34</f>
        <v>0</v>
      </c>
      <c r="G41" s="58">
        <f>+'Tab. 6A -Drogi'!J34</f>
        <v>0</v>
      </c>
      <c r="H41" s="58">
        <f>+'Tab. 6A -Drogi'!K34</f>
        <v>0</v>
      </c>
      <c r="I41" s="55">
        <f>+'Tab. 6A -Drogi'!L34</f>
        <v>0</v>
      </c>
      <c r="J41" s="55">
        <f>+'Tab. 6A -Drogi'!M34</f>
        <v>0</v>
      </c>
      <c r="K41" s="55">
        <f>+'Tab. 6A -Drogi'!N34</f>
        <v>0</v>
      </c>
      <c r="L41" s="55">
        <f>+'Tab. 6A -Drogi'!O34</f>
        <v>0</v>
      </c>
      <c r="M41" s="55">
        <f>+'Tab. 6A -Drogi'!P34</f>
        <v>0</v>
      </c>
      <c r="N41" s="55">
        <f>+'Tab. 6A -Drogi'!Q34</f>
        <v>0</v>
      </c>
      <c r="O41" s="55">
        <f>+'Tab. 6A -Drogi'!R34</f>
        <v>0</v>
      </c>
      <c r="P41" s="55">
        <f>+'Tab. 6A -Drogi'!S34</f>
        <v>0</v>
      </c>
      <c r="Q41" s="55">
        <f>+'Tab. 6A -Drogi'!T34</f>
        <v>0</v>
      </c>
      <c r="R41" s="55">
        <f t="shared" ref="R41:R44" si="20">SUM(J41:Q41)</f>
        <v>0</v>
      </c>
      <c r="S41" s="2406"/>
    </row>
    <row r="42" spans="1:19" s="42" customFormat="1" ht="15.75" customHeight="1">
      <c r="A42" s="57" t="s">
        <v>26</v>
      </c>
      <c r="B42" s="55">
        <f>+'Tab. 6G - Roln i ochrona środ.'!E32</f>
        <v>10594223</v>
      </c>
      <c r="C42" s="55">
        <f>+'Tab. 6G - Roln i ochrona środ.'!F32</f>
        <v>0</v>
      </c>
      <c r="D42" s="55">
        <f>+'Tab. 6G - Roln i ochrona środ.'!G32</f>
        <v>0</v>
      </c>
      <c r="E42" s="55">
        <f>+'Tab. 6G - Roln i ochrona środ.'!H32</f>
        <v>3058368</v>
      </c>
      <c r="F42" s="55">
        <f>+'Tab. 6G - Roln i ochrona środ.'!I32</f>
        <v>17692550</v>
      </c>
      <c r="G42" s="55">
        <f>+'Tab. 6G - Roln i ochrona środ.'!J32</f>
        <v>2998223</v>
      </c>
      <c r="H42" s="55">
        <f>+'Tab. 6G - Roln i ochrona środ.'!K32</f>
        <v>3753212</v>
      </c>
      <c r="I42" s="55">
        <f>+'Tab. 6G - Roln i ochrona środ.'!L32</f>
        <v>4711864</v>
      </c>
      <c r="J42" s="55">
        <f>+'Tab. 6G - Roln i ochrona środ.'!M32</f>
        <v>39750072</v>
      </c>
      <c r="K42" s="55">
        <f>+'Tab. 6G - Roln i ochrona środ.'!N32</f>
        <v>4433074</v>
      </c>
      <c r="L42" s="55">
        <f>+'Tab. 6G - Roln i ochrona środ.'!O32</f>
        <v>1950000</v>
      </c>
      <c r="M42" s="55">
        <f>+'Tab. 6G - Roln i ochrona środ.'!P32</f>
        <v>0</v>
      </c>
      <c r="N42" s="55">
        <f>+'Tab. 6G - Roln i ochrona środ.'!Q32</f>
        <v>0</v>
      </c>
      <c r="O42" s="55">
        <f>+'Tab. 6G - Roln i ochrona środ.'!R32</f>
        <v>0</v>
      </c>
      <c r="P42" s="55">
        <f>+'Tab. 6G - Roln i ochrona środ.'!S32</f>
        <v>0</v>
      </c>
      <c r="Q42" s="55">
        <f>+'Tab. 6G - Roln i ochrona środ.'!T32</f>
        <v>0</v>
      </c>
      <c r="R42" s="55">
        <f t="shared" si="20"/>
        <v>46133146</v>
      </c>
      <c r="S42" s="2406"/>
    </row>
    <row r="43" spans="1:19" s="42" customFormat="1" ht="14.25" customHeight="1">
      <c r="A43" s="57" t="s">
        <v>32</v>
      </c>
      <c r="B43" s="59">
        <f>+'Tab. 6A -Drogi'!E32+'Tab. 6G - Roln i ochrona środ.'!E33+'Tab. 6D - Oświata'!E20</f>
        <v>0</v>
      </c>
      <c r="C43" s="59">
        <f>+'Tab. 6A -Drogi'!F32+'Tab. 6G - Roln i ochrona środ.'!F33+'Tab. 6D - Oświata'!F20</f>
        <v>0</v>
      </c>
      <c r="D43" s="59">
        <f>+'Tab. 6A -Drogi'!G32+'Tab. 6G - Roln i ochrona środ.'!G33+'Tab. 6D - Oświata'!G20</f>
        <v>0</v>
      </c>
      <c r="E43" s="59">
        <f>+'Tab. 6A -Drogi'!H32+'Tab. 6G - Roln i ochrona środ.'!H33+'Tab. 6D - Oświata'!H20</f>
        <v>0</v>
      </c>
      <c r="F43" s="59">
        <f>+'Tab. 6A -Drogi'!I32+'Tab. 6G - Roln i ochrona środ.'!I33+'Tab. 6D - Oświata'!I20</f>
        <v>1361604</v>
      </c>
      <c r="G43" s="59">
        <f>+'Tab. 6A -Drogi'!J32+'Tab. 6G - Roln i ochrona środ.'!J33+'Tab. 6D - Oświata'!J20</f>
        <v>6341970</v>
      </c>
      <c r="H43" s="59">
        <f>+'Tab. 6A -Drogi'!K32+'Tab. 6G - Roln i ochrona środ.'!K33+'Tab. 6D - Oświata'!K20</f>
        <v>5828817</v>
      </c>
      <c r="I43" s="59">
        <f>+'Tab. 6A -Drogi'!L32+'Tab. 6G - Roln i ochrona środ.'!L33+'Tab. 6D - Oświata'!L20</f>
        <v>8065636</v>
      </c>
      <c r="J43" s="59">
        <f>+'Tab. 6A -Drogi'!M32+'Tab. 6G - Roln i ochrona środ.'!M33+'Tab. 6D - Oświata'!M20</f>
        <v>21543944</v>
      </c>
      <c r="K43" s="59">
        <f>+'Tab. 6A -Drogi'!N32+'Tab. 6G - Roln i ochrona środ.'!N33+'Tab. 6D - Oświata'!N20</f>
        <v>204594</v>
      </c>
      <c r="L43" s="59">
        <f>+'Tab. 6A -Drogi'!O32+'Tab. 6G - Roln i ochrona środ.'!O33+'Tab. 6D - Oświata'!O20</f>
        <v>4277064</v>
      </c>
      <c r="M43" s="59">
        <f>+'Tab. 6A -Drogi'!P32+'Tab. 6G - Roln i ochrona środ.'!P33+'Tab. 6D - Oświata'!P20</f>
        <v>4469736</v>
      </c>
      <c r="N43" s="59">
        <f>+'Tab. 6A -Drogi'!Q32+'Tab. 6G - Roln i ochrona środ.'!Q33+'Tab. 6D - Oświata'!Q20</f>
        <v>6237650</v>
      </c>
      <c r="O43" s="59">
        <f>+'Tab. 6A -Drogi'!R32+'Tab. 6G - Roln i ochrona środ.'!R33+'Tab. 6D - Oświata'!R20</f>
        <v>24105</v>
      </c>
      <c r="P43" s="59">
        <f>+'Tab. 6A -Drogi'!S32+'Tab. 6G - Roln i ochrona środ.'!S33+'Tab. 6D - Oświata'!S20</f>
        <v>0</v>
      </c>
      <c r="Q43" s="59">
        <f>+'Tab. 6A -Drogi'!T32+'Tab. 6G - Roln i ochrona środ.'!T33+'Tab. 6D - Oświata'!T20</f>
        <v>0</v>
      </c>
      <c r="R43" s="55">
        <f t="shared" si="20"/>
        <v>36757093</v>
      </c>
      <c r="S43" s="2406"/>
    </row>
    <row r="44" spans="1:19" s="42" customFormat="1" ht="15.75" customHeight="1" thickBot="1">
      <c r="A44" s="84" t="s">
        <v>33</v>
      </c>
      <c r="B44" s="85">
        <f>+'Tab. 6B Polit społ i rozwój prz'!E21+'Tab. 6A -Drogi'!E33+'Tab. 6E - Administracja'!E23+'Tab. 6G - Roln i ochrona środ.'!E31+'Tab. 6H - Kultura fiz. i turyst'!E19+'Tab.6I - Planow. przestrz.'!E19</f>
        <v>24334541</v>
      </c>
      <c r="C44" s="85">
        <f>+'Tab. 6B Polit społ i rozwój prz'!F21+'Tab. 6A -Drogi'!F33+'Tab. 6E - Administracja'!F23+'Tab. 6G - Roln i ochrona środ.'!F31+'Tab. 6H - Kultura fiz. i turyst'!F19+'Tab.6I - Planow. przestrz.'!F19</f>
        <v>308680</v>
      </c>
      <c r="D44" s="85">
        <f>+'Tab. 6B Polit społ i rozwój prz'!G21+'Tab. 6A -Drogi'!G33+'Tab. 6E - Administracja'!G23+'Tab. 6G - Roln i ochrona środ.'!G31+'Tab. 6H - Kultura fiz. i turyst'!G19+'Tab.6I - Planow. przestrz.'!G19</f>
        <v>8056297</v>
      </c>
      <c r="E44" s="85">
        <f>+'Tab. 6B Polit społ i rozwój prz'!H21+'Tab. 6A -Drogi'!H33+'Tab. 6E - Administracja'!H23+'Tab. 6G - Roln i ochrona środ.'!H31+'Tab. 6H - Kultura fiz. i turyst'!H19+'Tab.6I - Planow. przestrz.'!H19</f>
        <v>29239508</v>
      </c>
      <c r="F44" s="85">
        <f>+'Tab. 6B Polit społ i rozwój prz'!I21+'Tab. 6A -Drogi'!I33+'Tab. 6E - Administracja'!I23+'Tab. 6G - Roln i ochrona środ.'!I31+'Tab. 6H - Kultura fiz. i turyst'!I19+'Tab.6I - Planow. przestrz.'!I19</f>
        <v>39220375</v>
      </c>
      <c r="G44" s="85">
        <f>+'Tab. 6B Polit społ i rozwój prz'!J21+'Tab. 6A -Drogi'!J33+'Tab. 6E - Administracja'!J23+'Tab. 6G - Roln i ochrona środ.'!J31+'Tab. 6H - Kultura fiz. i turyst'!J19+'Tab.6I - Planow. przestrz.'!J19</f>
        <v>75752049</v>
      </c>
      <c r="H44" s="85">
        <f>+'Tab. 6B Polit społ i rozwój prz'!K21+'Tab. 6A -Drogi'!K33+'Tab. 6E - Administracja'!K23+'Tab. 6G - Roln i ochrona środ.'!K31+'Tab. 6H - Kultura fiz. i turyst'!K19+'Tab.6I - Planow. przestrz.'!K19</f>
        <v>116907596</v>
      </c>
      <c r="I44" s="85">
        <f>+'Tab. 6B Polit społ i rozwój prz'!L21+'Tab. 6A -Drogi'!L33+'Tab. 6E - Administracja'!L23+'Tab. 6G - Roln i ochrona środ.'!L31+'Tab. 6H - Kultura fiz. i turyst'!L19+'Tab.6I - Planow. przestrz.'!L19</f>
        <v>161775902</v>
      </c>
      <c r="J44" s="85">
        <f>+B44+F44+G44+H44+I44</f>
        <v>417990463</v>
      </c>
      <c r="K44" s="85">
        <f>+'Tab. 6B Polit społ i rozwój prz'!N21+'Tab. 6A -Drogi'!N33+'Tab. 6E - Administracja'!N23+'Tab. 6G - Roln i ochrona środ.'!N31+'Tab. 6H - Kultura fiz. i turyst'!N19+'Tab.6I - Planow. przestrz.'!N19</f>
        <v>239501135</v>
      </c>
      <c r="L44" s="85">
        <f>+'Tab. 6B Polit społ i rozwój prz'!O21+'Tab. 6A -Drogi'!O33+'Tab. 6E - Administracja'!O23+'Tab. 6G - Roln i ochrona środ.'!O31+'Tab. 6H - Kultura fiz. i turyst'!O19+'Tab.6I - Planow. przestrz.'!O19</f>
        <v>202260467</v>
      </c>
      <c r="M44" s="85">
        <f>+'Tab. 6B Polit społ i rozwój prz'!P21+'Tab. 6A -Drogi'!P33+'Tab. 6E - Administracja'!P23+'Tab. 6G - Roln i ochrona środ.'!P31+'Tab. 6H - Kultura fiz. i turyst'!P19+'Tab.6I - Planow. przestrz.'!P19</f>
        <v>124161170</v>
      </c>
      <c r="N44" s="59">
        <f>+'Tab. 6B Polit społ i rozwój prz'!Q21+'Tab. 6A -Drogi'!Q33+'Tab. 6E - Administracja'!Q23+'Tab. 6G - Roln i ochrona środ.'!Q31+'Tab. 6H - Kultura fiz. i turyst'!Q19+'Tab.6I - Planow. przestrz.'!Q19</f>
        <v>22626375</v>
      </c>
      <c r="O44" s="59">
        <f>+'Tab. 6B Polit społ i rozwój prz'!R21+'Tab. 6A -Drogi'!R33+'Tab. 6E - Administracja'!R23+'Tab. 6G - Roln i ochrona środ.'!R31+'Tab. 6H - Kultura fiz. i turyst'!R19+'Tab.6I - Planow. przestrz.'!R19</f>
        <v>4635613</v>
      </c>
      <c r="P44" s="59">
        <f>+'Tab. 6B Polit społ i rozwój prz'!S21+'Tab. 6A -Drogi'!S33+'Tab. 6E - Administracja'!S23+'Tab. 6G - Roln i ochrona środ.'!S31+'Tab. 6H - Kultura fiz. i turyst'!S19+'Tab.6I - Planow. przestrz.'!S19</f>
        <v>2865750</v>
      </c>
      <c r="Q44" s="59">
        <f>+'Tab. 6B Polit społ i rozwój prz'!T21+'Tab. 6A -Drogi'!T33+'Tab. 6E - Administracja'!T23+'Tab. 6G - Roln i ochrona środ.'!T31+'Tab. 6H - Kultura fiz. i turyst'!T19+'Tab.6I - Planow. przestrz.'!T19</f>
        <v>1190000</v>
      </c>
      <c r="R44" s="55">
        <f t="shared" si="20"/>
        <v>1015230973</v>
      </c>
      <c r="S44" s="2407"/>
    </row>
    <row r="45" spans="1:19" s="42" customFormat="1" ht="3.75" customHeight="1" thickBot="1">
      <c r="A45" s="86"/>
      <c r="B45" s="38"/>
      <c r="C45" s="38"/>
      <c r="D45" s="38"/>
      <c r="E45" s="38"/>
      <c r="F45" s="8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1"/>
      <c r="S45" s="41"/>
    </row>
    <row r="46" spans="1:19" s="48" customFormat="1" ht="18.75" customHeight="1" thickBot="1">
      <c r="A46" s="88" t="s">
        <v>39</v>
      </c>
      <c r="B46" s="89">
        <f t="shared" ref="B46:R46" si="21">+B16</f>
        <v>52835492</v>
      </c>
      <c r="C46" s="90">
        <f t="shared" si="21"/>
        <v>2160825</v>
      </c>
      <c r="D46" s="90">
        <f t="shared" si="21"/>
        <v>11722879</v>
      </c>
      <c r="E46" s="90">
        <f t="shared" si="21"/>
        <v>46299187</v>
      </c>
      <c r="F46" s="89">
        <f t="shared" si="21"/>
        <v>92429215</v>
      </c>
      <c r="G46" s="89">
        <f t="shared" si="21"/>
        <v>142216699</v>
      </c>
      <c r="H46" s="89">
        <f t="shared" si="21"/>
        <v>168216143</v>
      </c>
      <c r="I46" s="89">
        <f t="shared" si="21"/>
        <v>229505927.30000001</v>
      </c>
      <c r="J46" s="89">
        <f t="shared" ref="J46" si="22">+J16</f>
        <v>685676877.29999995</v>
      </c>
      <c r="K46" s="89">
        <f t="shared" si="21"/>
        <v>285784266</v>
      </c>
      <c r="L46" s="89">
        <f t="shared" si="21"/>
        <v>247859684</v>
      </c>
      <c r="M46" s="89">
        <f t="shared" si="21"/>
        <v>130072193</v>
      </c>
      <c r="N46" s="89">
        <f t="shared" si="21"/>
        <v>25957313</v>
      </c>
      <c r="O46" s="89">
        <f t="shared" si="21"/>
        <v>6094000</v>
      </c>
      <c r="P46" s="89">
        <f t="shared" ref="P46:Q46" si="23">+P16</f>
        <v>4000000</v>
      </c>
      <c r="Q46" s="89">
        <f t="shared" si="23"/>
        <v>1400000</v>
      </c>
      <c r="R46" s="89">
        <f t="shared" si="21"/>
        <v>1386844333.3</v>
      </c>
      <c r="S46" s="91">
        <f>SUM(L46:Q46)</f>
        <v>415383190</v>
      </c>
    </row>
    <row r="47" spans="1:19" s="48" customFormat="1" ht="16.5" customHeight="1" thickBot="1">
      <c r="A47" s="88" t="s">
        <v>40</v>
      </c>
      <c r="B47" s="92">
        <f>+B30</f>
        <v>41338159</v>
      </c>
      <c r="C47" s="93">
        <f t="shared" ref="C47:N47" si="24">+C30</f>
        <v>312784</v>
      </c>
      <c r="D47" s="93">
        <f t="shared" si="24"/>
        <v>8350472</v>
      </c>
      <c r="E47" s="93">
        <f t="shared" si="24"/>
        <v>39846744</v>
      </c>
      <c r="F47" s="92">
        <f t="shared" si="24"/>
        <v>74623419</v>
      </c>
      <c r="G47" s="92">
        <f t="shared" si="24"/>
        <v>125527960</v>
      </c>
      <c r="H47" s="92">
        <f t="shared" si="24"/>
        <v>170233575</v>
      </c>
      <c r="I47" s="92">
        <f>+I30</f>
        <v>201664999</v>
      </c>
      <c r="J47" s="92">
        <f>+J30</f>
        <v>613334029</v>
      </c>
      <c r="K47" s="92">
        <f t="shared" si="24"/>
        <v>272584232</v>
      </c>
      <c r="L47" s="92">
        <f t="shared" si="24"/>
        <v>239433628</v>
      </c>
      <c r="M47" s="92">
        <f t="shared" si="24"/>
        <v>132966895</v>
      </c>
      <c r="N47" s="92">
        <f t="shared" si="24"/>
        <v>30483833</v>
      </c>
      <c r="O47" s="92">
        <f>+O30</f>
        <v>5898968</v>
      </c>
      <c r="P47" s="92">
        <f t="shared" ref="P47:Q47" si="25">+P30</f>
        <v>4000000</v>
      </c>
      <c r="Q47" s="92">
        <f t="shared" si="25"/>
        <v>1400000</v>
      </c>
      <c r="R47" s="92">
        <f>+R30</f>
        <v>1300101585</v>
      </c>
      <c r="S47" s="94" t="s">
        <v>35</v>
      </c>
    </row>
    <row r="48" spans="1:19" s="42" customFormat="1">
      <c r="A48" s="8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56"/>
    </row>
    <row r="49" spans="1:19" s="42" customForma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1"/>
    </row>
    <row r="50" spans="1:19" s="42" customFormat="1" hidden="1">
      <c r="A50" s="9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41"/>
      <c r="S50" s="31"/>
    </row>
    <row r="51" spans="1:19" s="42" customFormat="1" hidden="1">
      <c r="A51" s="8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41"/>
      <c r="S51" s="31"/>
    </row>
    <row r="52" spans="1:19" ht="31.5" customHeight="1" thickBot="1">
      <c r="A52" s="2408" t="s">
        <v>41</v>
      </c>
      <c r="B52" s="2408"/>
      <c r="C52" s="2408"/>
      <c r="D52" s="2408"/>
      <c r="E52" s="2408"/>
      <c r="F52" s="2408"/>
      <c r="G52" s="2408"/>
      <c r="H52" s="2408"/>
      <c r="I52" s="2408"/>
      <c r="J52" s="2408"/>
      <c r="K52" s="2408"/>
      <c r="L52" s="2408"/>
      <c r="M52" s="2408"/>
      <c r="N52" s="2408"/>
      <c r="O52" s="2408"/>
      <c r="P52" s="2408"/>
      <c r="Q52" s="2408"/>
      <c r="R52" s="2408"/>
      <c r="S52" s="2408"/>
    </row>
    <row r="53" spans="1:19" s="2" customFormat="1" ht="19.5" customHeight="1">
      <c r="A53" s="1840"/>
      <c r="B53" s="2389" t="s">
        <v>3</v>
      </c>
      <c r="C53" s="2390"/>
      <c r="D53" s="2390"/>
      <c r="E53" s="2390"/>
      <c r="F53" s="2390"/>
      <c r="G53" s="2390"/>
      <c r="H53" s="2390"/>
      <c r="I53" s="2390"/>
      <c r="J53" s="2390"/>
      <c r="K53" s="2391"/>
      <c r="L53" s="2399" t="s">
        <v>328</v>
      </c>
      <c r="M53" s="2400"/>
      <c r="N53" s="2400"/>
      <c r="O53" s="2400"/>
      <c r="P53" s="2400"/>
      <c r="Q53" s="2401"/>
      <c r="R53" s="2395" t="s">
        <v>4</v>
      </c>
      <c r="S53" s="2397" t="s">
        <v>329</v>
      </c>
    </row>
    <row r="54" spans="1:19" ht="19.5" customHeight="1">
      <c r="A54" s="10" t="s">
        <v>5</v>
      </c>
      <c r="B54" s="2392"/>
      <c r="C54" s="2393"/>
      <c r="D54" s="2393"/>
      <c r="E54" s="2393"/>
      <c r="F54" s="2393"/>
      <c r="G54" s="2393"/>
      <c r="H54" s="2393"/>
      <c r="I54" s="2393"/>
      <c r="J54" s="2393"/>
      <c r="K54" s="2394"/>
      <c r="L54" s="2402"/>
      <c r="M54" s="2403"/>
      <c r="N54" s="2403"/>
      <c r="O54" s="2403"/>
      <c r="P54" s="2403"/>
      <c r="Q54" s="2404"/>
      <c r="R54" s="2396"/>
      <c r="S54" s="2398"/>
    </row>
    <row r="55" spans="1:19" ht="24" customHeight="1" thickBot="1">
      <c r="A55" s="10"/>
      <c r="B55" s="1763" t="s">
        <v>6</v>
      </c>
      <c r="C55" s="1764" t="s">
        <v>7</v>
      </c>
      <c r="D55" s="1764" t="s">
        <v>8</v>
      </c>
      <c r="E55" s="1764" t="s">
        <v>9</v>
      </c>
      <c r="F55" s="1765" t="s">
        <v>10</v>
      </c>
      <c r="G55" s="1765" t="s">
        <v>11</v>
      </c>
      <c r="H55" s="1765">
        <v>2012</v>
      </c>
      <c r="I55" s="1765">
        <v>2013</v>
      </c>
      <c r="J55" s="1766" t="s">
        <v>321</v>
      </c>
      <c r="K55" s="11" t="s">
        <v>14</v>
      </c>
      <c r="L55" s="11" t="s">
        <v>15</v>
      </c>
      <c r="M55" s="11" t="s">
        <v>16</v>
      </c>
      <c r="N55" s="12" t="s">
        <v>17</v>
      </c>
      <c r="O55" s="12" t="s">
        <v>18</v>
      </c>
      <c r="P55" s="12" t="s">
        <v>315</v>
      </c>
      <c r="Q55" s="12" t="s">
        <v>322</v>
      </c>
      <c r="R55" s="2396"/>
      <c r="S55" s="2398"/>
    </row>
    <row r="56" spans="1:19" ht="13.5" customHeight="1" thickBot="1">
      <c r="A56" s="13">
        <v>1</v>
      </c>
      <c r="B56" s="14"/>
      <c r="C56" s="15"/>
      <c r="D56" s="16"/>
      <c r="E56" s="16"/>
      <c r="F56" s="17"/>
      <c r="G56" s="17"/>
      <c r="H56" s="17"/>
      <c r="I56" s="17"/>
      <c r="J56" s="17">
        <v>2</v>
      </c>
      <c r="K56" s="17">
        <v>3</v>
      </c>
      <c r="L56" s="17">
        <v>4</v>
      </c>
      <c r="M56" s="17">
        <v>5</v>
      </c>
      <c r="N56" s="18">
        <v>6</v>
      </c>
      <c r="O56" s="18">
        <v>7</v>
      </c>
      <c r="P56" s="18">
        <v>8</v>
      </c>
      <c r="Q56" s="18">
        <v>9</v>
      </c>
      <c r="R56" s="96">
        <v>10</v>
      </c>
      <c r="S56" s="97">
        <v>11</v>
      </c>
    </row>
    <row r="57" spans="1:19" ht="18.75" customHeight="1">
      <c r="A57" s="21" t="s">
        <v>19</v>
      </c>
      <c r="B57" s="22">
        <f>+B58+B59</f>
        <v>11141507</v>
      </c>
      <c r="C57" s="22">
        <f t="shared" ref="C57:S57" si="26">+C58+C59</f>
        <v>0</v>
      </c>
      <c r="D57" s="22">
        <f t="shared" si="26"/>
        <v>5327000</v>
      </c>
      <c r="E57" s="22">
        <f t="shared" si="26"/>
        <v>5568560.0600000005</v>
      </c>
      <c r="F57" s="22">
        <f t="shared" si="26"/>
        <v>10946454</v>
      </c>
      <c r="G57" s="22">
        <f t="shared" si="26"/>
        <v>61703467</v>
      </c>
      <c r="H57" s="22">
        <f t="shared" si="26"/>
        <v>64866089</v>
      </c>
      <c r="I57" s="22">
        <f t="shared" si="26"/>
        <v>144584819</v>
      </c>
      <c r="J57" s="22">
        <f t="shared" ref="J57" si="27">+J58+J59</f>
        <v>290433287</v>
      </c>
      <c r="K57" s="22">
        <f t="shared" si="26"/>
        <v>178914083</v>
      </c>
      <c r="L57" s="22">
        <f>+L58+L59</f>
        <v>171633664</v>
      </c>
      <c r="M57" s="22">
        <f t="shared" si="26"/>
        <v>142846264</v>
      </c>
      <c r="N57" s="22">
        <f t="shared" si="26"/>
        <v>135870247</v>
      </c>
      <c r="O57" s="22">
        <f t="shared" si="26"/>
        <v>129860242</v>
      </c>
      <c r="P57" s="22">
        <f t="shared" ref="P57:Q57" si="28">+P58+P59</f>
        <v>88892198</v>
      </c>
      <c r="Q57" s="22">
        <f t="shared" si="28"/>
        <v>82400714</v>
      </c>
      <c r="R57" s="98">
        <f t="shared" si="26"/>
        <v>1227442129</v>
      </c>
      <c r="S57" s="99">
        <f t="shared" si="26"/>
        <v>758094759</v>
      </c>
    </row>
    <row r="58" spans="1:19" s="25" customFormat="1" ht="15" customHeight="1">
      <c r="A58" s="26" t="s">
        <v>42</v>
      </c>
      <c r="B58" s="27">
        <f>+'Tab. 6D - Oświata'!E60+'Tab. 6F - Kultura'!E9+'Tab. 6A -Drogi'!E406+'Tab. 6C - Ochrona zdrowia'!E11+'Tab. 6E - Administracja'!E113+'Tab. 6G - Roln i ochrona środ.'!E182</f>
        <v>0</v>
      </c>
      <c r="C58" s="27">
        <f>+'Tab. 6D - Oświata'!F60+'Tab. 6F - Kultura'!F9+'Tab. 6A -Drogi'!F406+'Tab. 6C - Ochrona zdrowia'!F11+'Tab. 6E - Administracja'!F113+'Tab. 6G - Roln i ochrona środ.'!F182</f>
        <v>0</v>
      </c>
      <c r="D58" s="27">
        <f>+'Tab. 6D - Oświata'!G60+'Tab. 6F - Kultura'!G9+'Tab. 6A -Drogi'!G406+'Tab. 6C - Ochrona zdrowia'!G11+'Tab. 6E - Administracja'!G113+'Tab. 6G - Roln i ochrona środ.'!G182</f>
        <v>0</v>
      </c>
      <c r="E58" s="27">
        <f>+'Tab. 6D - Oświata'!H60+'Tab. 6F - Kultura'!H9+'Tab. 6A -Drogi'!H406+'Tab. 6C - Ochrona zdrowia'!H11+'Tab. 6E - Administracja'!H113+'Tab. 6G - Roln i ochrona środ.'!H182</f>
        <v>0</v>
      </c>
      <c r="F58" s="27">
        <f>+'Tab. 6D - Oświata'!I60+'Tab. 6F - Kultura'!I9+'Tab. 6A -Drogi'!I406+'Tab. 6C - Ochrona zdrowia'!I11+'Tab. 6E - Administracja'!I113+'Tab. 6G - Roln i ochrona środ.'!I182</f>
        <v>0</v>
      </c>
      <c r="G58" s="27">
        <f>+'Tab. 6D - Oświata'!J60+'Tab. 6F - Kultura'!J9+'Tab. 6A -Drogi'!J406+'Tab. 6C - Ochrona zdrowia'!J11+'Tab. 6E - Administracja'!J113+'Tab. 6G - Roln i ochrona środ.'!J182</f>
        <v>15514140</v>
      </c>
      <c r="H58" s="27">
        <f>'Tab. 6A -Drogi'!K406+'Tab. 6C - Ochrona zdrowia'!K11+'Tab. 6D - Oświata'!K60+'Tab. 6E - Administracja'!K113+'Tab. 6F - Kultura'!K9+'Tab. 6G - Roln i ochrona środ.'!K182+'Tab. 6H - Kultura fiz. i turyst'!K117</f>
        <v>17283982</v>
      </c>
      <c r="I58" s="27">
        <f>'Tab. 6A -Drogi'!L406+'Tab. 6C - Ochrona zdrowia'!L11+'Tab. 6D - Oświata'!L60+'Tab. 6E - Administracja'!L113+'Tab. 6F - Kultura'!L9+'Tab. 6G - Roln i ochrona środ.'!L182+'Tab. 6H - Kultura fiz. i turyst'!L117</f>
        <v>102938571</v>
      </c>
      <c r="J58" s="27">
        <f>'Tab. 6A -Drogi'!M406+'Tab. 6C - Ochrona zdrowia'!M11+'Tab. 6D - Oświata'!M60+'Tab. 6E - Administracja'!M113+'Tab. 6F - Kultura'!M9+'Tab. 6G - Roln i ochrona środ.'!M182+'Tab. 6H - Kultura fiz. i turyst'!M117</f>
        <v>135724134</v>
      </c>
      <c r="K58" s="27">
        <f>'Tab. 6A -Drogi'!N406+'Tab. 6C - Ochrona zdrowia'!N11+'Tab. 6D - Oświata'!N60+'Tab. 6E - Administracja'!N113+'Tab. 6F - Kultura'!N9+'Tab. 6G - Roln i ochrona środ.'!N182+'Tab. 6H - Kultura fiz. i turyst'!N117</f>
        <v>97652224</v>
      </c>
      <c r="L58" s="27">
        <f>'Tab. 6A -Drogi'!O406+'Tab. 6C - Ochrona zdrowia'!O11+'Tab. 6D - Oświata'!O60+'Tab. 6E - Administracja'!O113+'Tab. 6F - Kultura'!O9+'Tab. 6G - Roln i ochrona środ.'!O182+'Tab. 6H - Kultura fiz. i turyst'!O117</f>
        <v>106125050</v>
      </c>
      <c r="M58" s="27">
        <f>'Tab. 6A -Drogi'!P406+'Tab. 6C - Ochrona zdrowia'!P11+'Tab. 6D - Oświata'!P60+'Tab. 6E - Administracja'!P113+'Tab. 6F - Kultura'!P9+'Tab. 6G - Roln i ochrona środ.'!P182+'Tab. 6H - Kultura fiz. i turyst'!P117</f>
        <v>125679901</v>
      </c>
      <c r="N58" s="27">
        <f>'Tab. 6A -Drogi'!Q406+'Tab. 6C - Ochrona zdrowia'!Q11+'Tab. 6D - Oświata'!Q60+'Tab. 6E - Administracja'!Q113+'Tab. 6F - Kultura'!Q9+'Tab. 6G - Roln i ochrona środ.'!Q182+'Tab. 6H - Kultura fiz. i turyst'!Q117</f>
        <v>128680247</v>
      </c>
      <c r="O58" s="27">
        <f>'Tab. 6A -Drogi'!R406+'Tab. 6C - Ochrona zdrowia'!R11+'Tab. 6D - Oświata'!R60+'Tab. 6E - Administracja'!R113+'Tab. 6F - Kultura'!R9+'Tab. 6G - Roln i ochrona środ.'!R182</f>
        <v>122720082</v>
      </c>
      <c r="P58" s="27">
        <f>'Tab. 6A -Drogi'!S406+'Tab. 6C - Ochrona zdrowia'!S11+'Tab. 6D - Oświata'!S60+'Tab. 6E - Administracja'!S113+'Tab. 6F - Kultura'!S9+'Tab. 6G - Roln i ochrona środ.'!S182</f>
        <v>86192198</v>
      </c>
      <c r="Q58" s="27">
        <f>'Tab. 6A -Drogi'!T406+'Tab. 6C - Ochrona zdrowia'!T11+'Tab. 6D - Oświata'!T60+'Tab. 6E - Administracja'!T113+'Tab. 6F - Kultura'!T9+'Tab. 6G - Roln i ochrona środ.'!T182</f>
        <v>80900714</v>
      </c>
      <c r="R58" s="2077">
        <f>'Tab. 6A -Drogi'!D406+'Tab. 6C - Ochrona zdrowia'!D11+'Tab. 6D - Oświata'!D60+'Tab. 6E - Administracja'!D113+'Tab. 6F - Kultura'!D9+'Tab. 6G - Roln i ochrona środ.'!D182+'Tab. 6H - Kultura fiz. i turyst'!D117</f>
        <v>890265980</v>
      </c>
      <c r="S58" s="30">
        <f>SUM(L58:Q58)+2020000+4571430</f>
        <v>656889622</v>
      </c>
    </row>
    <row r="59" spans="1:19" ht="14.25" customHeight="1" thickBot="1">
      <c r="A59" s="100" t="s">
        <v>43</v>
      </c>
      <c r="B59" s="101">
        <f>+'Tab. 6D - Oświata'!E61+'Tab. 6F - Kultura'!E10+'Tab. 6A -Drogi'!E407+'Tab. 6C - Ochrona zdrowia'!E12+'Tab. 6E - Administracja'!E114+'Tab. 6G - Roln i ochrona środ.'!E183</f>
        <v>11141507</v>
      </c>
      <c r="C59" s="101">
        <f>+'Tab. 6D - Oświata'!F61+'Tab. 6F - Kultura'!F10+'Tab. 6A -Drogi'!F407+'Tab. 6C - Ochrona zdrowia'!F12+'Tab. 6E - Administracja'!F114+'Tab. 6G - Roln i ochrona środ.'!F183</f>
        <v>0</v>
      </c>
      <c r="D59" s="101">
        <f>+'Tab. 6D - Oświata'!G61+'Tab. 6F - Kultura'!G10+'Tab. 6A -Drogi'!G407+'Tab. 6C - Ochrona zdrowia'!G12+'Tab. 6E - Administracja'!G114+'Tab. 6G - Roln i ochrona środ.'!G183</f>
        <v>5327000</v>
      </c>
      <c r="E59" s="101">
        <f>+'Tab. 6D - Oświata'!H61+'Tab. 6F - Kultura'!H10+'Tab. 6A -Drogi'!H407+'Tab. 6C - Ochrona zdrowia'!H12+'Tab. 6E - Administracja'!H114+'Tab. 6G - Roln i ochrona środ.'!H183</f>
        <v>5568560.0600000005</v>
      </c>
      <c r="F59" s="101">
        <f>+'Tab. 6D - Oświata'!I61+'Tab. 6F - Kultura'!I10+'Tab. 6A -Drogi'!I407+'Tab. 6C - Ochrona zdrowia'!I12+'Tab. 6E - Administracja'!I114+'Tab. 6G - Roln i ochrona środ.'!I183</f>
        <v>10946454</v>
      </c>
      <c r="G59" s="101">
        <f>+'Tab. 6D - Oświata'!J61+'Tab. 6F - Kultura'!J10+'Tab. 6A -Drogi'!J407+'Tab. 6C - Ochrona zdrowia'!J12+'Tab. 6E - Administracja'!J114+'Tab. 6G - Roln i ochrona środ.'!J183</f>
        <v>46189327</v>
      </c>
      <c r="H59" s="101">
        <f>+'Tab. 6D - Oświata'!K61+'Tab. 6F - Kultura'!K10+'Tab. 6A -Drogi'!K407+'Tab. 6C - Ochrona zdrowia'!K12+'Tab. 6E - Administracja'!K114+'Tab. 6G - Roln i ochrona środ.'!K183</f>
        <v>47582107</v>
      </c>
      <c r="I59" s="102">
        <f>'Tab. 6A -Drogi'!L407+'Tab. 6C - Ochrona zdrowia'!L12+'Tab. 6D - Oświata'!L61+'Tab. 6E - Administracja'!L114+'Tab. 6F - Kultura'!L10+'Tab. 6G - Roln i ochrona środ.'!L183</f>
        <v>41646248</v>
      </c>
      <c r="J59" s="102">
        <f>'Tab. 6A -Drogi'!M407+'Tab. 6C - Ochrona zdrowia'!M12+'Tab. 6D - Oświata'!M61+'Tab. 6E - Administracja'!M114+'Tab. 6F - Kultura'!M10+'Tab. 6G - Roln i ochrona środ.'!M183</f>
        <v>154709153</v>
      </c>
      <c r="K59" s="102">
        <f>'Tab. 6A -Drogi'!N407+'Tab. 6C - Ochrona zdrowia'!N12+'Tab. 6D - Oświata'!N61+'Tab. 6E - Administracja'!N114+'Tab. 6F - Kultura'!N10+'Tab. 6G - Roln i ochrona środ.'!N183</f>
        <v>81261859</v>
      </c>
      <c r="L59" s="102">
        <f>'Tab. 6A -Drogi'!O407+'Tab. 6C - Ochrona zdrowia'!O12+'Tab. 6D - Oświata'!O61+'Tab. 6E - Administracja'!O114+'Tab. 6F - Kultura'!O10+'Tab. 6G - Roln i ochrona środ.'!O183</f>
        <v>65508614</v>
      </c>
      <c r="M59" s="102">
        <f>'Tab. 6A -Drogi'!P407+'Tab. 6C - Ochrona zdrowia'!P12+'Tab. 6D - Oświata'!P61+'Tab. 6E - Administracja'!P114+'Tab. 6F - Kultura'!P10+'Tab. 6G - Roln i ochrona środ.'!P183</f>
        <v>17166363</v>
      </c>
      <c r="N59" s="102">
        <f>'Tab. 6A -Drogi'!Q407+'Tab. 6C - Ochrona zdrowia'!Q12+'Tab. 6D - Oświata'!Q61+'Tab. 6E - Administracja'!Q114+'Tab. 6F - Kultura'!Q10+'Tab. 6G - Roln i ochrona środ.'!Q183</f>
        <v>7190000</v>
      </c>
      <c r="O59" s="102">
        <f>'Tab. 6A -Drogi'!R407+'Tab. 6C - Ochrona zdrowia'!R12+'Tab. 6D - Oświata'!R61+'Tab. 6E - Administracja'!R114+'Tab. 6F - Kultura'!R10+'Tab. 6G - Roln i ochrona środ.'!R183</f>
        <v>7140160</v>
      </c>
      <c r="P59" s="102">
        <f>'Tab. 6A -Drogi'!S407+'Tab. 6C - Ochrona zdrowia'!S12+'Tab. 6D - Oświata'!S61+'Tab. 6E - Administracja'!S114+'Tab. 6F - Kultura'!S10+'Tab. 6G - Roln i ochrona środ.'!S183</f>
        <v>2700000</v>
      </c>
      <c r="Q59" s="102">
        <f>'Tab. 6A -Drogi'!T407+'Tab. 6C - Ochrona zdrowia'!T12+'Tab. 6D - Oświata'!T61+'Tab. 6E - Administracja'!T114+'Tab. 6F - Kultura'!T10+'Tab. 6G - Roln i ochrona środ.'!T183</f>
        <v>1500000</v>
      </c>
      <c r="R59" s="103">
        <f>'Tab. 6A -Drogi'!D407+'Tab. 6C - Ochrona zdrowia'!D12+'Tab. 6D - Oświata'!D61+'Tab. 6E - Administracja'!D114+'Tab. 6F - Kultura'!D10+'Tab. 6G - Roln i ochrona środ.'!D183</f>
        <v>337176149</v>
      </c>
      <c r="S59" s="36">
        <f>SUM(L59:Q59)</f>
        <v>101205137</v>
      </c>
    </row>
    <row r="60" spans="1:19" s="42" customFormat="1" ht="4.5" customHeigh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04"/>
      <c r="P60" s="38"/>
      <c r="Q60" s="38"/>
      <c r="R60" s="41"/>
      <c r="S60" s="41"/>
    </row>
    <row r="61" spans="1:19" s="74" customFormat="1" ht="18" customHeight="1">
      <c r="A61" s="43" t="s">
        <v>22</v>
      </c>
      <c r="B61" s="44">
        <f t="shared" ref="B61:R61" si="29">+B62+B71</f>
        <v>12211596</v>
      </c>
      <c r="C61" s="44">
        <f t="shared" si="29"/>
        <v>0</v>
      </c>
      <c r="D61" s="45">
        <f t="shared" si="29"/>
        <v>5402454</v>
      </c>
      <c r="E61" s="45">
        <f t="shared" si="29"/>
        <v>8279439.0600000005</v>
      </c>
      <c r="F61" s="45">
        <f t="shared" si="29"/>
        <v>27844705</v>
      </c>
      <c r="G61" s="45">
        <f>+G62+G71</f>
        <v>73461581</v>
      </c>
      <c r="H61" s="45">
        <f>+H62+H71</f>
        <v>75927439</v>
      </c>
      <c r="I61" s="45">
        <f t="shared" si="29"/>
        <v>182057852</v>
      </c>
      <c r="J61" s="45">
        <f t="shared" ref="J61" si="30">+J62+J71</f>
        <v>368706683</v>
      </c>
      <c r="K61" s="45">
        <f t="shared" si="29"/>
        <v>220189651</v>
      </c>
      <c r="L61" s="45">
        <f t="shared" si="29"/>
        <v>278341898</v>
      </c>
      <c r="M61" s="45">
        <f t="shared" si="29"/>
        <v>159115923</v>
      </c>
      <c r="N61" s="45">
        <f t="shared" si="29"/>
        <v>135870247</v>
      </c>
      <c r="O61" s="45">
        <f t="shared" si="29"/>
        <v>129860242</v>
      </c>
      <c r="P61" s="45">
        <f t="shared" ref="P61:Q61" si="31">+P62+P71</f>
        <v>88892198</v>
      </c>
      <c r="Q61" s="45">
        <f t="shared" si="31"/>
        <v>82400714</v>
      </c>
      <c r="R61" s="105">
        <f t="shared" si="29"/>
        <v>1469968986</v>
      </c>
      <c r="S61" s="106">
        <f>+S62+S71</f>
        <v>758094759</v>
      </c>
    </row>
    <row r="62" spans="1:19" s="53" customFormat="1" ht="18" customHeight="1">
      <c r="A62" s="49" t="s">
        <v>23</v>
      </c>
      <c r="B62" s="107">
        <f>SUM(B63:B70)</f>
        <v>12211596</v>
      </c>
      <c r="C62" s="50">
        <f t="shared" ref="C62:K62" si="32">SUM(C63:C70)</f>
        <v>0</v>
      </c>
      <c r="D62" s="108">
        <f t="shared" si="32"/>
        <v>5402454</v>
      </c>
      <c r="E62" s="108">
        <f t="shared" si="32"/>
        <v>8279439.0600000005</v>
      </c>
      <c r="F62" s="109">
        <f t="shared" si="32"/>
        <v>12265950</v>
      </c>
      <c r="G62" s="109">
        <f>SUM(G63:G70)</f>
        <v>65262756</v>
      </c>
      <c r="H62" s="109">
        <f>SUM(H63:H70)</f>
        <v>69967293</v>
      </c>
      <c r="I62" s="109">
        <f t="shared" si="32"/>
        <v>171583018</v>
      </c>
      <c r="J62" s="109">
        <f t="shared" si="32"/>
        <v>328494123</v>
      </c>
      <c r="K62" s="109">
        <f t="shared" si="32"/>
        <v>185935592</v>
      </c>
      <c r="L62" s="109">
        <f t="shared" ref="L62:R62" si="33">SUM(L63:L70)</f>
        <v>190301404</v>
      </c>
      <c r="M62" s="109">
        <f t="shared" si="33"/>
        <v>159115923</v>
      </c>
      <c r="N62" s="109">
        <f t="shared" si="33"/>
        <v>135870247</v>
      </c>
      <c r="O62" s="109">
        <f t="shared" si="33"/>
        <v>129860242</v>
      </c>
      <c r="P62" s="109">
        <f t="shared" si="33"/>
        <v>88892198</v>
      </c>
      <c r="Q62" s="109">
        <f t="shared" si="33"/>
        <v>82400714</v>
      </c>
      <c r="R62" s="110">
        <f t="shared" si="33"/>
        <v>1307461873</v>
      </c>
      <c r="S62" s="111">
        <f>SUM(S63:S70)</f>
        <v>758094759</v>
      </c>
    </row>
    <row r="63" spans="1:19" s="42" customFormat="1" ht="16.5" customHeight="1">
      <c r="A63" s="54" t="s">
        <v>44</v>
      </c>
      <c r="B63" s="112">
        <f>+'Tab. 6D - Oświata'!E66+'Tab. 6A -Drogi'!E410+'Tab. 6E - Administracja'!E117+'Tab. 6C - Ochrona zdrowia'!E15</f>
        <v>7239894</v>
      </c>
      <c r="C63" s="112">
        <f>+'Tab. 6D - Oświata'!F66+'Tab. 6A -Drogi'!F410+'Tab. 6E - Administracja'!F117+'Tab. 6C - Ochrona zdrowia'!F15</f>
        <v>0</v>
      </c>
      <c r="D63" s="112">
        <f>+'Tab. 6D - Oświata'!G66+'Tab. 6A -Drogi'!G410+'Tab. 6E - Administracja'!G117+'Tab. 6C - Ochrona zdrowia'!G15</f>
        <v>5300000</v>
      </c>
      <c r="E63" s="112">
        <f>+'Tab. 6D - Oświata'!H66+'Tab. 6A -Drogi'!H410+'Tab. 6E - Administracja'!H117+'Tab. 6C - Ochrona zdrowia'!H15</f>
        <v>1939894</v>
      </c>
      <c r="F63" s="112">
        <f>+'Tab. 6D - Oświata'!I66+'Tab. 6A -Drogi'!I410+'Tab. 6E - Administracja'!I117+'Tab. 6C - Ochrona zdrowia'!I15</f>
        <v>1631974</v>
      </c>
      <c r="G63" s="112">
        <f>+'Tab. 6D - Oświata'!J66+'Tab. 6A -Drogi'!J410+'Tab. 6E - Administracja'!J117+'Tab. 6C - Ochrona zdrowia'!J15</f>
        <v>40647043</v>
      </c>
      <c r="H63" s="112">
        <f>+'Tab. 6D - Oświata'!K66+'Tab. 6A -Drogi'!K410+'Tab. 6E - Administracja'!K117+'Tab. 6C - Ochrona zdrowia'!K15</f>
        <v>46945775</v>
      </c>
      <c r="I63" s="112">
        <f>+'Tab. 6D - Oświata'!L66+'Tab. 6A -Drogi'!L410+'Tab. 6E - Administracja'!L117+'Tab. 6C - Ochrona zdrowia'!L15</f>
        <v>129479140</v>
      </c>
      <c r="J63" s="112">
        <f>+'Tab. 6D - Oświata'!M66+'Tab. 6A -Drogi'!M410+'Tab. 6E - Administracja'!M117+'Tab. 6C - Ochrona zdrowia'!M15</f>
        <v>223147336</v>
      </c>
      <c r="K63" s="112">
        <f>+'Tab. 6D - Oświata'!N66+'Tab. 6A -Drogi'!N410+'Tab. 6E - Administracja'!N117+'Tab. 6C - Ochrona zdrowia'!N15</f>
        <v>131332442</v>
      </c>
      <c r="L63" s="112">
        <f>+'Tab. 6D - Oświata'!O66+'Tab. 6A -Drogi'!O410+'Tab. 6E - Administracja'!O117+'Tab. 6C - Ochrona zdrowia'!O15</f>
        <v>101125472</v>
      </c>
      <c r="M63" s="112">
        <f>+'Tab. 6D - Oświata'!P66+'Tab. 6A -Drogi'!P410+'Tab. 6E - Administracja'!P117+'Tab. 6C - Ochrona zdrowia'!P15</f>
        <v>134521447</v>
      </c>
      <c r="N63" s="112">
        <f>+'Tab. 6D - Oświata'!Q66+'Tab. 6A -Drogi'!Q410+'Tab. 6E - Administracja'!Q117+'Tab. 6C - Ochrona zdrowia'!Q15</f>
        <v>135870247</v>
      </c>
      <c r="O63" s="112">
        <f>+'Tab. 6D - Oświata'!R66+'Tab. 6A -Drogi'!R410+'Tab. 6E - Administracja'!R117+'Tab. 6C - Ochrona zdrowia'!R15</f>
        <v>129860242</v>
      </c>
      <c r="P63" s="112">
        <f>+'Tab. 6D - Oświata'!S66+'Tab. 6A -Drogi'!S410+'Tab. 6E - Administracja'!S117+'Tab. 6C - Ochrona zdrowia'!S15</f>
        <v>88892198</v>
      </c>
      <c r="Q63" s="112">
        <f>+'Tab. 6D - Oświata'!T66+'Tab. 6A -Drogi'!T410+'Tab. 6E - Administracja'!T117+'Tab. 6C - Ochrona zdrowia'!T15</f>
        <v>82400714</v>
      </c>
      <c r="R63" s="113">
        <f>SUM(J63:Q63)+2020000+4571430</f>
        <v>1033741528</v>
      </c>
      <c r="S63" s="30">
        <f>SUM(L63:Q63)+2020000+4571430</f>
        <v>679261750</v>
      </c>
    </row>
    <row r="64" spans="1:19" s="42" customFormat="1" ht="15.75" customHeight="1">
      <c r="A64" s="57" t="s">
        <v>28</v>
      </c>
      <c r="B64" s="79">
        <f>+'Tab. 6A -Drogi'!E413+'Tab. 6G - Roln i ochrona środ.'!E190</f>
        <v>0</v>
      </c>
      <c r="C64" s="79">
        <f>+'Tab. 6A -Drogi'!F413+'Tab. 6G - Roln i ochrona środ.'!F190</f>
        <v>0</v>
      </c>
      <c r="D64" s="79">
        <f>+'Tab. 6A -Drogi'!G413+'Tab. 6G - Roln i ochrona środ.'!G190</f>
        <v>0</v>
      </c>
      <c r="E64" s="79">
        <f>+'Tab. 6A -Drogi'!H413+'Tab. 6G - Roln i ochrona środ.'!H190</f>
        <v>0</v>
      </c>
      <c r="F64" s="79">
        <f>+'Tab. 6A -Drogi'!I413+'Tab. 6G - Roln i ochrona środ.'!I190</f>
        <v>0</v>
      </c>
      <c r="G64" s="79">
        <f>+'Tab. 6A -Drogi'!J413+'Tab. 6G - Roln i ochrona środ.'!J190</f>
        <v>0</v>
      </c>
      <c r="H64" s="112">
        <f>+'Tab. 6A -Drogi'!K413+'Tab. 6G - Roln i ochrona środ.'!K190</f>
        <v>47355</v>
      </c>
      <c r="I64" s="112">
        <f>+'Tab. 6A -Drogi'!L413+'Tab. 6G - Roln i ochrona środ.'!L190</f>
        <v>1026450</v>
      </c>
      <c r="J64" s="112">
        <f>+'Tab. 6A -Drogi'!M413+'Tab. 6G - Roln i ochrona środ.'!M190</f>
        <v>1073805</v>
      </c>
      <c r="K64" s="112">
        <f>+'Tab. 6A -Drogi'!N413+'Tab. 6G - Roln i ochrona środ.'!N190+'Tab. 6H - Kultura fiz. i turyst'!N121</f>
        <v>1465583</v>
      </c>
      <c r="L64" s="112">
        <f>+'Tab. 6A -Drogi'!O413+'Tab. 6G - Roln i ochrona środ.'!O190+'Tab. 6H - Kultura fiz. i turyst'!O121</f>
        <v>541886</v>
      </c>
      <c r="M64" s="112">
        <f>+'Tab. 6A -Drogi'!P413+'Tab. 6G - Roln i ochrona środ.'!P190+'Tab. 6H - Kultura fiz. i turyst'!P121</f>
        <v>0</v>
      </c>
      <c r="N64" s="112">
        <f>+'Tab. 6A -Drogi'!Q413+'Tab. 6G - Roln i ochrona środ.'!Q190+'Tab. 6H - Kultura fiz. i turyst'!Q121</f>
        <v>0</v>
      </c>
      <c r="O64" s="112">
        <f>+'Tab. 6A -Drogi'!R413+'Tab. 6G - Roln i ochrona środ.'!R190+'Tab. 6H - Kultura fiz. i turyst'!R121</f>
        <v>0</v>
      </c>
      <c r="P64" s="112">
        <f>+'Tab. 6A -Drogi'!S413+'Tab. 6G - Roln i ochrona środ.'!S190+'Tab. 6H - Kultura fiz. i turyst'!S121</f>
        <v>0</v>
      </c>
      <c r="Q64" s="112">
        <f>+'Tab. 6A -Drogi'!T413+'Tab. 6G - Roln i ochrona środ.'!T190+'Tab. 6H - Kultura fiz. i turyst'!T121</f>
        <v>0</v>
      </c>
      <c r="R64" s="113">
        <f>SUM(J64:Q64)</f>
        <v>3081274</v>
      </c>
      <c r="S64" s="30">
        <f>SUM(L64:Q64)</f>
        <v>541886</v>
      </c>
    </row>
    <row r="65" spans="1:19" s="42" customFormat="1" ht="15.75" customHeight="1">
      <c r="A65" s="57" t="s">
        <v>45</v>
      </c>
      <c r="B65" s="112">
        <f>+'Tab. 6F - Kultura'!E13+'Tab. 6C - Ochrona zdrowia'!E16</f>
        <v>1070089</v>
      </c>
      <c r="C65" s="112">
        <f>+'Tab. 6F - Kultura'!F13+'Tab. 6C - Ochrona zdrowia'!F16</f>
        <v>0</v>
      </c>
      <c r="D65" s="112">
        <f>+'Tab. 6F - Kultura'!G13+'Tab. 6C - Ochrona zdrowia'!G16</f>
        <v>75454</v>
      </c>
      <c r="E65" s="112">
        <f>+'Tab. 6F - Kultura'!H13+'Tab. 6C - Ochrona zdrowia'!H16</f>
        <v>2710879</v>
      </c>
      <c r="F65" s="112">
        <f>+'Tab. 6F - Kultura'!I13+'Tab. 6C - Ochrona zdrowia'!I16</f>
        <v>1319496</v>
      </c>
      <c r="G65" s="112">
        <f>+'Tab. 6F - Kultura'!J13+'Tab. 6C - Ochrona zdrowia'!J16</f>
        <v>3559289</v>
      </c>
      <c r="H65" s="112">
        <f>+'Tab. 6F - Kultura'!K13+'Tab. 6C - Ochrona zdrowia'!K16</f>
        <v>5102545</v>
      </c>
      <c r="I65" s="112">
        <f>+'Tab. 6F - Kultura'!L13+'Tab. 6C - Ochrona zdrowia'!L16</f>
        <v>25564182</v>
      </c>
      <c r="J65" s="112">
        <f>+'Tab. 6F - Kultura'!M13+'Tab. 6C - Ochrona zdrowia'!M16</f>
        <v>36615601</v>
      </c>
      <c r="K65" s="112">
        <f>+'Tab. 6F - Kultura'!N13+'Tab. 6C - Ochrona zdrowia'!N16</f>
        <v>4866393</v>
      </c>
      <c r="L65" s="112">
        <f>+'Tab. 6F - Kultura'!O13+'Tab. 6C - Ochrona zdrowia'!O16</f>
        <v>18667740</v>
      </c>
      <c r="M65" s="112">
        <f>+'Tab. 6F - Kultura'!P13+'Tab. 6C - Ochrona zdrowia'!P16</f>
        <v>16269659</v>
      </c>
      <c r="N65" s="112">
        <f>+'Tab. 6F - Kultura'!Q13+'Tab. 6C - Ochrona zdrowia'!Q16</f>
        <v>0</v>
      </c>
      <c r="O65" s="112">
        <f>+'Tab. 6F - Kultura'!R13+'Tab. 6C - Ochrona zdrowia'!R16</f>
        <v>0</v>
      </c>
      <c r="P65" s="112">
        <f>+'Tab. 6F - Kultura'!S13+'Tab. 6C - Ochrona zdrowia'!S16</f>
        <v>0</v>
      </c>
      <c r="Q65" s="112">
        <f>+'Tab. 6F - Kultura'!T13+'Tab. 6C - Ochrona zdrowia'!T16</f>
        <v>0</v>
      </c>
      <c r="R65" s="113">
        <f t="shared" ref="R65:R70" si="34">SUM(J65:Q65)</f>
        <v>76419393</v>
      </c>
      <c r="S65" s="1837">
        <v>0</v>
      </c>
    </row>
    <row r="66" spans="1:19" s="42" customFormat="1" ht="15.75" customHeight="1">
      <c r="A66" s="54" t="s">
        <v>46</v>
      </c>
      <c r="B66" s="112">
        <f>+'Tab. 6F - Kultura'!E14+'Tab. 6C - Ochrona zdrowia'!E17+'Tab. 6D - Oświata'!E65</f>
        <v>3621827</v>
      </c>
      <c r="C66" s="112">
        <f>+'Tab. 6F - Kultura'!F14+'Tab. 6C - Ochrona zdrowia'!F17+'Tab. 6D - Oświata'!F65</f>
        <v>0</v>
      </c>
      <c r="D66" s="112">
        <f>+'Tab. 6F - Kultura'!G14+'Tab. 6C - Ochrona zdrowia'!G17+'Tab. 6D - Oświata'!G65</f>
        <v>27000</v>
      </c>
      <c r="E66" s="112">
        <f>+'Tab. 6F - Kultura'!H14+'Tab. 6C - Ochrona zdrowia'!H17+'Tab. 6D - Oświata'!H65</f>
        <v>3348880.0600000005</v>
      </c>
      <c r="F66" s="112">
        <f>+'Tab. 6F - Kultura'!I14+'Tab. 6C - Ochrona zdrowia'!I17+'Tab. 6D - Oświata'!I65</f>
        <v>6819986</v>
      </c>
      <c r="G66" s="112">
        <f>+'Tab. 6F - Kultura'!J14+'Tab. 6C - Ochrona zdrowia'!J17+'Tab. 6D - Oświata'!J65</f>
        <v>10846424</v>
      </c>
      <c r="H66" s="112">
        <f>+'Tab. 6F - Kultura'!K14+'Tab. 6C - Ochrona zdrowia'!K17+'Tab. 6D - Oświata'!K65</f>
        <v>13251483</v>
      </c>
      <c r="I66" s="112">
        <f>+'Tab. 6F - Kultura'!L14+'Tab. 6C - Ochrona zdrowia'!L17+'Tab. 6D - Oświata'!L65+'Tab. 6H - Kultura fiz. i turyst'!L129</f>
        <v>6472922</v>
      </c>
      <c r="J66" s="112">
        <f>+'Tab. 6F - Kultura'!M14+'Tab. 6C - Ochrona zdrowia'!M17+'Tab. 6D - Oświata'!M65+'Tab. 6H - Kultura fiz. i turyst'!M129</f>
        <v>41012642</v>
      </c>
      <c r="K66" s="112">
        <f>+'Tab. 6F - Kultura'!N14+'Tab. 6C - Ochrona zdrowia'!N17+'Tab. 6D - Oświata'!N65+'Tab. 6H - Kultura fiz. i turyst'!N129</f>
        <v>30752591</v>
      </c>
      <c r="L66" s="112">
        <f>+'Tab. 6F - Kultura'!O14+'Tab. 6C - Ochrona zdrowia'!O17+'Tab. 6D - Oświata'!O65+'Tab. 6H - Kultura fiz. i turyst'!O129</f>
        <v>45747833</v>
      </c>
      <c r="M66" s="112">
        <f>+'Tab. 6F - Kultura'!P14+'Tab. 6C - Ochrona zdrowia'!P17+'Tab. 6D - Oświata'!P65+'Tab. 6H - Kultura fiz. i turyst'!P129</f>
        <v>3021101</v>
      </c>
      <c r="N66" s="112">
        <f>+'Tab. 6F - Kultura'!Q14+'Tab. 6C - Ochrona zdrowia'!Q17+'Tab. 6D - Oświata'!Q65+'Tab. 6H - Kultura fiz. i turyst'!Q129</f>
        <v>0</v>
      </c>
      <c r="O66" s="112">
        <f>+'Tab. 6F - Kultura'!R14+'Tab. 6C - Ochrona zdrowia'!R17+'Tab. 6D - Oświata'!R65+'Tab. 6H - Kultura fiz. i turyst'!R129</f>
        <v>0</v>
      </c>
      <c r="P66" s="112">
        <f>+'Tab. 6F - Kultura'!S14+'Tab. 6C - Ochrona zdrowia'!S17+'Tab. 6D - Oświata'!S65+'Tab. 6H - Kultura fiz. i turyst'!S129</f>
        <v>0</v>
      </c>
      <c r="Q66" s="112">
        <f>+'Tab. 6F - Kultura'!T14+'Tab. 6C - Ochrona zdrowia'!T17+'Tab. 6D - Oświata'!T65+'Tab. 6H - Kultura fiz. i turyst'!T129</f>
        <v>0</v>
      </c>
      <c r="R66" s="113">
        <f t="shared" si="34"/>
        <v>120534167</v>
      </c>
      <c r="S66" s="30">
        <f t="shared" ref="S66:S70" si="35">SUM(L66:Q66)</f>
        <v>48768934</v>
      </c>
    </row>
    <row r="67" spans="1:19" s="42" customFormat="1" ht="15.75" customHeight="1">
      <c r="A67" s="57" t="s">
        <v>27</v>
      </c>
      <c r="B67" s="112">
        <f>+'Tab. 6A -Drogi'!E412+'Tab. 6C - Ochrona zdrowia'!E19</f>
        <v>279786</v>
      </c>
      <c r="C67" s="112">
        <f>+'Tab. 6A -Drogi'!F412+'Tab. 6C - Ochrona zdrowia'!F19</f>
        <v>0</v>
      </c>
      <c r="D67" s="112">
        <f>+'Tab. 6A -Drogi'!G412+'Tab. 6C - Ochrona zdrowia'!G19</f>
        <v>0</v>
      </c>
      <c r="E67" s="112">
        <f>+'Tab. 6A -Drogi'!H412+'Tab. 6C - Ochrona zdrowia'!H19</f>
        <v>279786</v>
      </c>
      <c r="F67" s="112">
        <f>+'Tab. 6A -Drogi'!I412+'Tab. 6C - Ochrona zdrowia'!I19</f>
        <v>2494494</v>
      </c>
      <c r="G67" s="112">
        <f>+'Tab. 6A -Drogi'!J412+'Tab. 6C - Ochrona zdrowia'!J19</f>
        <v>2145000</v>
      </c>
      <c r="H67" s="112">
        <f>+'Tab. 6A -Drogi'!K412+'Tab. 6C - Ochrona zdrowia'!K19</f>
        <v>2717825</v>
      </c>
      <c r="I67" s="112">
        <f>+'Tab. 6A -Drogi'!L412+'Tab. 6C - Ochrona zdrowia'!L19</f>
        <v>3712896</v>
      </c>
      <c r="J67" s="112">
        <f>+'Tab. 6A -Drogi'!M412+'Tab. 6C - Ochrona zdrowia'!M19</f>
        <v>11350001</v>
      </c>
      <c r="K67" s="112">
        <f>+'Tab. 6A -Drogi'!N412+'Tab. 6C - Ochrona zdrowia'!N19</f>
        <v>5065557</v>
      </c>
      <c r="L67" s="112">
        <f>+'Tab. 6A -Drogi'!O412+'Tab. 6C - Ochrona zdrowia'!O19</f>
        <v>1677218</v>
      </c>
      <c r="M67" s="112">
        <f>+'Tab. 6A -Drogi'!P412+'Tab. 6C - Ochrona zdrowia'!P19</f>
        <v>0</v>
      </c>
      <c r="N67" s="112">
        <f>+'Tab. 6A -Drogi'!Q412+'Tab. 6C - Ochrona zdrowia'!Q19</f>
        <v>0</v>
      </c>
      <c r="O67" s="112">
        <f>+'Tab. 6A -Drogi'!R412+'Tab. 6C - Ochrona zdrowia'!R19</f>
        <v>0</v>
      </c>
      <c r="P67" s="112">
        <f>+'Tab. 6A -Drogi'!S412+'Tab. 6C - Ochrona zdrowia'!S19</f>
        <v>0</v>
      </c>
      <c r="Q67" s="112">
        <f>+'Tab. 6A -Drogi'!T412+'Tab. 6C - Ochrona zdrowia'!T19</f>
        <v>0</v>
      </c>
      <c r="R67" s="113">
        <f t="shared" si="34"/>
        <v>18092776</v>
      </c>
      <c r="S67" s="30">
        <f t="shared" si="35"/>
        <v>1677218</v>
      </c>
    </row>
    <row r="68" spans="1:19" s="42" customFormat="1" ht="15.75" customHeight="1">
      <c r="A68" s="57" t="s">
        <v>25</v>
      </c>
      <c r="B68" s="79">
        <f>+'Tab. 6A -Drogi'!E411+'Tab. 6C - Ochrona zdrowia'!E18</f>
        <v>0</v>
      </c>
      <c r="C68" s="79">
        <f>+'Tab. 6A -Drogi'!F411+'Tab. 6C - Ochrona zdrowia'!F18</f>
        <v>0</v>
      </c>
      <c r="D68" s="79">
        <f>+'Tab. 6A -Drogi'!G411+'Tab. 6C - Ochrona zdrowia'!G18</f>
        <v>0</v>
      </c>
      <c r="E68" s="79">
        <f>+'Tab. 6A -Drogi'!H411+'Tab. 6C - Ochrona zdrowia'!H18</f>
        <v>0</v>
      </c>
      <c r="F68" s="79">
        <f>+'Tab. 6A -Drogi'!I411+'Tab. 6C - Ochrona zdrowia'!I18</f>
        <v>0</v>
      </c>
      <c r="G68" s="112">
        <f>+'Tab. 6A -Drogi'!J411+'Tab. 6C - Ochrona zdrowia'!J18</f>
        <v>8065000</v>
      </c>
      <c r="H68" s="112">
        <f>+'Tab. 6A -Drogi'!K411+'Tab. 6C - Ochrona zdrowia'!K18</f>
        <v>1854955</v>
      </c>
      <c r="I68" s="112">
        <f>+'Tab. 6A -Drogi'!L411+'Tab. 6C - Ochrona zdrowia'!L18</f>
        <v>3882193</v>
      </c>
      <c r="J68" s="112">
        <f>+'Tab. 6A -Drogi'!M411+'Tab. 6C - Ochrona zdrowia'!M18</f>
        <v>13802148</v>
      </c>
      <c r="K68" s="112">
        <f>+'Tab. 6A -Drogi'!N411+'Tab. 6C - Ochrona zdrowia'!N18</f>
        <v>10097910</v>
      </c>
      <c r="L68" s="112">
        <f>+'Tab. 6A -Drogi'!O411+'Tab. 6C - Ochrona zdrowia'!O18</f>
        <v>22341255</v>
      </c>
      <c r="M68" s="112">
        <f>+'Tab. 6A -Drogi'!P411+'Tab. 6C - Ochrona zdrowia'!P18</f>
        <v>5303716</v>
      </c>
      <c r="N68" s="112">
        <f>+'Tab. 6A -Drogi'!Q411+'Tab. 6C - Ochrona zdrowia'!Q18</f>
        <v>0</v>
      </c>
      <c r="O68" s="112">
        <f>+'Tab. 6A -Drogi'!R411+'Tab. 6C - Ochrona zdrowia'!R18</f>
        <v>0</v>
      </c>
      <c r="P68" s="112">
        <f>+'Tab. 6A -Drogi'!S411+'Tab. 6C - Ochrona zdrowia'!S18</f>
        <v>0</v>
      </c>
      <c r="Q68" s="112">
        <f>+'Tab. 6A -Drogi'!T411+'Tab. 6C - Ochrona zdrowia'!T18</f>
        <v>0</v>
      </c>
      <c r="R68" s="113">
        <f t="shared" si="34"/>
        <v>51545029</v>
      </c>
      <c r="S68" s="30">
        <f t="shared" si="35"/>
        <v>27644971</v>
      </c>
    </row>
    <row r="69" spans="1:19" s="42" customFormat="1" ht="14.25" customHeight="1">
      <c r="A69" s="114" t="s">
        <v>47</v>
      </c>
      <c r="B69" s="79">
        <f>+'Tab. 6D - Oświata'!E64</f>
        <v>0</v>
      </c>
      <c r="C69" s="79">
        <f>+'Tab. 6D - Oświata'!F64</f>
        <v>0</v>
      </c>
      <c r="D69" s="79">
        <f>+'Tab. 6D - Oświata'!G64</f>
        <v>0</v>
      </c>
      <c r="E69" s="79">
        <f>+'Tab. 6D - Oświata'!H64</f>
        <v>0</v>
      </c>
      <c r="F69" s="79">
        <f>+'Tab. 6D - Oświata'!I64</f>
        <v>0</v>
      </c>
      <c r="G69" s="79">
        <f>+'Tab. 6D - Oświata'!J64</f>
        <v>0</v>
      </c>
      <c r="H69" s="79">
        <f>+'Tab. 6D - Oświata'!K64</f>
        <v>0</v>
      </c>
      <c r="I69" s="112">
        <f>+'Tab. 6D - Oświata'!L64</f>
        <v>1445235</v>
      </c>
      <c r="J69" s="112">
        <f>+'Tab. 6D - Oświata'!M64</f>
        <v>1445235</v>
      </c>
      <c r="K69" s="112">
        <f>+'Tab. 6D - Oświata'!N64</f>
        <v>2155116</v>
      </c>
      <c r="L69" s="112">
        <f>+'Tab. 6D - Oświata'!O64</f>
        <v>0</v>
      </c>
      <c r="M69" s="112">
        <f>+'Tab. 6D - Oświata'!P64</f>
        <v>0</v>
      </c>
      <c r="N69" s="112">
        <f>+'Tab. 6D - Oświata'!Q64</f>
        <v>0</v>
      </c>
      <c r="O69" s="112">
        <f>+'Tab. 6D - Oświata'!R64</f>
        <v>0</v>
      </c>
      <c r="P69" s="112">
        <f>+'Tab. 6D - Oświata'!S64</f>
        <v>0</v>
      </c>
      <c r="Q69" s="112">
        <f>+'Tab. 6D - Oświata'!T64</f>
        <v>0</v>
      </c>
      <c r="R69" s="113">
        <f t="shared" si="34"/>
        <v>3600351</v>
      </c>
      <c r="S69" s="1837">
        <f t="shared" si="35"/>
        <v>0</v>
      </c>
    </row>
    <row r="70" spans="1:19" s="42" customFormat="1" ht="15.75" customHeight="1">
      <c r="A70" s="57" t="s">
        <v>26</v>
      </c>
      <c r="B70" s="79">
        <f>+'Tab. 6G - Roln i ochrona środ.'!E189</f>
        <v>0</v>
      </c>
      <c r="C70" s="79">
        <f>+'Tab. 6G - Roln i ochrona środ.'!F189</f>
        <v>0</v>
      </c>
      <c r="D70" s="79">
        <f>+'Tab. 6G - Roln i ochrona środ.'!G189</f>
        <v>0</v>
      </c>
      <c r="E70" s="79">
        <f>+'Tab. 6G - Roln i ochrona środ.'!H189</f>
        <v>0</v>
      </c>
      <c r="F70" s="79">
        <f>+'Tab. 6G - Roln i ochrona środ.'!I189</f>
        <v>0</v>
      </c>
      <c r="G70" s="79">
        <f>+'Tab. 6G - Roln i ochrona środ.'!J189</f>
        <v>0</v>
      </c>
      <c r="H70" s="112">
        <f>+'Tab. 6G - Roln i ochrona środ.'!K189</f>
        <v>47355</v>
      </c>
      <c r="I70" s="79">
        <f>+'Tab. 6G - Roln i ochrona środ.'!L189</f>
        <v>0</v>
      </c>
      <c r="J70" s="112">
        <f>+'Tab. 6G - Roln i ochrona środ.'!M189</f>
        <v>47355</v>
      </c>
      <c r="K70" s="112">
        <f>+'Tab. 6E - Administracja'!N118</f>
        <v>200000</v>
      </c>
      <c r="L70" s="112">
        <f>+'Tab. 6E - Administracja'!O118</f>
        <v>200000</v>
      </c>
      <c r="M70" s="112">
        <f>+'Tab. 6E - Administracja'!P118</f>
        <v>0</v>
      </c>
      <c r="N70" s="112">
        <f>+'Tab. 6E - Administracja'!Q118</f>
        <v>0</v>
      </c>
      <c r="O70" s="112">
        <f>+'Tab. 6E - Administracja'!R118</f>
        <v>0</v>
      </c>
      <c r="P70" s="112">
        <f>+'Tab. 6E - Administracja'!S118</f>
        <v>0</v>
      </c>
      <c r="Q70" s="112">
        <f>+'Tab. 6E - Administracja'!T118</f>
        <v>0</v>
      </c>
      <c r="R70" s="113">
        <f t="shared" si="34"/>
        <v>447355</v>
      </c>
      <c r="S70" s="30">
        <f t="shared" si="35"/>
        <v>200000</v>
      </c>
    </row>
    <row r="71" spans="1:19" s="42" customFormat="1" ht="18" customHeight="1">
      <c r="A71" s="65" t="s">
        <v>30</v>
      </c>
      <c r="B71" s="115">
        <f t="shared" ref="B71:Q71" si="36">SUM(B72:B72)</f>
        <v>0</v>
      </c>
      <c r="C71" s="116">
        <f t="shared" si="36"/>
        <v>0</v>
      </c>
      <c r="D71" s="116">
        <f t="shared" si="36"/>
        <v>0</v>
      </c>
      <c r="E71" s="116">
        <f t="shared" si="36"/>
        <v>0</v>
      </c>
      <c r="F71" s="75">
        <f t="shared" si="36"/>
        <v>15578755</v>
      </c>
      <c r="G71" s="75">
        <f t="shared" si="36"/>
        <v>8198825</v>
      </c>
      <c r="H71" s="75">
        <f t="shared" si="36"/>
        <v>5960146</v>
      </c>
      <c r="I71" s="75">
        <f t="shared" si="36"/>
        <v>10474834</v>
      </c>
      <c r="J71" s="75">
        <f t="shared" si="36"/>
        <v>40212560</v>
      </c>
      <c r="K71" s="75">
        <f>+K72</f>
        <v>34254059</v>
      </c>
      <c r="L71" s="75">
        <f>+L72</f>
        <v>88040494</v>
      </c>
      <c r="M71" s="117">
        <f t="shared" si="36"/>
        <v>0</v>
      </c>
      <c r="N71" s="117">
        <f t="shared" si="36"/>
        <v>0</v>
      </c>
      <c r="O71" s="117">
        <f t="shared" si="36"/>
        <v>0</v>
      </c>
      <c r="P71" s="117">
        <f t="shared" si="36"/>
        <v>0</v>
      </c>
      <c r="Q71" s="117">
        <f t="shared" si="36"/>
        <v>0</v>
      </c>
      <c r="R71" s="118">
        <f t="shared" ref="R71:S71" si="37">+R72</f>
        <v>162507113</v>
      </c>
      <c r="S71" s="1836">
        <f t="shared" si="37"/>
        <v>0</v>
      </c>
    </row>
    <row r="72" spans="1:19" s="42" customFormat="1" ht="16.5" customHeight="1">
      <c r="A72" s="57" t="s">
        <v>48</v>
      </c>
      <c r="B72" s="112">
        <f>+'Tab. 6D - Oświata'!E68+'Tab. 6F - Kultura'!E16+'Tab. 6C - Ochrona zdrowia'!E21</f>
        <v>0</v>
      </c>
      <c r="C72" s="112">
        <f>+'Tab. 6D - Oświata'!F68+'Tab. 6F - Kultura'!F16+'Tab. 6C - Ochrona zdrowia'!F21</f>
        <v>0</v>
      </c>
      <c r="D72" s="112">
        <f>+'Tab. 6D - Oświata'!G68+'Tab. 6F - Kultura'!G16+'Tab. 6C - Ochrona zdrowia'!G21</f>
        <v>0</v>
      </c>
      <c r="E72" s="112">
        <f>+'Tab. 6D - Oświata'!H68+'Tab. 6F - Kultura'!H16+'Tab. 6C - Ochrona zdrowia'!H21</f>
        <v>0</v>
      </c>
      <c r="F72" s="112">
        <f>+'Tab. 6D - Oświata'!I68+'Tab. 6F - Kultura'!I16+'Tab. 6C - Ochrona zdrowia'!I21</f>
        <v>15578755</v>
      </c>
      <c r="G72" s="112">
        <f>+'Tab. 6D - Oświata'!J68+'Tab. 6F - Kultura'!J16+'Tab. 6C - Ochrona zdrowia'!J21</f>
        <v>8198825</v>
      </c>
      <c r="H72" s="112">
        <f>+'Tab. 6D - Oświata'!K68+'Tab. 6F - Kultura'!K16+'Tab. 6C - Ochrona zdrowia'!K21</f>
        <v>5960146</v>
      </c>
      <c r="I72" s="112">
        <f>+'Tab. 6D - Oświata'!L68+'Tab. 6F - Kultura'!L16+'Tab. 6C - Ochrona zdrowia'!L21</f>
        <v>10474834</v>
      </c>
      <c r="J72" s="112">
        <f>+'Tab. 6D - Oświata'!M68+'Tab. 6F - Kultura'!M16+'Tab. 6C - Ochrona zdrowia'!M21</f>
        <v>40212560</v>
      </c>
      <c r="K72" s="112">
        <f>+'Tab. 6D - Oświata'!N68+'Tab. 6F - Kultura'!N16+'Tab. 6C - Ochrona zdrowia'!N21</f>
        <v>34254059</v>
      </c>
      <c r="L72" s="112">
        <f>+'Tab. 6D - Oświata'!O68+'Tab. 6F - Kultura'!O16+'Tab. 6C - Ochrona zdrowia'!O21</f>
        <v>88040494</v>
      </c>
      <c r="M72" s="112">
        <f>+'Tab. 6D - Oświata'!P68+'Tab. 6F - Kultura'!P16+'Tab. 6C - Ochrona zdrowia'!P21</f>
        <v>0</v>
      </c>
      <c r="N72" s="112">
        <f>+'Tab. 6D - Oświata'!Q68+'Tab. 6F - Kultura'!Q16+'Tab. 6C - Ochrona zdrowia'!Q21</f>
        <v>0</v>
      </c>
      <c r="O72" s="112">
        <f>+'Tab. 6D - Oświata'!R68+'Tab. 6F - Kultura'!R16+'Tab. 6C - Ochrona zdrowia'!R21</f>
        <v>0</v>
      </c>
      <c r="P72" s="112">
        <f>+'Tab. 6D - Oświata'!S68+'Tab. 6F - Kultura'!S16+'Tab. 6C - Ochrona zdrowia'!S21</f>
        <v>0</v>
      </c>
      <c r="Q72" s="112">
        <f>+'Tab. 6D - Oświata'!T68+'Tab. 6F - Kultura'!T16+'Tab. 6C - Ochrona zdrowia'!T21</f>
        <v>0</v>
      </c>
      <c r="R72" s="113">
        <f>SUM(J72:Q72)</f>
        <v>162507113</v>
      </c>
      <c r="S72" s="1837">
        <v>0</v>
      </c>
    </row>
    <row r="73" spans="1:19" s="48" customFormat="1" ht="18" customHeight="1">
      <c r="A73" s="43" t="s">
        <v>34</v>
      </c>
      <c r="B73" s="119">
        <f t="shared" ref="B73:R73" si="38">+B74+B80</f>
        <v>279786</v>
      </c>
      <c r="C73" s="120">
        <f t="shared" si="38"/>
        <v>0</v>
      </c>
      <c r="D73" s="120">
        <f t="shared" si="38"/>
        <v>0</v>
      </c>
      <c r="E73" s="120">
        <f t="shared" si="38"/>
        <v>279786</v>
      </c>
      <c r="F73" s="121">
        <f t="shared" si="38"/>
        <v>18175186</v>
      </c>
      <c r="G73" s="121">
        <f t="shared" si="38"/>
        <v>18629155</v>
      </c>
      <c r="H73" s="121">
        <f t="shared" si="38"/>
        <v>13809728</v>
      </c>
      <c r="I73" s="121">
        <f>+I74+I80</f>
        <v>19818744</v>
      </c>
      <c r="J73" s="121">
        <f>+J74+J80</f>
        <v>70712599</v>
      </c>
      <c r="K73" s="121">
        <f>+K74+K80</f>
        <v>53181413</v>
      </c>
      <c r="L73" s="121">
        <f t="shared" si="38"/>
        <v>141402507</v>
      </c>
      <c r="M73" s="121">
        <f t="shared" si="38"/>
        <v>15803716</v>
      </c>
      <c r="N73" s="121">
        <f t="shared" ref="N73:O73" si="39">+N74+N80</f>
        <v>10500000</v>
      </c>
      <c r="O73" s="121">
        <f t="shared" si="39"/>
        <v>10500000</v>
      </c>
      <c r="P73" s="122">
        <f>+P74+P80</f>
        <v>0</v>
      </c>
      <c r="Q73" s="122">
        <f>+Q74+Q80</f>
        <v>0</v>
      </c>
      <c r="R73" s="123">
        <f t="shared" si="38"/>
        <v>302100235</v>
      </c>
      <c r="S73" s="2405" t="s">
        <v>35</v>
      </c>
    </row>
    <row r="74" spans="1:19" s="42" customFormat="1" ht="15" customHeight="1">
      <c r="A74" s="65" t="s">
        <v>36</v>
      </c>
      <c r="B74" s="75">
        <f t="shared" ref="B74:M74" si="40">SUM(B75:B79)</f>
        <v>279786</v>
      </c>
      <c r="C74" s="75">
        <f t="shared" si="40"/>
        <v>0</v>
      </c>
      <c r="D74" s="75">
        <f t="shared" si="40"/>
        <v>0</v>
      </c>
      <c r="E74" s="75">
        <f t="shared" si="40"/>
        <v>279786</v>
      </c>
      <c r="F74" s="75">
        <f t="shared" si="40"/>
        <v>2596431</v>
      </c>
      <c r="G74" s="75">
        <f t="shared" si="40"/>
        <v>10430330</v>
      </c>
      <c r="H74" s="75">
        <f t="shared" si="40"/>
        <v>6012543</v>
      </c>
      <c r="I74" s="75">
        <f>SUM(I75:I79)</f>
        <v>10658611</v>
      </c>
      <c r="J74" s="75">
        <f>SUM(J75:J79)</f>
        <v>29977701</v>
      </c>
      <c r="K74" s="75">
        <f>SUM(K75:K79)</f>
        <v>20207191</v>
      </c>
      <c r="L74" s="75">
        <f t="shared" si="40"/>
        <v>52604514</v>
      </c>
      <c r="M74" s="75">
        <f t="shared" si="40"/>
        <v>15803716</v>
      </c>
      <c r="N74" s="75">
        <f t="shared" ref="N74:O74" si="41">SUM(N75:N79)</f>
        <v>10500000</v>
      </c>
      <c r="O74" s="75">
        <f t="shared" si="41"/>
        <v>10500000</v>
      </c>
      <c r="P74" s="117">
        <f>SUM(P75:P79)</f>
        <v>0</v>
      </c>
      <c r="Q74" s="117">
        <f>SUM(Q75:Q79)</f>
        <v>0</v>
      </c>
      <c r="R74" s="118">
        <f>SUM(R75:R79)</f>
        <v>139593122</v>
      </c>
      <c r="S74" s="2406"/>
    </row>
    <row r="75" spans="1:19" s="42" customFormat="1" ht="15" customHeight="1">
      <c r="A75" s="57" t="s">
        <v>25</v>
      </c>
      <c r="B75" s="124">
        <f>+'Tab. 6A -Drogi'!E416+'Tab. 6C - Ochrona zdrowia'!E24</f>
        <v>0</v>
      </c>
      <c r="C75" s="124">
        <f>+'Tab. 6A -Drogi'!F416+'Tab. 6C - Ochrona zdrowia'!F24</f>
        <v>0</v>
      </c>
      <c r="D75" s="124">
        <f>+'Tab. 6A -Drogi'!G416+'Tab. 6C - Ochrona zdrowia'!G24</f>
        <v>0</v>
      </c>
      <c r="E75" s="124">
        <f>+'Tab. 6A -Drogi'!H416+'Tab. 6C - Ochrona zdrowia'!H24</f>
        <v>0</v>
      </c>
      <c r="F75" s="124">
        <f>+'Tab. 6A -Drogi'!I416+'Tab. 6C - Ochrona zdrowia'!I24</f>
        <v>0</v>
      </c>
      <c r="G75" s="77">
        <f>+'Tab. 6A -Drogi'!J416+'Tab. 6C - Ochrona zdrowia'!J24</f>
        <v>8065000</v>
      </c>
      <c r="H75" s="77">
        <f>+'Tab. 6A -Drogi'!K416+'Tab. 6C - Ochrona zdrowia'!K24</f>
        <v>1854955</v>
      </c>
      <c r="I75" s="77">
        <f>+'Tab. 6A -Drogi'!L416+'Tab. 6C - Ochrona zdrowia'!L24</f>
        <v>3882193</v>
      </c>
      <c r="J75" s="77">
        <f>+'Tab. 6C - Ochrona zdrowia'!M24</f>
        <v>13802148</v>
      </c>
      <c r="K75" s="77">
        <f>+'Tab. 6C - Ochrona zdrowia'!N24</f>
        <v>10097910</v>
      </c>
      <c r="L75" s="77">
        <f>+'Tab. 6C - Ochrona zdrowia'!O24+'Tab. 6A -Drogi'!O417</f>
        <v>22341255</v>
      </c>
      <c r="M75" s="77">
        <f>+'Tab. 6C - Ochrona zdrowia'!P24+'Tab. 6A -Drogi'!P417</f>
        <v>5303716</v>
      </c>
      <c r="N75" s="124">
        <f>+'Tab. 6C - Ochrona zdrowia'!Q24+'Tab. 6A -Drogi'!Q417</f>
        <v>0</v>
      </c>
      <c r="O75" s="124">
        <f>+'Tab. 6C - Ochrona zdrowia'!R24+'Tab. 6A -Drogi'!R417</f>
        <v>0</v>
      </c>
      <c r="P75" s="124">
        <f>+'Tab. 6C - Ochrona zdrowia'!S24+'Tab. 6A -Drogi'!S417</f>
        <v>0</v>
      </c>
      <c r="Q75" s="124">
        <f>+'Tab. 6C - Ochrona zdrowia'!T24+'Tab. 6A -Drogi'!T417</f>
        <v>0</v>
      </c>
      <c r="R75" s="113">
        <f t="shared" ref="R75:R79" si="42">SUM(J75:Q75)</f>
        <v>51545029</v>
      </c>
      <c r="S75" s="2406"/>
    </row>
    <row r="76" spans="1:19" s="42" customFormat="1" ht="15" customHeight="1">
      <c r="A76" s="57" t="s">
        <v>27</v>
      </c>
      <c r="B76" s="77">
        <f>+'Tab. 6A -Drogi'!E418+'Tab. 6C - Ochrona zdrowia'!E25</f>
        <v>279786</v>
      </c>
      <c r="C76" s="77">
        <f>+'Tab. 6A -Drogi'!F418+'Tab. 6C - Ochrona zdrowia'!F25</f>
        <v>0</v>
      </c>
      <c r="D76" s="77">
        <f>+'Tab. 6A -Drogi'!G418+'Tab. 6C - Ochrona zdrowia'!G25</f>
        <v>0</v>
      </c>
      <c r="E76" s="77">
        <f>+'Tab. 6A -Drogi'!H418+'Tab. 6C - Ochrona zdrowia'!H25</f>
        <v>279786</v>
      </c>
      <c r="F76" s="77">
        <f>+'Tab. 6A -Drogi'!I418+'Tab. 6C - Ochrona zdrowia'!I25</f>
        <v>2494494</v>
      </c>
      <c r="G76" s="77">
        <f>+'Tab. 6A -Drogi'!J418+'Tab. 6C - Ochrona zdrowia'!J25</f>
        <v>2145000</v>
      </c>
      <c r="H76" s="77">
        <f>+'Tab. 6A -Drogi'!K418+'Tab. 6C - Ochrona zdrowia'!K25</f>
        <v>2717825</v>
      </c>
      <c r="I76" s="77">
        <f>+'Tab. 6A -Drogi'!L418+'Tab. 6C - Ochrona zdrowia'!L25</f>
        <v>3712896</v>
      </c>
      <c r="J76" s="77">
        <f>+'Tab. 6A -Drogi'!M418+'Tab. 6C - Ochrona zdrowia'!M25</f>
        <v>11350001</v>
      </c>
      <c r="K76" s="77">
        <f>+'Tab. 6A -Drogi'!N418+'Tab. 6C - Ochrona zdrowia'!N25</f>
        <v>5065557</v>
      </c>
      <c r="L76" s="77">
        <f>+'Tab. 6A -Drogi'!O418+'Tab. 6C - Ochrona zdrowia'!O25</f>
        <v>1677218</v>
      </c>
      <c r="M76" s="124">
        <f>+'Tab. 6A -Drogi'!P418+'Tab. 6C - Ochrona zdrowia'!P25</f>
        <v>0</v>
      </c>
      <c r="N76" s="124">
        <f>+'Tab. 6A -Drogi'!Q418+'Tab. 6C - Ochrona zdrowia'!Q25</f>
        <v>0</v>
      </c>
      <c r="O76" s="124">
        <f>+'Tab. 6A -Drogi'!R418+'Tab. 6C - Ochrona zdrowia'!R25</f>
        <v>0</v>
      </c>
      <c r="P76" s="124">
        <f>+'Tab. 6A -Drogi'!S418+'Tab. 6C - Ochrona zdrowia'!S25</f>
        <v>0</v>
      </c>
      <c r="Q76" s="124">
        <f>+'Tab. 6A -Drogi'!T418+'Tab. 6C - Ochrona zdrowia'!T25</f>
        <v>0</v>
      </c>
      <c r="R76" s="113">
        <f t="shared" si="42"/>
        <v>18092776</v>
      </c>
      <c r="S76" s="2406"/>
    </row>
    <row r="77" spans="1:19" s="42" customFormat="1" ht="15" customHeight="1">
      <c r="A77" s="57" t="s">
        <v>28</v>
      </c>
      <c r="B77" s="124">
        <f>+'Tab. 6A -Drogi'!E419+'Tab. 6G - Roln i ochrona środ.'!E196</f>
        <v>0</v>
      </c>
      <c r="C77" s="77">
        <f>+'Tab. 6A -Drogi'!F419+'Tab. 6G - Roln i ochrona środ.'!F196</f>
        <v>0</v>
      </c>
      <c r="D77" s="77">
        <f>+'Tab. 6A -Drogi'!G419+'Tab. 6G - Roln i ochrona środ.'!G196</f>
        <v>0</v>
      </c>
      <c r="E77" s="77">
        <f>+'Tab. 6A -Drogi'!H419+'Tab. 6G - Roln i ochrona środ.'!H196</f>
        <v>0</v>
      </c>
      <c r="F77" s="124">
        <f>+'Tab. 6A -Drogi'!I419+'Tab. 6G - Roln i ochrona środ.'!I196</f>
        <v>0</v>
      </c>
      <c r="G77" s="124">
        <f>+'Tab. 6A -Drogi'!J419+'Tab. 6G - Roln i ochrona środ.'!J196</f>
        <v>0</v>
      </c>
      <c r="H77" s="77">
        <f>+'Tab. 6A -Drogi'!K419+'Tab. 6G - Roln i ochrona środ.'!K196</f>
        <v>47355</v>
      </c>
      <c r="I77" s="77">
        <f>+'Tab. 6A -Drogi'!L419+'Tab. 6G - Roln i ochrona środ.'!L196</f>
        <v>1026450</v>
      </c>
      <c r="J77" s="77">
        <f>+'Tab. 6A -Drogi'!M419+'Tab. 6G - Roln i ochrona środ.'!M196</f>
        <v>1073805</v>
      </c>
      <c r="K77" s="77">
        <f>+'Tab. 6A -Drogi'!N419+'Tab. 6G - Roln i ochrona środ.'!N196+'Tab. 6H - Kultura fiz. i turyst'!N125</f>
        <v>1465583</v>
      </c>
      <c r="L77" s="77">
        <f>+'Tab. 6A -Drogi'!O419+'Tab. 6G - Roln i ochrona środ.'!O196+'Tab. 6H - Kultura fiz. i turyst'!O125</f>
        <v>541886</v>
      </c>
      <c r="M77" s="77">
        <f>+'Tab. 6A -Drogi'!P419+'Tab. 6G - Roln i ochrona środ.'!P196+'Tab. 6H - Kultura fiz. i turyst'!P125</f>
        <v>0</v>
      </c>
      <c r="N77" s="124">
        <f>+'Tab. 6A -Drogi'!Q419+'Tab. 6G - Roln i ochrona środ.'!Q196+'Tab. 6H - Kultura fiz. i turyst'!Q125</f>
        <v>0</v>
      </c>
      <c r="O77" s="124">
        <f>+'Tab. 6A -Drogi'!R419+'Tab. 6G - Roln i ochrona środ.'!R196+'Tab. 6H - Kultura fiz. i turyst'!R125</f>
        <v>0</v>
      </c>
      <c r="P77" s="124">
        <f>+'Tab. 6A -Drogi'!S419+'Tab. 6G - Roln i ochrona środ.'!S196+'Tab. 6H - Kultura fiz. i turyst'!S125</f>
        <v>0</v>
      </c>
      <c r="Q77" s="124">
        <f>+'Tab. 6A -Drogi'!T419+'Tab. 6G - Roln i ochrona środ.'!T196+'Tab. 6H - Kultura fiz. i turyst'!T125</f>
        <v>0</v>
      </c>
      <c r="R77" s="113">
        <f t="shared" si="42"/>
        <v>3081274</v>
      </c>
      <c r="S77" s="2406"/>
    </row>
    <row r="78" spans="1:19" s="42" customFormat="1" ht="15" customHeight="1">
      <c r="A78" s="125" t="s">
        <v>337</v>
      </c>
      <c r="B78" s="58">
        <f>+'Tab. 6F - Kultura'!E19+'Tab. 6D - Oświata'!E72</f>
        <v>0</v>
      </c>
      <c r="C78" s="55">
        <f>+'Tab. 6F - Kultura'!F19+'Tab. 6D - Oświata'!F72</f>
        <v>0</v>
      </c>
      <c r="D78" s="55">
        <f>+'Tab. 6F - Kultura'!G19+'Tab. 6D - Oświata'!G72</f>
        <v>0</v>
      </c>
      <c r="E78" s="55">
        <f>+'Tab. 6F - Kultura'!H19+'Tab. 6D - Oświata'!H72</f>
        <v>0</v>
      </c>
      <c r="F78" s="55">
        <f>+'Tab. 6F - Kultura'!I19+'Tab. 6D - Oświata'!I72</f>
        <v>101937</v>
      </c>
      <c r="G78" s="55">
        <f>+'Tab. 6F - Kultura'!J19+'Tab. 6D - Oświata'!J72</f>
        <v>220330</v>
      </c>
      <c r="H78" s="55">
        <f>+'Tab. 6F - Kultura'!K19+'Tab. 6D - Oświata'!K72</f>
        <v>1345053</v>
      </c>
      <c r="I78" s="55">
        <f>+'Tab. 6F - Kultura'!L19+'Tab. 6D - Oświata'!L72</f>
        <v>2037072</v>
      </c>
      <c r="J78" s="55">
        <f>+'Tab. 6F - Kultura'!M19+'Tab. 6D - Oświata'!M72</f>
        <v>3704392</v>
      </c>
      <c r="K78" s="55">
        <f>+'Tab. 6F - Kultura'!N19+'Tab. 6D - Oświata'!N72</f>
        <v>3378141</v>
      </c>
      <c r="L78" s="55">
        <f>+'Tab. 6F - Kultura'!O19+'Tab. 6D - Oświata'!O72+'Tab. 6A -Drogi'!O416</f>
        <v>27844155</v>
      </c>
      <c r="M78" s="55">
        <f>+'Tab. 6F - Kultura'!P19+'Tab. 6D - Oświata'!P72+'Tab. 6A -Drogi'!P416</f>
        <v>10500000</v>
      </c>
      <c r="N78" s="55">
        <f>+'Tab. 6F - Kultura'!Q19+'Tab. 6D - Oświata'!Q72+'Tab. 6A -Drogi'!Q416</f>
        <v>10500000</v>
      </c>
      <c r="O78" s="55">
        <f>+'Tab. 6F - Kultura'!R19+'Tab. 6D - Oświata'!R72+'Tab. 6A -Drogi'!R416</f>
        <v>10500000</v>
      </c>
      <c r="P78" s="58">
        <f>+'Tab. 6F - Kultura'!S19+'Tab. 6D - Oświata'!S72</f>
        <v>0</v>
      </c>
      <c r="Q78" s="58">
        <f>+'Tab. 6F - Kultura'!T19+'Tab. 6D - Oświata'!T72</f>
        <v>0</v>
      </c>
      <c r="R78" s="113">
        <f t="shared" si="42"/>
        <v>66426688</v>
      </c>
      <c r="S78" s="2406"/>
    </row>
    <row r="79" spans="1:19" s="42" customFormat="1" ht="15" customHeight="1">
      <c r="A79" s="57" t="s">
        <v>26</v>
      </c>
      <c r="B79" s="124">
        <f>+'Tab. 6G - Roln i ochrona środ.'!E195</f>
        <v>0</v>
      </c>
      <c r="C79" s="77">
        <f>+'Tab. 6G - Roln i ochrona środ.'!F195</f>
        <v>0</v>
      </c>
      <c r="D79" s="77">
        <f>+'Tab. 6G - Roln i ochrona środ.'!G195</f>
        <v>0</v>
      </c>
      <c r="E79" s="77">
        <f>+'Tab. 6G - Roln i ochrona środ.'!H195</f>
        <v>0</v>
      </c>
      <c r="F79" s="124">
        <f>+'Tab. 6G - Roln i ochrona środ.'!I195</f>
        <v>0</v>
      </c>
      <c r="G79" s="124">
        <f>+'Tab. 6G - Roln i ochrona środ.'!J195</f>
        <v>0</v>
      </c>
      <c r="H79" s="77">
        <f>+'Tab. 6G - Roln i ochrona środ.'!K195</f>
        <v>47355</v>
      </c>
      <c r="I79" s="124">
        <f>+'Tab. 6G - Roln i ochrona środ.'!L195</f>
        <v>0</v>
      </c>
      <c r="J79" s="77">
        <f>+'Tab. 6G - Roln i ochrona środ.'!M195</f>
        <v>47355</v>
      </c>
      <c r="K79" s="55">
        <f>+'Tab. 6E - Administracja'!N121</f>
        <v>200000</v>
      </c>
      <c r="L79" s="55">
        <f>+'Tab. 6E - Administracja'!O121</f>
        <v>200000</v>
      </c>
      <c r="M79" s="124">
        <f>+'Tab. 6G - Roln i ochrona środ.'!P195</f>
        <v>0</v>
      </c>
      <c r="N79" s="124">
        <f>+'Tab. 6G - Roln i ochrona środ.'!Q195</f>
        <v>0</v>
      </c>
      <c r="O79" s="124">
        <f>+'Tab. 6G - Roln i ochrona środ.'!R195</f>
        <v>0</v>
      </c>
      <c r="P79" s="124">
        <f>+'Tab. 6G - Roln i ochrona środ.'!S195</f>
        <v>0</v>
      </c>
      <c r="Q79" s="124">
        <f>+'Tab. 6G - Roln i ochrona środ.'!T195</f>
        <v>0</v>
      </c>
      <c r="R79" s="113">
        <f t="shared" si="42"/>
        <v>447355</v>
      </c>
      <c r="S79" s="2406"/>
    </row>
    <row r="80" spans="1:19" s="42" customFormat="1" ht="14.25" customHeight="1">
      <c r="A80" s="65" t="s">
        <v>30</v>
      </c>
      <c r="B80" s="117">
        <f t="shared" ref="B80:Q80" si="43">SUM(B81:B81)</f>
        <v>0</v>
      </c>
      <c r="C80" s="80">
        <f t="shared" si="43"/>
        <v>0</v>
      </c>
      <c r="D80" s="80">
        <f t="shared" si="43"/>
        <v>0</v>
      </c>
      <c r="E80" s="80">
        <f t="shared" si="43"/>
        <v>0</v>
      </c>
      <c r="F80" s="80">
        <f t="shared" si="43"/>
        <v>15578755</v>
      </c>
      <c r="G80" s="80">
        <f t="shared" si="43"/>
        <v>8198825</v>
      </c>
      <c r="H80" s="80">
        <f t="shared" si="43"/>
        <v>7797185</v>
      </c>
      <c r="I80" s="80">
        <f t="shared" si="43"/>
        <v>9160133</v>
      </c>
      <c r="J80" s="80">
        <f t="shared" si="43"/>
        <v>40734898</v>
      </c>
      <c r="K80" s="80">
        <f>+K81</f>
        <v>32974222</v>
      </c>
      <c r="L80" s="80">
        <f>+L81</f>
        <v>88797993</v>
      </c>
      <c r="M80" s="126">
        <f t="shared" si="43"/>
        <v>0</v>
      </c>
      <c r="N80" s="126">
        <f t="shared" si="43"/>
        <v>0</v>
      </c>
      <c r="O80" s="126">
        <f t="shared" si="43"/>
        <v>0</v>
      </c>
      <c r="P80" s="126">
        <f t="shared" si="43"/>
        <v>0</v>
      </c>
      <c r="Q80" s="126">
        <f t="shared" si="43"/>
        <v>0</v>
      </c>
      <c r="R80" s="118">
        <f>+R81</f>
        <v>162507113</v>
      </c>
      <c r="S80" s="2406"/>
    </row>
    <row r="81" spans="1:19" s="42" customFormat="1" ht="15.75" customHeight="1">
      <c r="A81" s="57" t="s">
        <v>48</v>
      </c>
      <c r="B81" s="61">
        <f>+'Tab. 6D - Oświata'!E74+'Tab. 6F - Kultura'!E21+'Tab. 6C - Ochrona zdrowia'!E27</f>
        <v>0</v>
      </c>
      <c r="C81" s="62">
        <f>+'Tab. 6D - Oświata'!F74+'Tab. 6F - Kultura'!F21+'Tab. 6C - Ochrona zdrowia'!F27</f>
        <v>0</v>
      </c>
      <c r="D81" s="62">
        <f>+'Tab. 6D - Oświata'!G74+'Tab. 6F - Kultura'!G21+'Tab. 6C - Ochrona zdrowia'!G27</f>
        <v>0</v>
      </c>
      <c r="E81" s="62">
        <f>+'Tab. 6D - Oświata'!H74+'Tab. 6F - Kultura'!H21+'Tab. 6C - Ochrona zdrowia'!H27</f>
        <v>0</v>
      </c>
      <c r="F81" s="62">
        <f>+'Tab. 6D - Oświata'!I74+'Tab. 6F - Kultura'!I21+'Tab. 6C - Ochrona zdrowia'!I27</f>
        <v>15578755</v>
      </c>
      <c r="G81" s="62">
        <f>+'Tab. 6D - Oświata'!J74+'Tab. 6F - Kultura'!J21+'Tab. 6C - Ochrona zdrowia'!J27</f>
        <v>8198825</v>
      </c>
      <c r="H81" s="62">
        <f>+'Tab. 6D - Oświata'!K74+'Tab. 6F - Kultura'!K21+'Tab. 6C - Ochrona zdrowia'!K27</f>
        <v>7797185</v>
      </c>
      <c r="I81" s="62">
        <f>+'Tab. 6D - Oświata'!L74+'Tab. 6F - Kultura'!L21+'Tab. 6C - Ochrona zdrowia'!L27</f>
        <v>9160133</v>
      </c>
      <c r="J81" s="62">
        <f>+'Tab. 6D - Oświata'!M74+'Tab. 6F - Kultura'!M21+'Tab. 6C - Ochrona zdrowia'!M27</f>
        <v>40734898</v>
      </c>
      <c r="K81" s="62">
        <f>+'Tab. 6D - Oświata'!N74+'Tab. 6F - Kultura'!N21+'Tab. 6C - Ochrona zdrowia'!N27</f>
        <v>32974222</v>
      </c>
      <c r="L81" s="62">
        <f>+'Tab. 6D - Oświata'!O74+'Tab. 6F - Kultura'!O21+'Tab. 6C - Ochrona zdrowia'!O27</f>
        <v>88797993</v>
      </c>
      <c r="M81" s="61">
        <f>+'Tab. 6D - Oświata'!P74+'Tab. 6F - Kultura'!P21+'Tab. 6C - Ochrona zdrowia'!P27</f>
        <v>0</v>
      </c>
      <c r="N81" s="61">
        <f>+'Tab. 6D - Oświata'!Q74+'Tab. 6F - Kultura'!Q21+'Tab. 6C - Ochrona zdrowia'!Q27</f>
        <v>0</v>
      </c>
      <c r="O81" s="61">
        <f>+'Tab. 6D - Oświata'!R74+'Tab. 6F - Kultura'!R21+'Tab. 6C - Ochrona zdrowia'!R27</f>
        <v>0</v>
      </c>
      <c r="P81" s="61">
        <f>+'Tab. 6D - Oświata'!S74+'Tab. 6F - Kultura'!S21+'Tab. 6C - Ochrona zdrowia'!S27</f>
        <v>0</v>
      </c>
      <c r="Q81" s="61">
        <f>+'Tab. 6D - Oświata'!T74+'Tab. 6F - Kultura'!T21+'Tab. 6C - Ochrona zdrowia'!T27</f>
        <v>0</v>
      </c>
      <c r="R81" s="113">
        <f>SUM(J81:Q81)</f>
        <v>162507113</v>
      </c>
      <c r="S81" s="2412"/>
    </row>
    <row r="82" spans="1:19" s="42" customFormat="1" ht="9.75" customHeight="1" thickBot="1">
      <c r="A82" s="86"/>
      <c r="B82" s="38"/>
      <c r="C82" s="38"/>
      <c r="D82" s="38"/>
      <c r="E82" s="38"/>
      <c r="F82" s="8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41"/>
      <c r="S82" s="41"/>
    </row>
    <row r="83" spans="1:19" s="48" customFormat="1" ht="18" customHeight="1" thickBot="1">
      <c r="A83" s="127" t="s">
        <v>39</v>
      </c>
      <c r="B83" s="128">
        <f t="shared" ref="B83:O83" si="44">+B61-B69-B71-B65</f>
        <v>11141507</v>
      </c>
      <c r="C83" s="129">
        <f t="shared" si="44"/>
        <v>0</v>
      </c>
      <c r="D83" s="129">
        <f t="shared" si="44"/>
        <v>5327000</v>
      </c>
      <c r="E83" s="129">
        <f t="shared" si="44"/>
        <v>5568560.0600000005</v>
      </c>
      <c r="F83" s="128">
        <f t="shared" si="44"/>
        <v>10946454</v>
      </c>
      <c r="G83" s="128">
        <f t="shared" si="44"/>
        <v>61703467</v>
      </c>
      <c r="H83" s="128">
        <f t="shared" si="44"/>
        <v>64864748</v>
      </c>
      <c r="I83" s="128">
        <f t="shared" si="44"/>
        <v>144573601</v>
      </c>
      <c r="J83" s="128">
        <f t="shared" ref="J83" si="45">+J61-J69-J71-J65</f>
        <v>290433287</v>
      </c>
      <c r="K83" s="128">
        <f>+K61-K69-K71-K65</f>
        <v>178914083</v>
      </c>
      <c r="L83" s="128">
        <f t="shared" si="44"/>
        <v>171633664</v>
      </c>
      <c r="M83" s="128">
        <f>+M61-M69-M71-M65</f>
        <v>142846264</v>
      </c>
      <c r="N83" s="128">
        <f t="shared" si="44"/>
        <v>135870247</v>
      </c>
      <c r="O83" s="130">
        <f t="shared" si="44"/>
        <v>129860242</v>
      </c>
      <c r="P83" s="130">
        <f t="shared" ref="P83:Q83" si="46">+P61-P69-P71-P65</f>
        <v>88892198</v>
      </c>
      <c r="Q83" s="130">
        <f t="shared" si="46"/>
        <v>82400714</v>
      </c>
      <c r="R83" s="131">
        <f>SUM(J83:Q83)+2020000+4571430</f>
        <v>1227442129</v>
      </c>
      <c r="S83" s="132">
        <f>SUM(L83:Q83)+2020000+4571430</f>
        <v>758094759</v>
      </c>
    </row>
    <row r="84" spans="1:19" s="48" customFormat="1" ht="18" customHeight="1" thickBot="1">
      <c r="A84" s="127" t="s">
        <v>40</v>
      </c>
      <c r="B84" s="133">
        <f t="shared" ref="B84:I84" si="47">+B73-B80</f>
        <v>279786</v>
      </c>
      <c r="C84" s="134">
        <f t="shared" si="47"/>
        <v>0</v>
      </c>
      <c r="D84" s="134">
        <f t="shared" si="47"/>
        <v>0</v>
      </c>
      <c r="E84" s="134">
        <f t="shared" si="47"/>
        <v>279786</v>
      </c>
      <c r="F84" s="133">
        <f t="shared" si="47"/>
        <v>2596431</v>
      </c>
      <c r="G84" s="133">
        <f t="shared" si="47"/>
        <v>10430330</v>
      </c>
      <c r="H84" s="133">
        <f t="shared" si="47"/>
        <v>6012543</v>
      </c>
      <c r="I84" s="133">
        <f t="shared" si="47"/>
        <v>10658611</v>
      </c>
      <c r="J84" s="133">
        <f t="shared" ref="J84" si="48">+J73-J80</f>
        <v>29977701</v>
      </c>
      <c r="K84" s="133">
        <f>+K73-K81</f>
        <v>20207191</v>
      </c>
      <c r="L84" s="133">
        <f>+L73-L81</f>
        <v>52604514</v>
      </c>
      <c r="M84" s="133">
        <f>+M73-M80</f>
        <v>15803716</v>
      </c>
      <c r="N84" s="133">
        <f>+N73-N80</f>
        <v>10500000</v>
      </c>
      <c r="O84" s="135">
        <f>+O73-O80</f>
        <v>10500000</v>
      </c>
      <c r="P84" s="135">
        <f t="shared" ref="P84:Q84" si="49">+P73-P80</f>
        <v>0</v>
      </c>
      <c r="Q84" s="135">
        <f t="shared" si="49"/>
        <v>0</v>
      </c>
      <c r="R84" s="131">
        <f>SUM(J84:Q84)</f>
        <v>139593122</v>
      </c>
      <c r="S84" s="136" t="s">
        <v>35</v>
      </c>
    </row>
    <row r="85" spans="1:19" s="140" customFormat="1" ht="15" hidden="1" customHeight="1" thickBot="1">
      <c r="A85" s="137"/>
      <c r="B85" s="138">
        <f t="shared" ref="B85:R85" si="50">+B63+B64+B66+B67+B68+B70-B57</f>
        <v>0</v>
      </c>
      <c r="C85" s="138">
        <f t="shared" si="50"/>
        <v>0</v>
      </c>
      <c r="D85" s="138">
        <f t="shared" si="50"/>
        <v>0</v>
      </c>
      <c r="E85" s="138">
        <f t="shared" si="50"/>
        <v>0</v>
      </c>
      <c r="F85" s="138">
        <f t="shared" si="50"/>
        <v>0</v>
      </c>
      <c r="G85" s="138">
        <f t="shared" si="50"/>
        <v>0</v>
      </c>
      <c r="H85" s="138">
        <f t="shared" si="50"/>
        <v>-1341</v>
      </c>
      <c r="I85" s="138">
        <f t="shared" si="50"/>
        <v>-11218</v>
      </c>
      <c r="J85" s="138">
        <f t="shared" ref="J85" si="51">+J63+J64+J66+J67+J68+J70-J57</f>
        <v>0</v>
      </c>
      <c r="K85" s="138">
        <f t="shared" si="50"/>
        <v>0</v>
      </c>
      <c r="L85" s="138">
        <f t="shared" si="50"/>
        <v>0</v>
      </c>
      <c r="M85" s="138">
        <f t="shared" si="50"/>
        <v>0</v>
      </c>
      <c r="N85" s="138">
        <f t="shared" si="50"/>
        <v>0</v>
      </c>
      <c r="O85" s="138">
        <f t="shared" si="50"/>
        <v>0</v>
      </c>
      <c r="P85" s="138">
        <f t="shared" ref="P85:Q85" si="52">+P63+P64+P66+P67+P68+P70-P57</f>
        <v>0</v>
      </c>
      <c r="Q85" s="138">
        <f t="shared" si="52"/>
        <v>0</v>
      </c>
      <c r="R85" s="138">
        <f t="shared" si="50"/>
        <v>0</v>
      </c>
      <c r="S85" s="138"/>
    </row>
    <row r="86" spans="1:19" s="140" customFormat="1" ht="18" customHeight="1" thickBot="1">
      <c r="A86" s="141" t="s">
        <v>49</v>
      </c>
      <c r="B86" s="142">
        <f>B87+B88</f>
        <v>63976999</v>
      </c>
      <c r="C86" s="142">
        <f t="shared" ref="C86:S86" si="53">C87+C88</f>
        <v>2148368</v>
      </c>
      <c r="D86" s="142">
        <f t="shared" si="53"/>
        <v>16964625</v>
      </c>
      <c r="E86" s="142">
        <f t="shared" si="53"/>
        <v>51795474.060000002</v>
      </c>
      <c r="F86" s="142">
        <f t="shared" si="53"/>
        <v>103375669.3</v>
      </c>
      <c r="G86" s="142">
        <f t="shared" si="53"/>
        <v>203920166.30000001</v>
      </c>
      <c r="H86" s="142">
        <f t="shared" si="53"/>
        <v>233098142</v>
      </c>
      <c r="I86" s="142">
        <f>I87+I88</f>
        <v>374149786</v>
      </c>
      <c r="J86" s="142">
        <f>J87+J88</f>
        <v>976110164</v>
      </c>
      <c r="K86" s="142">
        <f t="shared" si="53"/>
        <v>464698349</v>
      </c>
      <c r="L86" s="142">
        <f>L87+L88</f>
        <v>419493348</v>
      </c>
      <c r="M86" s="142">
        <f t="shared" si="53"/>
        <v>272918457</v>
      </c>
      <c r="N86" s="142">
        <f t="shared" si="53"/>
        <v>161827560</v>
      </c>
      <c r="O86" s="142">
        <f t="shared" si="53"/>
        <v>135954242</v>
      </c>
      <c r="P86" s="142">
        <f t="shared" ref="P86:Q86" si="54">P87+P88</f>
        <v>92892198</v>
      </c>
      <c r="Q86" s="142">
        <f t="shared" si="54"/>
        <v>83800714</v>
      </c>
      <c r="R86" s="143">
        <f t="shared" si="53"/>
        <v>2614286462</v>
      </c>
      <c r="S86" s="144">
        <f t="shared" si="53"/>
        <v>1173477949</v>
      </c>
    </row>
    <row r="87" spans="1:19" s="140" customFormat="1" ht="18" customHeight="1" thickTop="1">
      <c r="A87" s="145" t="s">
        <v>50</v>
      </c>
      <c r="B87" s="146">
        <f t="shared" ref="B87:R88" si="55">B13+B58</f>
        <v>33407653</v>
      </c>
      <c r="C87" s="146">
        <f t="shared" si="55"/>
        <v>2043433</v>
      </c>
      <c r="D87" s="146">
        <f t="shared" si="55"/>
        <v>11079549</v>
      </c>
      <c r="E87" s="146">
        <f t="shared" si="55"/>
        <v>24930120</v>
      </c>
      <c r="F87" s="146">
        <f t="shared" si="55"/>
        <v>40061521.299999997</v>
      </c>
      <c r="G87" s="146">
        <f t="shared" si="55"/>
        <v>47346184.299999997</v>
      </c>
      <c r="H87" s="146">
        <f t="shared" si="55"/>
        <v>57350220</v>
      </c>
      <c r="I87" s="146">
        <f t="shared" si="55"/>
        <v>152633124</v>
      </c>
      <c r="J87" s="146">
        <f t="shared" ref="J87" si="56">J13+J58</f>
        <v>330769643</v>
      </c>
      <c r="K87" s="146">
        <f t="shared" si="55"/>
        <v>159380719</v>
      </c>
      <c r="L87" s="146">
        <f t="shared" si="55"/>
        <v>169066916</v>
      </c>
      <c r="M87" s="146">
        <f t="shared" si="55"/>
        <v>135038991</v>
      </c>
      <c r="N87" s="146">
        <f t="shared" si="55"/>
        <v>134923837</v>
      </c>
      <c r="O87" s="146">
        <f t="shared" si="55"/>
        <v>128814082</v>
      </c>
      <c r="P87" s="146">
        <f t="shared" ref="P87:Q87" si="57">P13+P58</f>
        <v>90192198</v>
      </c>
      <c r="Q87" s="146">
        <f t="shared" si="57"/>
        <v>82300714</v>
      </c>
      <c r="R87" s="147">
        <f>R13+R58</f>
        <v>1237078530</v>
      </c>
      <c r="S87" s="148">
        <f>S13+S58</f>
        <v>746928168</v>
      </c>
    </row>
    <row r="88" spans="1:19" s="140" customFormat="1" ht="18" customHeight="1">
      <c r="A88" s="145" t="s">
        <v>51</v>
      </c>
      <c r="B88" s="146">
        <f t="shared" si="55"/>
        <v>30569346</v>
      </c>
      <c r="C88" s="146">
        <f t="shared" si="55"/>
        <v>104935</v>
      </c>
      <c r="D88" s="146">
        <f t="shared" si="55"/>
        <v>5885076</v>
      </c>
      <c r="E88" s="146">
        <f t="shared" si="55"/>
        <v>26865354.060000002</v>
      </c>
      <c r="F88" s="146">
        <f t="shared" si="55"/>
        <v>63314148</v>
      </c>
      <c r="G88" s="146">
        <f t="shared" si="55"/>
        <v>156573982</v>
      </c>
      <c r="H88" s="146">
        <f t="shared" si="55"/>
        <v>175747922</v>
      </c>
      <c r="I88" s="146">
        <f t="shared" si="55"/>
        <v>221516662</v>
      </c>
      <c r="J88" s="146">
        <f t="shared" ref="J88" si="58">J14+J59</f>
        <v>645340521</v>
      </c>
      <c r="K88" s="146">
        <f t="shared" si="55"/>
        <v>305317630</v>
      </c>
      <c r="L88" s="146">
        <f t="shared" si="55"/>
        <v>250426432</v>
      </c>
      <c r="M88" s="146">
        <f t="shared" si="55"/>
        <v>137879466</v>
      </c>
      <c r="N88" s="146">
        <f t="shared" si="55"/>
        <v>26903723</v>
      </c>
      <c r="O88" s="146">
        <f t="shared" si="55"/>
        <v>7140160</v>
      </c>
      <c r="P88" s="146">
        <f t="shared" ref="P88:Q88" si="59">P14+P59</f>
        <v>2700000</v>
      </c>
      <c r="Q88" s="146">
        <f t="shared" si="59"/>
        <v>1500000</v>
      </c>
      <c r="R88" s="147">
        <f t="shared" si="55"/>
        <v>1377207932</v>
      </c>
      <c r="S88" s="148">
        <f>S14+S59</f>
        <v>426549781</v>
      </c>
    </row>
    <row r="89" spans="1:19" s="140" customFormat="1" ht="18" customHeight="1" thickBot="1">
      <c r="A89" s="149" t="s">
        <v>52</v>
      </c>
      <c r="B89" s="150">
        <f t="shared" ref="B89:O89" si="60">B47+B84</f>
        <v>41617945</v>
      </c>
      <c r="C89" s="150">
        <f t="shared" si="60"/>
        <v>312784</v>
      </c>
      <c r="D89" s="150">
        <f t="shared" si="60"/>
        <v>8350472</v>
      </c>
      <c r="E89" s="150">
        <f t="shared" si="60"/>
        <v>40126530</v>
      </c>
      <c r="F89" s="150">
        <f t="shared" si="60"/>
        <v>77219850</v>
      </c>
      <c r="G89" s="150">
        <f t="shared" si="60"/>
        <v>135958290</v>
      </c>
      <c r="H89" s="150">
        <f t="shared" si="60"/>
        <v>176246118</v>
      </c>
      <c r="I89" s="150">
        <f t="shared" si="60"/>
        <v>212323610</v>
      </c>
      <c r="J89" s="150">
        <f>J47+J84</f>
        <v>643311730</v>
      </c>
      <c r="K89" s="150">
        <f t="shared" si="60"/>
        <v>292791423</v>
      </c>
      <c r="L89" s="150">
        <f t="shared" si="60"/>
        <v>292038142</v>
      </c>
      <c r="M89" s="150">
        <f t="shared" si="60"/>
        <v>148770611</v>
      </c>
      <c r="N89" s="150">
        <f t="shared" si="60"/>
        <v>40983833</v>
      </c>
      <c r="O89" s="150">
        <f t="shared" si="60"/>
        <v>16398968</v>
      </c>
      <c r="P89" s="150">
        <f t="shared" ref="P89:Q89" si="61">P47+P84</f>
        <v>4000000</v>
      </c>
      <c r="Q89" s="150">
        <f t="shared" si="61"/>
        <v>1400000</v>
      </c>
      <c r="R89" s="150">
        <f>R47+R84</f>
        <v>1439694707</v>
      </c>
      <c r="S89" s="151" t="s">
        <v>35</v>
      </c>
    </row>
    <row r="90" spans="1:19" s="140" customFormat="1" ht="18" customHeight="1" thickTop="1">
      <c r="A90" s="145" t="s">
        <v>53</v>
      </c>
      <c r="B90" s="146">
        <f>B96+B100</f>
        <v>26577429</v>
      </c>
      <c r="C90" s="146">
        <f t="shared" ref="C90:O91" si="62">C96+C100</f>
        <v>302196</v>
      </c>
      <c r="D90" s="146">
        <f t="shared" si="62"/>
        <v>8278006</v>
      </c>
      <c r="E90" s="146">
        <f t="shared" si="62"/>
        <v>23131578</v>
      </c>
      <c r="F90" s="146">
        <f t="shared" si="62"/>
        <v>39211296</v>
      </c>
      <c r="G90" s="146">
        <f t="shared" si="62"/>
        <v>32044668</v>
      </c>
      <c r="H90" s="146">
        <f>H96+H100</f>
        <v>40168431</v>
      </c>
      <c r="I90" s="146">
        <f t="shared" si="62"/>
        <v>46541353</v>
      </c>
      <c r="J90" s="146">
        <f>J96+J100</f>
        <v>184489093</v>
      </c>
      <c r="K90" s="146">
        <f>K96+K100</f>
        <v>61604919</v>
      </c>
      <c r="L90" s="146">
        <f t="shared" si="62"/>
        <v>68918616</v>
      </c>
      <c r="M90" s="146">
        <f t="shared" si="62"/>
        <v>14205440</v>
      </c>
      <c r="N90" s="146">
        <f t="shared" si="62"/>
        <v>13954570</v>
      </c>
      <c r="O90" s="146">
        <f t="shared" si="62"/>
        <v>13898968</v>
      </c>
      <c r="P90" s="146">
        <f t="shared" ref="P90:Q90" si="63">P96+P100</f>
        <v>1500000</v>
      </c>
      <c r="Q90" s="146">
        <f t="shared" si="63"/>
        <v>1400000</v>
      </c>
      <c r="R90" s="146">
        <f>R96+R100</f>
        <v>359971606</v>
      </c>
      <c r="S90" s="153" t="s">
        <v>35</v>
      </c>
    </row>
    <row r="91" spans="1:19" s="140" customFormat="1" ht="16.5" customHeight="1">
      <c r="A91" s="145" t="s">
        <v>54</v>
      </c>
      <c r="B91" s="146">
        <f>B97+B101</f>
        <v>15040516</v>
      </c>
      <c r="C91" s="146">
        <f t="shared" si="62"/>
        <v>10588</v>
      </c>
      <c r="D91" s="146">
        <f t="shared" si="62"/>
        <v>72466</v>
      </c>
      <c r="E91" s="146">
        <f t="shared" si="62"/>
        <v>16994952</v>
      </c>
      <c r="F91" s="146">
        <f t="shared" si="62"/>
        <v>38008554</v>
      </c>
      <c r="G91" s="146">
        <f t="shared" si="62"/>
        <v>103913622</v>
      </c>
      <c r="H91" s="146">
        <f>H97+H101</f>
        <v>136077687</v>
      </c>
      <c r="I91" s="146">
        <f>I97+I101</f>
        <v>165782257</v>
      </c>
      <c r="J91" s="146">
        <f>J97+J101</f>
        <v>458822637</v>
      </c>
      <c r="K91" s="146">
        <f t="shared" si="62"/>
        <v>231186504</v>
      </c>
      <c r="L91" s="146">
        <f t="shared" si="62"/>
        <v>223119526</v>
      </c>
      <c r="M91" s="146">
        <f t="shared" si="62"/>
        <v>134565171</v>
      </c>
      <c r="N91" s="146">
        <f t="shared" si="62"/>
        <v>27029263</v>
      </c>
      <c r="O91" s="146">
        <f t="shared" si="62"/>
        <v>2500000</v>
      </c>
      <c r="P91" s="146">
        <f t="shared" ref="P91:Q91" si="64">P97+P101</f>
        <v>2500000</v>
      </c>
      <c r="Q91" s="146">
        <f t="shared" si="64"/>
        <v>0</v>
      </c>
      <c r="R91" s="146">
        <f>R97+R101</f>
        <v>1079723101</v>
      </c>
      <c r="S91" s="154" t="s">
        <v>35</v>
      </c>
    </row>
    <row r="92" spans="1:19" s="140" customFormat="1" ht="18" hidden="1" customHeight="1">
      <c r="A92" s="155" t="s">
        <v>55</v>
      </c>
      <c r="B92" s="156">
        <f>B90+B91-B89</f>
        <v>0</v>
      </c>
      <c r="C92" s="156">
        <f t="shared" ref="C92:Q92" si="65">C90+C91-C89</f>
        <v>0</v>
      </c>
      <c r="D92" s="156">
        <f t="shared" si="65"/>
        <v>0</v>
      </c>
      <c r="E92" s="156">
        <f t="shared" si="65"/>
        <v>0</v>
      </c>
      <c r="F92" s="156">
        <f t="shared" si="65"/>
        <v>0</v>
      </c>
      <c r="G92" s="156">
        <f t="shared" si="65"/>
        <v>0</v>
      </c>
      <c r="H92" s="156">
        <f>H90+H91-H89</f>
        <v>0</v>
      </c>
      <c r="I92" s="156">
        <f>I90+I91-I89</f>
        <v>0</v>
      </c>
      <c r="J92" s="156">
        <f t="shared" ref="J92" si="66">J90+J91-J89</f>
        <v>0</v>
      </c>
      <c r="K92" s="156">
        <f t="shared" si="65"/>
        <v>0</v>
      </c>
      <c r="L92" s="156">
        <f t="shared" si="65"/>
        <v>0</v>
      </c>
      <c r="M92" s="156">
        <f t="shared" si="65"/>
        <v>0</v>
      </c>
      <c r="N92" s="156">
        <f t="shared" si="65"/>
        <v>0</v>
      </c>
      <c r="O92" s="156">
        <f t="shared" si="65"/>
        <v>0</v>
      </c>
      <c r="P92" s="156">
        <f t="shared" si="65"/>
        <v>0</v>
      </c>
      <c r="Q92" s="156">
        <f t="shared" si="65"/>
        <v>0</v>
      </c>
      <c r="R92" s="156">
        <f>R90+R91-R89</f>
        <v>0</v>
      </c>
      <c r="S92" s="139"/>
    </row>
    <row r="93" spans="1:19" s="140" customFormat="1" ht="11.25" hidden="1" customHeight="1">
      <c r="A93" s="157"/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39"/>
    </row>
    <row r="94" spans="1:19" s="140" customFormat="1" ht="18" hidden="1" customHeight="1" thickBot="1">
      <c r="A94" s="158" t="s">
        <v>56</v>
      </c>
      <c r="B94" s="159">
        <f t="shared" ref="B94:R94" si="67">B30-B95</f>
        <v>0</v>
      </c>
      <c r="C94" s="159">
        <f t="shared" si="67"/>
        <v>0</v>
      </c>
      <c r="D94" s="159">
        <f t="shared" si="67"/>
        <v>0</v>
      </c>
      <c r="E94" s="159">
        <f t="shared" si="67"/>
        <v>0</v>
      </c>
      <c r="F94" s="159">
        <f t="shared" si="67"/>
        <v>0</v>
      </c>
      <c r="G94" s="159">
        <f t="shared" si="67"/>
        <v>0</v>
      </c>
      <c r="H94" s="159">
        <f t="shared" si="67"/>
        <v>0</v>
      </c>
      <c r="I94" s="159">
        <f t="shared" si="67"/>
        <v>0</v>
      </c>
      <c r="J94" s="159">
        <f t="shared" ref="J94" si="68">J30-J95</f>
        <v>0</v>
      </c>
      <c r="K94" s="159">
        <f t="shared" si="67"/>
        <v>0</v>
      </c>
      <c r="L94" s="159">
        <f t="shared" si="67"/>
        <v>0</v>
      </c>
      <c r="M94" s="159">
        <f t="shared" si="67"/>
        <v>0</v>
      </c>
      <c r="N94" s="159">
        <f t="shared" si="67"/>
        <v>0</v>
      </c>
      <c r="O94" s="159">
        <f t="shared" si="67"/>
        <v>0</v>
      </c>
      <c r="P94" s="159">
        <f t="shared" ref="P94:Q94" si="69">P30-P95</f>
        <v>0</v>
      </c>
      <c r="Q94" s="159">
        <f t="shared" si="69"/>
        <v>0</v>
      </c>
      <c r="R94" s="159">
        <f t="shared" si="67"/>
        <v>0</v>
      </c>
      <c r="S94" s="139"/>
    </row>
    <row r="95" spans="1:19" s="140" customFormat="1" ht="18" hidden="1" customHeight="1" thickBot="1">
      <c r="A95" s="160" t="s">
        <v>57</v>
      </c>
      <c r="B95" s="161">
        <f t="shared" ref="B95:R95" si="70">B96+B97</f>
        <v>41338159</v>
      </c>
      <c r="C95" s="161">
        <f t="shared" si="70"/>
        <v>312784</v>
      </c>
      <c r="D95" s="161">
        <f t="shared" si="70"/>
        <v>8350472</v>
      </c>
      <c r="E95" s="161">
        <f t="shared" si="70"/>
        <v>39846744</v>
      </c>
      <c r="F95" s="161">
        <f t="shared" si="70"/>
        <v>74623419</v>
      </c>
      <c r="G95" s="161">
        <f t="shared" si="70"/>
        <v>125527960</v>
      </c>
      <c r="H95" s="161">
        <f t="shared" si="70"/>
        <v>170233575</v>
      </c>
      <c r="I95" s="161">
        <f t="shared" si="70"/>
        <v>201664999</v>
      </c>
      <c r="J95" s="161">
        <f t="shared" si="70"/>
        <v>613334029</v>
      </c>
      <c r="K95" s="161">
        <f t="shared" si="70"/>
        <v>272584232</v>
      </c>
      <c r="L95" s="161">
        <f t="shared" si="70"/>
        <v>239433628</v>
      </c>
      <c r="M95" s="161">
        <f t="shared" si="70"/>
        <v>132966895</v>
      </c>
      <c r="N95" s="161">
        <f t="shared" si="70"/>
        <v>30483833</v>
      </c>
      <c r="O95" s="161">
        <f t="shared" si="70"/>
        <v>5898968</v>
      </c>
      <c r="P95" s="161">
        <f t="shared" ref="P95:Q95" si="71">P96+P97</f>
        <v>4000000</v>
      </c>
      <c r="Q95" s="161">
        <f t="shared" si="71"/>
        <v>1400000</v>
      </c>
      <c r="R95" s="162">
        <f t="shared" si="70"/>
        <v>1300101585</v>
      </c>
      <c r="S95" s="139"/>
    </row>
    <row r="96" spans="1:19" s="140" customFormat="1" ht="20.25" hidden="1" customHeight="1" thickTop="1">
      <c r="A96" s="163" t="s">
        <v>58</v>
      </c>
      <c r="B96" s="164">
        <f>'Tab. 6B Polit społ i rozwój prz'!E17-'Tab. 6B Polit społ i rozwój prz'!E132+'Tab. 6D - Oświata'!E18+'Tab. 6E - Administracja'!E30+'Tab. 6E - Administracja'!E77+'Tab. 6E - Administracja'!E96+'Tab. 6G - Roln i ochrona środ.'!E44+'Tab. 6G - Roln i ochrona środ.'!E113+'Tab. 6H - Kultura fiz. i turyst'!E17-'Tab. 6H - Kultura fiz. i turyst'!E36-'Tab. 6H - Kultura fiz. i turyst'!E68+'Tab.6I - Planow. przestrz.'!E26+'Tab.6I - Planow. przestrz.'!E35+'Tab. 6E - Administracja'!E52</f>
        <v>26577429</v>
      </c>
      <c r="C96" s="164">
        <f>'Tab. 6B Polit społ i rozwój prz'!F17-'Tab. 6B Polit społ i rozwój prz'!F132+'Tab. 6D - Oświata'!F18+'Tab. 6E - Administracja'!F30+'Tab. 6E - Administracja'!F77+'Tab. 6E - Administracja'!F96+'Tab. 6G - Roln i ochrona środ.'!F44+'Tab. 6G - Roln i ochrona środ.'!F113+'Tab. 6H - Kultura fiz. i turyst'!F17-'Tab. 6H - Kultura fiz. i turyst'!F36-'Tab. 6H - Kultura fiz. i turyst'!F68+'Tab.6I - Planow. przestrz.'!F26+'Tab.6I - Planow. przestrz.'!F35+'Tab. 6E - Administracja'!F52</f>
        <v>302196</v>
      </c>
      <c r="D96" s="164">
        <f>'Tab. 6B Polit społ i rozwój prz'!G17-'Tab. 6B Polit społ i rozwój prz'!G132+'Tab. 6D - Oświata'!G18+'Tab. 6E - Administracja'!G30+'Tab. 6E - Administracja'!G77+'Tab. 6E - Administracja'!G96+'Tab. 6G - Roln i ochrona środ.'!G44+'Tab. 6G - Roln i ochrona środ.'!G113+'Tab. 6H - Kultura fiz. i turyst'!G17-'Tab. 6H - Kultura fiz. i turyst'!G36-'Tab. 6H - Kultura fiz. i turyst'!G68+'Tab.6I - Planow. przestrz.'!G26+'Tab.6I - Planow. przestrz.'!G35+'Tab. 6E - Administracja'!G52</f>
        <v>8278006</v>
      </c>
      <c r="E96" s="164">
        <f>'Tab. 6B Polit społ i rozwój prz'!H17-'Tab. 6B Polit społ i rozwój prz'!H132+'Tab. 6D - Oświata'!H18+'Tab. 6E - Administracja'!H30+'Tab. 6E - Administracja'!H77+'Tab. 6E - Administracja'!H96+'Tab. 6G - Roln i ochrona środ.'!H44+'Tab. 6G - Roln i ochrona środ.'!H113+'Tab. 6H - Kultura fiz. i turyst'!H17-'Tab. 6H - Kultura fiz. i turyst'!H36-'Tab. 6H - Kultura fiz. i turyst'!H68+'Tab.6I - Planow. przestrz.'!H26+'Tab.6I - Planow. przestrz.'!H35+'Tab. 6E - Administracja'!H52</f>
        <v>23131578</v>
      </c>
      <c r="F96" s="164">
        <f>'Tab. 6B Polit społ i rozwój prz'!I17-'Tab. 6B Polit społ i rozwój prz'!I132+'Tab. 6D - Oświata'!I18+'Tab. 6E - Administracja'!I30+'Tab. 6E - Administracja'!I77+'Tab. 6E - Administracja'!I96+'Tab. 6G - Roln i ochrona środ.'!I44+'Tab. 6G - Roln i ochrona środ.'!I113+'Tab. 6H - Kultura fiz. i turyst'!I17-'Tab. 6H - Kultura fiz. i turyst'!I36-'Tab. 6H - Kultura fiz. i turyst'!I68+'Tab.6I - Planow. przestrz.'!I26+'Tab.6I - Planow. przestrz.'!I35+'Tab. 6E - Administracja'!I52</f>
        <v>39211296</v>
      </c>
      <c r="G96" s="164">
        <f>'Tab. 6B Polit społ i rozwój prz'!J17-'Tab. 6B Polit społ i rozwój prz'!J132+'Tab. 6D - Oświata'!J18+'Tab. 6E - Administracja'!J30+'Tab. 6E - Administracja'!J77+'Tab. 6E - Administracja'!J96+'Tab. 6G - Roln i ochrona środ.'!J44+'Tab. 6G - Roln i ochrona środ.'!J113+'Tab. 6H - Kultura fiz. i turyst'!J17-'Tab. 6H - Kultura fiz. i turyst'!J36-'Tab. 6H - Kultura fiz. i turyst'!J68+'Tab.6I - Planow. przestrz.'!J26+'Tab.6I - Planow. przestrz.'!J35+'Tab. 6E - Administracja'!J52</f>
        <v>32044668</v>
      </c>
      <c r="H96" s="164">
        <f>'Tab. 6B Polit społ i rozwój prz'!K17-'Tab. 6B Polit społ i rozwój prz'!K132+'Tab. 6D - Oświata'!K18+'Tab. 6E - Administracja'!K30+'Tab. 6E - Administracja'!K77+'Tab. 6E - Administracja'!K96+'Tab. 6G - Roln i ochrona środ.'!K44+'Tab. 6G - Roln i ochrona środ.'!K113+'Tab. 6H - Kultura fiz. i turyst'!K17-'Tab. 6H - Kultura fiz. i turyst'!K36-'Tab. 6H - Kultura fiz. i turyst'!K68+'Tab.6I - Planow. przestrz.'!K26+'Tab.6I - Planow. przestrz.'!K35+'Tab. 6E - Administracja'!K52</f>
        <v>40168431</v>
      </c>
      <c r="I96" s="164">
        <f>'Tab. 6B Polit społ i rozwój prz'!L17-'Tab. 6B Polit społ i rozwój prz'!L132+'Tab. 6D - Oświata'!L18+'Tab. 6E - Administracja'!L30+'Tab. 6E - Administracja'!L77+'Tab. 6E - Administracja'!L96+'Tab. 6G - Roln i ochrona środ.'!L44+'Tab. 6G - Roln i ochrona środ.'!L113+'Tab. 6H - Kultura fiz. i turyst'!L17-'Tab. 6H - Kultura fiz. i turyst'!L36-'Tab. 6H - Kultura fiz. i turyst'!L68+'Tab.6I - Planow. przestrz.'!L26+'Tab.6I - Planow. przestrz.'!L35+'Tab. 6E - Administracja'!L52</f>
        <v>46335726</v>
      </c>
      <c r="J96" s="164">
        <f>'Tab. 6B Polit społ i rozwój prz'!M17-'Tab. 6B Polit społ i rozwój prz'!M132+'Tab. 6D - Oświata'!M18+'Tab. 6E - Administracja'!M30+'Tab. 6E - Administracja'!M77+'Tab. 6E - Administracja'!M96+'Tab. 6G - Roln i ochrona środ.'!M44+'Tab. 6G - Roln i ochrona środ.'!M113+'Tab. 6H - Kultura fiz. i turyst'!M17-'Tab. 6H - Kultura fiz. i turyst'!M36-'Tab. 6H - Kultura fiz. i turyst'!M68+'Tab.6I - Planow. przestrz.'!M26+'Tab.6I - Planow. przestrz.'!M35+'Tab. 6E - Administracja'!M52-1</f>
        <v>184283466</v>
      </c>
      <c r="K96" s="164">
        <f>'Tab. 6B Polit społ i rozwój prz'!N17-'Tab. 6B Polit społ i rozwój prz'!N132+'Tab. 6D - Oświata'!N18+'Tab. 6E - Administracja'!N30+'Tab. 6E - Administracja'!N77+'Tab. 6E - Administracja'!N96+'Tab. 6G - Roln i ochrona środ.'!N44+'Tab. 6G - Roln i ochrona środ.'!N113+'Tab. 6H - Kultura fiz. i turyst'!N17-'Tab. 6H - Kultura fiz. i turyst'!N36-'Tab. 6H - Kultura fiz. i turyst'!N68+'Tab.6I - Planow. przestrz.'!N26+'Tab.6I - Planow. przestrz.'!N35+'Tab. 6E - Administracja'!N52</f>
        <v>60195295</v>
      </c>
      <c r="L96" s="164">
        <f>'Tab. 6B Polit społ i rozwój prz'!O17-'Tab. 6B Polit społ i rozwój prz'!O132+'Tab. 6D - Oświata'!O18+'Tab. 6E - Administracja'!O30+'Tab. 6E - Administracja'!O77+'Tab. 6E - Administracja'!O96+'Tab. 6G - Roln i ochrona środ.'!O44+'Tab. 6G - Roln i ochrona środ.'!O113+'Tab. 6H - Kultura fiz. i turyst'!O17-'Tab. 6H - Kultura fiz. i turyst'!O36-'Tab. 6H - Kultura fiz. i turyst'!O68+'Tab.6I - Planow. przestrz.'!O26+'Tab.6I - Planow. przestrz.'!O35+'Tab. 6E - Administracja'!O52</f>
        <v>58501398</v>
      </c>
      <c r="M96" s="164">
        <f>'Tab. 6B Polit społ i rozwój prz'!P17-'Tab. 6B Polit społ i rozwój prz'!P132+'Tab. 6D - Oświata'!P18+'Tab. 6E - Administracja'!P30+'Tab. 6E - Administracja'!P77+'Tab. 6E - Administracja'!P96+'Tab. 6G - Roln i ochrona środ.'!P44+'Tab. 6G - Roln i ochrona środ.'!P113+'Tab. 6H - Kultura fiz. i turyst'!P17-'Tab. 6H - Kultura fiz. i turyst'!P36-'Tab. 6H - Kultura fiz. i turyst'!P68+'Tab.6I - Planow. przestrz.'!P26+'Tab.6I - Planow. przestrz.'!P35+'Tab. 6E - Administracja'!P52</f>
        <v>3705440</v>
      </c>
      <c r="N96" s="164">
        <f>'Tab. 6B Polit społ i rozwój prz'!Q17-'Tab. 6B Polit społ i rozwój prz'!Q132+'Tab. 6D - Oświata'!Q18+'Tab. 6E - Administracja'!Q30+'Tab. 6E - Administracja'!Q77+'Tab. 6E - Administracja'!Q96+'Tab. 6G - Roln i ochrona środ.'!Q44+'Tab. 6G - Roln i ochrona środ.'!Q113+'Tab. 6H - Kultura fiz. i turyst'!Q17-'Tab. 6H - Kultura fiz. i turyst'!Q36-'Tab. 6H - Kultura fiz. i turyst'!Q68+'Tab.6I - Planow. przestrz.'!Q26+'Tab.6I - Planow. przestrz.'!Q35+'Tab. 6E - Administracja'!Q52</f>
        <v>3454570</v>
      </c>
      <c r="O96" s="164">
        <f>'Tab. 6B Polit społ i rozwój prz'!R17-'Tab. 6B Polit społ i rozwój prz'!R132+'Tab. 6D - Oświata'!R18+'Tab. 6E - Administracja'!R30+'Tab. 6E - Administracja'!R77+'Tab. 6E - Administracja'!R96+'Tab. 6G - Roln i ochrona środ.'!R44+'Tab. 6G - Roln i ochrona środ.'!R113+'Tab. 6H - Kultura fiz. i turyst'!R17-'Tab. 6H - Kultura fiz. i turyst'!R36-'Tab. 6H - Kultura fiz. i turyst'!R68+'Tab.6I - Planow. przestrz.'!R26+'Tab.6I - Planow. przestrz.'!R35+'Tab. 6E - Administracja'!R52</f>
        <v>3398968</v>
      </c>
      <c r="P96" s="164">
        <f>'Tab. 6B Polit społ i rozwój prz'!S17-'Tab. 6B Polit społ i rozwój prz'!S132+'Tab. 6D - Oświata'!S18+'Tab. 6E - Administracja'!S30+'Tab. 6E - Administracja'!S77+'Tab. 6E - Administracja'!S96+'Tab. 6G - Roln i ochrona środ.'!S44+'Tab. 6G - Roln i ochrona środ.'!S113+'Tab. 6H - Kultura fiz. i turyst'!S17-'Tab. 6H - Kultura fiz. i turyst'!S36-'Tab. 6H - Kultura fiz. i turyst'!S68+'Tab.6I - Planow. przestrz.'!S26+'Tab.6I - Planow. przestrz.'!S35+'Tab. 6E - Administracja'!S52</f>
        <v>1500000</v>
      </c>
      <c r="Q96" s="164">
        <f>'Tab. 6B Polit społ i rozwój prz'!T17-'Tab. 6B Polit społ i rozwój prz'!T132+'Tab. 6D - Oświata'!T18+'Tab. 6E - Administracja'!T30+'Tab. 6E - Administracja'!T77+'Tab. 6E - Administracja'!T96+'Tab. 6G - Roln i ochrona środ.'!T44+'Tab. 6G - Roln i ochrona środ.'!T113+'Tab. 6H - Kultura fiz. i turyst'!T17-'Tab. 6H - Kultura fiz. i turyst'!T36-'Tab. 6H - Kultura fiz. i turyst'!T68+'Tab.6I - Planow. przestrz.'!T26+'Tab.6I - Planow. przestrz.'!T35+'Tab. 6E - Administracja'!T52</f>
        <v>1400000</v>
      </c>
      <c r="R96" s="165">
        <f>J96+K96+L96+M96+N96+O96+P96+Q96</f>
        <v>316439137</v>
      </c>
      <c r="S96" s="139"/>
    </row>
    <row r="97" spans="1:19" s="140" customFormat="1" ht="18" hidden="1" customHeight="1">
      <c r="A97" s="163" t="s">
        <v>54</v>
      </c>
      <c r="B97" s="164">
        <f>'Tab. 6A -Drogi'!E23+'Tab. 6B Polit społ i rozwój prz'!E132+'Tab. 6E - Administracja'!E41+'Tab. 6E - Administracja'!E87+'Tab. 6E - Administracja'!E107+'Tab. 6G - Roln i ochrona środ.'!E23-'Tab. 6G - Roln i ochrona środ.'!E44-'Tab. 6G - Roln i ochrona środ.'!E113+'Tab. 6H - Kultura fiz. i turyst'!E36+'Tab. 6H - Kultura fiz. i turyst'!E68+'Tab.6I - Planow. przestrz.'!E44+'Tab. 6E - Administracja'!E63</f>
        <v>14760730</v>
      </c>
      <c r="C97" s="164">
        <f>'Tab. 6A -Drogi'!F23+'Tab. 6B Polit społ i rozwój prz'!F132+'Tab. 6E - Administracja'!F41+'Tab. 6E - Administracja'!F87+'Tab. 6E - Administracja'!F107+'Tab. 6G - Roln i ochrona środ.'!F23-'Tab. 6G - Roln i ochrona środ.'!F44-'Tab. 6G - Roln i ochrona środ.'!F113+'Tab. 6H - Kultura fiz. i turyst'!F36+'Tab. 6H - Kultura fiz. i turyst'!F68+'Tab.6I - Planow. przestrz.'!F44+'Tab. 6E - Administracja'!F63</f>
        <v>10588</v>
      </c>
      <c r="D97" s="164">
        <f>'Tab. 6A -Drogi'!G23+'Tab. 6B Polit społ i rozwój prz'!G132+'Tab. 6E - Administracja'!G41+'Tab. 6E - Administracja'!G87+'Tab. 6E - Administracja'!G107+'Tab. 6G - Roln i ochrona środ.'!G23-'Tab. 6G - Roln i ochrona środ.'!G44-'Tab. 6G - Roln i ochrona środ.'!G113+'Tab. 6H - Kultura fiz. i turyst'!G36+'Tab. 6H - Kultura fiz. i turyst'!G68+'Tab.6I - Planow. przestrz.'!G44+'Tab. 6E - Administracja'!G63</f>
        <v>72466</v>
      </c>
      <c r="E97" s="164">
        <f>'Tab. 6A -Drogi'!H23+'Tab. 6B Polit społ i rozwój prz'!H132+'Tab. 6E - Administracja'!H41+'Tab. 6E - Administracja'!H87+'Tab. 6E - Administracja'!H107+'Tab. 6G - Roln i ochrona środ.'!H23-'Tab. 6G - Roln i ochrona środ.'!H44-'Tab. 6G - Roln i ochrona środ.'!H113+'Tab. 6H - Kultura fiz. i turyst'!H36+'Tab. 6H - Kultura fiz. i turyst'!H68+'Tab.6I - Planow. przestrz.'!H44+'Tab. 6E - Administracja'!H63</f>
        <v>16715166</v>
      </c>
      <c r="F97" s="164">
        <f>'Tab. 6A -Drogi'!I23+'Tab. 6B Polit społ i rozwój prz'!I132+'Tab. 6E - Administracja'!I41+'Tab. 6E - Administracja'!I87+'Tab. 6E - Administracja'!I107+'Tab. 6G - Roln i ochrona środ.'!I23-'Tab. 6G - Roln i ochrona środ.'!I44-'Tab. 6G - Roln i ochrona środ.'!I113+'Tab. 6H - Kultura fiz. i turyst'!I36+'Tab. 6H - Kultura fiz. i turyst'!I68+'Tab.6I - Planow. przestrz.'!I44+'Tab. 6E - Administracja'!I63</f>
        <v>35412123</v>
      </c>
      <c r="G97" s="164">
        <f>'Tab. 6A -Drogi'!J23+'Tab. 6B Polit społ i rozwój prz'!J132+'Tab. 6E - Administracja'!J41+'Tab. 6E - Administracja'!J87+'Tab. 6E - Administracja'!J107+'Tab. 6G - Roln i ochrona środ.'!J23-'Tab. 6G - Roln i ochrona środ.'!J44-'Tab. 6G - Roln i ochrona środ.'!J113+'Tab. 6H - Kultura fiz. i turyst'!J36+'Tab. 6H - Kultura fiz. i turyst'!J68+'Tab.6I - Planow. przestrz.'!J44+'Tab. 6E - Administracja'!J63</f>
        <v>93483292</v>
      </c>
      <c r="H97" s="164">
        <f>'Tab. 6A -Drogi'!K23+'Tab. 6B Polit społ i rozwój prz'!K132+'Tab. 6E - Administracja'!K41+'Tab. 6E - Administracja'!K87+'Tab. 6E - Administracja'!K107+'Tab. 6G - Roln i ochrona środ.'!K23-'Tab. 6G - Roln i ochrona środ.'!K44-'Tab. 6G - Roln i ochrona środ.'!K113+'Tab. 6H - Kultura fiz. i turyst'!K36+'Tab. 6H - Kultura fiz. i turyst'!K68+'Tab.6I - Planow. przestrz.'!K44+'Tab. 6E - Administracja'!K63</f>
        <v>130065144</v>
      </c>
      <c r="I97" s="164">
        <f>'Tab. 6A -Drogi'!L23+'Tab. 6B Polit społ i rozwój prz'!L132+'Tab. 6E - Administracja'!L41+'Tab. 6E - Administracja'!L87+'Tab. 6E - Administracja'!L107+'Tab. 6G - Roln i ochrona środ.'!L23-'Tab. 6G - Roln i ochrona środ.'!L44-'Tab. 6G - Roln i ochrona środ.'!L113+'Tab. 6H - Kultura fiz. i turyst'!L36+'Tab. 6H - Kultura fiz. i turyst'!L68+'Tab.6I - Planow. przestrz.'!L44+'Tab. 6E - Administracja'!L63</f>
        <v>155329273</v>
      </c>
      <c r="J97" s="164">
        <f>'Tab. 6A -Drogi'!M23+'Tab. 6B Polit społ i rozwój prz'!M132+'Tab. 6E - Administracja'!M41+'Tab. 6E - Administracja'!M87+'Tab. 6E - Administracja'!M107+'Tab. 6G - Roln i ochrona środ.'!M23-'Tab. 6G - Roln i ochrona środ.'!M44-'Tab. 6G - Roln i ochrona środ.'!M113+'Tab. 6H - Kultura fiz. i turyst'!M36+'Tab. 6H - Kultura fiz. i turyst'!M68+'Tab.6I - Planow. przestrz.'!M44+'Tab. 6E - Administracja'!M63</f>
        <v>429050563</v>
      </c>
      <c r="K97" s="164">
        <f>'Tab. 6A -Drogi'!N23+'Tab. 6B Polit społ i rozwój prz'!N132+'Tab. 6E - Administracja'!N41+'Tab. 6E - Administracja'!N87+'Tab. 6E - Administracja'!N107+'Tab. 6G - Roln i ochrona środ.'!N23-'Tab. 6G - Roln i ochrona środ.'!N44-'Tab. 6G - Roln i ochrona środ.'!N113+'Tab. 6H - Kultura fiz. i turyst'!N36+'Tab. 6H - Kultura fiz. i turyst'!N68+'Tab.6I - Planow. przestrz.'!N44+'Tab. 6E - Administracja'!N63</f>
        <v>212388937</v>
      </c>
      <c r="L97" s="164">
        <f>'Tab. 6A -Drogi'!O23+'Tab. 6B Polit społ i rozwój prz'!O132+'Tab. 6E - Administracja'!O41+'Tab. 6E - Administracja'!O87+'Tab. 6E - Administracja'!O107+'Tab. 6G - Roln i ochrona środ.'!O23-'Tab. 6G - Roln i ochrona środ.'!O44-'Tab. 6G - Roln i ochrona środ.'!O113+'Tab. 6H - Kultura fiz. i turyst'!O36+'Tab. 6H - Kultura fiz. i turyst'!O68+'Tab.6I - Planow. przestrz.'!O44+'Tab. 6E - Administracja'!O63</f>
        <v>180932230</v>
      </c>
      <c r="M97" s="164">
        <f>'Tab. 6A -Drogi'!P23+'Tab. 6B Polit społ i rozwój prz'!P132+'Tab. 6E - Administracja'!P41+'Tab. 6E - Administracja'!P87+'Tab. 6E - Administracja'!P107+'Tab. 6G - Roln i ochrona środ.'!P23-'Tab. 6G - Roln i ochrona środ.'!P44-'Tab. 6G - Roln i ochrona środ.'!P113+'Tab. 6H - Kultura fiz. i turyst'!P36+'Tab. 6H - Kultura fiz. i turyst'!P68+'Tab.6I - Planow. przestrz.'!P44+'Tab. 6E - Administracja'!P63</f>
        <v>129261455</v>
      </c>
      <c r="N97" s="164">
        <f>'Tab. 6A -Drogi'!Q23+'Tab. 6B Polit społ i rozwój prz'!Q132+'Tab. 6E - Administracja'!Q41+'Tab. 6E - Administracja'!Q87+'Tab. 6E - Administracja'!Q107+'Tab. 6G - Roln i ochrona środ.'!Q23-'Tab. 6G - Roln i ochrona środ.'!Q44-'Tab. 6G - Roln i ochrona środ.'!Q113+'Tab. 6H - Kultura fiz. i turyst'!Q36+'Tab. 6H - Kultura fiz. i turyst'!Q68+'Tab.6I - Planow. przestrz.'!Q44+'Tab. 6E - Administracja'!Q63</f>
        <v>27029263</v>
      </c>
      <c r="O97" s="164">
        <f>'Tab. 6A -Drogi'!R23+'Tab. 6B Polit społ i rozwój prz'!R132+'Tab. 6E - Administracja'!R41+'Tab. 6E - Administracja'!R87+'Tab. 6E - Administracja'!R107+'Tab. 6G - Roln i ochrona środ.'!R23-'Tab. 6G - Roln i ochrona środ.'!R44-'Tab. 6G - Roln i ochrona środ.'!R113+'Tab. 6H - Kultura fiz. i turyst'!R36+'Tab. 6H - Kultura fiz. i turyst'!R68+'Tab.6I - Planow. przestrz.'!R44+'Tab. 6E - Administracja'!R63</f>
        <v>2500000</v>
      </c>
      <c r="P97" s="164">
        <f>'Tab. 6A -Drogi'!S23+'Tab. 6B Polit społ i rozwój prz'!S132+'Tab. 6E - Administracja'!S41+'Tab. 6E - Administracja'!S87+'Tab. 6E - Administracja'!S107+'Tab. 6G - Roln i ochrona środ.'!S23-'Tab. 6G - Roln i ochrona środ.'!S44-'Tab. 6G - Roln i ochrona środ.'!S113+'Tab. 6H - Kultura fiz. i turyst'!S36+'Tab. 6H - Kultura fiz. i turyst'!S68+'Tab.6I - Planow. przestrz.'!S44+'Tab. 6E - Administracja'!S63</f>
        <v>2500000</v>
      </c>
      <c r="Q97" s="164">
        <f>'Tab. 6A -Drogi'!T23+'Tab. 6B Polit społ i rozwój prz'!T132+'Tab. 6E - Administracja'!T41+'Tab. 6E - Administracja'!T87+'Tab. 6E - Administracja'!T107+'Tab. 6G - Roln i ochrona środ.'!T23-'Tab. 6G - Roln i ochrona środ.'!T44-'Tab. 6G - Roln i ochrona środ.'!T113+'Tab. 6H - Kultura fiz. i turyst'!T36+'Tab. 6H - Kultura fiz. i turyst'!T68+'Tab.6I - Planow. przestrz.'!T44+'Tab. 6E - Administracja'!T63</f>
        <v>0</v>
      </c>
      <c r="R97" s="165">
        <f>J97+K97+L97+M97+N97+O97+P97+Q97</f>
        <v>983662448</v>
      </c>
      <c r="S97" s="139"/>
    </row>
    <row r="98" spans="1:19" s="140" customFormat="1" ht="24" hidden="1" customHeight="1" thickBot="1">
      <c r="A98" s="158" t="s">
        <v>59</v>
      </c>
      <c r="B98" s="159">
        <f t="shared" ref="B98:G98" si="72">B84-B99</f>
        <v>0</v>
      </c>
      <c r="C98" s="159">
        <f t="shared" si="72"/>
        <v>0</v>
      </c>
      <c r="D98" s="159">
        <f t="shared" si="72"/>
        <v>0</v>
      </c>
      <c r="E98" s="159">
        <f t="shared" si="72"/>
        <v>0</v>
      </c>
      <c r="F98" s="159">
        <f t="shared" si="72"/>
        <v>0</v>
      </c>
      <c r="G98" s="159">
        <f t="shared" si="72"/>
        <v>0</v>
      </c>
      <c r="H98" s="159">
        <f>H84-H99</f>
        <v>0</v>
      </c>
      <c r="I98" s="159">
        <f t="shared" ref="I98:O98" si="73">I84-I99</f>
        <v>0</v>
      </c>
      <c r="J98" s="159">
        <f t="shared" si="73"/>
        <v>0</v>
      </c>
      <c r="K98" s="159">
        <f t="shared" si="73"/>
        <v>0</v>
      </c>
      <c r="L98" s="159">
        <f t="shared" si="73"/>
        <v>0</v>
      </c>
      <c r="M98" s="159">
        <f t="shared" si="73"/>
        <v>0</v>
      </c>
      <c r="N98" s="159">
        <f t="shared" si="73"/>
        <v>0</v>
      </c>
      <c r="O98" s="159">
        <f t="shared" si="73"/>
        <v>0</v>
      </c>
      <c r="P98" s="159"/>
      <c r="Q98" s="159"/>
      <c r="R98" s="159"/>
      <c r="S98" s="139"/>
    </row>
    <row r="99" spans="1:19" s="140" customFormat="1" ht="19.5" hidden="1" customHeight="1" thickBot="1">
      <c r="A99" s="160" t="s">
        <v>57</v>
      </c>
      <c r="B99" s="161">
        <f t="shared" ref="B99:G99" si="74">B100+B101</f>
        <v>279786</v>
      </c>
      <c r="C99" s="161">
        <f t="shared" si="74"/>
        <v>0</v>
      </c>
      <c r="D99" s="161">
        <f t="shared" si="74"/>
        <v>0</v>
      </c>
      <c r="E99" s="161">
        <f t="shared" si="74"/>
        <v>279786</v>
      </c>
      <c r="F99" s="161">
        <f t="shared" si="74"/>
        <v>2596431</v>
      </c>
      <c r="G99" s="161">
        <f t="shared" si="74"/>
        <v>10430330</v>
      </c>
      <c r="H99" s="161">
        <f>H100+H101</f>
        <v>6012543</v>
      </c>
      <c r="I99" s="161">
        <f t="shared" ref="I99:R99" si="75">I100+I101</f>
        <v>10658611</v>
      </c>
      <c r="J99" s="161">
        <f t="shared" ref="J99" si="76">J100+J101</f>
        <v>29977701</v>
      </c>
      <c r="K99" s="161">
        <f t="shared" si="75"/>
        <v>20207191</v>
      </c>
      <c r="L99" s="161">
        <f t="shared" si="75"/>
        <v>52604514</v>
      </c>
      <c r="M99" s="161">
        <f t="shared" si="75"/>
        <v>15803716</v>
      </c>
      <c r="N99" s="161">
        <f t="shared" si="75"/>
        <v>10500000</v>
      </c>
      <c r="O99" s="161">
        <f t="shared" si="75"/>
        <v>10500000</v>
      </c>
      <c r="P99" s="162"/>
      <c r="Q99" s="162"/>
      <c r="R99" s="162">
        <f t="shared" si="75"/>
        <v>139593122</v>
      </c>
      <c r="S99" s="139"/>
    </row>
    <row r="100" spans="1:19" s="140" customFormat="1" ht="18" hidden="1" customHeight="1" thickTop="1">
      <c r="A100" s="163" t="s">
        <v>58</v>
      </c>
      <c r="B100" s="164">
        <f>'Tab. 6A -Drogi'!E481</f>
        <v>0</v>
      </c>
      <c r="C100" s="164">
        <f>'Tab. 6A -Drogi'!F481</f>
        <v>0</v>
      </c>
      <c r="D100" s="164">
        <f>'Tab. 6A -Drogi'!G481</f>
        <v>0</v>
      </c>
      <c r="E100" s="164">
        <f>'Tab. 6A -Drogi'!H481</f>
        <v>0</v>
      </c>
      <c r="F100" s="164">
        <f>'Tab. 6A -Drogi'!I481</f>
        <v>0</v>
      </c>
      <c r="G100" s="164">
        <f>'Tab. 6A -Drogi'!J481</f>
        <v>0</v>
      </c>
      <c r="H100" s="164">
        <f>'Tab. 6A -Drogi'!K481</f>
        <v>0</v>
      </c>
      <c r="I100" s="164">
        <f>'Tab. 6A -Drogi'!L481</f>
        <v>205627</v>
      </c>
      <c r="J100" s="164">
        <f>'Tab. 6A -Drogi'!M481</f>
        <v>205627</v>
      </c>
      <c r="K100" s="164">
        <f>'Tab. 6A -Drogi'!N481+'Tab. 6E - Administracja'!N135</f>
        <v>1409624</v>
      </c>
      <c r="L100" s="164">
        <f>'Tab. 6A -Drogi'!O481+'Tab. 6E - Administracja'!O135</f>
        <v>10417218</v>
      </c>
      <c r="M100" s="164">
        <f>'Tab. 6A -Drogi'!P481</f>
        <v>10500000</v>
      </c>
      <c r="N100" s="164">
        <f>'Tab. 6A -Drogi'!Q481</f>
        <v>10500000</v>
      </c>
      <c r="O100" s="164">
        <f>'Tab. 6A -Drogi'!R481</f>
        <v>10500000</v>
      </c>
      <c r="P100" s="1831"/>
      <c r="Q100" s="1831"/>
      <c r="R100" s="165">
        <f>J100+K100+L100+M100+N100+O100+P100+Q100</f>
        <v>43532469</v>
      </c>
      <c r="S100" s="139"/>
    </row>
    <row r="101" spans="1:19" s="140" customFormat="1" ht="18" hidden="1" customHeight="1">
      <c r="A101" s="163" t="s">
        <v>54</v>
      </c>
      <c r="B101" s="164">
        <f>'Tab. 6A -Drogi'!E414-'Tab. 6A -Drogi'!E481+'Tab. 6C - Ochrona zdrowia'!E23+'Tab. 6D - Oświata'!E72+'Tab. 6F - Kultura'!E18+'Tab. 6G - Roln i ochrona środ.'!E198</f>
        <v>279786</v>
      </c>
      <c r="C101" s="164">
        <f>'Tab. 6A -Drogi'!F414-'Tab. 6A -Drogi'!F481+'Tab. 6C - Ochrona zdrowia'!F23+'Tab. 6D - Oświata'!F72+'Tab. 6F - Kultura'!F18+'Tab. 6G - Roln i ochrona środ.'!F198</f>
        <v>0</v>
      </c>
      <c r="D101" s="164">
        <f>'Tab. 6A -Drogi'!G414-'Tab. 6A -Drogi'!G481+'Tab. 6C - Ochrona zdrowia'!G23+'Tab. 6D - Oświata'!G72+'Tab. 6F - Kultura'!G18+'Tab. 6G - Roln i ochrona środ.'!G198</f>
        <v>0</v>
      </c>
      <c r="E101" s="164">
        <f>'Tab. 6A -Drogi'!H414-'Tab. 6A -Drogi'!H481+'Tab. 6C - Ochrona zdrowia'!H23+'Tab. 6D - Oświata'!H72+'Tab. 6F - Kultura'!H18+'Tab. 6G - Roln i ochrona środ.'!H198</f>
        <v>279786</v>
      </c>
      <c r="F101" s="164">
        <f>'Tab. 6A -Drogi'!I414-'Tab. 6A -Drogi'!I481+'Tab. 6C - Ochrona zdrowia'!I23+'Tab. 6D - Oświata'!I72+'Tab. 6F - Kultura'!I18+'Tab. 6G - Roln i ochrona środ.'!I198</f>
        <v>2596431</v>
      </c>
      <c r="G101" s="164">
        <f>'Tab. 6A -Drogi'!J414-'Tab. 6A -Drogi'!J481+'Tab. 6C - Ochrona zdrowia'!J23+'Tab. 6D - Oświata'!J72+'Tab. 6F - Kultura'!J18+'Tab. 6G - Roln i ochrona środ.'!J198</f>
        <v>10430330</v>
      </c>
      <c r="H101" s="164">
        <f>'Tab. 6A -Drogi'!K414-'Tab. 6A -Drogi'!K481+'Tab. 6C - Ochrona zdrowia'!K23+'Tab. 6D - Oświata'!K72+'Tab. 6F - Kultura'!K18+'Tab. 6G - Roln i ochrona środ.'!K191</f>
        <v>6012543</v>
      </c>
      <c r="I101" s="164">
        <f>'Tab. 6A -Drogi'!L414-'Tab. 6A -Drogi'!L481+'Tab. 6C - Ochrona zdrowia'!L23+'Tab. 6D - Oświata'!L72+'Tab. 6F - Kultura'!L18+'Tab. 6G - Roln i ochrona środ.'!L191</f>
        <v>10452984</v>
      </c>
      <c r="J101" s="164">
        <f>'Tab. 6A -Drogi'!M414-'Tab. 6A -Drogi'!M481+'Tab. 6C - Ochrona zdrowia'!M23+'Tab. 6D - Oświata'!M72+'Tab. 6F - Kultura'!M18+'Tab. 6G - Roln i ochrona środ.'!M191</f>
        <v>29772074</v>
      </c>
      <c r="K101" s="164">
        <f>'Tab. 6A -Drogi'!N453+'Tab. 6C - Ochrona zdrowia'!N23+'Tab. 6D - Oświata'!N72+'Tab. 6F - Kultura'!N18+'Tab. 6G - Roln i ochrona środ.'!N191</f>
        <v>18797567</v>
      </c>
      <c r="L101" s="164">
        <f>'Tab. 6A -Drogi'!O414-'Tab. 6A -Drogi'!O481+'Tab. 6C - Ochrona zdrowia'!O23+'Tab. 6D - Oświata'!O72+'Tab. 6F - Kultura'!O18+'Tab. 6G - Roln i ochrona środ.'!O191</f>
        <v>42187296</v>
      </c>
      <c r="M101" s="164">
        <f>'Tab. 6A -Drogi'!P414-'Tab. 6A -Drogi'!P481+'Tab. 6C - Ochrona zdrowia'!P23+'Tab. 6D - Oświata'!P72+'Tab. 6F - Kultura'!P18+'Tab. 6G - Roln i ochrona środ.'!P191</f>
        <v>5303716</v>
      </c>
      <c r="N101" s="164">
        <f>'Tab. 6A -Drogi'!Q414-'Tab. 6A -Drogi'!Q481+'Tab. 6C - Ochrona zdrowia'!Q23+'Tab. 6D - Oświata'!Q72+'Tab. 6F - Kultura'!Q18+'Tab. 6G - Roln i ochrona środ.'!Q191</f>
        <v>0</v>
      </c>
      <c r="O101" s="164">
        <f>'Tab. 6A -Drogi'!R414-'Tab. 6A -Drogi'!R481+'Tab. 6C - Ochrona zdrowia'!R23+'Tab. 6D - Oświata'!R72+'Tab. 6F - Kultura'!R18+'Tab. 6G - Roln i ochrona środ.'!R191</f>
        <v>0</v>
      </c>
      <c r="P101" s="1831"/>
      <c r="Q101" s="1831"/>
      <c r="R101" s="165">
        <f>J101+K101+L101+M101+N101+O101+P101+Q101</f>
        <v>96060653</v>
      </c>
      <c r="S101" s="139"/>
    </row>
    <row r="102" spans="1:19" s="140" customFormat="1" ht="18" hidden="1" customHeight="1">
      <c r="A102" s="157"/>
      <c r="B102" s="156"/>
      <c r="C102" s="156"/>
      <c r="D102" s="156"/>
      <c r="E102" s="156"/>
      <c r="F102" s="156"/>
      <c r="G102" s="156"/>
      <c r="H102" s="156"/>
      <c r="I102" s="156"/>
      <c r="J102" s="156">
        <f>J99+J95-J89</f>
        <v>0</v>
      </c>
      <c r="K102" s="156">
        <f t="shared" ref="K102:Q102" si="77">K99+K95-K89</f>
        <v>0</v>
      </c>
      <c r="L102" s="156">
        <f t="shared" si="77"/>
        <v>0</v>
      </c>
      <c r="M102" s="156">
        <f t="shared" si="77"/>
        <v>0</v>
      </c>
      <c r="N102" s="156">
        <f t="shared" si="77"/>
        <v>0</v>
      </c>
      <c r="O102" s="156">
        <f t="shared" si="77"/>
        <v>0</v>
      </c>
      <c r="P102" s="156">
        <f t="shared" si="77"/>
        <v>0</v>
      </c>
      <c r="Q102" s="156">
        <f t="shared" si="77"/>
        <v>0</v>
      </c>
      <c r="R102" s="156"/>
      <c r="S102" s="139"/>
    </row>
    <row r="103" spans="1:19" s="140" customFormat="1" ht="18" hidden="1" customHeight="1" thickBot="1">
      <c r="A103" s="166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39"/>
    </row>
    <row r="104" spans="1:19" s="140" customFormat="1" ht="18" hidden="1" customHeight="1">
      <c r="A104" s="137"/>
      <c r="B104" s="138"/>
      <c r="C104" s="168"/>
      <c r="D104" s="168"/>
      <c r="E104" s="168"/>
      <c r="F104" s="138"/>
      <c r="G104" s="138"/>
      <c r="H104" s="138"/>
      <c r="I104" s="138"/>
      <c r="J104" s="2073">
        <f>+J83-J57</f>
        <v>0</v>
      </c>
      <c r="K104" s="2073">
        <f t="shared" ref="K104:Q104" si="78">+K83-K57</f>
        <v>0</v>
      </c>
      <c r="L104" s="2073">
        <f>+L83-L57</f>
        <v>0</v>
      </c>
      <c r="M104" s="2073">
        <f t="shared" si="78"/>
        <v>0</v>
      </c>
      <c r="N104" s="2073">
        <f t="shared" si="78"/>
        <v>0</v>
      </c>
      <c r="O104" s="2073">
        <f t="shared" si="78"/>
        <v>0</v>
      </c>
      <c r="P104" s="2073">
        <f t="shared" si="78"/>
        <v>0</v>
      </c>
      <c r="Q104" s="2073">
        <f t="shared" si="78"/>
        <v>0</v>
      </c>
      <c r="R104" s="2073">
        <f>+R83-R57</f>
        <v>0</v>
      </c>
      <c r="S104" s="2073">
        <f>+S83-S57</f>
        <v>0</v>
      </c>
    </row>
    <row r="105" spans="1:19" s="140" customFormat="1" ht="18" hidden="1" customHeight="1" thickBot="1">
      <c r="A105" s="137"/>
      <c r="B105" s="138">
        <f t="shared" ref="B105:R105" si="79">B12+B57</f>
        <v>63976999</v>
      </c>
      <c r="C105" s="138">
        <f t="shared" si="79"/>
        <v>2148368</v>
      </c>
      <c r="D105" s="138">
        <f t="shared" si="79"/>
        <v>16964625</v>
      </c>
      <c r="E105" s="138">
        <f t="shared" si="79"/>
        <v>51795474.060000002</v>
      </c>
      <c r="F105" s="138">
        <f t="shared" si="79"/>
        <v>103375669.3</v>
      </c>
      <c r="G105" s="138">
        <f t="shared" si="79"/>
        <v>203920166.30000001</v>
      </c>
      <c r="H105" s="138">
        <f t="shared" si="79"/>
        <v>233098142</v>
      </c>
      <c r="I105" s="138">
        <f t="shared" si="79"/>
        <v>374149786</v>
      </c>
      <c r="J105" s="138">
        <f t="shared" si="79"/>
        <v>976110164</v>
      </c>
      <c r="K105" s="138">
        <f t="shared" si="79"/>
        <v>464698349</v>
      </c>
      <c r="L105" s="138">
        <f t="shared" si="79"/>
        <v>419493348</v>
      </c>
      <c r="M105" s="138">
        <f t="shared" si="79"/>
        <v>272918457</v>
      </c>
      <c r="N105" s="138">
        <f t="shared" si="79"/>
        <v>161827560</v>
      </c>
      <c r="O105" s="138">
        <f t="shared" si="79"/>
        <v>135954242</v>
      </c>
      <c r="P105" s="138">
        <f t="shared" si="79"/>
        <v>92892198</v>
      </c>
      <c r="Q105" s="138">
        <f t="shared" si="79"/>
        <v>83800714</v>
      </c>
      <c r="R105" s="138">
        <f t="shared" si="79"/>
        <v>2614286462</v>
      </c>
      <c r="S105" s="138">
        <f>S12+S57</f>
        <v>1173477949</v>
      </c>
    </row>
    <row r="106" spans="1:19" s="140" customFormat="1" ht="16.5" hidden="1" customHeight="1" thickBot="1">
      <c r="A106" s="137"/>
      <c r="B106" s="1767" t="s">
        <v>6</v>
      </c>
      <c r="C106" s="1768" t="s">
        <v>7</v>
      </c>
      <c r="D106" s="1768" t="s">
        <v>8</v>
      </c>
      <c r="E106" s="1768" t="s">
        <v>9</v>
      </c>
      <c r="F106" s="1767" t="s">
        <v>10</v>
      </c>
      <c r="G106" s="1767" t="s">
        <v>11</v>
      </c>
      <c r="H106" s="1767" t="s">
        <v>12</v>
      </c>
      <c r="I106" s="1767" t="s">
        <v>13</v>
      </c>
      <c r="J106" s="2041" t="s">
        <v>321</v>
      </c>
      <c r="K106" s="1244" t="s">
        <v>14</v>
      </c>
      <c r="L106" s="173" t="s">
        <v>15</v>
      </c>
      <c r="M106" s="174" t="s">
        <v>16</v>
      </c>
      <c r="N106" s="172" t="s">
        <v>17</v>
      </c>
      <c r="O106" s="172" t="s">
        <v>18</v>
      </c>
      <c r="P106" s="172" t="s">
        <v>315</v>
      </c>
      <c r="Q106" s="172" t="s">
        <v>322</v>
      </c>
      <c r="R106" s="175" t="s">
        <v>60</v>
      </c>
      <c r="S106" s="175" t="s">
        <v>61</v>
      </c>
    </row>
    <row r="107" spans="1:19" s="140" customFormat="1" ht="18" hidden="1" customHeight="1">
      <c r="A107" s="137"/>
      <c r="B107" s="138"/>
      <c r="C107" s="168"/>
      <c r="D107" s="168"/>
      <c r="E107" s="168"/>
      <c r="F107" s="138"/>
      <c r="G107" s="138"/>
      <c r="H107" s="138"/>
      <c r="I107" s="138"/>
      <c r="J107" s="138"/>
      <c r="K107" s="138"/>
      <c r="L107" s="1861"/>
      <c r="M107" s="138"/>
      <c r="N107" s="138"/>
      <c r="O107" s="138"/>
      <c r="P107" s="138"/>
      <c r="Q107" s="138"/>
      <c r="R107" s="138"/>
      <c r="S107" s="152"/>
    </row>
    <row r="108" spans="1:19" s="140" customFormat="1" ht="18" hidden="1" customHeight="1">
      <c r="A108" s="137"/>
      <c r="B108" s="138"/>
      <c r="C108" s="168"/>
      <c r="D108" s="168"/>
      <c r="E108" s="168"/>
      <c r="F108" s="138"/>
      <c r="G108" s="138"/>
      <c r="H108" s="138"/>
      <c r="I108" s="138"/>
      <c r="J108" s="138"/>
      <c r="K108" s="138"/>
      <c r="L108" s="1861"/>
      <c r="M108" s="138"/>
      <c r="N108" s="138"/>
      <c r="O108" s="138"/>
      <c r="P108" s="138"/>
      <c r="Q108" s="138"/>
      <c r="R108" s="138"/>
      <c r="S108" s="152"/>
    </row>
    <row r="109" spans="1:19" s="42" customFormat="1" ht="12.75" hidden="1" customHeight="1">
      <c r="A109" s="86"/>
      <c r="B109" s="38"/>
      <c r="C109" s="38"/>
      <c r="D109" s="38"/>
      <c r="E109" s="38"/>
      <c r="F109" s="38"/>
      <c r="G109" s="38"/>
      <c r="H109" s="38"/>
      <c r="I109" s="38">
        <f t="shared" ref="I109:O110" si="80">+I13+I58</f>
        <v>152633124</v>
      </c>
      <c r="J109" s="38"/>
      <c r="K109" s="38">
        <f t="shared" si="80"/>
        <v>159380719</v>
      </c>
      <c r="L109" s="1862">
        <f t="shared" si="80"/>
        <v>169066916</v>
      </c>
      <c r="M109" s="38">
        <f t="shared" si="80"/>
        <v>135038991</v>
      </c>
      <c r="N109" s="38">
        <f t="shared" si="80"/>
        <v>134923837</v>
      </c>
      <c r="O109" s="38">
        <f t="shared" si="80"/>
        <v>128814082</v>
      </c>
      <c r="P109" s="38"/>
      <c r="Q109" s="38"/>
      <c r="R109" s="38"/>
    </row>
    <row r="110" spans="1:19" s="42" customFormat="1" ht="28.5" hidden="1" customHeight="1">
      <c r="A110" s="176"/>
      <c r="B110" s="176"/>
      <c r="C110" s="176"/>
      <c r="D110" s="176"/>
      <c r="E110" s="176"/>
      <c r="F110" s="176"/>
      <c r="G110" s="176"/>
      <c r="H110" s="176"/>
      <c r="I110" s="177">
        <f t="shared" si="80"/>
        <v>221516662</v>
      </c>
      <c r="J110" s="177"/>
      <c r="K110" s="177">
        <f t="shared" si="80"/>
        <v>305317630</v>
      </c>
      <c r="L110" s="1863">
        <f t="shared" si="80"/>
        <v>250426432</v>
      </c>
      <c r="M110" s="177">
        <f t="shared" si="80"/>
        <v>137879466</v>
      </c>
      <c r="N110" s="177">
        <f t="shared" si="80"/>
        <v>26903723</v>
      </c>
      <c r="O110" s="177">
        <f t="shared" si="80"/>
        <v>7140160</v>
      </c>
      <c r="P110" s="177"/>
      <c r="Q110" s="177"/>
      <c r="R110" s="176"/>
      <c r="S110" s="176"/>
    </row>
    <row r="111" spans="1:19" s="42" customFormat="1" ht="8.25" hidden="1" customHeight="1" thickBot="1">
      <c r="A111" s="8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1862"/>
      <c r="M111" s="38"/>
      <c r="N111" s="38"/>
      <c r="O111" s="38"/>
      <c r="P111" s="38"/>
      <c r="Q111" s="38"/>
      <c r="R111" s="38"/>
    </row>
    <row r="112" spans="1:19" s="42" customFormat="1" ht="12.75" hidden="1" customHeight="1">
      <c r="A112" s="86"/>
      <c r="B112" s="38"/>
      <c r="C112" s="38"/>
      <c r="D112" s="38"/>
      <c r="E112" s="38"/>
      <c r="F112" s="2413" t="s">
        <v>62</v>
      </c>
      <c r="G112" s="2414"/>
      <c r="H112" s="2414"/>
      <c r="I112" s="178">
        <f>+I113+I114</f>
        <v>374149786</v>
      </c>
      <c r="J112" s="178"/>
      <c r="K112" s="178">
        <f t="shared" ref="K112:R112" si="81">+K113+K114</f>
        <v>464698349</v>
      </c>
      <c r="L112" s="1864">
        <f t="shared" si="81"/>
        <v>419493348</v>
      </c>
      <c r="M112" s="179">
        <f t="shared" si="81"/>
        <v>272918457</v>
      </c>
      <c r="N112" s="179">
        <f t="shared" si="81"/>
        <v>161827560</v>
      </c>
      <c r="O112" s="179">
        <f>+O113+O114</f>
        <v>135954242</v>
      </c>
      <c r="P112" s="179"/>
      <c r="Q112" s="179"/>
      <c r="R112" s="178">
        <f t="shared" si="81"/>
        <v>2614286462</v>
      </c>
      <c r="S112" s="180">
        <f>+S113+S114</f>
        <v>1173477949</v>
      </c>
    </row>
    <row r="113" spans="1:19" s="42" customFormat="1" ht="12.75" hidden="1" customHeight="1">
      <c r="A113" s="86"/>
      <c r="B113" s="38"/>
      <c r="C113" s="38"/>
      <c r="D113" s="38"/>
      <c r="E113" s="38"/>
      <c r="F113" s="2415"/>
      <c r="G113" s="2416"/>
      <c r="H113" s="2416"/>
      <c r="I113" s="181">
        <f t="shared" ref="I113:R114" si="82">+I13+I58</f>
        <v>152633124</v>
      </c>
      <c r="J113" s="181"/>
      <c r="K113" s="181">
        <f t="shared" si="82"/>
        <v>159380719</v>
      </c>
      <c r="L113" s="1865">
        <f t="shared" si="82"/>
        <v>169066916</v>
      </c>
      <c r="M113" s="182">
        <f t="shared" si="82"/>
        <v>135038991</v>
      </c>
      <c r="N113" s="182">
        <f t="shared" si="82"/>
        <v>134923837</v>
      </c>
      <c r="O113" s="182">
        <f t="shared" si="82"/>
        <v>128814082</v>
      </c>
      <c r="P113" s="182"/>
      <c r="Q113" s="182"/>
      <c r="R113" s="181">
        <f t="shared" si="82"/>
        <v>1237078530</v>
      </c>
      <c r="S113" s="183">
        <f>+S58+S13</f>
        <v>746928168</v>
      </c>
    </row>
    <row r="114" spans="1:19" s="42" customFormat="1" ht="12.75" hidden="1" customHeight="1" thickBot="1">
      <c r="A114" s="86"/>
      <c r="B114" s="38"/>
      <c r="C114" s="38"/>
      <c r="D114" s="38"/>
      <c r="E114" s="38"/>
      <c r="F114" s="184"/>
      <c r="G114" s="185"/>
      <c r="H114" s="185"/>
      <c r="I114" s="186">
        <f t="shared" si="82"/>
        <v>221516662</v>
      </c>
      <c r="J114" s="186"/>
      <c r="K114" s="186">
        <f t="shared" si="82"/>
        <v>305317630</v>
      </c>
      <c r="L114" s="1866">
        <f t="shared" si="82"/>
        <v>250426432</v>
      </c>
      <c r="M114" s="187">
        <f t="shared" si="82"/>
        <v>137879466</v>
      </c>
      <c r="N114" s="187">
        <f t="shared" si="82"/>
        <v>26903723</v>
      </c>
      <c r="O114" s="187">
        <f t="shared" si="82"/>
        <v>7140160</v>
      </c>
      <c r="P114" s="187"/>
      <c r="Q114" s="187"/>
      <c r="R114" s="186">
        <f t="shared" si="82"/>
        <v>1377207932</v>
      </c>
      <c r="S114" s="188">
        <f>+S59+S14</f>
        <v>426549781</v>
      </c>
    </row>
    <row r="115" spans="1:19" s="42" customFormat="1" ht="21.75" hidden="1" customHeight="1">
      <c r="A115" s="189" t="s">
        <v>63</v>
      </c>
      <c r="B115" s="190">
        <f t="shared" ref="B115:R115" si="83">+B83+B46</f>
        <v>63976999</v>
      </c>
      <c r="C115" s="190">
        <f t="shared" si="83"/>
        <v>2160825</v>
      </c>
      <c r="D115" s="190">
        <f t="shared" si="83"/>
        <v>17049879</v>
      </c>
      <c r="E115" s="190">
        <f t="shared" si="83"/>
        <v>51867747.060000002</v>
      </c>
      <c r="F115" s="190">
        <f t="shared" si="83"/>
        <v>103375669</v>
      </c>
      <c r="G115" s="190">
        <f t="shared" si="83"/>
        <v>203920166</v>
      </c>
      <c r="H115" s="190">
        <f t="shared" si="83"/>
        <v>233080891</v>
      </c>
      <c r="I115" s="190">
        <f t="shared" si="83"/>
        <v>374079528.30000001</v>
      </c>
      <c r="J115" s="190"/>
      <c r="K115" s="190">
        <f t="shared" si="83"/>
        <v>464698349</v>
      </c>
      <c r="L115" s="1867">
        <f t="shared" si="83"/>
        <v>419493348</v>
      </c>
      <c r="M115" s="190">
        <f t="shared" si="83"/>
        <v>272918457</v>
      </c>
      <c r="N115" s="190">
        <f t="shared" si="83"/>
        <v>161827560</v>
      </c>
      <c r="O115" s="190">
        <f t="shared" si="83"/>
        <v>135954242</v>
      </c>
      <c r="P115" s="190"/>
      <c r="Q115" s="190"/>
      <c r="R115" s="190">
        <f t="shared" si="83"/>
        <v>2614286462.3000002</v>
      </c>
      <c r="S115" s="191">
        <f>+S83+S46</f>
        <v>1173477949</v>
      </c>
    </row>
    <row r="116" spans="1:19" s="42" customFormat="1" ht="9.75" hidden="1" customHeight="1">
      <c r="A116" s="189"/>
      <c r="B116" s="177"/>
      <c r="C116" s="177">
        <f>+C115-'[1]zał. nr 2'!D89</f>
        <v>12889</v>
      </c>
      <c r="D116" s="177">
        <f>+D115-'[1]zał. nr 2'!E89</f>
        <v>757676.5</v>
      </c>
      <c r="E116" s="177">
        <f>+E115-'[1]zał. nr 2'!F89</f>
        <v>-1220725.9699999988</v>
      </c>
      <c r="F116" s="177"/>
      <c r="G116" s="177"/>
      <c r="H116" s="177"/>
      <c r="I116" s="177">
        <f>+I115-I112</f>
        <v>-70257.699999988079</v>
      </c>
      <c r="J116" s="177"/>
      <c r="K116" s="177">
        <f t="shared" ref="K116:R116" si="84">+K115-K112</f>
        <v>0</v>
      </c>
      <c r="L116" s="1863">
        <f t="shared" si="84"/>
        <v>0</v>
      </c>
      <c r="M116" s="177">
        <f t="shared" si="84"/>
        <v>0</v>
      </c>
      <c r="N116" s="177">
        <f t="shared" si="84"/>
        <v>0</v>
      </c>
      <c r="O116" s="177">
        <f t="shared" si="84"/>
        <v>0</v>
      </c>
      <c r="P116" s="177"/>
      <c r="Q116" s="177"/>
      <c r="R116" s="177">
        <f t="shared" si="84"/>
        <v>0.30000019073486328</v>
      </c>
      <c r="S116" s="38"/>
    </row>
    <row r="117" spans="1:19" s="42" customFormat="1" ht="15.75" hidden="1" customHeight="1" thickBot="1">
      <c r="A117" s="189" t="s">
        <v>64</v>
      </c>
      <c r="B117" s="190">
        <f t="shared" ref="B117:R117" si="85">+B84+B47</f>
        <v>41617945</v>
      </c>
      <c r="C117" s="190">
        <f t="shared" si="85"/>
        <v>312784</v>
      </c>
      <c r="D117" s="190">
        <f t="shared" si="85"/>
        <v>8350472</v>
      </c>
      <c r="E117" s="190">
        <f t="shared" si="85"/>
        <v>40126530</v>
      </c>
      <c r="F117" s="190">
        <f t="shared" si="85"/>
        <v>77219850</v>
      </c>
      <c r="G117" s="190">
        <f t="shared" si="85"/>
        <v>135958290</v>
      </c>
      <c r="H117" s="190">
        <f t="shared" si="85"/>
        <v>176246118</v>
      </c>
      <c r="I117" s="190">
        <f t="shared" si="85"/>
        <v>212323610</v>
      </c>
      <c r="J117" s="190"/>
      <c r="K117" s="190">
        <f t="shared" si="85"/>
        <v>292791423</v>
      </c>
      <c r="L117" s="1867">
        <f t="shared" si="85"/>
        <v>292038142</v>
      </c>
      <c r="M117" s="190">
        <f t="shared" si="85"/>
        <v>148770611</v>
      </c>
      <c r="N117" s="190">
        <f t="shared" si="85"/>
        <v>40983833</v>
      </c>
      <c r="O117" s="190">
        <f t="shared" si="85"/>
        <v>16398968</v>
      </c>
      <c r="P117" s="190"/>
      <c r="Q117" s="190"/>
      <c r="R117" s="190">
        <f t="shared" si="85"/>
        <v>1439694707</v>
      </c>
      <c r="S117" s="38"/>
    </row>
    <row r="118" spans="1:19" ht="1.5" hidden="1" customHeight="1">
      <c r="A118" s="2417" t="s">
        <v>407</v>
      </c>
      <c r="B118" s="192"/>
      <c r="C118" s="192"/>
      <c r="D118" s="192"/>
      <c r="E118" s="192"/>
      <c r="F118" s="192"/>
      <c r="G118" s="192"/>
      <c r="H118" s="192"/>
      <c r="I118" s="192"/>
      <c r="J118" s="192"/>
      <c r="K118" s="1848"/>
      <c r="L118" s="1868"/>
      <c r="M118" s="1857"/>
      <c r="N118" s="192"/>
      <c r="O118" s="192"/>
      <c r="P118" s="192"/>
      <c r="Q118" s="192"/>
      <c r="R118" s="192"/>
      <c r="S118" s="193"/>
    </row>
    <row r="119" spans="1:19" s="25" customFormat="1" ht="15" hidden="1" customHeight="1" thickBot="1">
      <c r="A119" s="2418"/>
      <c r="B119" s="194">
        <f t="shared" ref="B119:R119" si="86">+B83+B46</f>
        <v>63976999</v>
      </c>
      <c r="C119" s="195">
        <f t="shared" si="86"/>
        <v>2160825</v>
      </c>
      <c r="D119" s="195">
        <f t="shared" si="86"/>
        <v>17049879</v>
      </c>
      <c r="E119" s="195">
        <f t="shared" si="86"/>
        <v>51867747.060000002</v>
      </c>
      <c r="F119" s="194">
        <f t="shared" si="86"/>
        <v>103375669</v>
      </c>
      <c r="G119" s="194">
        <f t="shared" si="86"/>
        <v>203920166</v>
      </c>
      <c r="H119" s="194">
        <f t="shared" si="86"/>
        <v>233080891</v>
      </c>
      <c r="I119" s="194">
        <f t="shared" si="86"/>
        <v>374079528.30000001</v>
      </c>
      <c r="J119" s="194">
        <f>+J83+J46</f>
        <v>976110164.29999995</v>
      </c>
      <c r="K119" s="1849">
        <f t="shared" si="86"/>
        <v>464698349</v>
      </c>
      <c r="L119" s="1869">
        <f t="shared" si="86"/>
        <v>419493348</v>
      </c>
      <c r="M119" s="1858">
        <f t="shared" si="86"/>
        <v>272918457</v>
      </c>
      <c r="N119" s="194">
        <f t="shared" si="86"/>
        <v>161827560</v>
      </c>
      <c r="O119" s="194">
        <f t="shared" si="86"/>
        <v>135954242</v>
      </c>
      <c r="P119" s="194">
        <f t="shared" si="86"/>
        <v>92892198</v>
      </c>
      <c r="Q119" s="194">
        <f t="shared" si="86"/>
        <v>83800714</v>
      </c>
      <c r="R119" s="194">
        <f t="shared" si="86"/>
        <v>2614286462.3000002</v>
      </c>
      <c r="S119" s="196">
        <f>+S83+S46</f>
        <v>1173477949</v>
      </c>
    </row>
    <row r="120" spans="1:19" hidden="1">
      <c r="A120" s="197" t="s">
        <v>65</v>
      </c>
      <c r="B120" s="198">
        <f t="shared" ref="B120:O120" si="87">+B18+B63+B25</f>
        <v>13909084</v>
      </c>
      <c r="C120" s="198">
        <f t="shared" si="87"/>
        <v>384696</v>
      </c>
      <c r="D120" s="198">
        <f t="shared" si="87"/>
        <v>8276537</v>
      </c>
      <c r="E120" s="198">
        <f t="shared" si="87"/>
        <v>6076085</v>
      </c>
      <c r="F120" s="198">
        <f t="shared" si="87"/>
        <v>11195717</v>
      </c>
      <c r="G120" s="198">
        <f t="shared" si="87"/>
        <v>52373624</v>
      </c>
      <c r="H120" s="198">
        <f t="shared" si="87"/>
        <v>57266614</v>
      </c>
      <c r="I120" s="198">
        <f t="shared" si="87"/>
        <v>143010659.30000001</v>
      </c>
      <c r="J120" s="198">
        <f t="shared" ref="J120" si="88">+J18+J63+J25</f>
        <v>275450904.30000001</v>
      </c>
      <c r="K120" s="1850">
        <f t="shared" si="87"/>
        <v>141161972</v>
      </c>
      <c r="L120" s="1870">
        <f t="shared" si="87"/>
        <v>110032564</v>
      </c>
      <c r="M120" s="1859">
        <f t="shared" si="87"/>
        <v>159446640</v>
      </c>
      <c r="N120" s="198">
        <f t="shared" si="87"/>
        <v>141757621</v>
      </c>
      <c r="O120" s="198">
        <f t="shared" si="87"/>
        <v>130079379</v>
      </c>
      <c r="P120" s="198">
        <f t="shared" ref="P120:Q120" si="89">+P18+P63+P25</f>
        <v>88892198</v>
      </c>
      <c r="Q120" s="198">
        <f t="shared" si="89"/>
        <v>82400714</v>
      </c>
      <c r="R120" s="2038">
        <f>+R18+R63+R25</f>
        <v>1135813422.3</v>
      </c>
      <c r="S120" s="199">
        <f>+S18+S63+S25</f>
        <v>719200546</v>
      </c>
    </row>
    <row r="121" spans="1:19" hidden="1">
      <c r="A121" s="197" t="s">
        <v>66</v>
      </c>
      <c r="B121" s="200">
        <f t="shared" ref="B121:R121" si="90">+B66</f>
        <v>3621827</v>
      </c>
      <c r="C121" s="200">
        <f t="shared" si="90"/>
        <v>0</v>
      </c>
      <c r="D121" s="200">
        <f t="shared" si="90"/>
        <v>27000</v>
      </c>
      <c r="E121" s="200">
        <f t="shared" si="90"/>
        <v>3348880.0600000005</v>
      </c>
      <c r="F121" s="200">
        <f t="shared" si="90"/>
        <v>6819986</v>
      </c>
      <c r="G121" s="200">
        <f t="shared" si="90"/>
        <v>10846424</v>
      </c>
      <c r="H121" s="200">
        <f t="shared" si="90"/>
        <v>13251483</v>
      </c>
      <c r="I121" s="200">
        <f t="shared" si="90"/>
        <v>6472922</v>
      </c>
      <c r="J121" s="200">
        <f t="shared" ref="J121" si="91">+J66</f>
        <v>41012642</v>
      </c>
      <c r="K121" s="1851">
        <f t="shared" si="90"/>
        <v>30752591</v>
      </c>
      <c r="L121" s="1871">
        <f t="shared" si="90"/>
        <v>45747833</v>
      </c>
      <c r="M121" s="201">
        <f t="shared" si="90"/>
        <v>3021101</v>
      </c>
      <c r="N121" s="200">
        <f t="shared" si="90"/>
        <v>0</v>
      </c>
      <c r="O121" s="200">
        <f t="shared" si="90"/>
        <v>0</v>
      </c>
      <c r="P121" s="200">
        <f t="shared" ref="P121:Q121" si="92">+P66</f>
        <v>0</v>
      </c>
      <c r="Q121" s="200">
        <f t="shared" si="92"/>
        <v>0</v>
      </c>
      <c r="R121" s="200">
        <f t="shared" si="90"/>
        <v>120534167</v>
      </c>
      <c r="S121" s="202">
        <f>+S66</f>
        <v>48768934</v>
      </c>
    </row>
    <row r="122" spans="1:19" hidden="1">
      <c r="A122" s="203" t="s">
        <v>25</v>
      </c>
      <c r="B122" s="200">
        <f t="shared" ref="B122:R122" si="93">+B19+B68</f>
        <v>535781</v>
      </c>
      <c r="C122" s="200">
        <f t="shared" si="93"/>
        <v>4104</v>
      </c>
      <c r="D122" s="200">
        <f t="shared" si="93"/>
        <v>294175</v>
      </c>
      <c r="E122" s="200">
        <f t="shared" si="93"/>
        <v>901463</v>
      </c>
      <c r="F122" s="200">
        <f t="shared" si="93"/>
        <v>624623</v>
      </c>
      <c r="G122" s="200">
        <f t="shared" si="93"/>
        <v>8734797</v>
      </c>
      <c r="H122" s="200">
        <f t="shared" si="93"/>
        <v>2799809</v>
      </c>
      <c r="I122" s="200">
        <f t="shared" si="93"/>
        <v>5170949</v>
      </c>
      <c r="J122" s="200">
        <f t="shared" ref="J122" si="94">+J19+J68</f>
        <v>17865959</v>
      </c>
      <c r="K122" s="1851">
        <f t="shared" si="93"/>
        <v>18698493</v>
      </c>
      <c r="L122" s="1871">
        <f t="shared" si="93"/>
        <v>32384540</v>
      </c>
      <c r="M122" s="201">
        <f t="shared" si="93"/>
        <v>7649066</v>
      </c>
      <c r="N122" s="200">
        <f t="shared" si="93"/>
        <v>1239250</v>
      </c>
      <c r="O122" s="200">
        <f t="shared" si="93"/>
        <v>1239250</v>
      </c>
      <c r="P122" s="200">
        <f t="shared" ref="P122:Q122" si="95">+P19+P68</f>
        <v>1134250</v>
      </c>
      <c r="Q122" s="200">
        <f t="shared" si="95"/>
        <v>210000</v>
      </c>
      <c r="R122" s="200">
        <f t="shared" si="93"/>
        <v>80420808</v>
      </c>
      <c r="S122" s="204">
        <f>+S19+S68</f>
        <v>43856356</v>
      </c>
    </row>
    <row r="123" spans="1:19" ht="24" hidden="1">
      <c r="A123" s="203" t="s">
        <v>67</v>
      </c>
      <c r="B123" s="200">
        <f t="shared" ref="B123:R123" si="96">+B20+B70</f>
        <v>5935894</v>
      </c>
      <c r="C123" s="200">
        <f t="shared" si="96"/>
        <v>0</v>
      </c>
      <c r="D123" s="200">
        <f t="shared" si="96"/>
        <v>0</v>
      </c>
      <c r="E123" s="200">
        <f t="shared" si="96"/>
        <v>6647405</v>
      </c>
      <c r="F123" s="200">
        <f t="shared" si="96"/>
        <v>10285500</v>
      </c>
      <c r="G123" s="200">
        <f t="shared" si="96"/>
        <v>12796084</v>
      </c>
      <c r="H123" s="200">
        <f t="shared" si="96"/>
        <v>12792166</v>
      </c>
      <c r="I123" s="200">
        <f t="shared" si="96"/>
        <v>9659941</v>
      </c>
      <c r="J123" s="200">
        <f t="shared" ref="J123" si="97">+J20+J70</f>
        <v>51469585</v>
      </c>
      <c r="K123" s="1851">
        <f t="shared" si="96"/>
        <v>9881531</v>
      </c>
      <c r="L123" s="1871">
        <f t="shared" si="96"/>
        <v>7006000</v>
      </c>
      <c r="M123" s="201">
        <f t="shared" si="96"/>
        <v>0</v>
      </c>
      <c r="N123" s="200">
        <f t="shared" si="96"/>
        <v>0</v>
      </c>
      <c r="O123" s="200">
        <f t="shared" si="96"/>
        <v>0</v>
      </c>
      <c r="P123" s="200">
        <f t="shared" ref="P123:Q123" si="98">+P20+P70</f>
        <v>0</v>
      </c>
      <c r="Q123" s="200">
        <f t="shared" si="98"/>
        <v>0</v>
      </c>
      <c r="R123" s="200">
        <f t="shared" si="96"/>
        <v>68357116</v>
      </c>
      <c r="S123" s="205">
        <f>+S20+S70</f>
        <v>7006000</v>
      </c>
    </row>
    <row r="124" spans="1:19" hidden="1">
      <c r="A124" s="203" t="s">
        <v>27</v>
      </c>
      <c r="B124" s="200">
        <f t="shared" ref="B124:R124" si="99">+B21+B67</f>
        <v>3923747</v>
      </c>
      <c r="C124" s="200">
        <f t="shared" si="99"/>
        <v>0</v>
      </c>
      <c r="D124" s="200">
        <f t="shared" si="99"/>
        <v>0</v>
      </c>
      <c r="E124" s="200">
        <f t="shared" si="99"/>
        <v>3923747</v>
      </c>
      <c r="F124" s="200">
        <f t="shared" si="99"/>
        <v>3817914</v>
      </c>
      <c r="G124" s="200">
        <f t="shared" si="99"/>
        <v>4145000</v>
      </c>
      <c r="H124" s="200">
        <f t="shared" si="99"/>
        <v>8232289</v>
      </c>
      <c r="I124" s="200">
        <f t="shared" si="99"/>
        <v>3712896</v>
      </c>
      <c r="J124" s="200">
        <f t="shared" ref="J124" si="100">+J21+J67</f>
        <v>23831846</v>
      </c>
      <c r="K124" s="1851">
        <f t="shared" si="99"/>
        <v>6065557</v>
      </c>
      <c r="L124" s="1871">
        <f t="shared" si="99"/>
        <v>1677218</v>
      </c>
      <c r="M124" s="201">
        <f t="shared" si="99"/>
        <v>0</v>
      </c>
      <c r="N124" s="200">
        <f t="shared" si="99"/>
        <v>0</v>
      </c>
      <c r="O124" s="200">
        <f t="shared" si="99"/>
        <v>0</v>
      </c>
      <c r="P124" s="200">
        <f t="shared" ref="P124:Q124" si="101">+P21+P67</f>
        <v>0</v>
      </c>
      <c r="Q124" s="200">
        <f t="shared" si="101"/>
        <v>0</v>
      </c>
      <c r="R124" s="200">
        <f t="shared" si="99"/>
        <v>31574621</v>
      </c>
      <c r="S124" s="206">
        <f>+S21+S67</f>
        <v>1677218</v>
      </c>
    </row>
    <row r="125" spans="1:19" hidden="1">
      <c r="A125" s="203" t="s">
        <v>68</v>
      </c>
      <c r="B125" s="200">
        <f t="shared" ref="B125:R125" si="102">+B22+B64</f>
        <v>0</v>
      </c>
      <c r="C125" s="200">
        <f t="shared" si="102"/>
        <v>0</v>
      </c>
      <c r="D125" s="200">
        <f t="shared" si="102"/>
        <v>0</v>
      </c>
      <c r="E125" s="200">
        <f t="shared" si="102"/>
        <v>0</v>
      </c>
      <c r="F125" s="200">
        <f t="shared" si="102"/>
        <v>0</v>
      </c>
      <c r="G125" s="200">
        <f t="shared" si="102"/>
        <v>0</v>
      </c>
      <c r="H125" s="200">
        <f t="shared" si="102"/>
        <v>3849132</v>
      </c>
      <c r="I125" s="200">
        <f t="shared" si="102"/>
        <v>14727789</v>
      </c>
      <c r="J125" s="200">
        <f t="shared" ref="J125" si="103">+J22+J64</f>
        <v>18576921</v>
      </c>
      <c r="K125" s="1851">
        <f t="shared" si="102"/>
        <v>15051833</v>
      </c>
      <c r="L125" s="1871">
        <f t="shared" si="102"/>
        <v>14318649</v>
      </c>
      <c r="M125" s="201">
        <f t="shared" si="102"/>
        <v>1970557</v>
      </c>
      <c r="N125" s="200">
        <f t="shared" si="102"/>
        <v>380558</v>
      </c>
      <c r="O125" s="200">
        <f t="shared" si="102"/>
        <v>0</v>
      </c>
      <c r="P125" s="200">
        <f t="shared" ref="P125:Q125" si="104">+P22+P64</f>
        <v>0</v>
      </c>
      <c r="Q125" s="200">
        <f t="shared" si="104"/>
        <v>0</v>
      </c>
      <c r="R125" s="200">
        <f t="shared" si="102"/>
        <v>50298518</v>
      </c>
      <c r="S125" s="206">
        <f>+S22+S64</f>
        <v>16669764</v>
      </c>
    </row>
    <row r="126" spans="1:19" hidden="1">
      <c r="A126" s="203" t="s">
        <v>32</v>
      </c>
      <c r="B126" s="200">
        <f t="shared" ref="B126:R126" si="105">+B27</f>
        <v>0</v>
      </c>
      <c r="C126" s="200">
        <f t="shared" si="105"/>
        <v>0</v>
      </c>
      <c r="D126" s="200">
        <f t="shared" si="105"/>
        <v>0</v>
      </c>
      <c r="E126" s="200">
        <f t="shared" si="105"/>
        <v>0</v>
      </c>
      <c r="F126" s="200">
        <f t="shared" si="105"/>
        <v>829536</v>
      </c>
      <c r="G126" s="200">
        <f t="shared" si="105"/>
        <v>4707541</v>
      </c>
      <c r="H126" s="200">
        <f t="shared" si="105"/>
        <v>2188317</v>
      </c>
      <c r="I126" s="200">
        <f t="shared" si="105"/>
        <v>1192714</v>
      </c>
      <c r="J126" s="200">
        <f t="shared" ref="J126" si="106">+J27</f>
        <v>8901608</v>
      </c>
      <c r="K126" s="1851">
        <f t="shared" si="105"/>
        <v>3238709</v>
      </c>
      <c r="L126" s="1871">
        <f t="shared" si="105"/>
        <v>7641625</v>
      </c>
      <c r="M126" s="201">
        <f t="shared" si="105"/>
        <v>3911602</v>
      </c>
      <c r="N126" s="200">
        <f t="shared" si="105"/>
        <v>223846</v>
      </c>
      <c r="O126" s="200">
        <f t="shared" si="105"/>
        <v>0</v>
      </c>
      <c r="P126" s="200">
        <f t="shared" ref="P126:Q126" si="107">+P27</f>
        <v>0</v>
      </c>
      <c r="Q126" s="200">
        <f t="shared" si="107"/>
        <v>0</v>
      </c>
      <c r="R126" s="200">
        <f t="shared" si="105"/>
        <v>23917390</v>
      </c>
      <c r="S126" s="206">
        <f>+S27</f>
        <v>11777073</v>
      </c>
    </row>
    <row r="127" spans="1:19" hidden="1">
      <c r="A127" s="203" t="s">
        <v>29</v>
      </c>
      <c r="B127" s="200">
        <f t="shared" ref="B127:R127" si="108">+B23</f>
        <v>289954</v>
      </c>
      <c r="C127" s="200">
        <f t="shared" si="108"/>
        <v>0</v>
      </c>
      <c r="D127" s="200">
        <f t="shared" si="108"/>
        <v>43011</v>
      </c>
      <c r="E127" s="200">
        <f t="shared" si="108"/>
        <v>230832</v>
      </c>
      <c r="F127" s="200">
        <f t="shared" si="108"/>
        <v>787833</v>
      </c>
      <c r="G127" s="200">
        <f t="shared" si="108"/>
        <v>29963574</v>
      </c>
      <c r="H127" s="200">
        <f t="shared" si="108"/>
        <v>7405834</v>
      </c>
      <c r="I127" s="200">
        <f t="shared" si="108"/>
        <v>1961906</v>
      </c>
      <c r="J127" s="200">
        <f t="shared" ref="J127" si="109">+J23</f>
        <v>40409101</v>
      </c>
      <c r="K127" s="1851">
        <f t="shared" si="108"/>
        <v>1594169</v>
      </c>
      <c r="L127" s="1871">
        <f t="shared" si="108"/>
        <v>3031</v>
      </c>
      <c r="M127" s="201">
        <f t="shared" si="108"/>
        <v>0</v>
      </c>
      <c r="N127" s="200">
        <f t="shared" si="108"/>
        <v>0</v>
      </c>
      <c r="O127" s="200">
        <f t="shared" si="108"/>
        <v>0</v>
      </c>
      <c r="P127" s="200">
        <f t="shared" ref="P127:Q127" si="110">+P23</f>
        <v>0</v>
      </c>
      <c r="Q127" s="200">
        <f t="shared" si="110"/>
        <v>0</v>
      </c>
      <c r="R127" s="200">
        <f t="shared" si="108"/>
        <v>42006301</v>
      </c>
      <c r="S127" s="206">
        <f>+S23</f>
        <v>3031</v>
      </c>
    </row>
    <row r="128" spans="1:19" ht="16.5" hidden="1" customHeight="1">
      <c r="A128" s="203" t="s">
        <v>69</v>
      </c>
      <c r="B128" s="200">
        <f t="shared" ref="B128:R128" si="111">+B28</f>
        <v>10594223</v>
      </c>
      <c r="C128" s="200">
        <f t="shared" si="111"/>
        <v>0</v>
      </c>
      <c r="D128" s="200">
        <f t="shared" si="111"/>
        <v>0</v>
      </c>
      <c r="E128" s="200">
        <f t="shared" si="111"/>
        <v>3058368</v>
      </c>
      <c r="F128" s="200">
        <f t="shared" si="111"/>
        <v>17692550</v>
      </c>
      <c r="G128" s="200">
        <f t="shared" si="111"/>
        <v>2998223</v>
      </c>
      <c r="H128" s="200">
        <f t="shared" si="111"/>
        <v>3753212</v>
      </c>
      <c r="I128" s="200">
        <f t="shared" si="111"/>
        <v>4711864</v>
      </c>
      <c r="J128" s="200">
        <f t="shared" ref="J128" si="112">+J28</f>
        <v>39750072</v>
      </c>
      <c r="K128" s="1851">
        <f t="shared" si="111"/>
        <v>4433074</v>
      </c>
      <c r="L128" s="1871">
        <f t="shared" si="111"/>
        <v>1950000</v>
      </c>
      <c r="M128" s="201">
        <f t="shared" si="111"/>
        <v>0</v>
      </c>
      <c r="N128" s="200">
        <f t="shared" si="111"/>
        <v>0</v>
      </c>
      <c r="O128" s="200">
        <f t="shared" si="111"/>
        <v>0</v>
      </c>
      <c r="P128" s="200">
        <f t="shared" ref="P128:Q128" si="113">+P28</f>
        <v>0</v>
      </c>
      <c r="Q128" s="200">
        <f t="shared" si="113"/>
        <v>0</v>
      </c>
      <c r="R128" s="200">
        <f t="shared" si="111"/>
        <v>46133146</v>
      </c>
      <c r="S128" s="206">
        <f>+S28</f>
        <v>1950000</v>
      </c>
    </row>
    <row r="129" spans="1:19" ht="16.5" hidden="1" customHeight="1">
      <c r="A129" s="203" t="s">
        <v>31</v>
      </c>
      <c r="B129" s="200">
        <f t="shared" ref="B129:R129" si="114">+B26</f>
        <v>0</v>
      </c>
      <c r="C129" s="200">
        <f t="shared" si="114"/>
        <v>0</v>
      </c>
      <c r="D129" s="200">
        <f t="shared" si="114"/>
        <v>0</v>
      </c>
      <c r="E129" s="200">
        <f t="shared" si="114"/>
        <v>0</v>
      </c>
      <c r="F129" s="200">
        <f t="shared" si="114"/>
        <v>0</v>
      </c>
      <c r="G129" s="200">
        <f t="shared" si="114"/>
        <v>0</v>
      </c>
      <c r="H129" s="200">
        <f t="shared" si="114"/>
        <v>0</v>
      </c>
      <c r="I129" s="200">
        <f t="shared" si="114"/>
        <v>0</v>
      </c>
      <c r="J129" s="200">
        <f t="shared" ref="J129" si="115">+J26</f>
        <v>0</v>
      </c>
      <c r="K129" s="1851">
        <f t="shared" si="114"/>
        <v>0</v>
      </c>
      <c r="L129" s="1871">
        <f t="shared" si="114"/>
        <v>0</v>
      </c>
      <c r="M129" s="201">
        <f t="shared" si="114"/>
        <v>0</v>
      </c>
      <c r="N129" s="200">
        <f t="shared" si="114"/>
        <v>0</v>
      </c>
      <c r="O129" s="200">
        <f t="shared" si="114"/>
        <v>0</v>
      </c>
      <c r="P129" s="200">
        <f t="shared" ref="P129:Q129" si="116">+P26</f>
        <v>0</v>
      </c>
      <c r="Q129" s="200">
        <f t="shared" si="116"/>
        <v>0</v>
      </c>
      <c r="R129" s="200">
        <f t="shared" si="114"/>
        <v>0</v>
      </c>
      <c r="S129" s="207">
        <f>+S26</f>
        <v>0</v>
      </c>
    </row>
    <row r="130" spans="1:19" ht="13.5" hidden="1" thickBot="1">
      <c r="A130" s="208" t="s">
        <v>33</v>
      </c>
      <c r="B130" s="209">
        <f t="shared" ref="B130:R130" si="117">+B29</f>
        <v>25166489</v>
      </c>
      <c r="C130" s="209">
        <f t="shared" si="117"/>
        <v>1772025</v>
      </c>
      <c r="D130" s="209">
        <f t="shared" si="117"/>
        <v>8409156</v>
      </c>
      <c r="E130" s="209">
        <f t="shared" si="117"/>
        <v>27680967</v>
      </c>
      <c r="F130" s="209">
        <f t="shared" si="117"/>
        <v>51322010</v>
      </c>
      <c r="G130" s="209">
        <f t="shared" si="117"/>
        <v>77354899</v>
      </c>
      <c r="H130" s="209">
        <f t="shared" si="117"/>
        <v>121542035</v>
      </c>
      <c r="I130" s="209">
        <f t="shared" si="117"/>
        <v>183457888</v>
      </c>
      <c r="J130" s="209">
        <f t="shared" ref="J130" si="118">+J29</f>
        <v>458841526</v>
      </c>
      <c r="K130" s="1852">
        <f t="shared" si="117"/>
        <v>233820420</v>
      </c>
      <c r="L130" s="1872">
        <f t="shared" si="117"/>
        <v>198731888</v>
      </c>
      <c r="M130" s="210">
        <f t="shared" si="117"/>
        <v>96919491</v>
      </c>
      <c r="N130" s="1843">
        <f t="shared" si="117"/>
        <v>18226285</v>
      </c>
      <c r="O130" s="211">
        <f t="shared" si="117"/>
        <v>4635613</v>
      </c>
      <c r="P130" s="211">
        <f t="shared" ref="P130:Q130" si="119">+P29</f>
        <v>2865750</v>
      </c>
      <c r="Q130" s="211">
        <f t="shared" si="119"/>
        <v>1190000</v>
      </c>
      <c r="R130" s="211">
        <f t="shared" si="117"/>
        <v>1015230973</v>
      </c>
      <c r="S130" s="211">
        <f>+S29</f>
        <v>322569027</v>
      </c>
    </row>
    <row r="131" spans="1:19" hidden="1">
      <c r="A131" s="212">
        <f>+B121+F121</f>
        <v>10441813</v>
      </c>
      <c r="B131" s="213">
        <f t="shared" ref="B131:R131" si="120">SUM(B120:B130)</f>
        <v>63976999</v>
      </c>
      <c r="C131" s="214">
        <f t="shared" si="120"/>
        <v>2160825</v>
      </c>
      <c r="D131" s="214">
        <f t="shared" si="120"/>
        <v>17049879</v>
      </c>
      <c r="E131" s="214">
        <f t="shared" si="120"/>
        <v>51867747.060000002</v>
      </c>
      <c r="F131" s="213">
        <f t="shared" si="120"/>
        <v>103375669</v>
      </c>
      <c r="G131" s="215">
        <f t="shared" si="120"/>
        <v>203920166</v>
      </c>
      <c r="H131" s="216">
        <f t="shared" si="120"/>
        <v>233080891</v>
      </c>
      <c r="I131" s="216">
        <f t="shared" si="120"/>
        <v>374079528.30000001</v>
      </c>
      <c r="J131" s="216">
        <f t="shared" ref="J131" si="121">SUM(J120:J130)</f>
        <v>976110164.29999995</v>
      </c>
      <c r="K131" s="213">
        <f>SUM(K120:K130)</f>
        <v>464698349</v>
      </c>
      <c r="L131" s="1873">
        <f>SUM(L120:L130)</f>
        <v>419493348</v>
      </c>
      <c r="M131" s="213">
        <f t="shared" si="120"/>
        <v>272918457</v>
      </c>
      <c r="N131" s="213">
        <f>SUM(N120:N130)</f>
        <v>161827560</v>
      </c>
      <c r="O131" s="213">
        <f>SUM(O120:O130)</f>
        <v>135954242</v>
      </c>
      <c r="P131" s="213">
        <f t="shared" ref="P131:Q131" si="122">SUM(P120:P130)</f>
        <v>92892198</v>
      </c>
      <c r="Q131" s="213">
        <f t="shared" si="122"/>
        <v>83800714</v>
      </c>
      <c r="R131" s="213">
        <f t="shared" si="120"/>
        <v>2614286462.3000002</v>
      </c>
      <c r="S131" s="213">
        <f>SUM(S120:S130)</f>
        <v>1173477949</v>
      </c>
    </row>
    <row r="132" spans="1:19" ht="18" hidden="1" customHeight="1" thickBot="1">
      <c r="A132" s="217"/>
      <c r="B132" s="218">
        <f t="shared" ref="B132:R132" si="123">+B131-B86</f>
        <v>0</v>
      </c>
      <c r="C132" s="218">
        <f t="shared" si="123"/>
        <v>12457</v>
      </c>
      <c r="D132" s="218">
        <f t="shared" si="123"/>
        <v>85254</v>
      </c>
      <c r="E132" s="218">
        <f>+E131-E86</f>
        <v>72273</v>
      </c>
      <c r="F132" s="218">
        <f t="shared" si="123"/>
        <v>-0.29999999701976776</v>
      </c>
      <c r="G132" s="218">
        <f t="shared" si="123"/>
        <v>-0.30000001192092896</v>
      </c>
      <c r="H132" s="218">
        <f t="shared" si="123"/>
        <v>-17251</v>
      </c>
      <c r="I132" s="218">
        <f t="shared" si="123"/>
        <v>-70257.699999988079</v>
      </c>
      <c r="J132" s="218">
        <f t="shared" ref="J132" si="124">+J131-J86</f>
        <v>0.29999995231628418</v>
      </c>
      <c r="K132" s="218">
        <f t="shared" si="123"/>
        <v>0</v>
      </c>
      <c r="L132" s="1874">
        <f t="shared" si="123"/>
        <v>0</v>
      </c>
      <c r="M132" s="218">
        <f t="shared" si="123"/>
        <v>0</v>
      </c>
      <c r="N132" s="218">
        <f t="shared" si="123"/>
        <v>0</v>
      </c>
      <c r="O132" s="218">
        <f t="shared" si="123"/>
        <v>0</v>
      </c>
      <c r="P132" s="218">
        <f t="shared" ref="P132:Q132" si="125">+P131-P86</f>
        <v>0</v>
      </c>
      <c r="Q132" s="218">
        <f t="shared" si="125"/>
        <v>0</v>
      </c>
      <c r="R132" s="218">
        <f t="shared" si="123"/>
        <v>0.30000019073486328</v>
      </c>
      <c r="S132" s="218">
        <f>+S131-S86</f>
        <v>0</v>
      </c>
    </row>
    <row r="133" spans="1:19" ht="18.75" hidden="1" customHeight="1" thickBot="1">
      <c r="A133" s="219" t="s">
        <v>408</v>
      </c>
      <c r="B133" s="220">
        <f t="shared" ref="B133:R133" si="126">+B84+B47</f>
        <v>41617945</v>
      </c>
      <c r="C133" s="221">
        <f t="shared" si="126"/>
        <v>312784</v>
      </c>
      <c r="D133" s="221">
        <f t="shared" si="126"/>
        <v>8350472</v>
      </c>
      <c r="E133" s="221">
        <f t="shared" si="126"/>
        <v>40126530</v>
      </c>
      <c r="F133" s="220">
        <f t="shared" si="126"/>
        <v>77219850</v>
      </c>
      <c r="G133" s="220">
        <f t="shared" si="126"/>
        <v>135958290</v>
      </c>
      <c r="H133" s="220">
        <f t="shared" si="126"/>
        <v>176246118</v>
      </c>
      <c r="I133" s="220">
        <f t="shared" si="126"/>
        <v>212323610</v>
      </c>
      <c r="J133" s="220">
        <f t="shared" ref="J133" si="127">+J84+J47</f>
        <v>643311730</v>
      </c>
      <c r="K133" s="1853">
        <f t="shared" si="126"/>
        <v>292791423</v>
      </c>
      <c r="L133" s="1875">
        <f t="shared" si="126"/>
        <v>292038142</v>
      </c>
      <c r="M133" s="1860">
        <f t="shared" si="126"/>
        <v>148770611</v>
      </c>
      <c r="N133" s="220">
        <f t="shared" si="126"/>
        <v>40983833</v>
      </c>
      <c r="O133" s="220">
        <f t="shared" si="126"/>
        <v>16398968</v>
      </c>
      <c r="P133" s="220">
        <f t="shared" ref="P133:Q133" si="128">+P84+P47</f>
        <v>4000000</v>
      </c>
      <c r="Q133" s="220">
        <f t="shared" si="128"/>
        <v>1400000</v>
      </c>
      <c r="R133" s="220">
        <f t="shared" si="126"/>
        <v>1439694707</v>
      </c>
      <c r="S133" s="222" t="s">
        <v>35</v>
      </c>
    </row>
    <row r="134" spans="1:19" ht="14.25" hidden="1" customHeight="1">
      <c r="A134" s="223" t="s">
        <v>70</v>
      </c>
      <c r="B134" s="224">
        <f t="shared" ref="B134:R134" si="129">+B33</f>
        <v>0</v>
      </c>
      <c r="C134" s="224">
        <f t="shared" si="129"/>
        <v>0</v>
      </c>
      <c r="D134" s="224">
        <f t="shared" si="129"/>
        <v>0</v>
      </c>
      <c r="E134" s="224">
        <f t="shared" si="129"/>
        <v>0</v>
      </c>
      <c r="F134" s="224">
        <f t="shared" si="129"/>
        <v>453868</v>
      </c>
      <c r="G134" s="224">
        <f t="shared" si="129"/>
        <v>569798</v>
      </c>
      <c r="H134" s="224">
        <f t="shared" si="129"/>
        <v>474487</v>
      </c>
      <c r="I134" s="225">
        <f t="shared" si="129"/>
        <v>126548</v>
      </c>
      <c r="J134" s="225">
        <f t="shared" ref="J134" si="130">+J33</f>
        <v>1624701</v>
      </c>
      <c r="K134" s="1854">
        <f t="shared" si="129"/>
        <v>14577</v>
      </c>
      <c r="L134" s="1876">
        <f t="shared" si="129"/>
        <v>8684</v>
      </c>
      <c r="M134" s="225">
        <f t="shared" si="129"/>
        <v>0</v>
      </c>
      <c r="N134" s="224">
        <f t="shared" si="129"/>
        <v>0</v>
      </c>
      <c r="O134" s="224">
        <f t="shared" si="129"/>
        <v>0</v>
      </c>
      <c r="P134" s="224">
        <f t="shared" ref="P134:Q134" si="131">+P33</f>
        <v>0</v>
      </c>
      <c r="Q134" s="224">
        <f t="shared" si="131"/>
        <v>0</v>
      </c>
      <c r="R134" s="2038">
        <f t="shared" si="129"/>
        <v>1647962</v>
      </c>
      <c r="S134" s="224">
        <f>+S33</f>
        <v>0</v>
      </c>
    </row>
    <row r="135" spans="1:19" ht="14.25" hidden="1" customHeight="1">
      <c r="A135" s="203" t="s">
        <v>25</v>
      </c>
      <c r="B135" s="200">
        <f t="shared" ref="B135:R135" si="132">+B75+B32</f>
        <v>473501</v>
      </c>
      <c r="C135" s="200">
        <f t="shared" si="132"/>
        <v>4104</v>
      </c>
      <c r="D135" s="200">
        <f t="shared" si="132"/>
        <v>294175</v>
      </c>
      <c r="E135" s="200">
        <f t="shared" si="132"/>
        <v>901463</v>
      </c>
      <c r="F135" s="200">
        <f t="shared" si="132"/>
        <v>642141</v>
      </c>
      <c r="G135" s="200">
        <f t="shared" si="132"/>
        <v>8751565</v>
      </c>
      <c r="H135" s="200">
        <f t="shared" si="132"/>
        <v>2800194</v>
      </c>
      <c r="I135" s="201">
        <f t="shared" si="132"/>
        <v>5158661</v>
      </c>
      <c r="J135" s="201">
        <f t="shared" ref="J135" si="133">+J75+J32</f>
        <v>17826062</v>
      </c>
      <c r="K135" s="1855">
        <f t="shared" si="132"/>
        <v>18722187</v>
      </c>
      <c r="L135" s="1871">
        <f t="shared" si="132"/>
        <v>32380661</v>
      </c>
      <c r="M135" s="201">
        <f t="shared" si="132"/>
        <v>7669148</v>
      </c>
      <c r="N135" s="200">
        <f t="shared" si="132"/>
        <v>1239250</v>
      </c>
      <c r="O135" s="226">
        <f t="shared" si="132"/>
        <v>1239250</v>
      </c>
      <c r="P135" s="226">
        <f t="shared" ref="P135:Q135" si="134">+P75+P32</f>
        <v>1134250</v>
      </c>
      <c r="Q135" s="226">
        <f t="shared" si="134"/>
        <v>210000</v>
      </c>
      <c r="R135" s="2039">
        <f t="shared" si="132"/>
        <v>80420808</v>
      </c>
      <c r="S135" s="226">
        <f>+S75+S32</f>
        <v>0</v>
      </c>
    </row>
    <row r="136" spans="1:19" ht="14.25" hidden="1" customHeight="1">
      <c r="A136" s="203" t="s">
        <v>27</v>
      </c>
      <c r="B136" s="200">
        <f t="shared" ref="B136:R137" si="135">+B35+B76</f>
        <v>279786</v>
      </c>
      <c r="C136" s="200">
        <f t="shared" si="135"/>
        <v>0</v>
      </c>
      <c r="D136" s="200">
        <f t="shared" si="135"/>
        <v>0</v>
      </c>
      <c r="E136" s="200">
        <f t="shared" si="135"/>
        <v>279786</v>
      </c>
      <c r="F136" s="200">
        <f t="shared" si="135"/>
        <v>7461875</v>
      </c>
      <c r="G136" s="200">
        <f t="shared" si="135"/>
        <v>4145000</v>
      </c>
      <c r="H136" s="200">
        <f t="shared" si="135"/>
        <v>6242425</v>
      </c>
      <c r="I136" s="201">
        <f t="shared" si="135"/>
        <v>5702760</v>
      </c>
      <c r="J136" s="201">
        <f t="shared" ref="J136" si="136">+J35+J76</f>
        <v>23831846</v>
      </c>
      <c r="K136" s="1855">
        <f t="shared" si="135"/>
        <v>6065557</v>
      </c>
      <c r="L136" s="1871">
        <f t="shared" si="135"/>
        <v>1677218</v>
      </c>
      <c r="M136" s="201">
        <f t="shared" si="135"/>
        <v>0</v>
      </c>
      <c r="N136" s="200">
        <f t="shared" si="135"/>
        <v>0</v>
      </c>
      <c r="O136" s="226">
        <f t="shared" si="135"/>
        <v>0</v>
      </c>
      <c r="P136" s="226">
        <f t="shared" ref="P136:Q136" si="137">+P35+P76</f>
        <v>0</v>
      </c>
      <c r="Q136" s="226">
        <f t="shared" si="137"/>
        <v>0</v>
      </c>
      <c r="R136" s="2039">
        <f t="shared" si="135"/>
        <v>31574621</v>
      </c>
      <c r="S136" s="226">
        <f>+S35+S76</f>
        <v>0</v>
      </c>
    </row>
    <row r="137" spans="1:19" ht="14.25" hidden="1" customHeight="1">
      <c r="A137" s="203" t="s">
        <v>68</v>
      </c>
      <c r="B137" s="200">
        <f t="shared" si="135"/>
        <v>0</v>
      </c>
      <c r="C137" s="200">
        <f t="shared" si="135"/>
        <v>0</v>
      </c>
      <c r="D137" s="200">
        <f t="shared" si="135"/>
        <v>0</v>
      </c>
      <c r="E137" s="200">
        <f t="shared" si="135"/>
        <v>0</v>
      </c>
      <c r="F137" s="200">
        <f t="shared" si="135"/>
        <v>0</v>
      </c>
      <c r="G137" s="200">
        <f t="shared" si="135"/>
        <v>5665000</v>
      </c>
      <c r="H137" s="200">
        <f t="shared" si="135"/>
        <v>10099132</v>
      </c>
      <c r="I137" s="201">
        <f t="shared" si="135"/>
        <v>10537789</v>
      </c>
      <c r="J137" s="201">
        <f>+J36+J77</f>
        <v>26301921</v>
      </c>
      <c r="K137" s="1855">
        <f t="shared" si="135"/>
        <v>7715583</v>
      </c>
      <c r="L137" s="1871">
        <f t="shared" si="135"/>
        <v>13929899</v>
      </c>
      <c r="M137" s="201">
        <f t="shared" si="135"/>
        <v>1970557</v>
      </c>
      <c r="N137" s="200">
        <f t="shared" si="135"/>
        <v>380558</v>
      </c>
      <c r="O137" s="226">
        <f t="shared" si="135"/>
        <v>0</v>
      </c>
      <c r="P137" s="226">
        <f t="shared" ref="P137:Q137" si="138">+P36+P77</f>
        <v>0</v>
      </c>
      <c r="Q137" s="226">
        <f t="shared" si="138"/>
        <v>0</v>
      </c>
      <c r="R137" s="2039">
        <f t="shared" si="135"/>
        <v>50298518</v>
      </c>
      <c r="S137" s="226">
        <f>+S36+S77</f>
        <v>0</v>
      </c>
    </row>
    <row r="138" spans="1:19" ht="14.25" hidden="1" customHeight="1">
      <c r="A138" s="223" t="s">
        <v>24</v>
      </c>
      <c r="B138" s="200">
        <f t="shared" ref="B138:R138" si="139">+B78</f>
        <v>0</v>
      </c>
      <c r="C138" s="200">
        <f t="shared" si="139"/>
        <v>0</v>
      </c>
      <c r="D138" s="200">
        <f t="shared" si="139"/>
        <v>0</v>
      </c>
      <c r="E138" s="200">
        <f t="shared" si="139"/>
        <v>0</v>
      </c>
      <c r="F138" s="200">
        <f t="shared" si="139"/>
        <v>101937</v>
      </c>
      <c r="G138" s="200">
        <f t="shared" si="139"/>
        <v>220330</v>
      </c>
      <c r="H138" s="200">
        <f t="shared" si="139"/>
        <v>1345053</v>
      </c>
      <c r="I138" s="201">
        <f t="shared" si="139"/>
        <v>2037072</v>
      </c>
      <c r="J138" s="201">
        <f t="shared" ref="J138" si="140">+J78</f>
        <v>3704392</v>
      </c>
      <c r="K138" s="1855">
        <f t="shared" si="139"/>
        <v>3378141</v>
      </c>
      <c r="L138" s="1871">
        <f t="shared" si="139"/>
        <v>27844155</v>
      </c>
      <c r="M138" s="201">
        <f t="shared" si="139"/>
        <v>10500000</v>
      </c>
      <c r="N138" s="200">
        <f t="shared" si="139"/>
        <v>10500000</v>
      </c>
      <c r="O138" s="226">
        <f t="shared" si="139"/>
        <v>10500000</v>
      </c>
      <c r="P138" s="226">
        <f t="shared" ref="P138:Q138" si="141">+P78</f>
        <v>0</v>
      </c>
      <c r="Q138" s="226">
        <f t="shared" si="141"/>
        <v>0</v>
      </c>
      <c r="R138" s="2039">
        <f t="shared" si="139"/>
        <v>66426688</v>
      </c>
      <c r="S138" s="226">
        <f>+S78</f>
        <v>0</v>
      </c>
    </row>
    <row r="139" spans="1:19" ht="13.5" hidden="1" customHeight="1">
      <c r="A139" s="203" t="s">
        <v>71</v>
      </c>
      <c r="B139" s="200">
        <f t="shared" ref="B139:R139" si="142">+B79+B34</f>
        <v>5935894</v>
      </c>
      <c r="C139" s="200">
        <f t="shared" si="142"/>
        <v>0</v>
      </c>
      <c r="D139" s="200">
        <f t="shared" si="142"/>
        <v>0</v>
      </c>
      <c r="E139" s="200">
        <f t="shared" si="142"/>
        <v>6647405</v>
      </c>
      <c r="F139" s="200">
        <f t="shared" si="142"/>
        <v>10285500</v>
      </c>
      <c r="G139" s="200">
        <f t="shared" si="142"/>
        <v>12796084</v>
      </c>
      <c r="H139" s="200">
        <f t="shared" si="142"/>
        <v>12792166</v>
      </c>
      <c r="I139" s="201">
        <f t="shared" si="142"/>
        <v>9659941</v>
      </c>
      <c r="J139" s="201">
        <f t="shared" ref="J139" si="143">+J79+J34</f>
        <v>51469585</v>
      </c>
      <c r="K139" s="1855">
        <f t="shared" si="142"/>
        <v>9881531</v>
      </c>
      <c r="L139" s="1871">
        <f t="shared" si="142"/>
        <v>7006000</v>
      </c>
      <c r="M139" s="201">
        <f t="shared" si="142"/>
        <v>0</v>
      </c>
      <c r="N139" s="200">
        <f t="shared" si="142"/>
        <v>0</v>
      </c>
      <c r="O139" s="226">
        <f t="shared" si="142"/>
        <v>0</v>
      </c>
      <c r="P139" s="226">
        <f t="shared" ref="P139:Q139" si="144">+P79+P34</f>
        <v>0</v>
      </c>
      <c r="Q139" s="226">
        <f t="shared" si="144"/>
        <v>0</v>
      </c>
      <c r="R139" s="2039">
        <f t="shared" si="142"/>
        <v>68357116</v>
      </c>
      <c r="S139" s="226">
        <f>+S79+S34</f>
        <v>0</v>
      </c>
    </row>
    <row r="140" spans="1:19" ht="12.75" hidden="1" customHeight="1">
      <c r="A140" s="203" t="s">
        <v>72</v>
      </c>
      <c r="B140" s="200">
        <f t="shared" ref="B140:R140" si="145">+B42</f>
        <v>10594223</v>
      </c>
      <c r="C140" s="200">
        <f t="shared" si="145"/>
        <v>0</v>
      </c>
      <c r="D140" s="200">
        <f t="shared" si="145"/>
        <v>0</v>
      </c>
      <c r="E140" s="200">
        <f t="shared" si="145"/>
        <v>3058368</v>
      </c>
      <c r="F140" s="200">
        <f t="shared" si="145"/>
        <v>17692550</v>
      </c>
      <c r="G140" s="200">
        <f t="shared" si="145"/>
        <v>2998223</v>
      </c>
      <c r="H140" s="200">
        <f t="shared" si="145"/>
        <v>3753212</v>
      </c>
      <c r="I140" s="201">
        <f t="shared" si="145"/>
        <v>4711864</v>
      </c>
      <c r="J140" s="201">
        <f t="shared" ref="J140" si="146">+J42</f>
        <v>39750072</v>
      </c>
      <c r="K140" s="1855">
        <f t="shared" si="145"/>
        <v>4433074</v>
      </c>
      <c r="L140" s="1871">
        <f t="shared" si="145"/>
        <v>1950000</v>
      </c>
      <c r="M140" s="201">
        <f t="shared" si="145"/>
        <v>0</v>
      </c>
      <c r="N140" s="200">
        <f t="shared" si="145"/>
        <v>0</v>
      </c>
      <c r="O140" s="226">
        <f t="shared" si="145"/>
        <v>0</v>
      </c>
      <c r="P140" s="226">
        <f t="shared" ref="P140:Q140" si="147">+P42</f>
        <v>0</v>
      </c>
      <c r="Q140" s="226">
        <f t="shared" si="147"/>
        <v>0</v>
      </c>
      <c r="R140" s="2039">
        <f t="shared" si="145"/>
        <v>46133146</v>
      </c>
      <c r="S140" s="226">
        <f>+S42</f>
        <v>0</v>
      </c>
    </row>
    <row r="141" spans="1:19" ht="14.25" hidden="1" customHeight="1">
      <c r="A141" s="203" t="s">
        <v>29</v>
      </c>
      <c r="B141" s="200">
        <f t="shared" ref="B141:R141" si="148">+B40+B37</f>
        <v>0</v>
      </c>
      <c r="C141" s="200">
        <f t="shared" si="148"/>
        <v>0</v>
      </c>
      <c r="D141" s="200">
        <f t="shared" si="148"/>
        <v>0</v>
      </c>
      <c r="E141" s="200">
        <f t="shared" si="148"/>
        <v>0</v>
      </c>
      <c r="F141" s="200">
        <f t="shared" si="148"/>
        <v>0</v>
      </c>
      <c r="G141" s="200">
        <f t="shared" si="148"/>
        <v>18718271</v>
      </c>
      <c r="H141" s="200">
        <f t="shared" si="148"/>
        <v>16003036</v>
      </c>
      <c r="I141" s="201">
        <f t="shared" si="148"/>
        <v>3705956</v>
      </c>
      <c r="J141" s="201">
        <f t="shared" ref="J141" si="149">+J40+J37</f>
        <v>38427263</v>
      </c>
      <c r="K141" s="1855">
        <f t="shared" si="148"/>
        <v>2875044</v>
      </c>
      <c r="L141" s="1871">
        <f t="shared" si="148"/>
        <v>703994</v>
      </c>
      <c r="M141" s="201">
        <f t="shared" si="148"/>
        <v>0</v>
      </c>
      <c r="N141" s="200">
        <f t="shared" si="148"/>
        <v>0</v>
      </c>
      <c r="O141" s="226">
        <f t="shared" si="148"/>
        <v>0</v>
      </c>
      <c r="P141" s="226">
        <f t="shared" ref="P141:Q141" si="150">+P40+P37</f>
        <v>0</v>
      </c>
      <c r="Q141" s="226">
        <f t="shared" si="150"/>
        <v>0</v>
      </c>
      <c r="R141" s="2039">
        <f t="shared" si="148"/>
        <v>42006301</v>
      </c>
      <c r="S141" s="226">
        <f>+S40+S37</f>
        <v>0</v>
      </c>
    </row>
    <row r="142" spans="1:19" ht="21.75" hidden="1" customHeight="1">
      <c r="A142" s="203" t="s">
        <v>38</v>
      </c>
      <c r="B142" s="226">
        <f t="shared" ref="B142:R142" si="151">+B38</f>
        <v>0</v>
      </c>
      <c r="C142" s="226">
        <f t="shared" si="151"/>
        <v>0</v>
      </c>
      <c r="D142" s="226">
        <f t="shared" si="151"/>
        <v>0</v>
      </c>
      <c r="E142" s="226">
        <f t="shared" si="151"/>
        <v>0</v>
      </c>
      <c r="F142" s="226">
        <f t="shared" si="151"/>
        <v>0</v>
      </c>
      <c r="G142" s="226">
        <f t="shared" si="151"/>
        <v>0</v>
      </c>
      <c r="H142" s="226">
        <f t="shared" si="151"/>
        <v>0</v>
      </c>
      <c r="I142" s="226">
        <f t="shared" si="151"/>
        <v>841481</v>
      </c>
      <c r="J142" s="200">
        <f t="shared" ref="J142" si="152">+J38</f>
        <v>841481</v>
      </c>
      <c r="K142" s="1855">
        <f t="shared" si="151"/>
        <v>0</v>
      </c>
      <c r="L142" s="1871">
        <f t="shared" si="151"/>
        <v>0</v>
      </c>
      <c r="M142" s="201">
        <f t="shared" si="151"/>
        <v>0</v>
      </c>
      <c r="N142" s="200">
        <f t="shared" si="151"/>
        <v>0</v>
      </c>
      <c r="O142" s="226">
        <f t="shared" si="151"/>
        <v>0</v>
      </c>
      <c r="P142" s="226">
        <f t="shared" ref="P142:Q142" si="153">+P38</f>
        <v>0</v>
      </c>
      <c r="Q142" s="226">
        <f t="shared" si="153"/>
        <v>0</v>
      </c>
      <c r="R142" s="2039">
        <f t="shared" si="151"/>
        <v>841481</v>
      </c>
      <c r="S142" s="226">
        <f>+S38</f>
        <v>0</v>
      </c>
    </row>
    <row r="143" spans="1:19" ht="14.25" hidden="1" customHeight="1">
      <c r="A143" s="203" t="s">
        <v>32</v>
      </c>
      <c r="B143" s="226">
        <f t="shared" ref="B143:R143" si="154">+B43</f>
        <v>0</v>
      </c>
      <c r="C143" s="226">
        <f t="shared" si="154"/>
        <v>0</v>
      </c>
      <c r="D143" s="226">
        <f t="shared" si="154"/>
        <v>0</v>
      </c>
      <c r="E143" s="226">
        <f t="shared" si="154"/>
        <v>0</v>
      </c>
      <c r="F143" s="226">
        <f t="shared" si="154"/>
        <v>1361604</v>
      </c>
      <c r="G143" s="226">
        <f t="shared" si="154"/>
        <v>6341970</v>
      </c>
      <c r="H143" s="226">
        <f t="shared" si="154"/>
        <v>5828817</v>
      </c>
      <c r="I143" s="227">
        <f t="shared" si="154"/>
        <v>8065636</v>
      </c>
      <c r="J143" s="201">
        <f t="shared" ref="J143" si="155">+J43</f>
        <v>21543944</v>
      </c>
      <c r="K143" s="1855">
        <f t="shared" si="154"/>
        <v>204594</v>
      </c>
      <c r="L143" s="1871">
        <f t="shared" si="154"/>
        <v>4277064</v>
      </c>
      <c r="M143" s="201">
        <f t="shared" si="154"/>
        <v>4469736</v>
      </c>
      <c r="N143" s="200">
        <f t="shared" si="154"/>
        <v>6237650</v>
      </c>
      <c r="O143" s="226">
        <f t="shared" si="154"/>
        <v>24105</v>
      </c>
      <c r="P143" s="226">
        <f t="shared" ref="P143:Q143" si="156">+P43</f>
        <v>0</v>
      </c>
      <c r="Q143" s="226">
        <f t="shared" si="156"/>
        <v>0</v>
      </c>
      <c r="R143" s="2039">
        <f t="shared" si="154"/>
        <v>36757093</v>
      </c>
      <c r="S143" s="226">
        <f>+S43</f>
        <v>0</v>
      </c>
    </row>
    <row r="144" spans="1:19" ht="14.25" hidden="1" customHeight="1">
      <c r="A144" s="228" t="s">
        <v>31</v>
      </c>
      <c r="B144" s="229">
        <f t="shared" ref="B144:R144" si="157">+B41</f>
        <v>0</v>
      </c>
      <c r="C144" s="229">
        <f t="shared" si="157"/>
        <v>0</v>
      </c>
      <c r="D144" s="229">
        <f t="shared" si="157"/>
        <v>0</v>
      </c>
      <c r="E144" s="229">
        <f t="shared" si="157"/>
        <v>0</v>
      </c>
      <c r="F144" s="229">
        <f t="shared" si="157"/>
        <v>0</v>
      </c>
      <c r="G144" s="229">
        <f t="shared" si="157"/>
        <v>0</v>
      </c>
      <c r="H144" s="229">
        <f t="shared" si="157"/>
        <v>0</v>
      </c>
      <c r="I144" s="229">
        <f t="shared" si="157"/>
        <v>0</v>
      </c>
      <c r="J144" s="2057">
        <f t="shared" ref="J144" si="158">+J41</f>
        <v>0</v>
      </c>
      <c r="K144" s="2058">
        <f t="shared" si="157"/>
        <v>0</v>
      </c>
      <c r="L144" s="2059">
        <f t="shared" si="157"/>
        <v>0</v>
      </c>
      <c r="M144" s="2060">
        <f t="shared" si="157"/>
        <v>0</v>
      </c>
      <c r="N144" s="2057">
        <f t="shared" si="157"/>
        <v>0</v>
      </c>
      <c r="O144" s="229">
        <f t="shared" si="157"/>
        <v>0</v>
      </c>
      <c r="P144" s="229">
        <f t="shared" ref="P144:Q144" si="159">+P41</f>
        <v>0</v>
      </c>
      <c r="Q144" s="229">
        <f t="shared" si="159"/>
        <v>0</v>
      </c>
      <c r="R144" s="2039">
        <f t="shared" si="157"/>
        <v>0</v>
      </c>
      <c r="S144" s="229">
        <f>+S41</f>
        <v>0</v>
      </c>
    </row>
    <row r="145" spans="1:19" ht="14.25" hidden="1" customHeight="1" thickBot="1">
      <c r="A145" s="208" t="s">
        <v>33</v>
      </c>
      <c r="B145" s="230">
        <f t="shared" ref="B145:R145" si="160">+B44</f>
        <v>24334541</v>
      </c>
      <c r="C145" s="230">
        <f t="shared" si="160"/>
        <v>308680</v>
      </c>
      <c r="D145" s="230">
        <f t="shared" si="160"/>
        <v>8056297</v>
      </c>
      <c r="E145" s="230">
        <f t="shared" si="160"/>
        <v>29239508</v>
      </c>
      <c r="F145" s="230">
        <f t="shared" si="160"/>
        <v>39220375</v>
      </c>
      <c r="G145" s="230">
        <f t="shared" si="160"/>
        <v>75752049</v>
      </c>
      <c r="H145" s="230">
        <f t="shared" si="160"/>
        <v>116907596</v>
      </c>
      <c r="I145" s="231">
        <f t="shared" si="160"/>
        <v>161775902</v>
      </c>
      <c r="J145" s="231">
        <f t="shared" ref="J145" si="161">+J44</f>
        <v>417990463</v>
      </c>
      <c r="K145" s="1856">
        <f t="shared" si="160"/>
        <v>239501135</v>
      </c>
      <c r="L145" s="1877">
        <f t="shared" si="160"/>
        <v>202260467</v>
      </c>
      <c r="M145" s="231">
        <f t="shared" si="160"/>
        <v>124161170</v>
      </c>
      <c r="N145" s="230">
        <f t="shared" si="160"/>
        <v>22626375</v>
      </c>
      <c r="O145" s="230">
        <f t="shared" si="160"/>
        <v>4635613</v>
      </c>
      <c r="P145" s="230">
        <f t="shared" ref="P145:Q145" si="162">+P44</f>
        <v>2865750</v>
      </c>
      <c r="Q145" s="230">
        <f t="shared" si="162"/>
        <v>1190000</v>
      </c>
      <c r="R145" s="2040">
        <f t="shared" si="160"/>
        <v>1015230973</v>
      </c>
      <c r="S145" s="230">
        <f>+S44</f>
        <v>0</v>
      </c>
    </row>
    <row r="146" spans="1:19" ht="14.25" hidden="1" customHeight="1" thickBot="1">
      <c r="A146" s="232">
        <f>+L135+L141</f>
        <v>33084655</v>
      </c>
      <c r="B146" s="213">
        <f t="shared" ref="B146:R146" si="163">SUM(B134:B145)</f>
        <v>41617945</v>
      </c>
      <c r="C146" s="214">
        <f t="shared" si="163"/>
        <v>312784</v>
      </c>
      <c r="D146" s="214">
        <f t="shared" si="163"/>
        <v>8350472</v>
      </c>
      <c r="E146" s="214">
        <f t="shared" si="163"/>
        <v>40126530</v>
      </c>
      <c r="F146" s="213">
        <f t="shared" si="163"/>
        <v>77219850</v>
      </c>
      <c r="G146" s="215">
        <f t="shared" si="163"/>
        <v>135958290</v>
      </c>
      <c r="H146" s="216">
        <f t="shared" si="163"/>
        <v>176246118</v>
      </c>
      <c r="I146" s="213">
        <f t="shared" si="163"/>
        <v>212323610</v>
      </c>
      <c r="J146" s="213">
        <f t="shared" ref="J146" si="164">SUM(J134:J145)</f>
        <v>643311730</v>
      </c>
      <c r="K146" s="213">
        <f t="shared" si="163"/>
        <v>292791423</v>
      </c>
      <c r="L146" s="1878">
        <f t="shared" si="163"/>
        <v>292038142</v>
      </c>
      <c r="M146" s="213">
        <f t="shared" si="163"/>
        <v>148770611</v>
      </c>
      <c r="N146" s="213">
        <f t="shared" si="163"/>
        <v>40983833</v>
      </c>
      <c r="O146" s="213">
        <f t="shared" si="163"/>
        <v>16398968</v>
      </c>
      <c r="P146" s="213">
        <f t="shared" ref="P146:Q146" si="165">SUM(P134:P145)</f>
        <v>4000000</v>
      </c>
      <c r="Q146" s="213">
        <f t="shared" si="165"/>
        <v>1400000</v>
      </c>
      <c r="R146" s="213">
        <f t="shared" si="163"/>
        <v>1439694707</v>
      </c>
      <c r="S146" s="213">
        <f>SUM(S134:S145)</f>
        <v>0</v>
      </c>
    </row>
    <row r="147" spans="1:19" ht="14.25" hidden="1" customHeight="1" thickBot="1">
      <c r="A147" s="233"/>
      <c r="B147" s="234">
        <f t="shared" ref="B147:R147" si="166">+B146-B89</f>
        <v>0</v>
      </c>
      <c r="C147" s="234">
        <f t="shared" si="166"/>
        <v>0</v>
      </c>
      <c r="D147" s="234">
        <f t="shared" si="166"/>
        <v>0</v>
      </c>
      <c r="E147" s="234">
        <f t="shared" si="166"/>
        <v>0</v>
      </c>
      <c r="F147" s="234">
        <f t="shared" si="166"/>
        <v>0</v>
      </c>
      <c r="G147" s="234">
        <f t="shared" si="166"/>
        <v>0</v>
      </c>
      <c r="H147" s="234">
        <f t="shared" si="166"/>
        <v>0</v>
      </c>
      <c r="I147" s="234">
        <f t="shared" si="166"/>
        <v>0</v>
      </c>
      <c r="J147" s="234">
        <f t="shared" ref="J147" si="167">+J146-J89</f>
        <v>0</v>
      </c>
      <c r="K147" s="213">
        <f t="shared" si="166"/>
        <v>0</v>
      </c>
      <c r="L147" s="213">
        <f t="shared" si="166"/>
        <v>0</v>
      </c>
      <c r="M147" s="234">
        <f t="shared" si="166"/>
        <v>0</v>
      </c>
      <c r="N147" s="234">
        <f t="shared" si="166"/>
        <v>0</v>
      </c>
      <c r="O147" s="234">
        <f t="shared" si="166"/>
        <v>0</v>
      </c>
      <c r="P147" s="234">
        <f t="shared" si="166"/>
        <v>0</v>
      </c>
      <c r="Q147" s="234">
        <f t="shared" si="166"/>
        <v>0</v>
      </c>
      <c r="R147" s="234">
        <f t="shared" si="166"/>
        <v>0</v>
      </c>
      <c r="S147" s="213"/>
    </row>
    <row r="148" spans="1:19" ht="13.5" hidden="1" thickBot="1">
      <c r="A148" s="2"/>
      <c r="B148" s="169" t="s">
        <v>6</v>
      </c>
      <c r="C148" s="170" t="s">
        <v>7</v>
      </c>
      <c r="D148" s="170" t="s">
        <v>8</v>
      </c>
      <c r="E148" s="170" t="s">
        <v>9</v>
      </c>
      <c r="F148" s="169" t="s">
        <v>10</v>
      </c>
      <c r="G148" s="171" t="s">
        <v>11</v>
      </c>
      <c r="H148" s="172" t="s">
        <v>12</v>
      </c>
      <c r="I148" s="1841" t="s">
        <v>13</v>
      </c>
      <c r="J148" s="1762" t="s">
        <v>321</v>
      </c>
      <c r="K148" s="2042" t="s">
        <v>14</v>
      </c>
      <c r="L148" s="173" t="s">
        <v>15</v>
      </c>
      <c r="M148" s="174" t="s">
        <v>16</v>
      </c>
      <c r="N148" s="172" t="s">
        <v>17</v>
      </c>
      <c r="O148" s="172" t="s">
        <v>18</v>
      </c>
      <c r="P148" s="172" t="s">
        <v>315</v>
      </c>
      <c r="Q148" s="172" t="s">
        <v>322</v>
      </c>
      <c r="R148" s="175" t="s">
        <v>60</v>
      </c>
      <c r="S148" s="175" t="s">
        <v>61</v>
      </c>
    </row>
    <row r="149" spans="1:19" ht="3" hidden="1" customHeight="1">
      <c r="A149" s="2419" t="s">
        <v>409</v>
      </c>
      <c r="B149" s="235"/>
      <c r="C149" s="235"/>
      <c r="D149" s="235"/>
      <c r="E149" s="235"/>
      <c r="F149" s="235"/>
      <c r="G149" s="236"/>
      <c r="H149" s="235"/>
      <c r="I149" s="237"/>
      <c r="J149" s="237"/>
      <c r="K149" s="1233"/>
      <c r="L149" s="238"/>
      <c r="M149" s="239"/>
      <c r="N149" s="235"/>
      <c r="O149" s="235"/>
      <c r="P149" s="235"/>
      <c r="Q149" s="235"/>
      <c r="R149" s="235"/>
      <c r="S149" s="237"/>
    </row>
    <row r="150" spans="1:19" ht="13.5" hidden="1" thickBot="1">
      <c r="A150" s="2420"/>
      <c r="B150" s="240">
        <f>SUM(B151:B161)</f>
        <v>64233113</v>
      </c>
      <c r="C150" s="241" t="e">
        <f t="shared" ref="C150:R150" si="168">SUM(C151:C161)</f>
        <v>#REF!</v>
      </c>
      <c r="D150" s="241" t="e">
        <f t="shared" si="168"/>
        <v>#REF!</v>
      </c>
      <c r="E150" s="241" t="e">
        <f t="shared" si="168"/>
        <v>#REF!</v>
      </c>
      <c r="F150" s="240">
        <f t="shared" si="168"/>
        <v>106866512</v>
      </c>
      <c r="G150" s="242">
        <f t="shared" si="168"/>
        <v>210123298</v>
      </c>
      <c r="H150" s="240">
        <f t="shared" si="168"/>
        <v>232143167.30000001</v>
      </c>
      <c r="I150" s="240">
        <f t="shared" si="168"/>
        <v>373564523.30000001</v>
      </c>
      <c r="J150" s="240">
        <f t="shared" si="168"/>
        <v>976156282.29999995</v>
      </c>
      <c r="K150" s="1234">
        <f t="shared" si="168"/>
        <v>465268592</v>
      </c>
      <c r="L150" s="244">
        <f t="shared" si="168"/>
        <v>411999507</v>
      </c>
      <c r="M150" s="245">
        <f t="shared" si="168"/>
        <v>208816843</v>
      </c>
      <c r="N150" s="240">
        <f t="shared" si="168"/>
        <v>153772820</v>
      </c>
      <c r="O150" s="240">
        <f t="shared" si="168"/>
        <v>155661584</v>
      </c>
      <c r="P150" s="240">
        <f t="shared" ref="P150:Q150" si="169">SUM(P151:P161)</f>
        <v>90706484</v>
      </c>
      <c r="Q150" s="240">
        <f t="shared" si="169"/>
        <v>84115000</v>
      </c>
      <c r="R150" s="240">
        <f t="shared" si="168"/>
        <v>2551433779.3000002</v>
      </c>
      <c r="S150" s="243">
        <f>SUM(S151:S161)</f>
        <v>1107092238</v>
      </c>
    </row>
    <row r="151" spans="1:19" hidden="1">
      <c r="A151" s="246" t="s">
        <v>65</v>
      </c>
      <c r="B151" s="247">
        <v>14165198</v>
      </c>
      <c r="C151" s="247" t="e">
        <v>#REF!</v>
      </c>
      <c r="D151" s="247" t="e">
        <v>#REF!</v>
      </c>
      <c r="E151" s="247" t="e">
        <v>#REF!</v>
      </c>
      <c r="F151" s="247">
        <v>14686560</v>
      </c>
      <c r="G151" s="248">
        <v>58576756</v>
      </c>
      <c r="H151" s="247">
        <v>56208229.299999997</v>
      </c>
      <c r="I151" s="247">
        <v>139739807.30000001</v>
      </c>
      <c r="J151" s="249">
        <v>272629255.30000001</v>
      </c>
      <c r="K151" s="1235">
        <v>153819288</v>
      </c>
      <c r="L151" s="250">
        <v>130043557</v>
      </c>
      <c r="M151" s="251">
        <v>142006116</v>
      </c>
      <c r="N151" s="247">
        <v>142793553</v>
      </c>
      <c r="O151" s="247">
        <v>144286721</v>
      </c>
      <c r="P151" s="247">
        <v>89206484</v>
      </c>
      <c r="Q151" s="247">
        <v>82715000</v>
      </c>
      <c r="R151" s="247">
        <f>SUM(J151:Q151)+2020000+2916667</f>
        <v>1162436641.3</v>
      </c>
      <c r="S151" s="248">
        <f>SUM(L151:Q151)+2020000</f>
        <v>733071431</v>
      </c>
    </row>
    <row r="152" spans="1:19" hidden="1">
      <c r="A152" s="246" t="s">
        <v>66</v>
      </c>
      <c r="B152" s="247">
        <v>3621827</v>
      </c>
      <c r="C152" s="247" t="e">
        <v>#REF!</v>
      </c>
      <c r="D152" s="247" t="e">
        <v>#REF!</v>
      </c>
      <c r="E152" s="247" t="e">
        <v>#REF!</v>
      </c>
      <c r="F152" s="247">
        <v>6819986</v>
      </c>
      <c r="G152" s="248">
        <v>10846424</v>
      </c>
      <c r="H152" s="247">
        <v>13251483</v>
      </c>
      <c r="I152" s="247">
        <v>6472922</v>
      </c>
      <c r="J152" s="249">
        <v>41012642</v>
      </c>
      <c r="K152" s="1235">
        <v>30752591</v>
      </c>
      <c r="L152" s="250">
        <v>45651181</v>
      </c>
      <c r="M152" s="251">
        <v>3021101</v>
      </c>
      <c r="N152" s="247">
        <v>0</v>
      </c>
      <c r="O152" s="247">
        <v>0</v>
      </c>
      <c r="P152" s="247">
        <v>0</v>
      </c>
      <c r="Q152" s="247">
        <v>0</v>
      </c>
      <c r="R152" s="247">
        <f>SUM(J152:Q152)</f>
        <v>120437515</v>
      </c>
      <c r="S152" s="248">
        <f t="shared" ref="S152:S161" si="170">SUM(L152:Q152)</f>
        <v>48672282</v>
      </c>
    </row>
    <row r="153" spans="1:19" hidden="1">
      <c r="A153" s="252" t="s">
        <v>25</v>
      </c>
      <c r="B153" s="247">
        <v>535781</v>
      </c>
      <c r="C153" s="247" t="e">
        <v>#REF!</v>
      </c>
      <c r="D153" s="247" t="e">
        <v>#REF!</v>
      </c>
      <c r="E153" s="247" t="e">
        <v>#REF!</v>
      </c>
      <c r="F153" s="247">
        <v>624623</v>
      </c>
      <c r="G153" s="248">
        <v>8734797</v>
      </c>
      <c r="H153" s="247">
        <v>2799809</v>
      </c>
      <c r="I153" s="247">
        <v>5170948</v>
      </c>
      <c r="J153" s="249">
        <v>17865959</v>
      </c>
      <c r="K153" s="1235">
        <v>18698493</v>
      </c>
      <c r="L153" s="250">
        <v>22778493</v>
      </c>
      <c r="M153" s="251">
        <v>5648716</v>
      </c>
      <c r="N153" s="247">
        <v>330000</v>
      </c>
      <c r="O153" s="247">
        <v>330000</v>
      </c>
      <c r="P153" s="247">
        <v>225000</v>
      </c>
      <c r="Q153" s="247">
        <v>210000</v>
      </c>
      <c r="R153" s="247">
        <f>SUM(J153:Q153)</f>
        <v>66086661</v>
      </c>
      <c r="S153" s="248">
        <f t="shared" si="170"/>
        <v>29522209</v>
      </c>
    </row>
    <row r="154" spans="1:19" ht="24" hidden="1">
      <c r="A154" s="252" t="s">
        <v>67</v>
      </c>
      <c r="B154" s="247">
        <v>5935894</v>
      </c>
      <c r="C154" s="247">
        <v>0</v>
      </c>
      <c r="D154" s="247">
        <v>0</v>
      </c>
      <c r="E154" s="247">
        <v>6647405</v>
      </c>
      <c r="F154" s="247">
        <v>10285500</v>
      </c>
      <c r="G154" s="248">
        <v>12796084</v>
      </c>
      <c r="H154" s="247">
        <v>12792166</v>
      </c>
      <c r="I154" s="247">
        <v>9659941</v>
      </c>
      <c r="J154" s="249">
        <v>51469585</v>
      </c>
      <c r="K154" s="1235">
        <v>9881531</v>
      </c>
      <c r="L154" s="250">
        <v>8497000</v>
      </c>
      <c r="M154" s="251">
        <v>2928000</v>
      </c>
      <c r="N154" s="247">
        <v>2546000</v>
      </c>
      <c r="O154" s="247">
        <v>2910000</v>
      </c>
      <c r="P154" s="247">
        <v>0</v>
      </c>
      <c r="Q154" s="247">
        <v>0</v>
      </c>
      <c r="R154" s="247">
        <f t="shared" ref="R154:R161" si="171">SUM(J154:Q154)</f>
        <v>78232116</v>
      </c>
      <c r="S154" s="248">
        <f t="shared" si="170"/>
        <v>16881000</v>
      </c>
    </row>
    <row r="155" spans="1:19" hidden="1">
      <c r="A155" s="252" t="s">
        <v>27</v>
      </c>
      <c r="B155" s="247">
        <v>3923747</v>
      </c>
      <c r="C155" s="247">
        <v>0</v>
      </c>
      <c r="D155" s="247">
        <v>0</v>
      </c>
      <c r="E155" s="247">
        <v>3923747</v>
      </c>
      <c r="F155" s="247">
        <v>3817914</v>
      </c>
      <c r="G155" s="248">
        <v>4145000</v>
      </c>
      <c r="H155" s="247">
        <v>8232289</v>
      </c>
      <c r="I155" s="247">
        <v>3712896</v>
      </c>
      <c r="J155" s="249">
        <v>23831846</v>
      </c>
      <c r="K155" s="1235">
        <v>6065557</v>
      </c>
      <c r="L155" s="250">
        <v>1447218</v>
      </c>
      <c r="M155" s="251">
        <v>0</v>
      </c>
      <c r="N155" s="247">
        <v>0</v>
      </c>
      <c r="O155" s="247">
        <v>0</v>
      </c>
      <c r="P155" s="247">
        <v>0</v>
      </c>
      <c r="Q155" s="247">
        <v>0</v>
      </c>
      <c r="R155" s="247">
        <f t="shared" si="171"/>
        <v>31344621</v>
      </c>
      <c r="S155" s="248">
        <f t="shared" si="170"/>
        <v>1447218</v>
      </c>
    </row>
    <row r="156" spans="1:19" hidden="1">
      <c r="A156" s="252" t="s">
        <v>68</v>
      </c>
      <c r="B156" s="247">
        <v>0</v>
      </c>
      <c r="C156" s="247">
        <v>0</v>
      </c>
      <c r="D156" s="247">
        <v>0</v>
      </c>
      <c r="E156" s="247">
        <v>0</v>
      </c>
      <c r="F156" s="247">
        <v>0</v>
      </c>
      <c r="G156" s="248">
        <v>0</v>
      </c>
      <c r="H156" s="247">
        <v>3849132</v>
      </c>
      <c r="I156" s="247">
        <v>19947789</v>
      </c>
      <c r="J156" s="249">
        <v>23796921</v>
      </c>
      <c r="K156" s="1235">
        <v>19044119</v>
      </c>
      <c r="L156" s="250">
        <v>13929899</v>
      </c>
      <c r="M156" s="251">
        <v>1970557</v>
      </c>
      <c r="N156" s="247">
        <v>380558</v>
      </c>
      <c r="O156" s="247">
        <v>0</v>
      </c>
      <c r="P156" s="247">
        <v>0</v>
      </c>
      <c r="Q156" s="247">
        <v>0</v>
      </c>
      <c r="R156" s="247">
        <f t="shared" si="171"/>
        <v>59122054</v>
      </c>
      <c r="S156" s="248">
        <f t="shared" si="170"/>
        <v>16281014</v>
      </c>
    </row>
    <row r="157" spans="1:19" hidden="1">
      <c r="A157" s="252" t="s">
        <v>32</v>
      </c>
      <c r="B157" s="247">
        <v>0</v>
      </c>
      <c r="C157" s="247">
        <v>0</v>
      </c>
      <c r="D157" s="247">
        <v>0</v>
      </c>
      <c r="E157" s="247">
        <v>0</v>
      </c>
      <c r="F157" s="247">
        <v>829536</v>
      </c>
      <c r="G157" s="248">
        <v>4707541</v>
      </c>
      <c r="H157" s="247">
        <v>2188317</v>
      </c>
      <c r="I157" s="247">
        <v>1176214</v>
      </c>
      <c r="J157" s="249">
        <v>8901608</v>
      </c>
      <c r="K157" s="1235">
        <v>3238709</v>
      </c>
      <c r="L157" s="250">
        <v>7641625</v>
      </c>
      <c r="M157" s="251">
        <v>3911602</v>
      </c>
      <c r="N157" s="247">
        <v>223846</v>
      </c>
      <c r="O157" s="247">
        <v>0</v>
      </c>
      <c r="P157" s="247">
        <v>0</v>
      </c>
      <c r="Q157" s="247">
        <v>0</v>
      </c>
      <c r="R157" s="247">
        <f>SUM(J157:Q157)</f>
        <v>23917390</v>
      </c>
      <c r="S157" s="248">
        <f t="shared" si="170"/>
        <v>11777073</v>
      </c>
    </row>
    <row r="158" spans="1:19" hidden="1">
      <c r="A158" s="252" t="s">
        <v>29</v>
      </c>
      <c r="B158" s="247">
        <v>289954</v>
      </c>
      <c r="C158" s="247">
        <v>0</v>
      </c>
      <c r="D158" s="247">
        <v>43011</v>
      </c>
      <c r="E158" s="247">
        <v>230832</v>
      </c>
      <c r="F158" s="247">
        <v>787833</v>
      </c>
      <c r="G158" s="248">
        <v>29963574</v>
      </c>
      <c r="H158" s="247">
        <v>7405834</v>
      </c>
      <c r="I158" s="247">
        <v>1961906</v>
      </c>
      <c r="J158" s="249">
        <v>40409101</v>
      </c>
      <c r="K158" s="1235">
        <v>1594169</v>
      </c>
      <c r="L158" s="250">
        <v>3530</v>
      </c>
      <c r="M158" s="251">
        <v>0</v>
      </c>
      <c r="N158" s="247">
        <v>0</v>
      </c>
      <c r="O158" s="247">
        <v>0</v>
      </c>
      <c r="P158" s="247">
        <v>0</v>
      </c>
      <c r="Q158" s="247">
        <v>0</v>
      </c>
      <c r="R158" s="247">
        <f t="shared" si="171"/>
        <v>42006800</v>
      </c>
      <c r="S158" s="248">
        <f t="shared" si="170"/>
        <v>3530</v>
      </c>
    </row>
    <row r="159" spans="1:19" hidden="1">
      <c r="A159" s="253" t="s">
        <v>69</v>
      </c>
      <c r="B159" s="247">
        <v>10594223</v>
      </c>
      <c r="C159" s="247">
        <v>0</v>
      </c>
      <c r="D159" s="247">
        <v>0</v>
      </c>
      <c r="E159" s="247">
        <v>3058368</v>
      </c>
      <c r="F159" s="247">
        <v>17692550</v>
      </c>
      <c r="G159" s="248">
        <v>2998223</v>
      </c>
      <c r="H159" s="247">
        <v>3753212</v>
      </c>
      <c r="I159" s="247">
        <v>4711864</v>
      </c>
      <c r="J159" s="249">
        <v>39750072</v>
      </c>
      <c r="K159" s="1235">
        <v>4433074</v>
      </c>
      <c r="L159" s="250">
        <v>4559000</v>
      </c>
      <c r="M159" s="251">
        <v>5122000</v>
      </c>
      <c r="N159" s="247">
        <v>4454000</v>
      </c>
      <c r="O159" s="247">
        <v>5090000</v>
      </c>
      <c r="P159" s="247">
        <v>0</v>
      </c>
      <c r="Q159" s="247">
        <v>0</v>
      </c>
      <c r="R159" s="247">
        <f t="shared" si="171"/>
        <v>63408146</v>
      </c>
      <c r="S159" s="248">
        <f t="shared" si="170"/>
        <v>19225000</v>
      </c>
    </row>
    <row r="160" spans="1:19" hidden="1">
      <c r="A160" s="254" t="s">
        <v>31</v>
      </c>
      <c r="B160" s="255">
        <v>0</v>
      </c>
      <c r="C160" s="255">
        <v>0</v>
      </c>
      <c r="D160" s="255">
        <v>0</v>
      </c>
      <c r="E160" s="255">
        <v>0</v>
      </c>
      <c r="F160" s="255">
        <v>0</v>
      </c>
      <c r="G160" s="256">
        <v>0</v>
      </c>
      <c r="H160" s="255">
        <v>0</v>
      </c>
      <c r="I160" s="255">
        <v>1023120</v>
      </c>
      <c r="J160" s="249">
        <v>1023120</v>
      </c>
      <c r="K160" s="1236">
        <v>0</v>
      </c>
      <c r="L160" s="257">
        <v>0</v>
      </c>
      <c r="M160" s="258">
        <v>0</v>
      </c>
      <c r="N160" s="255">
        <v>0</v>
      </c>
      <c r="O160" s="255">
        <v>0</v>
      </c>
      <c r="P160" s="255">
        <v>0</v>
      </c>
      <c r="Q160" s="255">
        <v>0</v>
      </c>
      <c r="R160" s="247">
        <f t="shared" si="171"/>
        <v>1023120</v>
      </c>
      <c r="S160" s="248">
        <f t="shared" si="170"/>
        <v>0</v>
      </c>
    </row>
    <row r="161" spans="1:19" ht="13.5" hidden="1" thickBot="1">
      <c r="A161" s="259" t="s">
        <v>33</v>
      </c>
      <c r="B161" s="260">
        <v>25166489</v>
      </c>
      <c r="C161" s="260" t="e">
        <v>#REF!</v>
      </c>
      <c r="D161" s="260" t="e">
        <v>#REF!</v>
      </c>
      <c r="E161" s="260" t="e">
        <v>#REF!</v>
      </c>
      <c r="F161" s="260">
        <v>51322010</v>
      </c>
      <c r="G161" s="261">
        <v>77354899</v>
      </c>
      <c r="H161" s="260">
        <v>121662696</v>
      </c>
      <c r="I161" s="260">
        <v>179987116</v>
      </c>
      <c r="J161" s="249">
        <v>455466173</v>
      </c>
      <c r="K161" s="1237">
        <v>217741061</v>
      </c>
      <c r="L161" s="262">
        <v>177448004</v>
      </c>
      <c r="M161" s="263">
        <v>44208751</v>
      </c>
      <c r="N161" s="260">
        <v>3044863</v>
      </c>
      <c r="O161" s="260">
        <v>3044863</v>
      </c>
      <c r="P161" s="260">
        <v>1275000</v>
      </c>
      <c r="Q161" s="260">
        <v>1190000</v>
      </c>
      <c r="R161" s="260">
        <f t="shared" si="171"/>
        <v>903418715</v>
      </c>
      <c r="S161" s="248">
        <f t="shared" si="170"/>
        <v>230211481</v>
      </c>
    </row>
    <row r="162" spans="1:19" hidden="1">
      <c r="A162" s="264"/>
      <c r="B162" s="265">
        <f>SUM(B151:B161)</f>
        <v>64233113</v>
      </c>
      <c r="C162" s="265" t="e">
        <f t="shared" ref="C162:R162" si="172">SUM(C151:C161)</f>
        <v>#REF!</v>
      </c>
      <c r="D162" s="265" t="e">
        <f t="shared" si="172"/>
        <v>#REF!</v>
      </c>
      <c r="E162" s="265" t="e">
        <f t="shared" si="172"/>
        <v>#REF!</v>
      </c>
      <c r="F162" s="265">
        <f t="shared" si="172"/>
        <v>106866512</v>
      </c>
      <c r="G162" s="265">
        <f t="shared" si="172"/>
        <v>210123298</v>
      </c>
      <c r="H162" s="266">
        <f t="shared" si="172"/>
        <v>232143167.30000001</v>
      </c>
      <c r="I162" s="266">
        <f t="shared" si="172"/>
        <v>373564523.30000001</v>
      </c>
      <c r="J162" s="266">
        <f t="shared" si="172"/>
        <v>976156282.29999995</v>
      </c>
      <c r="K162" s="1238">
        <f t="shared" si="172"/>
        <v>465268592</v>
      </c>
      <c r="L162" s="267">
        <f t="shared" si="172"/>
        <v>411999507</v>
      </c>
      <c r="M162" s="265">
        <f t="shared" si="172"/>
        <v>208816843</v>
      </c>
      <c r="N162" s="265">
        <f>SUM(N151:N161)</f>
        <v>153772820</v>
      </c>
      <c r="O162" s="265">
        <f>SUM(O151:O161)</f>
        <v>155661584</v>
      </c>
      <c r="P162" s="265">
        <f t="shared" ref="P162:Q162" si="173">SUM(P151:P161)</f>
        <v>90706484</v>
      </c>
      <c r="Q162" s="265">
        <f t="shared" si="173"/>
        <v>84115000</v>
      </c>
      <c r="R162" s="265">
        <f t="shared" si="172"/>
        <v>2551433779.3000002</v>
      </c>
      <c r="S162" s="265">
        <f>SUM(S151:S161)</f>
        <v>1107092238</v>
      </c>
    </row>
    <row r="163" spans="1:19" hidden="1">
      <c r="A163" s="268" t="s">
        <v>55</v>
      </c>
      <c r="B163" s="269">
        <f t="shared" ref="B163:R163" si="174">+B162-B150</f>
        <v>0</v>
      </c>
      <c r="C163" s="269" t="e">
        <f t="shared" si="174"/>
        <v>#REF!</v>
      </c>
      <c r="D163" s="269" t="e">
        <f t="shared" si="174"/>
        <v>#REF!</v>
      </c>
      <c r="E163" s="269" t="e">
        <f t="shared" si="174"/>
        <v>#REF!</v>
      </c>
      <c r="F163" s="269">
        <f t="shared" si="174"/>
        <v>0</v>
      </c>
      <c r="G163" s="269">
        <f t="shared" si="174"/>
        <v>0</v>
      </c>
      <c r="H163" s="270">
        <f t="shared" si="174"/>
        <v>0</v>
      </c>
      <c r="I163" s="270">
        <f t="shared" si="174"/>
        <v>0</v>
      </c>
      <c r="J163" s="270">
        <f t="shared" si="174"/>
        <v>0</v>
      </c>
      <c r="K163" s="1239">
        <f t="shared" si="174"/>
        <v>0</v>
      </c>
      <c r="L163" s="271">
        <f t="shared" si="174"/>
        <v>0</v>
      </c>
      <c r="M163" s="269">
        <f t="shared" si="174"/>
        <v>0</v>
      </c>
      <c r="N163" s="269">
        <f>+N162-N150</f>
        <v>0</v>
      </c>
      <c r="O163" s="269">
        <f>+O162-O150</f>
        <v>0</v>
      </c>
      <c r="P163" s="269">
        <f t="shared" ref="P163:Q163" si="175">+P162-P150</f>
        <v>0</v>
      </c>
      <c r="Q163" s="269">
        <f t="shared" si="175"/>
        <v>0</v>
      </c>
      <c r="R163" s="269">
        <f t="shared" si="174"/>
        <v>0</v>
      </c>
    </row>
    <row r="164" spans="1:19" ht="3.75" hidden="1" customHeight="1" thickBot="1">
      <c r="A164" s="217"/>
      <c r="B164" s="272"/>
      <c r="C164" s="272"/>
      <c r="D164" s="272"/>
      <c r="E164" s="272"/>
      <c r="F164" s="272"/>
      <c r="G164" s="272"/>
      <c r="H164" s="273"/>
      <c r="I164" s="273"/>
      <c r="J164" s="272"/>
      <c r="K164" s="1240"/>
      <c r="L164" s="274"/>
      <c r="M164" s="272"/>
      <c r="N164" s="272"/>
      <c r="O164" s="272"/>
      <c r="P164" s="272"/>
      <c r="Q164" s="272"/>
      <c r="R164" s="272"/>
    </row>
    <row r="165" spans="1:19" ht="19.5" hidden="1" customHeight="1" thickBot="1">
      <c r="A165" s="275" t="s">
        <v>410</v>
      </c>
      <c r="B165" s="276">
        <f>SUM(B166:B177)</f>
        <v>41617945</v>
      </c>
      <c r="C165" s="276" t="e">
        <f t="shared" ref="C165:R165" si="176">SUM(C166:C177)</f>
        <v>#REF!</v>
      </c>
      <c r="D165" s="276" t="e">
        <f t="shared" si="176"/>
        <v>#REF!</v>
      </c>
      <c r="E165" s="276" t="e">
        <f t="shared" si="176"/>
        <v>#REF!</v>
      </c>
      <c r="F165" s="276">
        <f t="shared" si="176"/>
        <v>85458386</v>
      </c>
      <c r="G165" s="277">
        <f t="shared" si="176"/>
        <v>136543290</v>
      </c>
      <c r="H165" s="276">
        <f t="shared" si="176"/>
        <v>176246118</v>
      </c>
      <c r="I165" s="276">
        <f t="shared" si="176"/>
        <v>213347494</v>
      </c>
      <c r="J165" s="276">
        <f t="shared" si="176"/>
        <v>653414635</v>
      </c>
      <c r="K165" s="1241">
        <f t="shared" si="176"/>
        <v>292651906</v>
      </c>
      <c r="L165" s="278">
        <f t="shared" si="176"/>
        <v>274582354</v>
      </c>
      <c r="M165" s="279">
        <f t="shared" si="176"/>
        <v>74092908</v>
      </c>
      <c r="N165" s="276">
        <f t="shared" si="176"/>
        <v>23043071</v>
      </c>
      <c r="O165" s="276">
        <f t="shared" si="176"/>
        <v>21898968</v>
      </c>
      <c r="P165" s="276">
        <f t="shared" ref="P165:Q165" si="177">SUM(P166:P177)</f>
        <v>1500000</v>
      </c>
      <c r="Q165" s="276">
        <f t="shared" si="177"/>
        <v>1400000</v>
      </c>
      <c r="R165" s="276">
        <f t="shared" si="176"/>
        <v>1342583842</v>
      </c>
      <c r="S165" s="280"/>
    </row>
    <row r="166" spans="1:19" hidden="1">
      <c r="A166" s="246" t="s">
        <v>70</v>
      </c>
      <c r="B166" s="281">
        <v>0</v>
      </c>
      <c r="C166" s="281">
        <v>0</v>
      </c>
      <c r="D166" s="281">
        <v>0</v>
      </c>
      <c r="E166" s="281">
        <v>0</v>
      </c>
      <c r="F166" s="281">
        <v>453868</v>
      </c>
      <c r="G166" s="282">
        <v>569798</v>
      </c>
      <c r="H166" s="281">
        <v>474487</v>
      </c>
      <c r="I166" s="281">
        <v>126548</v>
      </c>
      <c r="J166" s="281">
        <v>1624701</v>
      </c>
      <c r="K166" s="1242">
        <v>14577</v>
      </c>
      <c r="L166" s="283">
        <v>8684</v>
      </c>
      <c r="M166" s="284">
        <v>0</v>
      </c>
      <c r="N166" s="281">
        <v>0</v>
      </c>
      <c r="O166" s="281">
        <v>0</v>
      </c>
      <c r="P166" s="281">
        <v>0</v>
      </c>
      <c r="Q166" s="281">
        <v>0</v>
      </c>
      <c r="R166" s="247">
        <f>SUM(J166:Q166)</f>
        <v>1647962</v>
      </c>
      <c r="S166" s="248">
        <v>0</v>
      </c>
    </row>
    <row r="167" spans="1:19" hidden="1">
      <c r="A167" s="252" t="s">
        <v>25</v>
      </c>
      <c r="B167" s="247">
        <v>473501</v>
      </c>
      <c r="C167" s="247" t="e">
        <v>#REF!</v>
      </c>
      <c r="D167" s="247" t="e">
        <v>#REF!</v>
      </c>
      <c r="E167" s="247" t="e">
        <v>#REF!</v>
      </c>
      <c r="F167" s="247">
        <v>642141</v>
      </c>
      <c r="G167" s="248">
        <v>8751565</v>
      </c>
      <c r="H167" s="247">
        <v>2800194</v>
      </c>
      <c r="I167" s="247">
        <v>5158660</v>
      </c>
      <c r="J167" s="247">
        <v>17826062</v>
      </c>
      <c r="K167" s="1235">
        <v>18722187</v>
      </c>
      <c r="L167" s="250">
        <v>22774614</v>
      </c>
      <c r="M167" s="251">
        <v>5668798</v>
      </c>
      <c r="N167" s="247">
        <v>330000</v>
      </c>
      <c r="O167" s="247">
        <v>330000</v>
      </c>
      <c r="P167" s="247">
        <v>225000</v>
      </c>
      <c r="Q167" s="247">
        <v>210000</v>
      </c>
      <c r="R167" s="247">
        <f t="shared" ref="R167:R169" si="178">SUM(J167:Q167)</f>
        <v>66086661</v>
      </c>
      <c r="S167" s="248">
        <v>0</v>
      </c>
    </row>
    <row r="168" spans="1:19" ht="14.25" hidden="1" customHeight="1">
      <c r="A168" s="252" t="s">
        <v>27</v>
      </c>
      <c r="B168" s="247">
        <v>279786</v>
      </c>
      <c r="C168" s="247">
        <v>0</v>
      </c>
      <c r="D168" s="247">
        <v>0</v>
      </c>
      <c r="E168" s="247">
        <v>279786</v>
      </c>
      <c r="F168" s="247">
        <v>7461875</v>
      </c>
      <c r="G168" s="248">
        <v>4145000</v>
      </c>
      <c r="H168" s="247">
        <v>6242425</v>
      </c>
      <c r="I168" s="247">
        <v>5702760</v>
      </c>
      <c r="J168" s="247">
        <v>23831846</v>
      </c>
      <c r="K168" s="1235">
        <v>6065557</v>
      </c>
      <c r="L168" s="250">
        <v>1447218</v>
      </c>
      <c r="M168" s="251">
        <v>0</v>
      </c>
      <c r="N168" s="247">
        <v>0</v>
      </c>
      <c r="O168" s="247">
        <v>0</v>
      </c>
      <c r="P168" s="247">
        <v>0</v>
      </c>
      <c r="Q168" s="247">
        <v>0</v>
      </c>
      <c r="R168" s="247">
        <f t="shared" si="178"/>
        <v>31344621</v>
      </c>
      <c r="S168" s="248">
        <v>0</v>
      </c>
    </row>
    <row r="169" spans="1:19" ht="14.25" hidden="1" customHeight="1">
      <c r="A169" s="252" t="s">
        <v>68</v>
      </c>
      <c r="B169" s="247">
        <v>0</v>
      </c>
      <c r="C169" s="247">
        <v>0</v>
      </c>
      <c r="D169" s="247">
        <v>0</v>
      </c>
      <c r="E169" s="247">
        <v>0</v>
      </c>
      <c r="F169" s="247">
        <v>8238536</v>
      </c>
      <c r="G169" s="248">
        <v>6250000</v>
      </c>
      <c r="H169" s="247">
        <v>10099132</v>
      </c>
      <c r="I169" s="247">
        <v>10537789</v>
      </c>
      <c r="J169" s="247">
        <v>35125457</v>
      </c>
      <c r="K169" s="1235">
        <v>7715583</v>
      </c>
      <c r="L169" s="250">
        <v>13929899</v>
      </c>
      <c r="M169" s="251">
        <v>1970557</v>
      </c>
      <c r="N169" s="247">
        <v>380558</v>
      </c>
      <c r="O169" s="247">
        <v>0</v>
      </c>
      <c r="P169" s="247">
        <v>0</v>
      </c>
      <c r="Q169" s="247">
        <v>0</v>
      </c>
      <c r="R169" s="247">
        <f t="shared" si="178"/>
        <v>59122054</v>
      </c>
      <c r="S169" s="248">
        <v>0</v>
      </c>
    </row>
    <row r="170" spans="1:19" hidden="1">
      <c r="A170" s="246" t="s">
        <v>24</v>
      </c>
      <c r="B170" s="247">
        <v>0</v>
      </c>
      <c r="C170" s="247">
        <v>0</v>
      </c>
      <c r="D170" s="247">
        <v>0</v>
      </c>
      <c r="E170" s="247">
        <v>0</v>
      </c>
      <c r="F170" s="247">
        <v>101937</v>
      </c>
      <c r="G170" s="248">
        <v>220330</v>
      </c>
      <c r="H170" s="247">
        <v>1345053</v>
      </c>
      <c r="I170" s="247">
        <v>2037072</v>
      </c>
      <c r="J170" s="247">
        <v>3704392</v>
      </c>
      <c r="K170" s="1235">
        <v>3378141</v>
      </c>
      <c r="L170" s="250">
        <v>27762540</v>
      </c>
      <c r="M170" s="251">
        <v>10500000</v>
      </c>
      <c r="N170" s="247">
        <v>10500000</v>
      </c>
      <c r="O170" s="247">
        <v>10500000</v>
      </c>
      <c r="P170" s="247">
        <v>0</v>
      </c>
      <c r="Q170" s="247">
        <v>0</v>
      </c>
      <c r="R170" s="247">
        <f>SUM(J170:Q170)</f>
        <v>66345073</v>
      </c>
      <c r="S170" s="248">
        <v>0</v>
      </c>
    </row>
    <row r="171" spans="1:19" hidden="1">
      <c r="A171" s="252" t="s">
        <v>73</v>
      </c>
      <c r="B171" s="247">
        <v>5935894</v>
      </c>
      <c r="C171" s="247">
        <v>0</v>
      </c>
      <c r="D171" s="247">
        <v>0</v>
      </c>
      <c r="E171" s="247">
        <v>6647405</v>
      </c>
      <c r="F171" s="247">
        <v>10285500</v>
      </c>
      <c r="G171" s="248">
        <v>12796084</v>
      </c>
      <c r="H171" s="247">
        <v>12792166</v>
      </c>
      <c r="I171" s="247">
        <v>9659941</v>
      </c>
      <c r="J171" s="247">
        <v>51469585</v>
      </c>
      <c r="K171" s="1235">
        <v>9881531</v>
      </c>
      <c r="L171" s="250">
        <v>8497000</v>
      </c>
      <c r="M171" s="251">
        <v>2928000</v>
      </c>
      <c r="N171" s="247">
        <v>2546000</v>
      </c>
      <c r="O171" s="247">
        <v>2910000</v>
      </c>
      <c r="P171" s="247">
        <v>0</v>
      </c>
      <c r="Q171" s="247">
        <v>0</v>
      </c>
      <c r="R171" s="247">
        <f t="shared" ref="R171:R176" si="179">SUM(J171:Q171)</f>
        <v>78232116</v>
      </c>
      <c r="S171" s="248">
        <v>0</v>
      </c>
    </row>
    <row r="172" spans="1:19" hidden="1">
      <c r="A172" s="252" t="s">
        <v>74</v>
      </c>
      <c r="B172" s="247">
        <v>10594223</v>
      </c>
      <c r="C172" s="247">
        <v>0</v>
      </c>
      <c r="D172" s="247">
        <v>0</v>
      </c>
      <c r="E172" s="247">
        <v>3058368</v>
      </c>
      <c r="F172" s="247">
        <v>17692550</v>
      </c>
      <c r="G172" s="248">
        <v>2998223</v>
      </c>
      <c r="H172" s="247">
        <v>3753212</v>
      </c>
      <c r="I172" s="247">
        <v>4711864</v>
      </c>
      <c r="J172" s="247">
        <v>39750072</v>
      </c>
      <c r="K172" s="1235">
        <v>4433074</v>
      </c>
      <c r="L172" s="250">
        <v>4559000</v>
      </c>
      <c r="M172" s="251">
        <v>5122000</v>
      </c>
      <c r="N172" s="247">
        <v>4454000</v>
      </c>
      <c r="O172" s="247">
        <v>5090000</v>
      </c>
      <c r="P172" s="247">
        <v>0</v>
      </c>
      <c r="Q172" s="247">
        <v>0</v>
      </c>
      <c r="R172" s="247">
        <f t="shared" si="179"/>
        <v>63408146</v>
      </c>
      <c r="S172" s="248">
        <v>0</v>
      </c>
    </row>
    <row r="173" spans="1:19" hidden="1">
      <c r="A173" s="252" t="s">
        <v>29</v>
      </c>
      <c r="B173" s="247">
        <v>0</v>
      </c>
      <c r="C173" s="247">
        <v>0</v>
      </c>
      <c r="D173" s="247">
        <v>0</v>
      </c>
      <c r="E173" s="247">
        <v>0</v>
      </c>
      <c r="F173" s="247">
        <v>0</v>
      </c>
      <c r="G173" s="248">
        <v>18718271</v>
      </c>
      <c r="H173" s="247">
        <v>16003036</v>
      </c>
      <c r="I173" s="247">
        <v>3705956</v>
      </c>
      <c r="J173" s="247">
        <v>38427263</v>
      </c>
      <c r="K173" s="1235">
        <v>2875044</v>
      </c>
      <c r="L173" s="250">
        <v>704493</v>
      </c>
      <c r="M173" s="251">
        <v>0</v>
      </c>
      <c r="N173" s="247">
        <v>0</v>
      </c>
      <c r="O173" s="247">
        <v>0</v>
      </c>
      <c r="P173" s="247">
        <v>0</v>
      </c>
      <c r="Q173" s="247">
        <v>0</v>
      </c>
      <c r="R173" s="247">
        <f t="shared" si="179"/>
        <v>42006800</v>
      </c>
      <c r="S173" s="248">
        <v>0</v>
      </c>
    </row>
    <row r="174" spans="1:19" ht="24" hidden="1">
      <c r="A174" s="252" t="s">
        <v>38</v>
      </c>
      <c r="B174" s="247">
        <v>0</v>
      </c>
      <c r="C174" s="247">
        <v>0</v>
      </c>
      <c r="D174" s="247">
        <v>0</v>
      </c>
      <c r="E174" s="247">
        <v>0</v>
      </c>
      <c r="F174" s="247">
        <v>0</v>
      </c>
      <c r="G174" s="248">
        <v>0</v>
      </c>
      <c r="H174" s="247">
        <v>0</v>
      </c>
      <c r="I174" s="247">
        <v>841481</v>
      </c>
      <c r="J174" s="2044">
        <v>841481</v>
      </c>
      <c r="K174" s="2045">
        <v>0</v>
      </c>
      <c r="L174" s="2046">
        <v>0</v>
      </c>
      <c r="M174" s="2047">
        <v>0</v>
      </c>
      <c r="N174" s="2044">
        <v>0</v>
      </c>
      <c r="O174" s="2044">
        <v>0</v>
      </c>
      <c r="P174" s="2044">
        <v>0</v>
      </c>
      <c r="Q174" s="2044">
        <v>0</v>
      </c>
      <c r="R174" s="2044">
        <f t="shared" si="179"/>
        <v>841481</v>
      </c>
      <c r="S174" s="2048">
        <v>0</v>
      </c>
    </row>
    <row r="175" spans="1:19" ht="13.5" hidden="1" customHeight="1">
      <c r="A175" s="252" t="s">
        <v>32</v>
      </c>
      <c r="B175" s="247">
        <v>0</v>
      </c>
      <c r="C175" s="247" t="e">
        <v>#REF!</v>
      </c>
      <c r="D175" s="247" t="e">
        <v>#REF!</v>
      </c>
      <c r="E175" s="247" t="e">
        <v>#REF!</v>
      </c>
      <c r="F175" s="247">
        <v>1361604</v>
      </c>
      <c r="G175" s="248">
        <v>6341970</v>
      </c>
      <c r="H175" s="247">
        <v>5828817</v>
      </c>
      <c r="I175" s="247">
        <v>8011553</v>
      </c>
      <c r="J175" s="247">
        <v>21543944</v>
      </c>
      <c r="K175" s="1235">
        <v>204594</v>
      </c>
      <c r="L175" s="250">
        <v>4277064</v>
      </c>
      <c r="M175" s="251">
        <v>1919736</v>
      </c>
      <c r="N175" s="247">
        <v>1137650</v>
      </c>
      <c r="O175" s="247">
        <v>24105</v>
      </c>
      <c r="P175" s="247">
        <v>0</v>
      </c>
      <c r="Q175" s="247">
        <v>0</v>
      </c>
      <c r="R175" s="247">
        <f t="shared" si="179"/>
        <v>29107093</v>
      </c>
      <c r="S175" s="248">
        <v>0</v>
      </c>
    </row>
    <row r="176" spans="1:19" ht="14.25" hidden="1" customHeight="1">
      <c r="A176" s="285" t="s">
        <v>31</v>
      </c>
      <c r="B176" s="255">
        <v>0</v>
      </c>
      <c r="C176" s="255">
        <v>0</v>
      </c>
      <c r="D176" s="255">
        <v>0</v>
      </c>
      <c r="E176" s="255">
        <v>0</v>
      </c>
      <c r="F176" s="255">
        <v>0</v>
      </c>
      <c r="G176" s="256">
        <v>0</v>
      </c>
      <c r="H176" s="255">
        <v>0</v>
      </c>
      <c r="I176" s="255">
        <v>1023120</v>
      </c>
      <c r="J176" s="247">
        <v>1023120</v>
      </c>
      <c r="K176" s="1236">
        <v>0</v>
      </c>
      <c r="L176" s="257">
        <v>0</v>
      </c>
      <c r="M176" s="258">
        <v>0</v>
      </c>
      <c r="N176" s="255">
        <v>0</v>
      </c>
      <c r="O176" s="255">
        <v>0</v>
      </c>
      <c r="P176" s="255">
        <v>0</v>
      </c>
      <c r="Q176" s="255">
        <v>0</v>
      </c>
      <c r="R176" s="247">
        <f t="shared" si="179"/>
        <v>1023120</v>
      </c>
      <c r="S176" s="248">
        <v>0</v>
      </c>
    </row>
    <row r="177" spans="1:19" ht="13.5" hidden="1" thickBot="1">
      <c r="A177" s="259" t="s">
        <v>33</v>
      </c>
      <c r="B177" s="260">
        <v>24334541</v>
      </c>
      <c r="C177" s="260" t="e">
        <v>#REF!</v>
      </c>
      <c r="D177" s="260" t="e">
        <v>#REF!</v>
      </c>
      <c r="E177" s="260" t="e">
        <v>#REF!</v>
      </c>
      <c r="F177" s="260">
        <v>39220375</v>
      </c>
      <c r="G177" s="261">
        <v>75752049</v>
      </c>
      <c r="H177" s="260">
        <v>116907596</v>
      </c>
      <c r="I177" s="260">
        <v>161830750</v>
      </c>
      <c r="J177" s="1842">
        <v>418246712</v>
      </c>
      <c r="K177" s="1237">
        <v>239361618</v>
      </c>
      <c r="L177" s="262">
        <v>190621842</v>
      </c>
      <c r="M177" s="263">
        <v>45983817</v>
      </c>
      <c r="N177" s="260">
        <v>3694863</v>
      </c>
      <c r="O177" s="260">
        <v>3044863</v>
      </c>
      <c r="P177" s="260">
        <v>1275000</v>
      </c>
      <c r="Q177" s="260">
        <v>1190000</v>
      </c>
      <c r="R177" s="260">
        <f t="shared" ref="R177" si="180">SUM(J177:Q177)</f>
        <v>903418715</v>
      </c>
      <c r="S177" s="248">
        <v>0</v>
      </c>
    </row>
    <row r="178" spans="1:19" hidden="1">
      <c r="A178" s="286"/>
      <c r="B178" s="287">
        <f>SUM(B166:B177)</f>
        <v>41617945</v>
      </c>
      <c r="C178" s="287" t="e">
        <f t="shared" ref="C178:R178" si="181">SUM(C166:C177)</f>
        <v>#REF!</v>
      </c>
      <c r="D178" s="287" t="e">
        <f t="shared" si="181"/>
        <v>#REF!</v>
      </c>
      <c r="E178" s="287" t="e">
        <f t="shared" si="181"/>
        <v>#REF!</v>
      </c>
      <c r="F178" s="287">
        <f t="shared" si="181"/>
        <v>85458386</v>
      </c>
      <c r="G178" s="287">
        <f t="shared" si="181"/>
        <v>136543290</v>
      </c>
      <c r="H178" s="288">
        <f t="shared" si="181"/>
        <v>176246118</v>
      </c>
      <c r="I178" s="288">
        <f t="shared" si="181"/>
        <v>213347494</v>
      </c>
      <c r="J178" s="288">
        <f t="shared" si="181"/>
        <v>653414635</v>
      </c>
      <c r="K178" s="1243">
        <f t="shared" si="181"/>
        <v>292651906</v>
      </c>
      <c r="L178" s="289">
        <f t="shared" si="181"/>
        <v>274582354</v>
      </c>
      <c r="M178" s="287">
        <f t="shared" si="181"/>
        <v>74092908</v>
      </c>
      <c r="N178" s="287">
        <f t="shared" si="181"/>
        <v>23043071</v>
      </c>
      <c r="O178" s="287">
        <f t="shared" si="181"/>
        <v>21898968</v>
      </c>
      <c r="P178" s="287">
        <f t="shared" si="181"/>
        <v>1500000</v>
      </c>
      <c r="Q178" s="287">
        <f t="shared" si="181"/>
        <v>1400000</v>
      </c>
      <c r="R178" s="287">
        <f t="shared" si="181"/>
        <v>1342583842</v>
      </c>
      <c r="S178" s="290"/>
    </row>
    <row r="179" spans="1:19" ht="13.5" hidden="1" customHeight="1" thickBot="1">
      <c r="A179" s="291"/>
      <c r="B179" s="172" t="s">
        <v>6</v>
      </c>
      <c r="C179" s="292" t="s">
        <v>7</v>
      </c>
      <c r="D179" s="292" t="s">
        <v>8</v>
      </c>
      <c r="E179" s="292" t="s">
        <v>9</v>
      </c>
      <c r="F179" s="172" t="s">
        <v>10</v>
      </c>
      <c r="G179" s="171" t="s">
        <v>11</v>
      </c>
      <c r="H179" s="172" t="s">
        <v>12</v>
      </c>
      <c r="I179" s="172" t="s">
        <v>13</v>
      </c>
      <c r="J179" s="1762" t="s">
        <v>321</v>
      </c>
      <c r="K179" s="1244" t="s">
        <v>14</v>
      </c>
      <c r="L179" s="293" t="s">
        <v>15</v>
      </c>
      <c r="M179" s="174" t="s">
        <v>16</v>
      </c>
      <c r="N179" s="172" t="s">
        <v>17</v>
      </c>
      <c r="O179" s="172" t="s">
        <v>18</v>
      </c>
      <c r="P179" s="172" t="s">
        <v>315</v>
      </c>
      <c r="Q179" s="172" t="s">
        <v>322</v>
      </c>
      <c r="R179" s="175" t="s">
        <v>60</v>
      </c>
    </row>
    <row r="180" spans="1:19" hidden="1">
      <c r="A180" s="294"/>
      <c r="B180" s="295"/>
      <c r="C180" s="295"/>
      <c r="D180" s="295"/>
      <c r="E180" s="295"/>
      <c r="F180" s="295"/>
      <c r="G180" s="296"/>
      <c r="H180" s="295"/>
      <c r="I180" s="295"/>
      <c r="J180" s="297"/>
      <c r="K180" s="1245"/>
      <c r="L180" s="298"/>
      <c r="M180" s="299"/>
      <c r="N180" s="295"/>
      <c r="O180" s="295"/>
      <c r="P180" s="295"/>
      <c r="Q180" s="295"/>
      <c r="R180" s="295"/>
      <c r="S180" s="299"/>
    </row>
    <row r="181" spans="1:19" ht="13.5" hidden="1" thickBot="1">
      <c r="A181" s="300" t="s">
        <v>75</v>
      </c>
      <c r="B181" s="301">
        <f t="shared" ref="B181:R184" si="182">+B119-B150</f>
        <v>-256114</v>
      </c>
      <c r="C181" s="301" t="e">
        <f t="shared" si="182"/>
        <v>#REF!</v>
      </c>
      <c r="D181" s="301" t="e">
        <f t="shared" si="182"/>
        <v>#REF!</v>
      </c>
      <c r="E181" s="301" t="e">
        <f t="shared" si="182"/>
        <v>#REF!</v>
      </c>
      <c r="F181" s="301">
        <f t="shared" si="182"/>
        <v>-3490843</v>
      </c>
      <c r="G181" s="302">
        <f t="shared" si="182"/>
        <v>-6203132</v>
      </c>
      <c r="H181" s="301">
        <f t="shared" si="182"/>
        <v>937723.69999998808</v>
      </c>
      <c r="I181" s="301">
        <f t="shared" si="182"/>
        <v>515005</v>
      </c>
      <c r="J181" s="301">
        <f t="shared" si="182"/>
        <v>-46118</v>
      </c>
      <c r="K181" s="1246">
        <f t="shared" si="182"/>
        <v>-570243</v>
      </c>
      <c r="L181" s="303">
        <f t="shared" si="182"/>
        <v>7493841</v>
      </c>
      <c r="M181" s="304">
        <f t="shared" si="182"/>
        <v>64101614</v>
      </c>
      <c r="N181" s="301">
        <f t="shared" si="182"/>
        <v>8054740</v>
      </c>
      <c r="O181" s="301">
        <f t="shared" si="182"/>
        <v>-19707342</v>
      </c>
      <c r="P181" s="301">
        <f t="shared" ref="P181:Q181" si="183">+P119-P150</f>
        <v>2185714</v>
      </c>
      <c r="Q181" s="301">
        <f t="shared" si="183"/>
        <v>-314286</v>
      </c>
      <c r="R181" s="301">
        <f>+R119-R150</f>
        <v>62852683</v>
      </c>
      <c r="S181" s="304"/>
    </row>
    <row r="182" spans="1:19" hidden="1">
      <c r="A182" s="305" t="s">
        <v>24</v>
      </c>
      <c r="B182" s="306">
        <f t="shared" si="182"/>
        <v>-256114</v>
      </c>
      <c r="C182" s="306" t="e">
        <f t="shared" si="182"/>
        <v>#REF!</v>
      </c>
      <c r="D182" s="306" t="e">
        <f t="shared" si="182"/>
        <v>#REF!</v>
      </c>
      <c r="E182" s="306" t="e">
        <f t="shared" si="182"/>
        <v>#REF!</v>
      </c>
      <c r="F182" s="306">
        <f t="shared" si="182"/>
        <v>-3490843</v>
      </c>
      <c r="G182" s="307">
        <f t="shared" si="182"/>
        <v>-6203132</v>
      </c>
      <c r="H182" s="306">
        <f t="shared" si="182"/>
        <v>1058384.700000003</v>
      </c>
      <c r="I182" s="306">
        <f t="shared" si="182"/>
        <v>3270852</v>
      </c>
      <c r="J182" s="306">
        <f t="shared" ref="J182" si="184">+J120-J151</f>
        <v>2821649</v>
      </c>
      <c r="K182" s="1247">
        <f t="shared" si="182"/>
        <v>-12657316</v>
      </c>
      <c r="L182" s="308">
        <f t="shared" si="182"/>
        <v>-20010993</v>
      </c>
      <c r="M182" s="309">
        <f t="shared" si="182"/>
        <v>17440524</v>
      </c>
      <c r="N182" s="306">
        <f t="shared" si="182"/>
        <v>-1035932</v>
      </c>
      <c r="O182" s="306">
        <f t="shared" si="182"/>
        <v>-14207342</v>
      </c>
      <c r="P182" s="306">
        <f t="shared" ref="P182:Q182" si="185">+P120-P151</f>
        <v>-314286</v>
      </c>
      <c r="Q182" s="306">
        <f t="shared" si="185"/>
        <v>-314286</v>
      </c>
      <c r="R182" s="306">
        <f>+R120-R151</f>
        <v>-26623219</v>
      </c>
      <c r="S182" s="306"/>
    </row>
    <row r="183" spans="1:19" hidden="1">
      <c r="A183" s="310" t="s">
        <v>66</v>
      </c>
      <c r="B183" s="311">
        <f t="shared" si="182"/>
        <v>0</v>
      </c>
      <c r="C183" s="311" t="e">
        <f t="shared" si="182"/>
        <v>#REF!</v>
      </c>
      <c r="D183" s="311" t="e">
        <f t="shared" si="182"/>
        <v>#REF!</v>
      </c>
      <c r="E183" s="311" t="e">
        <f t="shared" si="182"/>
        <v>#REF!</v>
      </c>
      <c r="F183" s="311">
        <f t="shared" si="182"/>
        <v>0</v>
      </c>
      <c r="G183" s="312">
        <f t="shared" si="182"/>
        <v>0</v>
      </c>
      <c r="H183" s="311">
        <f t="shared" si="182"/>
        <v>0</v>
      </c>
      <c r="I183" s="311">
        <f t="shared" si="182"/>
        <v>0</v>
      </c>
      <c r="J183" s="311">
        <f t="shared" ref="J183" si="186">+J121-J152</f>
        <v>0</v>
      </c>
      <c r="K183" s="1248">
        <f t="shared" si="182"/>
        <v>0</v>
      </c>
      <c r="L183" s="313">
        <f t="shared" si="182"/>
        <v>96652</v>
      </c>
      <c r="M183" s="314">
        <f t="shared" si="182"/>
        <v>0</v>
      </c>
      <c r="N183" s="311">
        <f t="shared" si="182"/>
        <v>0</v>
      </c>
      <c r="O183" s="311">
        <f t="shared" si="182"/>
        <v>0</v>
      </c>
      <c r="P183" s="311">
        <f t="shared" ref="P183:Q183" si="187">+P121-P152</f>
        <v>0</v>
      </c>
      <c r="Q183" s="311">
        <f t="shared" si="187"/>
        <v>0</v>
      </c>
      <c r="R183" s="311">
        <f>+R121-R152</f>
        <v>96652</v>
      </c>
      <c r="S183" s="311"/>
    </row>
    <row r="184" spans="1:19" hidden="1">
      <c r="A184" s="310" t="s">
        <v>25</v>
      </c>
      <c r="B184" s="311">
        <f t="shared" si="182"/>
        <v>0</v>
      </c>
      <c r="C184" s="311" t="e">
        <f t="shared" si="182"/>
        <v>#REF!</v>
      </c>
      <c r="D184" s="311" t="e">
        <f t="shared" si="182"/>
        <v>#REF!</v>
      </c>
      <c r="E184" s="311" t="e">
        <f t="shared" si="182"/>
        <v>#REF!</v>
      </c>
      <c r="F184" s="311">
        <f t="shared" si="182"/>
        <v>0</v>
      </c>
      <c r="G184" s="312">
        <f t="shared" si="182"/>
        <v>0</v>
      </c>
      <c r="H184" s="311">
        <f t="shared" si="182"/>
        <v>0</v>
      </c>
      <c r="I184" s="311">
        <f t="shared" si="182"/>
        <v>1</v>
      </c>
      <c r="J184" s="311">
        <f t="shared" ref="J184" si="188">+J122-J153</f>
        <v>0</v>
      </c>
      <c r="K184" s="1248">
        <f t="shared" si="182"/>
        <v>0</v>
      </c>
      <c r="L184" s="313">
        <f t="shared" si="182"/>
        <v>9606047</v>
      </c>
      <c r="M184" s="314">
        <f t="shared" si="182"/>
        <v>2000350</v>
      </c>
      <c r="N184" s="311">
        <f t="shared" si="182"/>
        <v>909250</v>
      </c>
      <c r="O184" s="311">
        <f t="shared" si="182"/>
        <v>909250</v>
      </c>
      <c r="P184" s="311">
        <f t="shared" ref="P184:Q184" si="189">+P122-P153</f>
        <v>909250</v>
      </c>
      <c r="Q184" s="311">
        <f t="shared" si="189"/>
        <v>0</v>
      </c>
      <c r="R184" s="311">
        <f t="shared" si="182"/>
        <v>14334147</v>
      </c>
      <c r="S184" s="311"/>
    </row>
    <row r="185" spans="1:19" hidden="1">
      <c r="A185" s="310" t="s">
        <v>27</v>
      </c>
      <c r="B185" s="311">
        <f t="shared" ref="B185:R188" si="190">+B124-B155</f>
        <v>0</v>
      </c>
      <c r="C185" s="311">
        <f t="shared" si="190"/>
        <v>0</v>
      </c>
      <c r="D185" s="311">
        <f t="shared" si="190"/>
        <v>0</v>
      </c>
      <c r="E185" s="311">
        <f t="shared" si="190"/>
        <v>0</v>
      </c>
      <c r="F185" s="311">
        <f t="shared" si="190"/>
        <v>0</v>
      </c>
      <c r="G185" s="312">
        <f t="shared" si="190"/>
        <v>0</v>
      </c>
      <c r="H185" s="311">
        <f t="shared" si="190"/>
        <v>0</v>
      </c>
      <c r="I185" s="311">
        <f t="shared" si="190"/>
        <v>0</v>
      </c>
      <c r="J185" s="311">
        <f t="shared" ref="J185" si="191">+J124-J155</f>
        <v>0</v>
      </c>
      <c r="K185" s="1248">
        <f t="shared" si="190"/>
        <v>0</v>
      </c>
      <c r="L185" s="313">
        <f t="shared" si="190"/>
        <v>230000</v>
      </c>
      <c r="M185" s="314">
        <f t="shared" si="190"/>
        <v>0</v>
      </c>
      <c r="N185" s="311">
        <f t="shared" si="190"/>
        <v>0</v>
      </c>
      <c r="O185" s="311">
        <f t="shared" si="190"/>
        <v>0</v>
      </c>
      <c r="P185" s="311">
        <f t="shared" ref="P185:Q185" si="192">+P124-P155</f>
        <v>0</v>
      </c>
      <c r="Q185" s="311">
        <f t="shared" si="192"/>
        <v>0</v>
      </c>
      <c r="R185" s="311">
        <f t="shared" si="190"/>
        <v>230000</v>
      </c>
      <c r="S185" s="311"/>
    </row>
    <row r="186" spans="1:19" hidden="1">
      <c r="A186" s="310" t="s">
        <v>68</v>
      </c>
      <c r="B186" s="311">
        <f t="shared" si="190"/>
        <v>0</v>
      </c>
      <c r="C186" s="311">
        <f t="shared" si="190"/>
        <v>0</v>
      </c>
      <c r="D186" s="311">
        <f t="shared" si="190"/>
        <v>0</v>
      </c>
      <c r="E186" s="311">
        <f t="shared" si="190"/>
        <v>0</v>
      </c>
      <c r="F186" s="311">
        <f t="shared" si="190"/>
        <v>0</v>
      </c>
      <c r="G186" s="312">
        <f t="shared" si="190"/>
        <v>0</v>
      </c>
      <c r="H186" s="311">
        <f t="shared" si="190"/>
        <v>0</v>
      </c>
      <c r="I186" s="311">
        <f t="shared" si="190"/>
        <v>-5220000</v>
      </c>
      <c r="J186" s="311">
        <f t="shared" ref="J186" si="193">+J125-J156</f>
        <v>-5220000</v>
      </c>
      <c r="K186" s="1248">
        <f t="shared" si="190"/>
        <v>-3992286</v>
      </c>
      <c r="L186" s="313">
        <f t="shared" si="190"/>
        <v>388750</v>
      </c>
      <c r="M186" s="314">
        <f t="shared" si="190"/>
        <v>0</v>
      </c>
      <c r="N186" s="311">
        <f t="shared" si="190"/>
        <v>0</v>
      </c>
      <c r="O186" s="311">
        <f t="shared" si="190"/>
        <v>0</v>
      </c>
      <c r="P186" s="311">
        <f t="shared" ref="P186:Q186" si="194">+P125-P156</f>
        <v>0</v>
      </c>
      <c r="Q186" s="311">
        <f t="shared" si="194"/>
        <v>0</v>
      </c>
      <c r="R186" s="311">
        <f t="shared" si="190"/>
        <v>-8823536</v>
      </c>
      <c r="S186" s="311"/>
    </row>
    <row r="187" spans="1:19" hidden="1">
      <c r="A187" s="310" t="s">
        <v>32</v>
      </c>
      <c r="B187" s="311">
        <f t="shared" si="190"/>
        <v>0</v>
      </c>
      <c r="C187" s="311">
        <f t="shared" si="190"/>
        <v>0</v>
      </c>
      <c r="D187" s="311">
        <f t="shared" si="190"/>
        <v>0</v>
      </c>
      <c r="E187" s="311">
        <f t="shared" si="190"/>
        <v>0</v>
      </c>
      <c r="F187" s="311">
        <f t="shared" si="190"/>
        <v>0</v>
      </c>
      <c r="G187" s="312">
        <f t="shared" si="190"/>
        <v>0</v>
      </c>
      <c r="H187" s="311">
        <f t="shared" si="190"/>
        <v>0</v>
      </c>
      <c r="I187" s="311">
        <f t="shared" si="190"/>
        <v>16500</v>
      </c>
      <c r="J187" s="311">
        <f t="shared" ref="J187" si="195">+J126-J157</f>
        <v>0</v>
      </c>
      <c r="K187" s="1248">
        <f t="shared" si="190"/>
        <v>0</v>
      </c>
      <c r="L187" s="313">
        <f t="shared" si="190"/>
        <v>0</v>
      </c>
      <c r="M187" s="314">
        <f t="shared" si="190"/>
        <v>0</v>
      </c>
      <c r="N187" s="311">
        <f t="shared" si="190"/>
        <v>0</v>
      </c>
      <c r="O187" s="311">
        <f t="shared" si="190"/>
        <v>0</v>
      </c>
      <c r="P187" s="311">
        <f t="shared" ref="P187:Q187" si="196">+P126-P157</f>
        <v>0</v>
      </c>
      <c r="Q187" s="311">
        <f t="shared" si="196"/>
        <v>0</v>
      </c>
      <c r="R187" s="311">
        <f t="shared" si="190"/>
        <v>0</v>
      </c>
      <c r="S187" s="311"/>
    </row>
    <row r="188" spans="1:19" hidden="1">
      <c r="A188" s="310" t="s">
        <v>29</v>
      </c>
      <c r="B188" s="311">
        <f t="shared" si="190"/>
        <v>0</v>
      </c>
      <c r="C188" s="311">
        <f t="shared" si="190"/>
        <v>0</v>
      </c>
      <c r="D188" s="311">
        <f t="shared" si="190"/>
        <v>0</v>
      </c>
      <c r="E188" s="311">
        <f t="shared" si="190"/>
        <v>0</v>
      </c>
      <c r="F188" s="311">
        <f t="shared" si="190"/>
        <v>0</v>
      </c>
      <c r="G188" s="312">
        <f t="shared" si="190"/>
        <v>0</v>
      </c>
      <c r="H188" s="311">
        <f t="shared" si="190"/>
        <v>0</v>
      </c>
      <c r="I188" s="311">
        <f t="shared" si="190"/>
        <v>0</v>
      </c>
      <c r="J188" s="311">
        <f t="shared" ref="J188" si="197">+J127-J158</f>
        <v>0</v>
      </c>
      <c r="K188" s="1248">
        <f t="shared" si="190"/>
        <v>0</v>
      </c>
      <c r="L188" s="313">
        <f t="shared" si="190"/>
        <v>-499</v>
      </c>
      <c r="M188" s="314">
        <f t="shared" si="190"/>
        <v>0</v>
      </c>
      <c r="N188" s="311">
        <f t="shared" si="190"/>
        <v>0</v>
      </c>
      <c r="O188" s="311">
        <f t="shared" si="190"/>
        <v>0</v>
      </c>
      <c r="P188" s="311">
        <f t="shared" ref="P188:Q188" si="198">+P127-P158</f>
        <v>0</v>
      </c>
      <c r="Q188" s="311">
        <f t="shared" si="198"/>
        <v>0</v>
      </c>
      <c r="R188" s="311">
        <f t="shared" si="190"/>
        <v>-499</v>
      </c>
      <c r="S188" s="311"/>
    </row>
    <row r="189" spans="1:19" hidden="1">
      <c r="A189" s="310" t="s">
        <v>73</v>
      </c>
      <c r="B189" s="311">
        <f t="shared" ref="B189:R189" si="199">+B123-B154</f>
        <v>0</v>
      </c>
      <c r="C189" s="311">
        <f t="shared" si="199"/>
        <v>0</v>
      </c>
      <c r="D189" s="311">
        <f t="shared" si="199"/>
        <v>0</v>
      </c>
      <c r="E189" s="311">
        <f t="shared" si="199"/>
        <v>0</v>
      </c>
      <c r="F189" s="311">
        <f t="shared" si="199"/>
        <v>0</v>
      </c>
      <c r="G189" s="312">
        <f t="shared" si="199"/>
        <v>0</v>
      </c>
      <c r="H189" s="311">
        <f t="shared" si="199"/>
        <v>0</v>
      </c>
      <c r="I189" s="311">
        <f t="shared" si="199"/>
        <v>0</v>
      </c>
      <c r="J189" s="311">
        <f t="shared" ref="J189" si="200">+J123-J154</f>
        <v>0</v>
      </c>
      <c r="K189" s="1248">
        <f t="shared" si="199"/>
        <v>0</v>
      </c>
      <c r="L189" s="313">
        <f t="shared" si="199"/>
        <v>-1491000</v>
      </c>
      <c r="M189" s="314">
        <f t="shared" si="199"/>
        <v>-2928000</v>
      </c>
      <c r="N189" s="311">
        <f t="shared" si="199"/>
        <v>-2546000</v>
      </c>
      <c r="O189" s="311">
        <f t="shared" si="199"/>
        <v>-2910000</v>
      </c>
      <c r="P189" s="311">
        <f t="shared" ref="P189:Q189" si="201">+P123-P154</f>
        <v>0</v>
      </c>
      <c r="Q189" s="311">
        <f t="shared" si="201"/>
        <v>0</v>
      </c>
      <c r="R189" s="311">
        <f t="shared" si="199"/>
        <v>-9875000</v>
      </c>
      <c r="S189" s="311"/>
    </row>
    <row r="190" spans="1:19" ht="13.5" hidden="1" customHeight="1">
      <c r="A190" s="310" t="s">
        <v>72</v>
      </c>
      <c r="B190" s="311">
        <f t="shared" ref="B190:R192" si="202">+B128-B159</f>
        <v>0</v>
      </c>
      <c r="C190" s="311">
        <f t="shared" si="202"/>
        <v>0</v>
      </c>
      <c r="D190" s="311">
        <f t="shared" si="202"/>
        <v>0</v>
      </c>
      <c r="E190" s="311">
        <f t="shared" si="202"/>
        <v>0</v>
      </c>
      <c r="F190" s="311">
        <f t="shared" si="202"/>
        <v>0</v>
      </c>
      <c r="G190" s="312">
        <f t="shared" si="202"/>
        <v>0</v>
      </c>
      <c r="H190" s="311">
        <f t="shared" si="202"/>
        <v>0</v>
      </c>
      <c r="I190" s="311">
        <f t="shared" si="202"/>
        <v>0</v>
      </c>
      <c r="J190" s="311">
        <f t="shared" ref="J190" si="203">+J128-J159</f>
        <v>0</v>
      </c>
      <c r="K190" s="1248">
        <f t="shared" si="202"/>
        <v>0</v>
      </c>
      <c r="L190" s="313">
        <f t="shared" si="202"/>
        <v>-2609000</v>
      </c>
      <c r="M190" s="314">
        <f t="shared" si="202"/>
        <v>-5122000</v>
      </c>
      <c r="N190" s="311">
        <f t="shared" si="202"/>
        <v>-4454000</v>
      </c>
      <c r="O190" s="311">
        <f t="shared" si="202"/>
        <v>-5090000</v>
      </c>
      <c r="P190" s="311">
        <f t="shared" ref="P190:Q190" si="204">+P128-P159</f>
        <v>0</v>
      </c>
      <c r="Q190" s="311">
        <f t="shared" si="204"/>
        <v>0</v>
      </c>
      <c r="R190" s="311">
        <f t="shared" si="202"/>
        <v>-17275000</v>
      </c>
      <c r="S190" s="311"/>
    </row>
    <row r="191" spans="1:19" ht="17.25" hidden="1" customHeight="1">
      <c r="A191" s="315" t="s">
        <v>31</v>
      </c>
      <c r="B191" s="311">
        <f t="shared" si="202"/>
        <v>0</v>
      </c>
      <c r="C191" s="311">
        <f t="shared" si="202"/>
        <v>0</v>
      </c>
      <c r="D191" s="311">
        <f t="shared" si="202"/>
        <v>0</v>
      </c>
      <c r="E191" s="311">
        <f t="shared" si="202"/>
        <v>0</v>
      </c>
      <c r="F191" s="311">
        <f t="shared" si="202"/>
        <v>0</v>
      </c>
      <c r="G191" s="312">
        <f t="shared" si="202"/>
        <v>0</v>
      </c>
      <c r="H191" s="311">
        <f t="shared" si="202"/>
        <v>0</v>
      </c>
      <c r="I191" s="311">
        <f t="shared" si="202"/>
        <v>-1023120</v>
      </c>
      <c r="J191" s="311">
        <f t="shared" ref="J191" si="205">+J129-J160</f>
        <v>-1023120</v>
      </c>
      <c r="K191" s="1248">
        <f t="shared" si="202"/>
        <v>0</v>
      </c>
      <c r="L191" s="313">
        <f t="shared" si="202"/>
        <v>0</v>
      </c>
      <c r="M191" s="314">
        <f t="shared" si="202"/>
        <v>0</v>
      </c>
      <c r="N191" s="311">
        <f t="shared" si="202"/>
        <v>0</v>
      </c>
      <c r="O191" s="311">
        <f t="shared" si="202"/>
        <v>0</v>
      </c>
      <c r="P191" s="311">
        <f t="shared" ref="P191:Q191" si="206">+P129-P160</f>
        <v>0</v>
      </c>
      <c r="Q191" s="311">
        <f t="shared" si="206"/>
        <v>0</v>
      </c>
      <c r="R191" s="311">
        <f t="shared" si="202"/>
        <v>-1023120</v>
      </c>
      <c r="S191" s="311"/>
    </row>
    <row r="192" spans="1:19" ht="13.5" hidden="1" thickBot="1">
      <c r="A192" s="316" t="s">
        <v>33</v>
      </c>
      <c r="B192" s="317">
        <f t="shared" si="202"/>
        <v>0</v>
      </c>
      <c r="C192" s="317" t="e">
        <f t="shared" si="202"/>
        <v>#REF!</v>
      </c>
      <c r="D192" s="317" t="e">
        <f t="shared" si="202"/>
        <v>#REF!</v>
      </c>
      <c r="E192" s="317" t="e">
        <f t="shared" si="202"/>
        <v>#REF!</v>
      </c>
      <c r="F192" s="317">
        <f t="shared" si="202"/>
        <v>0</v>
      </c>
      <c r="G192" s="318">
        <f t="shared" si="202"/>
        <v>0</v>
      </c>
      <c r="H192" s="317">
        <f t="shared" si="202"/>
        <v>-120661</v>
      </c>
      <c r="I192" s="317">
        <f t="shared" si="202"/>
        <v>3470772</v>
      </c>
      <c r="J192" s="317">
        <f t="shared" ref="J192" si="207">+J130-J161</f>
        <v>3375353</v>
      </c>
      <c r="K192" s="1249">
        <f t="shared" si="202"/>
        <v>16079359</v>
      </c>
      <c r="L192" s="319">
        <f t="shared" si="202"/>
        <v>21283884</v>
      </c>
      <c r="M192" s="320">
        <f t="shared" si="202"/>
        <v>52710740</v>
      </c>
      <c r="N192" s="317">
        <f t="shared" si="202"/>
        <v>15181422</v>
      </c>
      <c r="O192" s="317">
        <f t="shared" si="202"/>
        <v>1590750</v>
      </c>
      <c r="P192" s="317">
        <f t="shared" ref="P192:Q192" si="208">+P130-P161</f>
        <v>1590750</v>
      </c>
      <c r="Q192" s="317">
        <f t="shared" si="208"/>
        <v>0</v>
      </c>
      <c r="R192" s="317">
        <f t="shared" si="202"/>
        <v>111812258</v>
      </c>
      <c r="S192" s="320"/>
    </row>
    <row r="193" spans="1:19" ht="15" hidden="1" customHeight="1" thickBot="1">
      <c r="A193" s="321"/>
      <c r="B193" s="322">
        <f t="shared" ref="B193:R193" si="209">SUM(B182:B192)</f>
        <v>-256114</v>
      </c>
      <c r="C193" s="323" t="e">
        <f t="shared" si="209"/>
        <v>#REF!</v>
      </c>
      <c r="D193" s="323" t="e">
        <f t="shared" si="209"/>
        <v>#REF!</v>
      </c>
      <c r="E193" s="323" t="e">
        <f t="shared" si="209"/>
        <v>#REF!</v>
      </c>
      <c r="F193" s="322">
        <f t="shared" si="209"/>
        <v>-3490843</v>
      </c>
      <c r="G193" s="322">
        <f t="shared" si="209"/>
        <v>-6203132</v>
      </c>
      <c r="H193" s="324">
        <f t="shared" si="209"/>
        <v>937723.70000000298</v>
      </c>
      <c r="I193" s="324">
        <f t="shared" si="209"/>
        <v>515005</v>
      </c>
      <c r="J193" s="324">
        <f t="shared" ref="J193" si="210">SUM(J182:J192)</f>
        <v>-46118</v>
      </c>
      <c r="K193" s="1250">
        <f t="shared" si="209"/>
        <v>-570243</v>
      </c>
      <c r="L193" s="325">
        <f t="shared" si="209"/>
        <v>7493841</v>
      </c>
      <c r="M193" s="326">
        <f t="shared" si="209"/>
        <v>64101614</v>
      </c>
      <c r="N193" s="324">
        <f t="shared" si="209"/>
        <v>8054740</v>
      </c>
      <c r="O193" s="324">
        <f t="shared" si="209"/>
        <v>-19707342</v>
      </c>
      <c r="P193" s="324">
        <f t="shared" ref="P193:Q193" si="211">SUM(P182:P192)</f>
        <v>2185714</v>
      </c>
      <c r="Q193" s="324">
        <f t="shared" si="211"/>
        <v>-314286</v>
      </c>
      <c r="R193" s="324">
        <f t="shared" si="209"/>
        <v>62852683</v>
      </c>
      <c r="S193" s="326"/>
    </row>
    <row r="194" spans="1:19" ht="14.25" hidden="1" customHeight="1" thickBot="1">
      <c r="A194" s="327" t="s">
        <v>55</v>
      </c>
      <c r="B194" s="328">
        <f t="shared" ref="B194:R194" si="212">+B119-B150</f>
        <v>-256114</v>
      </c>
      <c r="C194" s="329" t="e">
        <f t="shared" si="212"/>
        <v>#REF!</v>
      </c>
      <c r="D194" s="329" t="e">
        <f t="shared" si="212"/>
        <v>#REF!</v>
      </c>
      <c r="E194" s="329" t="e">
        <f t="shared" si="212"/>
        <v>#REF!</v>
      </c>
      <c r="F194" s="328">
        <f t="shared" si="212"/>
        <v>-3490843</v>
      </c>
      <c r="G194" s="328">
        <f t="shared" si="212"/>
        <v>-6203132</v>
      </c>
      <c r="H194" s="330">
        <f t="shared" si="212"/>
        <v>937723.69999998808</v>
      </c>
      <c r="I194" s="330">
        <f t="shared" si="212"/>
        <v>515005</v>
      </c>
      <c r="J194" s="330">
        <f t="shared" ref="J194" si="213">+J119-J150</f>
        <v>-46118</v>
      </c>
      <c r="K194" s="1251">
        <f t="shared" si="212"/>
        <v>-570243</v>
      </c>
      <c r="L194" s="331">
        <f t="shared" si="212"/>
        <v>7493841</v>
      </c>
      <c r="M194" s="328">
        <f t="shared" si="212"/>
        <v>64101614</v>
      </c>
      <c r="N194" s="328">
        <f t="shared" si="212"/>
        <v>8054740</v>
      </c>
      <c r="O194" s="328">
        <f t="shared" si="212"/>
        <v>-19707342</v>
      </c>
      <c r="P194" s="328">
        <f t="shared" ref="P194:Q194" si="214">+P119-P150</f>
        <v>2185714</v>
      </c>
      <c r="Q194" s="328">
        <f t="shared" si="214"/>
        <v>-314286</v>
      </c>
      <c r="R194" s="328">
        <f t="shared" si="212"/>
        <v>62852683</v>
      </c>
      <c r="S194" s="332"/>
    </row>
    <row r="195" spans="1:19" ht="16.5" hidden="1" customHeight="1" thickBot="1">
      <c r="A195" s="333" t="s">
        <v>76</v>
      </c>
      <c r="B195" s="334">
        <f t="shared" ref="B195:R207" si="215">+B133-B165</f>
        <v>0</v>
      </c>
      <c r="C195" s="334" t="e">
        <f t="shared" si="215"/>
        <v>#REF!</v>
      </c>
      <c r="D195" s="334" t="e">
        <f t="shared" si="215"/>
        <v>#REF!</v>
      </c>
      <c r="E195" s="334" t="e">
        <f t="shared" si="215"/>
        <v>#REF!</v>
      </c>
      <c r="F195" s="334">
        <f t="shared" si="215"/>
        <v>-8238536</v>
      </c>
      <c r="G195" s="335">
        <f t="shared" si="215"/>
        <v>-585000</v>
      </c>
      <c r="H195" s="334">
        <f t="shared" si="215"/>
        <v>0</v>
      </c>
      <c r="I195" s="334">
        <f t="shared" si="215"/>
        <v>-1023884</v>
      </c>
      <c r="J195" s="334">
        <f t="shared" si="215"/>
        <v>-10102905</v>
      </c>
      <c r="K195" s="1252">
        <f t="shared" si="215"/>
        <v>139517</v>
      </c>
      <c r="L195" s="336">
        <f t="shared" si="215"/>
        <v>17455788</v>
      </c>
      <c r="M195" s="337">
        <f t="shared" si="215"/>
        <v>74677703</v>
      </c>
      <c r="N195" s="334">
        <f t="shared" si="215"/>
        <v>17940762</v>
      </c>
      <c r="O195" s="334">
        <f t="shared" si="215"/>
        <v>-5500000</v>
      </c>
      <c r="P195" s="334">
        <f t="shared" ref="P195:Q195" si="216">+P133-P165</f>
        <v>2500000</v>
      </c>
      <c r="Q195" s="334">
        <f t="shared" si="216"/>
        <v>0</v>
      </c>
      <c r="R195" s="334">
        <f>SUM(R196:R207)</f>
        <v>97110865</v>
      </c>
      <c r="S195" s="338"/>
    </row>
    <row r="196" spans="1:19" hidden="1">
      <c r="A196" s="305" t="s">
        <v>70</v>
      </c>
      <c r="B196" s="306">
        <f t="shared" si="215"/>
        <v>0</v>
      </c>
      <c r="C196" s="306">
        <f t="shared" si="215"/>
        <v>0</v>
      </c>
      <c r="D196" s="306">
        <f t="shared" si="215"/>
        <v>0</v>
      </c>
      <c r="E196" s="306">
        <f t="shared" si="215"/>
        <v>0</v>
      </c>
      <c r="F196" s="306">
        <f t="shared" si="215"/>
        <v>0</v>
      </c>
      <c r="G196" s="307">
        <f t="shared" si="215"/>
        <v>0</v>
      </c>
      <c r="H196" s="306">
        <f t="shared" si="215"/>
        <v>0</v>
      </c>
      <c r="I196" s="306">
        <f t="shared" si="215"/>
        <v>0</v>
      </c>
      <c r="J196" s="306">
        <f t="shared" ref="J196" si="217">+J134-J166</f>
        <v>0</v>
      </c>
      <c r="K196" s="1247">
        <f t="shared" si="215"/>
        <v>0</v>
      </c>
      <c r="L196" s="308">
        <f t="shared" si="215"/>
        <v>0</v>
      </c>
      <c r="M196" s="309">
        <f t="shared" si="215"/>
        <v>0</v>
      </c>
      <c r="N196" s="306">
        <f t="shared" si="215"/>
        <v>0</v>
      </c>
      <c r="O196" s="306">
        <f t="shared" si="215"/>
        <v>0</v>
      </c>
      <c r="P196" s="306">
        <f t="shared" ref="P196:Q196" si="218">+P134-P166</f>
        <v>0</v>
      </c>
      <c r="Q196" s="306">
        <f t="shared" si="218"/>
        <v>0</v>
      </c>
      <c r="R196" s="339">
        <f t="shared" si="215"/>
        <v>0</v>
      </c>
      <c r="S196" s="340"/>
    </row>
    <row r="197" spans="1:19" hidden="1">
      <c r="A197" s="310" t="s">
        <v>25</v>
      </c>
      <c r="B197" s="311">
        <f t="shared" si="215"/>
        <v>0</v>
      </c>
      <c r="C197" s="311" t="e">
        <f t="shared" si="215"/>
        <v>#REF!</v>
      </c>
      <c r="D197" s="311" t="e">
        <f t="shared" si="215"/>
        <v>#REF!</v>
      </c>
      <c r="E197" s="311" t="e">
        <f t="shared" si="215"/>
        <v>#REF!</v>
      </c>
      <c r="F197" s="311">
        <f t="shared" si="215"/>
        <v>0</v>
      </c>
      <c r="G197" s="312">
        <f t="shared" si="215"/>
        <v>0</v>
      </c>
      <c r="H197" s="311">
        <f t="shared" si="215"/>
        <v>0</v>
      </c>
      <c r="I197" s="311">
        <f t="shared" si="215"/>
        <v>1</v>
      </c>
      <c r="J197" s="311">
        <f t="shared" ref="J197" si="219">+J135-J167</f>
        <v>0</v>
      </c>
      <c r="K197" s="1248">
        <f t="shared" si="215"/>
        <v>0</v>
      </c>
      <c r="L197" s="313">
        <f t="shared" si="215"/>
        <v>9606047</v>
      </c>
      <c r="M197" s="314">
        <f t="shared" si="215"/>
        <v>2000350</v>
      </c>
      <c r="N197" s="311">
        <f t="shared" si="215"/>
        <v>909250</v>
      </c>
      <c r="O197" s="311">
        <f t="shared" si="215"/>
        <v>909250</v>
      </c>
      <c r="P197" s="311">
        <f t="shared" ref="P197:Q197" si="220">+P135-P167</f>
        <v>909250</v>
      </c>
      <c r="Q197" s="311">
        <f t="shared" si="220"/>
        <v>0</v>
      </c>
      <c r="R197" s="342">
        <f t="shared" si="215"/>
        <v>14334147</v>
      </c>
      <c r="S197" s="341"/>
    </row>
    <row r="198" spans="1:19" hidden="1">
      <c r="A198" s="310" t="s">
        <v>27</v>
      </c>
      <c r="B198" s="311">
        <f t="shared" si="215"/>
        <v>0</v>
      </c>
      <c r="C198" s="311">
        <f t="shared" si="215"/>
        <v>0</v>
      </c>
      <c r="D198" s="311">
        <f t="shared" si="215"/>
        <v>0</v>
      </c>
      <c r="E198" s="311">
        <f t="shared" si="215"/>
        <v>0</v>
      </c>
      <c r="F198" s="311">
        <f t="shared" si="215"/>
        <v>0</v>
      </c>
      <c r="G198" s="312">
        <f t="shared" si="215"/>
        <v>0</v>
      </c>
      <c r="H198" s="311">
        <f t="shared" si="215"/>
        <v>0</v>
      </c>
      <c r="I198" s="311">
        <f t="shared" si="215"/>
        <v>0</v>
      </c>
      <c r="J198" s="311">
        <f t="shared" ref="J198" si="221">+J136-J168</f>
        <v>0</v>
      </c>
      <c r="K198" s="1248">
        <f t="shared" si="215"/>
        <v>0</v>
      </c>
      <c r="L198" s="313">
        <f t="shared" si="215"/>
        <v>230000</v>
      </c>
      <c r="M198" s="314">
        <f t="shared" si="215"/>
        <v>0</v>
      </c>
      <c r="N198" s="311">
        <f t="shared" si="215"/>
        <v>0</v>
      </c>
      <c r="O198" s="311">
        <f t="shared" si="215"/>
        <v>0</v>
      </c>
      <c r="P198" s="311">
        <f t="shared" ref="P198:Q198" si="222">+P136-P168</f>
        <v>0</v>
      </c>
      <c r="Q198" s="311">
        <f t="shared" si="222"/>
        <v>0</v>
      </c>
      <c r="R198" s="342">
        <f t="shared" si="215"/>
        <v>230000</v>
      </c>
      <c r="S198" s="341"/>
    </row>
    <row r="199" spans="1:19" hidden="1">
      <c r="A199" s="310" t="s">
        <v>78</v>
      </c>
      <c r="B199" s="311">
        <f t="shared" si="215"/>
        <v>0</v>
      </c>
      <c r="C199" s="311">
        <f t="shared" si="215"/>
        <v>0</v>
      </c>
      <c r="D199" s="311">
        <f t="shared" si="215"/>
        <v>0</v>
      </c>
      <c r="E199" s="311">
        <f t="shared" si="215"/>
        <v>0</v>
      </c>
      <c r="F199" s="311">
        <f t="shared" si="215"/>
        <v>-8238536</v>
      </c>
      <c r="G199" s="312">
        <f t="shared" si="215"/>
        <v>-585000</v>
      </c>
      <c r="H199" s="311">
        <f t="shared" si="215"/>
        <v>0</v>
      </c>
      <c r="I199" s="311">
        <f t="shared" si="215"/>
        <v>0</v>
      </c>
      <c r="J199" s="311">
        <f t="shared" ref="J199" si="223">+J137-J169</f>
        <v>-8823536</v>
      </c>
      <c r="K199" s="1248">
        <f t="shared" si="215"/>
        <v>0</v>
      </c>
      <c r="L199" s="313">
        <f t="shared" si="215"/>
        <v>0</v>
      </c>
      <c r="M199" s="314">
        <f t="shared" si="215"/>
        <v>0</v>
      </c>
      <c r="N199" s="311">
        <f t="shared" si="215"/>
        <v>0</v>
      </c>
      <c r="O199" s="311">
        <f t="shared" si="215"/>
        <v>0</v>
      </c>
      <c r="P199" s="311">
        <f t="shared" ref="P199:Q199" si="224">+P137-P169</f>
        <v>0</v>
      </c>
      <c r="Q199" s="311">
        <f t="shared" si="224"/>
        <v>0</v>
      </c>
      <c r="R199" s="342">
        <f t="shared" si="215"/>
        <v>-8823536</v>
      </c>
      <c r="S199" s="341"/>
    </row>
    <row r="200" spans="1:19" hidden="1">
      <c r="A200" s="305" t="s">
        <v>24</v>
      </c>
      <c r="B200" s="311">
        <f t="shared" si="215"/>
        <v>0</v>
      </c>
      <c r="C200" s="311">
        <f t="shared" si="215"/>
        <v>0</v>
      </c>
      <c r="D200" s="311">
        <f t="shared" si="215"/>
        <v>0</v>
      </c>
      <c r="E200" s="311">
        <f t="shared" si="215"/>
        <v>0</v>
      </c>
      <c r="F200" s="311">
        <f t="shared" si="215"/>
        <v>0</v>
      </c>
      <c r="G200" s="312">
        <f t="shared" si="215"/>
        <v>0</v>
      </c>
      <c r="H200" s="311">
        <f t="shared" si="215"/>
        <v>0</v>
      </c>
      <c r="I200" s="311">
        <f t="shared" si="215"/>
        <v>0</v>
      </c>
      <c r="J200" s="311">
        <f t="shared" ref="J200" si="225">+J138-J170</f>
        <v>0</v>
      </c>
      <c r="K200" s="1248">
        <f t="shared" si="215"/>
        <v>0</v>
      </c>
      <c r="L200" s="313">
        <f t="shared" si="215"/>
        <v>81615</v>
      </c>
      <c r="M200" s="314">
        <f t="shared" si="215"/>
        <v>0</v>
      </c>
      <c r="N200" s="311">
        <f t="shared" si="215"/>
        <v>0</v>
      </c>
      <c r="O200" s="311">
        <f t="shared" si="215"/>
        <v>0</v>
      </c>
      <c r="P200" s="311">
        <f t="shared" ref="P200:Q200" si="226">+P138-P170</f>
        <v>0</v>
      </c>
      <c r="Q200" s="311">
        <f t="shared" si="226"/>
        <v>0</v>
      </c>
      <c r="R200" s="342">
        <f t="shared" si="215"/>
        <v>81615</v>
      </c>
      <c r="S200" s="341"/>
    </row>
    <row r="201" spans="1:19" hidden="1">
      <c r="A201" s="310" t="s">
        <v>73</v>
      </c>
      <c r="B201" s="311">
        <f t="shared" si="215"/>
        <v>0</v>
      </c>
      <c r="C201" s="311">
        <f t="shared" si="215"/>
        <v>0</v>
      </c>
      <c r="D201" s="311">
        <f t="shared" si="215"/>
        <v>0</v>
      </c>
      <c r="E201" s="311">
        <f t="shared" si="215"/>
        <v>0</v>
      </c>
      <c r="F201" s="311">
        <f t="shared" si="215"/>
        <v>0</v>
      </c>
      <c r="G201" s="312">
        <f t="shared" si="215"/>
        <v>0</v>
      </c>
      <c r="H201" s="311">
        <f t="shared" si="215"/>
        <v>0</v>
      </c>
      <c r="I201" s="311">
        <f t="shared" si="215"/>
        <v>0</v>
      </c>
      <c r="J201" s="311">
        <f t="shared" ref="J201" si="227">+J139-J171</f>
        <v>0</v>
      </c>
      <c r="K201" s="1248">
        <f>+K139-K171</f>
        <v>0</v>
      </c>
      <c r="L201" s="313">
        <f t="shared" si="215"/>
        <v>-1491000</v>
      </c>
      <c r="M201" s="314">
        <f t="shared" si="215"/>
        <v>-2928000</v>
      </c>
      <c r="N201" s="311">
        <f t="shared" si="215"/>
        <v>-2546000</v>
      </c>
      <c r="O201" s="311">
        <f t="shared" si="215"/>
        <v>-2910000</v>
      </c>
      <c r="P201" s="311">
        <f t="shared" ref="P201:Q201" si="228">+P139-P171</f>
        <v>0</v>
      </c>
      <c r="Q201" s="311">
        <f t="shared" si="228"/>
        <v>0</v>
      </c>
      <c r="R201" s="342">
        <f t="shared" si="215"/>
        <v>-9875000</v>
      </c>
      <c r="S201" s="311"/>
    </row>
    <row r="202" spans="1:19" hidden="1">
      <c r="A202" s="310" t="s">
        <v>74</v>
      </c>
      <c r="B202" s="311">
        <f t="shared" si="215"/>
        <v>0</v>
      </c>
      <c r="C202" s="311">
        <f t="shared" si="215"/>
        <v>0</v>
      </c>
      <c r="D202" s="311">
        <f t="shared" si="215"/>
        <v>0</v>
      </c>
      <c r="E202" s="311">
        <f t="shared" si="215"/>
        <v>0</v>
      </c>
      <c r="F202" s="311">
        <f t="shared" si="215"/>
        <v>0</v>
      </c>
      <c r="G202" s="312">
        <f t="shared" si="215"/>
        <v>0</v>
      </c>
      <c r="H202" s="311">
        <f t="shared" si="215"/>
        <v>0</v>
      </c>
      <c r="I202" s="311">
        <f t="shared" si="215"/>
        <v>0</v>
      </c>
      <c r="J202" s="311">
        <f t="shared" ref="J202" si="229">+J140-J172</f>
        <v>0</v>
      </c>
      <c r="K202" s="1248">
        <f>+K140-K172</f>
        <v>0</v>
      </c>
      <c r="L202" s="313">
        <f t="shared" si="215"/>
        <v>-2609000</v>
      </c>
      <c r="M202" s="314">
        <f t="shared" si="215"/>
        <v>-5122000</v>
      </c>
      <c r="N202" s="311">
        <f t="shared" si="215"/>
        <v>-4454000</v>
      </c>
      <c r="O202" s="311">
        <f t="shared" si="215"/>
        <v>-5090000</v>
      </c>
      <c r="P202" s="311">
        <f t="shared" ref="P202:Q202" si="230">+P140-P172</f>
        <v>0</v>
      </c>
      <c r="Q202" s="311">
        <f t="shared" si="230"/>
        <v>0</v>
      </c>
      <c r="R202" s="342">
        <f t="shared" si="215"/>
        <v>-17275000</v>
      </c>
      <c r="S202" s="341"/>
    </row>
    <row r="203" spans="1:19" hidden="1">
      <c r="A203" s="310" t="s">
        <v>29</v>
      </c>
      <c r="B203" s="311">
        <f t="shared" si="215"/>
        <v>0</v>
      </c>
      <c r="C203" s="311">
        <f t="shared" si="215"/>
        <v>0</v>
      </c>
      <c r="D203" s="311">
        <f t="shared" si="215"/>
        <v>0</v>
      </c>
      <c r="E203" s="311">
        <f t="shared" si="215"/>
        <v>0</v>
      </c>
      <c r="F203" s="311">
        <f t="shared" si="215"/>
        <v>0</v>
      </c>
      <c r="G203" s="312">
        <f t="shared" si="215"/>
        <v>0</v>
      </c>
      <c r="H203" s="311">
        <f t="shared" si="215"/>
        <v>0</v>
      </c>
      <c r="I203" s="311">
        <f t="shared" si="215"/>
        <v>0</v>
      </c>
      <c r="J203" s="311">
        <f t="shared" ref="J203" si="231">+J141-J173</f>
        <v>0</v>
      </c>
      <c r="K203" s="1248">
        <f t="shared" si="215"/>
        <v>0</v>
      </c>
      <c r="L203" s="313">
        <f t="shared" si="215"/>
        <v>-499</v>
      </c>
      <c r="M203" s="314">
        <f t="shared" si="215"/>
        <v>0</v>
      </c>
      <c r="N203" s="311">
        <f t="shared" si="215"/>
        <v>0</v>
      </c>
      <c r="O203" s="311">
        <f t="shared" si="215"/>
        <v>0</v>
      </c>
      <c r="P203" s="311">
        <f t="shared" ref="P203:Q203" si="232">+P141-P173</f>
        <v>0</v>
      </c>
      <c r="Q203" s="311">
        <f t="shared" si="232"/>
        <v>0</v>
      </c>
      <c r="R203" s="342">
        <f t="shared" si="215"/>
        <v>-499</v>
      </c>
      <c r="S203" s="341"/>
    </row>
    <row r="204" spans="1:19" ht="24" hidden="1">
      <c r="A204" s="310" t="s">
        <v>38</v>
      </c>
      <c r="B204" s="2049">
        <f t="shared" si="215"/>
        <v>0</v>
      </c>
      <c r="C204" s="2049">
        <f t="shared" si="215"/>
        <v>0</v>
      </c>
      <c r="D204" s="2049">
        <f t="shared" si="215"/>
        <v>0</v>
      </c>
      <c r="E204" s="2049">
        <f t="shared" si="215"/>
        <v>0</v>
      </c>
      <c r="F204" s="2049">
        <f t="shared" si="215"/>
        <v>0</v>
      </c>
      <c r="G204" s="2050">
        <f t="shared" si="215"/>
        <v>0</v>
      </c>
      <c r="H204" s="2049">
        <f t="shared" si="215"/>
        <v>0</v>
      </c>
      <c r="I204" s="2049">
        <f t="shared" si="215"/>
        <v>0</v>
      </c>
      <c r="J204" s="2049">
        <f t="shared" ref="J204" si="233">+J142-J174</f>
        <v>0</v>
      </c>
      <c r="K204" s="2051">
        <f t="shared" si="215"/>
        <v>0</v>
      </c>
      <c r="L204" s="2052">
        <f t="shared" si="215"/>
        <v>0</v>
      </c>
      <c r="M204" s="2053">
        <f t="shared" si="215"/>
        <v>0</v>
      </c>
      <c r="N204" s="2049">
        <f t="shared" si="215"/>
        <v>0</v>
      </c>
      <c r="O204" s="2049">
        <f t="shared" si="215"/>
        <v>0</v>
      </c>
      <c r="P204" s="2049">
        <f t="shared" ref="P204:Q204" si="234">+P142-P174</f>
        <v>0</v>
      </c>
      <c r="Q204" s="2049">
        <f t="shared" si="234"/>
        <v>0</v>
      </c>
      <c r="R204" s="2054">
        <f>+R142-R174</f>
        <v>0</v>
      </c>
      <c r="S204" s="2055"/>
    </row>
    <row r="205" spans="1:19" ht="13.5" hidden="1" customHeight="1">
      <c r="A205" s="310" t="s">
        <v>32</v>
      </c>
      <c r="B205" s="311">
        <f t="shared" si="215"/>
        <v>0</v>
      </c>
      <c r="C205" s="311" t="e">
        <f t="shared" si="215"/>
        <v>#REF!</v>
      </c>
      <c r="D205" s="311" t="e">
        <f t="shared" si="215"/>
        <v>#REF!</v>
      </c>
      <c r="E205" s="311" t="e">
        <f t="shared" si="215"/>
        <v>#REF!</v>
      </c>
      <c r="F205" s="311">
        <f t="shared" si="215"/>
        <v>0</v>
      </c>
      <c r="G205" s="312">
        <f t="shared" si="215"/>
        <v>0</v>
      </c>
      <c r="H205" s="311">
        <f t="shared" si="215"/>
        <v>0</v>
      </c>
      <c r="I205" s="311">
        <f t="shared" si="215"/>
        <v>54083</v>
      </c>
      <c r="J205" s="311">
        <f t="shared" ref="J205" si="235">+J143-J175</f>
        <v>0</v>
      </c>
      <c r="K205" s="1248">
        <f t="shared" si="215"/>
        <v>0</v>
      </c>
      <c r="L205" s="313">
        <f t="shared" si="215"/>
        <v>0</v>
      </c>
      <c r="M205" s="314">
        <f t="shared" si="215"/>
        <v>2550000</v>
      </c>
      <c r="N205" s="311">
        <f t="shared" si="215"/>
        <v>5100000</v>
      </c>
      <c r="O205" s="311">
        <f t="shared" si="215"/>
        <v>0</v>
      </c>
      <c r="P205" s="311">
        <f t="shared" ref="P205:Q205" si="236">+P143-P175</f>
        <v>0</v>
      </c>
      <c r="Q205" s="311">
        <f t="shared" si="236"/>
        <v>0</v>
      </c>
      <c r="R205" s="342">
        <f>+R143-R175</f>
        <v>7650000</v>
      </c>
      <c r="S205" s="341"/>
    </row>
    <row r="206" spans="1:19" ht="13.5" hidden="1" customHeight="1">
      <c r="A206" s="315" t="s">
        <v>31</v>
      </c>
      <c r="B206" s="311">
        <f t="shared" si="215"/>
        <v>0</v>
      </c>
      <c r="C206" s="311">
        <f t="shared" si="215"/>
        <v>0</v>
      </c>
      <c r="D206" s="311">
        <f t="shared" si="215"/>
        <v>0</v>
      </c>
      <c r="E206" s="311">
        <f t="shared" si="215"/>
        <v>0</v>
      </c>
      <c r="F206" s="311">
        <f t="shared" si="215"/>
        <v>0</v>
      </c>
      <c r="G206" s="312">
        <f t="shared" si="215"/>
        <v>0</v>
      </c>
      <c r="H206" s="311">
        <f t="shared" si="215"/>
        <v>0</v>
      </c>
      <c r="I206" s="311">
        <f t="shared" si="215"/>
        <v>-1023120</v>
      </c>
      <c r="J206" s="311">
        <f t="shared" ref="J206" si="237">+J144-J176</f>
        <v>-1023120</v>
      </c>
      <c r="K206" s="1248">
        <f t="shared" si="215"/>
        <v>0</v>
      </c>
      <c r="L206" s="313">
        <f t="shared" si="215"/>
        <v>0</v>
      </c>
      <c r="M206" s="314">
        <f t="shared" si="215"/>
        <v>0</v>
      </c>
      <c r="N206" s="311">
        <f t="shared" si="215"/>
        <v>0</v>
      </c>
      <c r="O206" s="311">
        <f t="shared" si="215"/>
        <v>0</v>
      </c>
      <c r="P206" s="311">
        <f t="shared" ref="P206:Q206" si="238">+P144-P176</f>
        <v>0</v>
      </c>
      <c r="Q206" s="311">
        <f t="shared" si="238"/>
        <v>0</v>
      </c>
      <c r="R206" s="342">
        <f>+R144-R176</f>
        <v>-1023120</v>
      </c>
      <c r="S206" s="343"/>
    </row>
    <row r="207" spans="1:19" ht="13.5" hidden="1" thickBot="1">
      <c r="A207" s="316" t="s">
        <v>33</v>
      </c>
      <c r="B207" s="317">
        <f t="shared" si="215"/>
        <v>0</v>
      </c>
      <c r="C207" s="317" t="e">
        <f t="shared" si="215"/>
        <v>#REF!</v>
      </c>
      <c r="D207" s="317" t="e">
        <f t="shared" si="215"/>
        <v>#REF!</v>
      </c>
      <c r="E207" s="317" t="e">
        <f t="shared" si="215"/>
        <v>#REF!</v>
      </c>
      <c r="F207" s="317">
        <f t="shared" si="215"/>
        <v>0</v>
      </c>
      <c r="G207" s="318">
        <f t="shared" si="215"/>
        <v>0</v>
      </c>
      <c r="H207" s="317">
        <f t="shared" si="215"/>
        <v>0</v>
      </c>
      <c r="I207" s="317">
        <f t="shared" si="215"/>
        <v>-54848</v>
      </c>
      <c r="J207" s="317">
        <f t="shared" ref="J207" si="239">+J145-J177</f>
        <v>-256249</v>
      </c>
      <c r="K207" s="1249">
        <f t="shared" si="215"/>
        <v>139517</v>
      </c>
      <c r="L207" s="319">
        <f t="shared" si="215"/>
        <v>11638625</v>
      </c>
      <c r="M207" s="320">
        <f t="shared" si="215"/>
        <v>78177353</v>
      </c>
      <c r="N207" s="317">
        <f t="shared" si="215"/>
        <v>18931512</v>
      </c>
      <c r="O207" s="317">
        <f t="shared" si="215"/>
        <v>1590750</v>
      </c>
      <c r="P207" s="317">
        <f t="shared" ref="P207:Q207" si="240">+P145-P177</f>
        <v>1590750</v>
      </c>
      <c r="Q207" s="317">
        <f t="shared" si="240"/>
        <v>0</v>
      </c>
      <c r="R207" s="2043">
        <f>+R145-R177</f>
        <v>111812258</v>
      </c>
      <c r="S207" s="344"/>
    </row>
    <row r="208" spans="1:19" ht="13.5" hidden="1" thickBot="1">
      <c r="A208" s="345"/>
      <c r="B208" s="346">
        <f>SUM(B196:B207)</f>
        <v>0</v>
      </c>
      <c r="C208" s="346" t="e">
        <f t="shared" ref="C208:M208" si="241">SUM(C196:C207)</f>
        <v>#REF!</v>
      </c>
      <c r="D208" s="346" t="e">
        <f t="shared" si="241"/>
        <v>#REF!</v>
      </c>
      <c r="E208" s="346" t="e">
        <f t="shared" si="241"/>
        <v>#REF!</v>
      </c>
      <c r="F208" s="346">
        <f t="shared" si="241"/>
        <v>-8238536</v>
      </c>
      <c r="G208" s="346">
        <f t="shared" si="241"/>
        <v>-585000</v>
      </c>
      <c r="H208" s="347">
        <f t="shared" si="241"/>
        <v>0</v>
      </c>
      <c r="I208" s="347">
        <f t="shared" si="241"/>
        <v>-1023884</v>
      </c>
      <c r="J208" s="347">
        <f t="shared" ref="J208" si="242">SUM(J196:J207)</f>
        <v>-10102905</v>
      </c>
      <c r="K208" s="1253">
        <f t="shared" si="241"/>
        <v>139517</v>
      </c>
      <c r="L208" s="348">
        <f t="shared" si="241"/>
        <v>17455788</v>
      </c>
      <c r="M208" s="346">
        <f t="shared" si="241"/>
        <v>74677703</v>
      </c>
      <c r="N208" s="346">
        <f>SUM(N196:N207)</f>
        <v>17940762</v>
      </c>
      <c r="O208" s="346">
        <f>SUM(O196:O207)</f>
        <v>-5500000</v>
      </c>
      <c r="P208" s="346">
        <f t="shared" ref="P208:Q208" si="243">SUM(P196:P207)</f>
        <v>2500000</v>
      </c>
      <c r="Q208" s="346">
        <f t="shared" si="243"/>
        <v>0</v>
      </c>
      <c r="R208" s="346">
        <f>SUM(R196:R207)</f>
        <v>97110865</v>
      </c>
      <c r="S208" s="349"/>
    </row>
    <row r="209" spans="1:19" ht="2.25" hidden="1" customHeight="1">
      <c r="A209" s="2"/>
      <c r="B209" s="2"/>
      <c r="C209" s="2"/>
      <c r="D209" s="2"/>
      <c r="E209" s="2"/>
      <c r="F209" s="2"/>
      <c r="H209" s="350"/>
      <c r="I209" s="350"/>
      <c r="J209" s="350"/>
      <c r="K209" s="1254"/>
      <c r="L209" s="351"/>
      <c r="R209" s="2"/>
    </row>
    <row r="210" spans="1:19" hidden="1">
      <c r="A210" s="327" t="s">
        <v>55</v>
      </c>
      <c r="B210" s="352">
        <f t="shared" ref="B210:R210" si="244">+B133-B165</f>
        <v>0</v>
      </c>
      <c r="C210" s="353" t="e">
        <f t="shared" si="244"/>
        <v>#REF!</v>
      </c>
      <c r="D210" s="353" t="e">
        <f t="shared" si="244"/>
        <v>#REF!</v>
      </c>
      <c r="E210" s="353" t="e">
        <f t="shared" si="244"/>
        <v>#REF!</v>
      </c>
      <c r="F210" s="352">
        <f t="shared" si="244"/>
        <v>-8238536</v>
      </c>
      <c r="G210" s="352">
        <f t="shared" si="244"/>
        <v>-585000</v>
      </c>
      <c r="H210" s="354">
        <f t="shared" si="244"/>
        <v>0</v>
      </c>
      <c r="I210" s="354">
        <f t="shared" si="244"/>
        <v>-1023884</v>
      </c>
      <c r="J210" s="354">
        <f t="shared" ref="J210" si="245">+J133-J165</f>
        <v>-10102905</v>
      </c>
      <c r="K210" s="1255">
        <f t="shared" si="244"/>
        <v>139517</v>
      </c>
      <c r="L210" s="355">
        <f t="shared" si="244"/>
        <v>17455788</v>
      </c>
      <c r="M210" s="352">
        <f t="shared" si="244"/>
        <v>74677703</v>
      </c>
      <c r="N210" s="352">
        <f t="shared" si="244"/>
        <v>17940762</v>
      </c>
      <c r="O210" s="352">
        <f t="shared" si="244"/>
        <v>-5500000</v>
      </c>
      <c r="P210" s="352">
        <f t="shared" ref="P210:Q210" si="246">+P133-P165</f>
        <v>2500000</v>
      </c>
      <c r="Q210" s="352">
        <f t="shared" si="246"/>
        <v>0</v>
      </c>
      <c r="R210" s="352">
        <f t="shared" si="244"/>
        <v>97110865</v>
      </c>
    </row>
    <row r="211" spans="1:19" ht="14.25" hidden="1" customHeight="1" thickBot="1">
      <c r="A211" s="2"/>
      <c r="B211" s="2"/>
      <c r="C211" s="2"/>
      <c r="D211" s="2"/>
      <c r="E211" s="2"/>
      <c r="F211" s="2"/>
      <c r="G211" s="356">
        <f>+G210-G208</f>
        <v>0</v>
      </c>
      <c r="H211" s="357">
        <f>+H210-H208</f>
        <v>0</v>
      </c>
      <c r="I211" s="356">
        <f t="shared" ref="I211:R211" si="247">+I210-I208</f>
        <v>0</v>
      </c>
      <c r="J211" s="356">
        <f t="shared" ref="J211" si="248">+J210-J208</f>
        <v>0</v>
      </c>
      <c r="K211" s="1256">
        <f t="shared" si="247"/>
        <v>0</v>
      </c>
      <c r="L211" s="358">
        <f t="shared" si="247"/>
        <v>0</v>
      </c>
      <c r="M211" s="356">
        <f t="shared" si="247"/>
        <v>0</v>
      </c>
      <c r="N211" s="356">
        <f t="shared" si="247"/>
        <v>0</v>
      </c>
      <c r="O211" s="356">
        <f t="shared" si="247"/>
        <v>0</v>
      </c>
      <c r="P211" s="356">
        <f t="shared" ref="P211:Q211" si="249">+P210-P208</f>
        <v>0</v>
      </c>
      <c r="Q211" s="356">
        <f t="shared" si="249"/>
        <v>0</v>
      </c>
      <c r="R211" s="356">
        <f t="shared" si="247"/>
        <v>0</v>
      </c>
    </row>
    <row r="212" spans="1:19" ht="12" hidden="1" customHeight="1">
      <c r="A212" s="2"/>
      <c r="B212" s="2"/>
      <c r="C212" s="2"/>
      <c r="D212" s="2"/>
      <c r="E212" s="2"/>
      <c r="F212" s="2"/>
      <c r="H212" s="350"/>
      <c r="R212" s="356"/>
    </row>
    <row r="213" spans="1:19" ht="13.5" hidden="1" customHeight="1">
      <c r="A213" s="2"/>
      <c r="B213" s="2"/>
      <c r="C213" s="2"/>
      <c r="D213" s="2"/>
      <c r="E213" s="2"/>
      <c r="F213" s="2"/>
      <c r="R213" s="356"/>
    </row>
    <row r="214" spans="1:19" hidden="1">
      <c r="A214" s="2"/>
      <c r="B214" s="2"/>
      <c r="C214" s="2"/>
      <c r="D214" s="2"/>
      <c r="E214" s="2"/>
      <c r="F214" s="2"/>
      <c r="J214" s="2427" t="s">
        <v>346</v>
      </c>
      <c r="K214" s="2427"/>
      <c r="L214" s="2427"/>
      <c r="M214" s="2427"/>
      <c r="N214" s="2427"/>
      <c r="O214" s="2427"/>
      <c r="R214" s="356"/>
    </row>
    <row r="215" spans="1:19" ht="25.5" hidden="1" customHeight="1">
      <c r="A215" s="2"/>
      <c r="B215" s="359" t="s">
        <v>79</v>
      </c>
      <c r="C215" s="5"/>
      <c r="D215" s="5"/>
      <c r="E215" s="5"/>
      <c r="F215" s="2421" t="s">
        <v>5</v>
      </c>
      <c r="G215" s="2422"/>
      <c r="H215" s="2422"/>
      <c r="I215" s="2422"/>
      <c r="J215" s="2422"/>
      <c r="K215" s="2422"/>
      <c r="L215" s="2422"/>
      <c r="M215" s="2422"/>
      <c r="N215" s="2422"/>
      <c r="O215" s="2423"/>
      <c r="P215" s="2056" t="s">
        <v>80</v>
      </c>
      <c r="Q215" s="2056" t="s">
        <v>81</v>
      </c>
      <c r="R215" s="360"/>
      <c r="S215" s="360"/>
    </row>
    <row r="216" spans="1:19" ht="51.75" hidden="1" customHeight="1">
      <c r="A216" s="2"/>
      <c r="B216" s="359" t="s">
        <v>82</v>
      </c>
      <c r="C216" s="361"/>
      <c r="D216" s="361"/>
      <c r="E216" s="361"/>
      <c r="F216" s="2424"/>
      <c r="G216" s="2424"/>
      <c r="H216" s="2424"/>
      <c r="I216" s="2424"/>
      <c r="J216" s="2424"/>
      <c r="K216" s="2424"/>
      <c r="L216" s="2424"/>
      <c r="M216" s="2424"/>
      <c r="N216" s="2424"/>
      <c r="O216" s="2424"/>
      <c r="P216" s="1665"/>
      <c r="Q216" s="1229"/>
      <c r="R216" s="1665"/>
      <c r="S216" s="1229"/>
    </row>
    <row r="217" spans="1:19" ht="21" hidden="1" customHeight="1">
      <c r="A217" s="2"/>
      <c r="B217" s="359" t="s">
        <v>83</v>
      </c>
      <c r="C217" s="361"/>
      <c r="D217" s="361"/>
      <c r="E217" s="361"/>
      <c r="F217" s="2425"/>
      <c r="G217" s="2425"/>
      <c r="H217" s="2425"/>
      <c r="I217" s="2425"/>
      <c r="J217" s="2425"/>
      <c r="K217" s="2425"/>
      <c r="L217" s="2425"/>
      <c r="M217" s="2425"/>
      <c r="N217" s="2425"/>
      <c r="O217" s="2425"/>
      <c r="P217" s="362"/>
      <c r="Q217" s="362"/>
      <c r="R217" s="362"/>
      <c r="S217" s="362"/>
    </row>
    <row r="218" spans="1:19" ht="34.5" hidden="1" customHeight="1">
      <c r="A218" s="2"/>
      <c r="B218" s="359" t="s">
        <v>84</v>
      </c>
      <c r="C218" s="361"/>
      <c r="D218" s="361"/>
      <c r="E218" s="361"/>
      <c r="F218" s="2426"/>
      <c r="G218" s="2426"/>
      <c r="H218" s="2426"/>
      <c r="I218" s="2426"/>
      <c r="J218" s="2426"/>
      <c r="K218" s="2426"/>
      <c r="L218" s="2426"/>
      <c r="M218" s="2426"/>
      <c r="N218" s="2426"/>
      <c r="O218" s="2426"/>
      <c r="P218" s="363"/>
      <c r="Q218" s="363"/>
      <c r="R218" s="363"/>
      <c r="S218" s="363"/>
    </row>
    <row r="219" spans="1:19" ht="23.25" hidden="1" customHeight="1">
      <c r="A219" s="2"/>
      <c r="B219" s="359" t="s">
        <v>85</v>
      </c>
      <c r="C219" s="361"/>
      <c r="D219" s="361"/>
      <c r="E219" s="361"/>
      <c r="F219" s="2425"/>
      <c r="G219" s="2425"/>
      <c r="H219" s="2425"/>
      <c r="I219" s="2425"/>
      <c r="J219" s="2425"/>
      <c r="K219" s="2425"/>
      <c r="L219" s="2425"/>
      <c r="M219" s="2425"/>
      <c r="N219" s="2425"/>
      <c r="O219" s="2425"/>
      <c r="P219" s="363"/>
      <c r="Q219" s="363"/>
      <c r="R219" s="363"/>
      <c r="S219" s="363"/>
    </row>
    <row r="220" spans="1:19" ht="34.5" hidden="1" customHeight="1">
      <c r="A220" s="2"/>
      <c r="B220" s="359" t="s">
        <v>86</v>
      </c>
      <c r="C220" s="361"/>
      <c r="D220" s="361"/>
      <c r="E220" s="361"/>
      <c r="F220" s="2426"/>
      <c r="G220" s="2426"/>
      <c r="H220" s="2426"/>
      <c r="I220" s="2426"/>
      <c r="J220" s="2426"/>
      <c r="K220" s="2426"/>
      <c r="L220" s="2426"/>
      <c r="M220" s="2426"/>
      <c r="N220" s="2426"/>
      <c r="O220" s="2426"/>
      <c r="P220" s="363"/>
      <c r="Q220" s="363"/>
      <c r="R220" s="363"/>
      <c r="S220" s="363"/>
    </row>
    <row r="221" spans="1:19" ht="24.75" hidden="1" customHeight="1">
      <c r="A221" s="2"/>
      <c r="B221" s="364" t="s">
        <v>87</v>
      </c>
      <c r="C221" s="5"/>
      <c r="D221" s="5"/>
      <c r="E221" s="5"/>
      <c r="F221" s="2409" t="s">
        <v>88</v>
      </c>
      <c r="G221" s="2410"/>
      <c r="H221" s="2410"/>
      <c r="I221" s="2410"/>
      <c r="J221" s="2410"/>
      <c r="K221" s="2410"/>
      <c r="L221" s="2410"/>
      <c r="M221" s="2410"/>
      <c r="N221" s="2410"/>
      <c r="O221" s="2411"/>
      <c r="P221" s="365">
        <f>SUM(P216:P220)</f>
        <v>0</v>
      </c>
      <c r="Q221" s="365">
        <f>SUM(Q216:Q220)</f>
        <v>0</v>
      </c>
      <c r="R221" s="365"/>
      <c r="S221" s="365"/>
    </row>
    <row r="222" spans="1:19" ht="21" hidden="1" customHeight="1">
      <c r="A222" s="2"/>
      <c r="B222" s="2"/>
      <c r="C222" s="2"/>
      <c r="D222" s="2"/>
      <c r="E222" s="2"/>
      <c r="F222" s="2"/>
      <c r="R222" s="366"/>
      <c r="S222" s="366"/>
    </row>
    <row r="223" spans="1:19" hidden="1">
      <c r="A223" s="2"/>
      <c r="B223" s="2"/>
      <c r="C223" s="2"/>
      <c r="D223" s="2"/>
      <c r="E223" s="2"/>
      <c r="F223" s="2"/>
      <c r="R223" s="2"/>
    </row>
    <row r="224" spans="1:19" hidden="1">
      <c r="A224" s="2"/>
      <c r="B224" s="2"/>
      <c r="C224" s="2"/>
      <c r="D224" s="2"/>
      <c r="E224" s="2"/>
      <c r="F224" s="2"/>
      <c r="R224" s="356">
        <f>-R221+R222</f>
        <v>0</v>
      </c>
    </row>
    <row r="225" spans="1:18" hidden="1">
      <c r="A225" s="2"/>
      <c r="B225" s="2"/>
      <c r="C225" s="2"/>
      <c r="D225" s="2"/>
      <c r="E225" s="2"/>
      <c r="F225" s="2"/>
      <c r="R225" s="2"/>
    </row>
    <row r="226" spans="1:18" hidden="1">
      <c r="A226" s="2"/>
      <c r="B226" s="2"/>
      <c r="C226" s="2"/>
      <c r="D226" s="2"/>
      <c r="E226" s="2"/>
      <c r="F226" s="2"/>
      <c r="R226" s="2"/>
    </row>
    <row r="227" spans="1:18" hidden="1">
      <c r="A227" s="2"/>
      <c r="B227" s="2"/>
      <c r="C227" s="2"/>
      <c r="D227" s="2"/>
      <c r="E227" s="2"/>
      <c r="F227" s="2"/>
      <c r="R227" s="2"/>
    </row>
    <row r="228" spans="1:18" hidden="1">
      <c r="A228" s="2"/>
      <c r="B228" s="2"/>
      <c r="C228" s="2"/>
      <c r="D228" s="2"/>
      <c r="E228" s="2"/>
      <c r="F228" s="2"/>
      <c r="R228" s="2"/>
    </row>
    <row r="229" spans="1:18" hidden="1">
      <c r="A229" s="2"/>
      <c r="B229" s="2"/>
      <c r="C229" s="2"/>
      <c r="D229" s="2"/>
      <c r="E229" s="2"/>
      <c r="F229" s="2"/>
      <c r="R229" s="2"/>
    </row>
    <row r="230" spans="1:18" hidden="1">
      <c r="A230" s="2"/>
      <c r="B230" s="2"/>
      <c r="C230" s="2"/>
      <c r="D230" s="2"/>
      <c r="E230" s="2"/>
      <c r="F230" s="2"/>
      <c r="R230" s="2"/>
    </row>
    <row r="231" spans="1:18" hidden="1">
      <c r="A231" s="2"/>
      <c r="B231" s="2"/>
      <c r="C231" s="2"/>
      <c r="D231" s="2"/>
      <c r="E231" s="2"/>
      <c r="F231" s="2"/>
      <c r="R231" s="2"/>
    </row>
    <row r="232" spans="1:18" hidden="1">
      <c r="A232" s="2"/>
      <c r="B232" s="2"/>
      <c r="C232" s="2"/>
      <c r="D232" s="2"/>
      <c r="E232" s="2"/>
      <c r="F232" s="2"/>
      <c r="R232" s="2"/>
    </row>
    <row r="233" spans="1:18" hidden="1">
      <c r="A233" s="2"/>
      <c r="B233" s="2"/>
      <c r="C233" s="2"/>
      <c r="D233" s="2"/>
      <c r="E233" s="2"/>
      <c r="F233" s="2"/>
      <c r="R233" s="2"/>
    </row>
    <row r="234" spans="1:18" hidden="1">
      <c r="A234" s="2"/>
      <c r="B234" s="2"/>
      <c r="C234" s="2"/>
      <c r="D234" s="2"/>
      <c r="E234" s="2"/>
      <c r="F234" s="2"/>
      <c r="R234" s="2"/>
    </row>
    <row r="235" spans="1:18" hidden="1">
      <c r="A235" s="2"/>
      <c r="B235" s="2"/>
      <c r="C235" s="2"/>
      <c r="D235" s="2"/>
      <c r="E235" s="2"/>
      <c r="F235" s="2"/>
      <c r="R235" s="2"/>
    </row>
    <row r="236" spans="1:18" hidden="1">
      <c r="A236" s="2"/>
      <c r="B236" s="2"/>
      <c r="C236" s="2"/>
      <c r="D236" s="2"/>
      <c r="E236" s="2"/>
      <c r="F236" s="2"/>
      <c r="R236" s="2"/>
    </row>
    <row r="237" spans="1:18" hidden="1">
      <c r="A237" s="2"/>
      <c r="B237" s="2"/>
      <c r="C237" s="2"/>
      <c r="D237" s="2"/>
      <c r="E237" s="2"/>
      <c r="F237" s="2"/>
      <c r="R237" s="2"/>
    </row>
    <row r="238" spans="1:18" hidden="1">
      <c r="A238" s="2"/>
      <c r="B238" s="2"/>
      <c r="C238" s="2"/>
      <c r="D238" s="2"/>
      <c r="E238" s="2"/>
      <c r="F238" s="2"/>
      <c r="R238" s="2"/>
    </row>
    <row r="239" spans="1:18" hidden="1">
      <c r="A239" s="2"/>
      <c r="B239" s="2"/>
      <c r="C239" s="2"/>
      <c r="D239" s="2"/>
      <c r="E239" s="2"/>
      <c r="F239" s="2"/>
      <c r="R239" s="2"/>
    </row>
    <row r="240" spans="1:18" hidden="1">
      <c r="A240" s="2"/>
      <c r="B240" s="2"/>
      <c r="C240" s="2"/>
      <c r="D240" s="2"/>
      <c r="E240" s="2"/>
      <c r="F240" s="2"/>
      <c r="R240" s="2"/>
    </row>
    <row r="241" spans="1:18" hidden="1">
      <c r="A241" s="2"/>
      <c r="B241" s="2"/>
      <c r="C241" s="2"/>
      <c r="D241" s="2"/>
      <c r="E241" s="2"/>
      <c r="F241" s="2"/>
      <c r="R241" s="2"/>
    </row>
    <row r="242" spans="1:18" hidden="1">
      <c r="A242" s="2"/>
      <c r="B242" s="2"/>
      <c r="C242" s="2"/>
      <c r="D242" s="2"/>
      <c r="E242" s="2"/>
      <c r="F242" s="2"/>
      <c r="R242" s="2"/>
    </row>
    <row r="243" spans="1:18" hidden="1">
      <c r="A243" s="2"/>
      <c r="B243" s="2"/>
      <c r="C243" s="2"/>
      <c r="D243" s="2"/>
      <c r="E243" s="2"/>
      <c r="F243" s="2"/>
      <c r="R243" s="2"/>
    </row>
    <row r="244" spans="1:18" hidden="1">
      <c r="A244" s="2"/>
      <c r="B244" s="2"/>
      <c r="C244" s="2"/>
      <c r="D244" s="2"/>
      <c r="E244" s="2"/>
      <c r="F244" s="2"/>
      <c r="R244" s="2"/>
    </row>
    <row r="245" spans="1:18" hidden="1">
      <c r="A245" s="2"/>
      <c r="B245" s="2"/>
      <c r="C245" s="2"/>
      <c r="D245" s="2"/>
      <c r="E245" s="2"/>
      <c r="F245" s="2"/>
      <c r="R245" s="2"/>
    </row>
    <row r="246" spans="1:18" hidden="1">
      <c r="A246" s="2"/>
      <c r="B246" s="2"/>
      <c r="C246" s="2"/>
      <c r="D246" s="2"/>
      <c r="E246" s="2"/>
      <c r="F246" s="2"/>
      <c r="R246" s="2"/>
    </row>
    <row r="247" spans="1:18" hidden="1">
      <c r="A247" s="2"/>
      <c r="B247" s="2"/>
      <c r="C247" s="2"/>
      <c r="D247" s="2"/>
      <c r="E247" s="2"/>
      <c r="F247" s="2"/>
      <c r="R247" s="2"/>
    </row>
    <row r="248" spans="1:18" hidden="1">
      <c r="A248" s="2"/>
      <c r="B248" s="2"/>
      <c r="C248" s="2"/>
      <c r="D248" s="2"/>
      <c r="E248" s="2"/>
      <c r="F248" s="2"/>
      <c r="R248" s="2"/>
    </row>
    <row r="249" spans="1:18" hidden="1">
      <c r="A249" s="2"/>
      <c r="B249" s="2"/>
      <c r="C249" s="2"/>
      <c r="D249" s="2"/>
      <c r="E249" s="2"/>
      <c r="F249" s="2"/>
      <c r="R249" s="2"/>
    </row>
    <row r="250" spans="1:18" hidden="1">
      <c r="A250" s="2"/>
      <c r="B250" s="2"/>
      <c r="C250" s="2"/>
      <c r="D250" s="2"/>
      <c r="E250" s="2"/>
      <c r="F250" s="2"/>
      <c r="R250" s="2"/>
    </row>
    <row r="251" spans="1:18" hidden="1">
      <c r="A251" s="2"/>
      <c r="B251" s="2"/>
      <c r="C251" s="2"/>
      <c r="D251" s="2"/>
      <c r="E251" s="2"/>
      <c r="F251" s="2"/>
      <c r="R251" s="2"/>
    </row>
    <row r="252" spans="1:18" hidden="1">
      <c r="A252" s="2"/>
      <c r="B252" s="2"/>
      <c r="C252" s="2"/>
      <c r="D252" s="2"/>
      <c r="E252" s="2"/>
      <c r="F252" s="2"/>
      <c r="R252" s="2"/>
    </row>
    <row r="253" spans="1:18" hidden="1">
      <c r="A253" s="2"/>
      <c r="B253" s="2"/>
      <c r="C253" s="2"/>
      <c r="D253" s="2"/>
      <c r="E253" s="2"/>
      <c r="F253" s="2"/>
      <c r="R253" s="2"/>
    </row>
    <row r="254" spans="1:18" hidden="1">
      <c r="A254" s="2"/>
      <c r="B254" s="2"/>
      <c r="C254" s="2"/>
      <c r="D254" s="2"/>
      <c r="E254" s="2"/>
      <c r="F254" s="2"/>
      <c r="R254" s="2"/>
    </row>
    <row r="255" spans="1:18" hidden="1">
      <c r="A255" s="2"/>
      <c r="B255" s="2"/>
      <c r="C255" s="2"/>
      <c r="D255" s="2"/>
      <c r="E255" s="2"/>
      <c r="F255" s="2"/>
      <c r="R255" s="2"/>
    </row>
    <row r="256" spans="1:18" hidden="1">
      <c r="A256" s="2"/>
      <c r="B256" s="2"/>
      <c r="C256" s="2"/>
      <c r="D256" s="2"/>
      <c r="E256" s="2"/>
      <c r="F256" s="2"/>
      <c r="R256" s="2"/>
    </row>
    <row r="257" spans="1:18" hidden="1">
      <c r="A257" s="2"/>
      <c r="B257" s="2"/>
      <c r="C257" s="2"/>
      <c r="D257" s="2"/>
      <c r="E257" s="2"/>
      <c r="F257" s="2"/>
      <c r="R257" s="2"/>
    </row>
    <row r="258" spans="1:18" hidden="1">
      <c r="A258" s="2"/>
      <c r="B258" s="2"/>
      <c r="C258" s="2"/>
      <c r="D258" s="2"/>
      <c r="E258" s="2"/>
      <c r="F258" s="2"/>
      <c r="R258" s="2"/>
    </row>
    <row r="259" spans="1:18" hidden="1">
      <c r="A259" s="2"/>
      <c r="B259" s="2"/>
      <c r="C259" s="2"/>
      <c r="D259" s="2"/>
      <c r="E259" s="2"/>
      <c r="F259" s="2"/>
      <c r="R259" s="2"/>
    </row>
    <row r="260" spans="1:18" hidden="1">
      <c r="A260" s="2"/>
      <c r="B260" s="2"/>
      <c r="C260" s="2"/>
      <c r="D260" s="2"/>
      <c r="E260" s="2"/>
      <c r="F260" s="2"/>
      <c r="R260" s="2"/>
    </row>
    <row r="261" spans="1:18" hidden="1">
      <c r="A261" s="2"/>
      <c r="B261" s="2"/>
      <c r="C261" s="2"/>
      <c r="D261" s="2"/>
      <c r="E261" s="2"/>
      <c r="F261" s="2"/>
      <c r="R261" s="2"/>
    </row>
    <row r="262" spans="1:18" hidden="1">
      <c r="A262" s="2"/>
      <c r="B262" s="2"/>
      <c r="C262" s="2"/>
      <c r="D262" s="2"/>
      <c r="E262" s="2"/>
      <c r="F262" s="2"/>
      <c r="R262" s="2"/>
    </row>
    <row r="263" spans="1:18" hidden="1">
      <c r="A263" s="2"/>
      <c r="B263" s="2"/>
      <c r="C263" s="2"/>
      <c r="D263" s="2"/>
      <c r="E263" s="2"/>
      <c r="F263" s="2"/>
      <c r="R263" s="2"/>
    </row>
    <row r="264" spans="1:18" hidden="1">
      <c r="A264" s="2"/>
      <c r="B264" s="2"/>
      <c r="C264" s="2"/>
      <c r="D264" s="2"/>
      <c r="E264" s="2"/>
      <c r="F264" s="2"/>
      <c r="R264" s="2"/>
    </row>
    <row r="265" spans="1:18" hidden="1">
      <c r="A265" s="2"/>
      <c r="B265" s="2"/>
      <c r="C265" s="2"/>
      <c r="D265" s="2"/>
      <c r="E265" s="2"/>
      <c r="F265" s="2"/>
      <c r="R265" s="2"/>
    </row>
    <row r="266" spans="1:18" hidden="1">
      <c r="A266" s="2"/>
      <c r="B266" s="2"/>
      <c r="C266" s="2"/>
      <c r="D266" s="2"/>
      <c r="E266" s="2"/>
      <c r="F266" s="2"/>
      <c r="R266" s="2"/>
    </row>
    <row r="267" spans="1:18" hidden="1">
      <c r="A267" s="2"/>
      <c r="B267" s="2"/>
      <c r="C267" s="2"/>
      <c r="D267" s="2"/>
      <c r="E267" s="2"/>
      <c r="F267" s="2"/>
      <c r="R267" s="2"/>
    </row>
    <row r="268" spans="1:18" hidden="1">
      <c r="A268" s="2"/>
      <c r="B268" s="2"/>
      <c r="C268" s="2"/>
      <c r="D268" s="2"/>
      <c r="E268" s="2"/>
      <c r="F268" s="2"/>
      <c r="R268" s="2"/>
    </row>
    <row r="269" spans="1:18" hidden="1">
      <c r="A269" s="2"/>
      <c r="B269" s="2"/>
      <c r="C269" s="2"/>
      <c r="D269" s="2"/>
      <c r="E269" s="2"/>
      <c r="F269" s="2"/>
      <c r="R269" s="2"/>
    </row>
    <row r="270" spans="1:18" hidden="1">
      <c r="A270" s="2"/>
      <c r="B270" s="2"/>
      <c r="C270" s="2"/>
      <c r="D270" s="2"/>
      <c r="E270" s="2"/>
      <c r="F270" s="2"/>
      <c r="R270" s="2"/>
    </row>
    <row r="271" spans="1:18" hidden="1">
      <c r="A271" s="2"/>
      <c r="B271" s="2"/>
      <c r="C271" s="2"/>
      <c r="D271" s="2"/>
      <c r="E271" s="2"/>
      <c r="F271" s="2"/>
      <c r="R271" s="2"/>
    </row>
    <row r="272" spans="1:18" hidden="1">
      <c r="A272" s="2"/>
      <c r="B272" s="2"/>
      <c r="C272" s="2"/>
      <c r="D272" s="2"/>
      <c r="E272" s="2"/>
      <c r="F272" s="2"/>
      <c r="R272" s="2"/>
    </row>
    <row r="273" spans="1:18" hidden="1">
      <c r="A273" s="2"/>
      <c r="B273" s="2"/>
      <c r="C273" s="2"/>
      <c r="D273" s="2"/>
      <c r="E273" s="2"/>
      <c r="F273" s="2"/>
      <c r="R273" s="2"/>
    </row>
    <row r="274" spans="1:18" hidden="1">
      <c r="A274" s="2"/>
      <c r="B274" s="2"/>
      <c r="C274" s="2"/>
      <c r="D274" s="2"/>
      <c r="E274" s="2"/>
      <c r="F274" s="2"/>
      <c r="R274" s="2"/>
    </row>
    <row r="275" spans="1:18" hidden="1">
      <c r="A275" s="2"/>
      <c r="B275" s="2"/>
      <c r="C275" s="2"/>
      <c r="D275" s="2"/>
      <c r="E275" s="2"/>
      <c r="F275" s="2"/>
      <c r="R275" s="2"/>
    </row>
    <row r="276" spans="1:18" hidden="1">
      <c r="A276" s="2"/>
      <c r="B276" s="2"/>
      <c r="C276" s="2"/>
      <c r="D276" s="2"/>
      <c r="E276" s="2"/>
      <c r="F276" s="2"/>
      <c r="R276" s="2"/>
    </row>
    <row r="277" spans="1:18" hidden="1">
      <c r="A277" s="2"/>
      <c r="B277" s="2"/>
      <c r="C277" s="2"/>
      <c r="D277" s="2"/>
      <c r="E277" s="2"/>
      <c r="F277" s="2"/>
      <c r="R277" s="2"/>
    </row>
    <row r="278" spans="1:18" hidden="1">
      <c r="A278" s="2"/>
      <c r="B278" s="2"/>
      <c r="C278" s="2"/>
      <c r="D278" s="2"/>
      <c r="E278" s="2"/>
      <c r="F278" s="2"/>
      <c r="R278" s="2"/>
    </row>
    <row r="279" spans="1:18" hidden="1">
      <c r="A279" s="2"/>
      <c r="B279" s="2"/>
      <c r="C279" s="2"/>
      <c r="D279" s="2"/>
      <c r="E279" s="2"/>
      <c r="F279" s="2"/>
      <c r="R279" s="2"/>
    </row>
    <row r="280" spans="1:18" hidden="1">
      <c r="A280" s="2"/>
      <c r="B280" s="2"/>
      <c r="C280" s="2"/>
      <c r="D280" s="2"/>
      <c r="E280" s="2"/>
      <c r="F280" s="2"/>
      <c r="R280" s="2"/>
    </row>
    <row r="281" spans="1:18" hidden="1">
      <c r="A281" s="2"/>
      <c r="B281" s="2"/>
      <c r="C281" s="2"/>
      <c r="D281" s="2"/>
      <c r="E281" s="2"/>
      <c r="F281" s="2"/>
      <c r="R281" s="2"/>
    </row>
    <row r="282" spans="1:18" hidden="1">
      <c r="A282" s="2"/>
      <c r="B282" s="2"/>
      <c r="C282" s="2"/>
      <c r="D282" s="2"/>
      <c r="E282" s="2"/>
      <c r="F282" s="2"/>
      <c r="R282" s="2"/>
    </row>
    <row r="283" spans="1:18" hidden="1">
      <c r="A283" s="2"/>
      <c r="B283" s="2"/>
      <c r="C283" s="2"/>
      <c r="D283" s="2"/>
      <c r="E283" s="2"/>
      <c r="F283" s="2"/>
      <c r="R283" s="2"/>
    </row>
    <row r="284" spans="1:18" hidden="1">
      <c r="A284" s="2"/>
      <c r="B284" s="2"/>
      <c r="C284" s="2"/>
      <c r="D284" s="2"/>
      <c r="E284" s="2"/>
      <c r="F284" s="2"/>
      <c r="R284" s="2"/>
    </row>
    <row r="285" spans="1:18" hidden="1">
      <c r="A285" s="2"/>
      <c r="B285" s="2"/>
      <c r="C285" s="2"/>
      <c r="D285" s="2"/>
      <c r="E285" s="2"/>
      <c r="F285" s="2"/>
      <c r="R285" s="2"/>
    </row>
    <row r="286" spans="1:18" hidden="1">
      <c r="A286" s="2"/>
      <c r="B286" s="2"/>
      <c r="C286" s="2"/>
      <c r="D286" s="2"/>
      <c r="E286" s="2"/>
      <c r="F286" s="2"/>
      <c r="R286" s="2"/>
    </row>
    <row r="287" spans="1:18" hidden="1">
      <c r="A287" s="2"/>
      <c r="B287" s="2"/>
      <c r="C287" s="2"/>
      <c r="D287" s="2"/>
      <c r="E287" s="2"/>
      <c r="F287" s="2"/>
      <c r="R287" s="2"/>
    </row>
    <row r="288" spans="1:18" hidden="1">
      <c r="A288" s="2"/>
      <c r="B288" s="2"/>
      <c r="C288" s="2"/>
      <c r="D288" s="2"/>
      <c r="E288" s="2"/>
      <c r="F288" s="2"/>
      <c r="R288" s="2"/>
    </row>
    <row r="289" spans="1:18" hidden="1">
      <c r="A289" s="2"/>
      <c r="B289" s="2"/>
      <c r="C289" s="2"/>
      <c r="D289" s="2"/>
      <c r="E289" s="2"/>
      <c r="F289" s="2"/>
      <c r="R289" s="2"/>
    </row>
    <row r="290" spans="1:18" hidden="1">
      <c r="A290" s="2"/>
      <c r="B290" s="2"/>
      <c r="C290" s="2"/>
      <c r="D290" s="2"/>
      <c r="E290" s="2"/>
      <c r="F290" s="2"/>
      <c r="R290" s="2"/>
    </row>
    <row r="291" spans="1:18" hidden="1">
      <c r="A291" s="2"/>
      <c r="B291" s="2"/>
      <c r="C291" s="2"/>
      <c r="D291" s="2"/>
      <c r="E291" s="2"/>
      <c r="F291" s="2"/>
      <c r="R291" s="2"/>
    </row>
    <row r="292" spans="1:18" hidden="1">
      <c r="A292" s="2"/>
      <c r="B292" s="2"/>
      <c r="C292" s="2"/>
      <c r="D292" s="2"/>
      <c r="E292" s="2"/>
      <c r="F292" s="2"/>
      <c r="R292" s="2"/>
    </row>
    <row r="293" spans="1:18" hidden="1">
      <c r="A293" s="2"/>
      <c r="B293" s="2"/>
      <c r="C293" s="2"/>
      <c r="D293" s="2"/>
      <c r="E293" s="2"/>
      <c r="F293" s="2"/>
      <c r="R293" s="2"/>
    </row>
    <row r="294" spans="1:18" hidden="1">
      <c r="A294" s="2"/>
      <c r="B294" s="2"/>
      <c r="C294" s="2"/>
      <c r="D294" s="2"/>
      <c r="E294" s="2"/>
      <c r="F294" s="2"/>
      <c r="R294" s="2"/>
    </row>
    <row r="295" spans="1:18" hidden="1">
      <c r="A295" s="2"/>
      <c r="B295" s="2"/>
      <c r="C295" s="2"/>
      <c r="D295" s="2"/>
      <c r="E295" s="2"/>
      <c r="F295" s="2"/>
      <c r="R295" s="2"/>
    </row>
    <row r="296" spans="1:18" hidden="1">
      <c r="A296" s="2"/>
      <c r="B296" s="2"/>
      <c r="C296" s="2"/>
      <c r="D296" s="2"/>
      <c r="E296" s="2"/>
      <c r="F296" s="2"/>
      <c r="R296" s="2"/>
    </row>
    <row r="297" spans="1:18" hidden="1">
      <c r="A297" s="2"/>
      <c r="B297" s="2"/>
      <c r="C297" s="2"/>
      <c r="D297" s="2"/>
      <c r="E297" s="2"/>
      <c r="F297" s="2"/>
      <c r="R297" s="2"/>
    </row>
    <row r="298" spans="1:18" hidden="1">
      <c r="A298" s="2"/>
      <c r="B298" s="2"/>
      <c r="C298" s="2"/>
      <c r="D298" s="2"/>
      <c r="E298" s="2"/>
      <c r="F298" s="2"/>
      <c r="R298" s="2"/>
    </row>
    <row r="299" spans="1:18" hidden="1">
      <c r="A299" s="2"/>
      <c r="B299" s="2"/>
      <c r="C299" s="2"/>
      <c r="D299" s="2"/>
      <c r="E299" s="2"/>
      <c r="F299" s="2"/>
      <c r="R299" s="2"/>
    </row>
    <row r="300" spans="1:18" hidden="1">
      <c r="A300" s="2"/>
      <c r="B300" s="2"/>
      <c r="C300" s="2"/>
      <c r="D300" s="2"/>
      <c r="E300" s="2"/>
      <c r="F300" s="2"/>
      <c r="R300" s="2"/>
    </row>
    <row r="301" spans="1:18" hidden="1">
      <c r="A301" s="2"/>
      <c r="B301" s="2"/>
      <c r="C301" s="2"/>
      <c r="D301" s="2"/>
      <c r="E301" s="2"/>
      <c r="F301" s="2"/>
      <c r="R301" s="2"/>
    </row>
    <row r="302" spans="1:18" hidden="1">
      <c r="A302" s="2"/>
      <c r="B302" s="2"/>
      <c r="C302" s="2"/>
      <c r="D302" s="2"/>
      <c r="E302" s="2"/>
      <c r="F302" s="2"/>
      <c r="R302" s="2"/>
    </row>
    <row r="303" spans="1:18" hidden="1">
      <c r="A303" s="2"/>
      <c r="B303" s="2"/>
      <c r="C303" s="2"/>
      <c r="D303" s="2"/>
      <c r="E303" s="2"/>
      <c r="F303" s="2"/>
      <c r="R303" s="2"/>
    </row>
    <row r="304" spans="1:18" hidden="1">
      <c r="A304" s="2"/>
      <c r="B304" s="2"/>
      <c r="C304" s="2"/>
      <c r="D304" s="2"/>
      <c r="E304" s="2"/>
      <c r="F304" s="2"/>
      <c r="R304" s="2"/>
    </row>
    <row r="305" spans="1:18" hidden="1">
      <c r="A305" s="2"/>
      <c r="B305" s="2"/>
      <c r="C305" s="2"/>
      <c r="D305" s="2"/>
      <c r="E305" s="2"/>
      <c r="F305" s="2"/>
      <c r="R305" s="2"/>
    </row>
    <row r="306" spans="1:18" hidden="1">
      <c r="A306" s="2"/>
      <c r="B306" s="2"/>
      <c r="C306" s="2"/>
      <c r="D306" s="2"/>
      <c r="E306" s="2"/>
      <c r="F306" s="2"/>
      <c r="R306" s="2"/>
    </row>
    <row r="307" spans="1:18" hidden="1">
      <c r="A307" s="2"/>
      <c r="B307" s="2"/>
      <c r="C307" s="2"/>
      <c r="D307" s="2"/>
      <c r="E307" s="2"/>
      <c r="F307" s="2"/>
      <c r="R307" s="2"/>
    </row>
    <row r="308" spans="1:18" hidden="1">
      <c r="A308" s="2"/>
      <c r="B308" s="2"/>
      <c r="C308" s="2"/>
      <c r="D308" s="2"/>
      <c r="E308" s="2"/>
      <c r="F308" s="2"/>
      <c r="R308" s="2"/>
    </row>
    <row r="309" spans="1:18" hidden="1">
      <c r="A309" s="2"/>
      <c r="B309" s="2"/>
      <c r="C309" s="2"/>
      <c r="D309" s="2"/>
      <c r="E309" s="2"/>
      <c r="F309" s="2"/>
      <c r="R309" s="2"/>
    </row>
    <row r="310" spans="1:18" hidden="1">
      <c r="A310" s="2"/>
      <c r="B310" s="2"/>
      <c r="C310" s="2"/>
      <c r="D310" s="2"/>
      <c r="E310" s="2"/>
      <c r="F310" s="2"/>
      <c r="R310" s="2"/>
    </row>
    <row r="311" spans="1:18">
      <c r="A311" s="2"/>
      <c r="B311" s="2"/>
      <c r="C311" s="2"/>
      <c r="D311" s="2"/>
      <c r="E311" s="2"/>
      <c r="F311" s="2"/>
      <c r="R311" s="2"/>
    </row>
    <row r="312" spans="1:18">
      <c r="A312" s="2"/>
      <c r="B312" s="2"/>
      <c r="C312" s="2"/>
      <c r="D312" s="2"/>
      <c r="E312" s="2"/>
      <c r="F312" s="2"/>
      <c r="R312" s="2"/>
    </row>
    <row r="313" spans="1:18">
      <c r="A313" s="2"/>
      <c r="B313" s="2"/>
      <c r="C313" s="2"/>
      <c r="D313" s="2"/>
      <c r="E313" s="2"/>
      <c r="F313" s="2"/>
      <c r="R313" s="2"/>
    </row>
    <row r="314" spans="1:18">
      <c r="A314" s="2"/>
      <c r="B314" s="2"/>
      <c r="C314" s="2"/>
      <c r="D314" s="2"/>
      <c r="E314" s="2"/>
      <c r="F314" s="2"/>
      <c r="R314" s="2"/>
    </row>
    <row r="315" spans="1:18">
      <c r="A315" s="2"/>
      <c r="B315" s="2"/>
      <c r="C315" s="2"/>
      <c r="D315" s="2"/>
      <c r="E315" s="2"/>
      <c r="F315" s="2"/>
      <c r="R315" s="2"/>
    </row>
    <row r="316" spans="1:18">
      <c r="A316" s="2"/>
      <c r="B316" s="2"/>
      <c r="C316" s="2"/>
      <c r="D316" s="2"/>
      <c r="E316" s="2"/>
      <c r="F316" s="2"/>
      <c r="R316" s="2"/>
    </row>
    <row r="317" spans="1:18">
      <c r="A317" s="2"/>
      <c r="B317" s="2"/>
      <c r="C317" s="2"/>
      <c r="D317" s="2"/>
      <c r="E317" s="2"/>
      <c r="F317" s="2"/>
      <c r="R317" s="2"/>
    </row>
    <row r="318" spans="1:18">
      <c r="A318" s="2"/>
      <c r="B318" s="2"/>
      <c r="C318" s="2"/>
      <c r="D318" s="2"/>
      <c r="E318" s="2"/>
      <c r="F318" s="2"/>
      <c r="R318" s="2"/>
    </row>
    <row r="319" spans="1:18">
      <c r="A319" s="2"/>
      <c r="B319" s="2"/>
      <c r="C319" s="2"/>
      <c r="D319" s="2"/>
      <c r="E319" s="2"/>
      <c r="F319" s="2"/>
      <c r="R319" s="2"/>
    </row>
    <row r="320" spans="1:18">
      <c r="A320" s="2"/>
      <c r="B320" s="2"/>
      <c r="C320" s="2"/>
      <c r="D320" s="2"/>
      <c r="E320" s="2"/>
      <c r="F320" s="2"/>
      <c r="R320" s="2"/>
    </row>
    <row r="321" spans="1:18">
      <c r="A321" s="2"/>
      <c r="B321" s="2"/>
      <c r="C321" s="2"/>
      <c r="D321" s="2"/>
      <c r="E321" s="2"/>
      <c r="F321" s="2"/>
      <c r="R321" s="2"/>
    </row>
    <row r="322" spans="1:18">
      <c r="A322" s="2"/>
      <c r="B322" s="2"/>
      <c r="C322" s="2"/>
      <c r="D322" s="2"/>
      <c r="E322" s="2"/>
      <c r="F322" s="2"/>
      <c r="R322" s="2"/>
    </row>
    <row r="323" spans="1:18">
      <c r="A323" s="2"/>
      <c r="B323" s="2"/>
      <c r="C323" s="2"/>
      <c r="D323" s="2"/>
      <c r="E323" s="2"/>
      <c r="F323" s="2"/>
      <c r="R323" s="2"/>
    </row>
    <row r="324" spans="1:18">
      <c r="A324" s="2"/>
      <c r="B324" s="2"/>
      <c r="C324" s="2"/>
      <c r="D324" s="2"/>
      <c r="E324" s="2"/>
      <c r="F324" s="2"/>
      <c r="R324" s="2"/>
    </row>
    <row r="325" spans="1:18">
      <c r="A325" s="2"/>
      <c r="B325" s="2"/>
      <c r="C325" s="2"/>
      <c r="D325" s="2"/>
      <c r="E325" s="2"/>
      <c r="F325" s="2"/>
      <c r="R325" s="2"/>
    </row>
    <row r="326" spans="1:18">
      <c r="A326" s="2"/>
      <c r="B326" s="2"/>
      <c r="C326" s="2"/>
      <c r="D326" s="2"/>
      <c r="E326" s="2"/>
      <c r="F326" s="2"/>
      <c r="R326" s="2"/>
    </row>
    <row r="327" spans="1:18">
      <c r="A327" s="2"/>
      <c r="B327" s="2"/>
      <c r="C327" s="2"/>
      <c r="D327" s="2"/>
      <c r="E327" s="2"/>
      <c r="F327" s="2"/>
      <c r="R327" s="2"/>
    </row>
    <row r="328" spans="1:18">
      <c r="A328" s="2"/>
      <c r="B328" s="2"/>
      <c r="C328" s="2"/>
      <c r="D328" s="2"/>
      <c r="E328" s="2"/>
      <c r="F328" s="2"/>
      <c r="R328" s="2"/>
    </row>
    <row r="329" spans="1:18">
      <c r="A329" s="2"/>
      <c r="B329" s="2"/>
      <c r="C329" s="2"/>
      <c r="D329" s="2"/>
      <c r="E329" s="2"/>
      <c r="F329" s="2"/>
      <c r="R329" s="2"/>
    </row>
    <row r="330" spans="1:18">
      <c r="A330" s="2"/>
      <c r="B330" s="2"/>
      <c r="C330" s="2"/>
      <c r="D330" s="2"/>
      <c r="E330" s="2"/>
      <c r="F330" s="2"/>
      <c r="R330" s="2"/>
    </row>
    <row r="331" spans="1:18">
      <c r="A331" s="2"/>
      <c r="B331" s="2"/>
      <c r="C331" s="2"/>
      <c r="D331" s="2"/>
      <c r="E331" s="2"/>
      <c r="F331" s="2"/>
      <c r="R331" s="2"/>
    </row>
    <row r="332" spans="1:18">
      <c r="A332" s="2"/>
      <c r="B332" s="2"/>
      <c r="C332" s="2"/>
      <c r="D332" s="2"/>
      <c r="E332" s="2"/>
      <c r="F332" s="2"/>
      <c r="R332" s="2"/>
    </row>
    <row r="333" spans="1:18">
      <c r="A333" s="2"/>
      <c r="B333" s="2"/>
      <c r="C333" s="2"/>
      <c r="D333" s="2"/>
      <c r="E333" s="2"/>
      <c r="F333" s="2"/>
      <c r="R333" s="2"/>
    </row>
    <row r="334" spans="1:18">
      <c r="A334" s="2"/>
      <c r="B334" s="2"/>
      <c r="C334" s="2"/>
      <c r="D334" s="2"/>
      <c r="E334" s="2"/>
      <c r="F334" s="2"/>
      <c r="R334" s="2"/>
    </row>
    <row r="335" spans="1:18">
      <c r="A335" s="2"/>
      <c r="B335" s="2"/>
      <c r="C335" s="2"/>
      <c r="D335" s="2"/>
      <c r="E335" s="2"/>
      <c r="F335" s="2"/>
      <c r="R335" s="2"/>
    </row>
    <row r="336" spans="1:18">
      <c r="A336" s="2"/>
      <c r="B336" s="2"/>
      <c r="C336" s="2"/>
      <c r="D336" s="2"/>
      <c r="E336" s="2"/>
      <c r="F336" s="2"/>
      <c r="R336" s="2"/>
    </row>
    <row r="337" spans="1:18">
      <c r="A337" s="2"/>
      <c r="B337" s="2"/>
      <c r="C337" s="2"/>
      <c r="D337" s="2"/>
      <c r="E337" s="2"/>
      <c r="F337" s="2"/>
      <c r="R337" s="2"/>
    </row>
    <row r="338" spans="1:18">
      <c r="A338" s="2"/>
      <c r="B338" s="2"/>
      <c r="C338" s="2"/>
      <c r="D338" s="2"/>
      <c r="E338" s="2"/>
      <c r="F338" s="2"/>
      <c r="R338" s="2"/>
    </row>
    <row r="339" spans="1:18">
      <c r="A339" s="2"/>
      <c r="B339" s="2"/>
      <c r="C339" s="2"/>
      <c r="D339" s="2"/>
      <c r="E339" s="2"/>
      <c r="F339" s="2"/>
      <c r="R339" s="2"/>
    </row>
    <row r="340" spans="1:18">
      <c r="A340" s="2"/>
      <c r="B340" s="2"/>
      <c r="C340" s="2"/>
      <c r="D340" s="2"/>
      <c r="E340" s="2"/>
      <c r="F340" s="2"/>
      <c r="R340" s="2"/>
    </row>
    <row r="341" spans="1:18">
      <c r="A341" s="2"/>
      <c r="B341" s="2"/>
      <c r="C341" s="2"/>
      <c r="D341" s="2"/>
      <c r="E341" s="2"/>
      <c r="F341" s="2"/>
      <c r="R341" s="2"/>
    </row>
    <row r="342" spans="1:18">
      <c r="A342" s="2"/>
      <c r="B342" s="2"/>
      <c r="C342" s="2"/>
      <c r="D342" s="2"/>
      <c r="E342" s="2"/>
      <c r="F342" s="2"/>
      <c r="R342" s="2"/>
    </row>
    <row r="343" spans="1:18">
      <c r="A343" s="2"/>
      <c r="B343" s="2"/>
      <c r="C343" s="2"/>
      <c r="D343" s="2"/>
      <c r="E343" s="2"/>
      <c r="F343" s="2"/>
      <c r="R343" s="2"/>
    </row>
    <row r="344" spans="1:18">
      <c r="A344" s="2"/>
      <c r="B344" s="2"/>
      <c r="C344" s="2"/>
      <c r="D344" s="2"/>
      <c r="E344" s="2"/>
      <c r="F344" s="2"/>
      <c r="R344" s="2"/>
    </row>
    <row r="345" spans="1:18">
      <c r="A345" s="2"/>
      <c r="B345" s="2"/>
      <c r="C345" s="2"/>
      <c r="D345" s="2"/>
      <c r="E345" s="2"/>
      <c r="F345" s="2"/>
      <c r="R345" s="2"/>
    </row>
    <row r="346" spans="1:18">
      <c r="A346" s="2"/>
      <c r="B346" s="2"/>
      <c r="C346" s="2"/>
      <c r="D346" s="2"/>
      <c r="E346" s="2"/>
      <c r="F346" s="2"/>
      <c r="R346" s="2"/>
    </row>
    <row r="347" spans="1:18">
      <c r="A347" s="2"/>
      <c r="B347" s="2"/>
      <c r="C347" s="2"/>
      <c r="D347" s="2"/>
      <c r="E347" s="2"/>
      <c r="F347" s="2"/>
      <c r="R347" s="2"/>
    </row>
    <row r="348" spans="1:18">
      <c r="A348" s="2"/>
      <c r="B348" s="2"/>
      <c r="C348" s="2"/>
      <c r="D348" s="2"/>
      <c r="E348" s="2"/>
      <c r="F348" s="2"/>
      <c r="R348" s="2"/>
    </row>
    <row r="349" spans="1:18">
      <c r="A349" s="2"/>
      <c r="B349" s="2"/>
      <c r="C349" s="2"/>
      <c r="D349" s="2"/>
      <c r="E349" s="2"/>
      <c r="F349" s="2"/>
      <c r="R349" s="2"/>
    </row>
    <row r="350" spans="1:18">
      <c r="A350" s="2"/>
      <c r="B350" s="2"/>
      <c r="C350" s="2"/>
      <c r="D350" s="2"/>
      <c r="E350" s="2"/>
      <c r="F350" s="2"/>
      <c r="R350" s="2"/>
    </row>
    <row r="351" spans="1:18">
      <c r="A351" s="2"/>
      <c r="B351" s="2"/>
      <c r="C351" s="2"/>
      <c r="D351" s="2"/>
      <c r="E351" s="2"/>
      <c r="F351" s="2"/>
      <c r="R351" s="2"/>
    </row>
    <row r="352" spans="1:18">
      <c r="A352" s="2"/>
      <c r="B352" s="2"/>
      <c r="C352" s="2"/>
      <c r="D352" s="2"/>
      <c r="E352" s="2"/>
      <c r="F352" s="2"/>
      <c r="R352" s="2"/>
    </row>
    <row r="353" spans="1:18">
      <c r="A353" s="2"/>
      <c r="B353" s="2"/>
      <c r="C353" s="2"/>
      <c r="D353" s="2"/>
      <c r="E353" s="2"/>
      <c r="F353" s="2"/>
      <c r="R353" s="2"/>
    </row>
    <row r="354" spans="1:18">
      <c r="A354" s="2"/>
      <c r="B354" s="2"/>
      <c r="C354" s="2"/>
      <c r="D354" s="2"/>
      <c r="E354" s="2"/>
      <c r="F354" s="2"/>
      <c r="R354" s="2"/>
    </row>
    <row r="355" spans="1:18">
      <c r="A355" s="2"/>
      <c r="B355" s="2"/>
      <c r="C355" s="2"/>
      <c r="D355" s="2"/>
      <c r="E355" s="2"/>
      <c r="F355" s="2"/>
      <c r="R355" s="2"/>
    </row>
    <row r="356" spans="1:18">
      <c r="A356" s="2"/>
      <c r="B356" s="2"/>
      <c r="C356" s="2"/>
      <c r="D356" s="2"/>
      <c r="E356" s="2"/>
      <c r="F356" s="2"/>
      <c r="R356" s="2"/>
    </row>
    <row r="357" spans="1:18">
      <c r="A357" s="2"/>
      <c r="B357" s="2"/>
      <c r="C357" s="2"/>
      <c r="D357" s="2"/>
      <c r="E357" s="2"/>
      <c r="F357" s="2"/>
      <c r="R357" s="2"/>
    </row>
    <row r="358" spans="1:18">
      <c r="A358" s="2"/>
      <c r="B358" s="2"/>
      <c r="C358" s="2"/>
      <c r="D358" s="2"/>
      <c r="E358" s="2"/>
      <c r="F358" s="2"/>
      <c r="R358" s="2"/>
    </row>
    <row r="359" spans="1:18">
      <c r="A359" s="2"/>
      <c r="B359" s="2"/>
      <c r="C359" s="2"/>
      <c r="D359" s="2"/>
      <c r="E359" s="2"/>
      <c r="F359" s="2"/>
      <c r="R359" s="2"/>
    </row>
    <row r="360" spans="1:18">
      <c r="A360" s="2"/>
      <c r="B360" s="2"/>
      <c r="C360" s="2"/>
      <c r="D360" s="2"/>
      <c r="E360" s="2"/>
      <c r="F360" s="2"/>
      <c r="R360" s="2"/>
    </row>
    <row r="361" spans="1:18">
      <c r="A361" s="2"/>
      <c r="B361" s="2"/>
      <c r="C361" s="2"/>
      <c r="D361" s="2"/>
      <c r="E361" s="2"/>
      <c r="F361" s="2"/>
      <c r="R361" s="2"/>
    </row>
    <row r="362" spans="1:18">
      <c r="A362" s="2"/>
      <c r="B362" s="2"/>
      <c r="C362" s="2"/>
      <c r="D362" s="2"/>
      <c r="E362" s="2"/>
      <c r="F362" s="2"/>
      <c r="R362" s="2"/>
    </row>
    <row r="363" spans="1:18">
      <c r="A363" s="2"/>
      <c r="B363" s="2"/>
      <c r="C363" s="2"/>
      <c r="D363" s="2"/>
      <c r="E363" s="2"/>
      <c r="F363" s="2"/>
      <c r="R363" s="2"/>
    </row>
    <row r="364" spans="1:18">
      <c r="A364" s="2"/>
      <c r="B364" s="2"/>
      <c r="C364" s="2"/>
      <c r="D364" s="2"/>
      <c r="E364" s="2"/>
      <c r="F364" s="2"/>
      <c r="R364" s="2"/>
    </row>
    <row r="365" spans="1:18">
      <c r="A365" s="2"/>
      <c r="B365" s="2"/>
      <c r="C365" s="2"/>
      <c r="D365" s="2"/>
      <c r="E365" s="2"/>
      <c r="F365" s="2"/>
      <c r="R365" s="2"/>
    </row>
    <row r="366" spans="1:18">
      <c r="A366" s="2"/>
      <c r="B366" s="2"/>
      <c r="C366" s="2"/>
      <c r="D366" s="2"/>
      <c r="E366" s="2"/>
      <c r="F366" s="2"/>
      <c r="R366" s="2"/>
    </row>
    <row r="367" spans="1:18">
      <c r="A367" s="2"/>
      <c r="B367" s="2"/>
      <c r="C367" s="2"/>
      <c r="D367" s="2"/>
      <c r="E367" s="2"/>
      <c r="F367" s="2"/>
      <c r="R367" s="2"/>
    </row>
    <row r="368" spans="1:18">
      <c r="A368" s="2"/>
      <c r="B368" s="2"/>
      <c r="C368" s="2"/>
      <c r="D368" s="2"/>
      <c r="E368" s="2"/>
      <c r="F368" s="2"/>
      <c r="R368" s="2"/>
    </row>
    <row r="369" spans="1:18">
      <c r="A369" s="2"/>
      <c r="B369" s="2"/>
      <c r="C369" s="2"/>
      <c r="D369" s="2"/>
      <c r="E369" s="2"/>
      <c r="F369" s="2"/>
      <c r="R369" s="2"/>
    </row>
    <row r="370" spans="1:18">
      <c r="A370" s="2"/>
      <c r="B370" s="2"/>
      <c r="C370" s="2"/>
      <c r="D370" s="2"/>
      <c r="E370" s="2"/>
      <c r="F370" s="2"/>
      <c r="R370" s="2"/>
    </row>
    <row r="371" spans="1:18">
      <c r="A371" s="2"/>
      <c r="B371" s="2"/>
      <c r="C371" s="2"/>
      <c r="D371" s="2"/>
      <c r="E371" s="2"/>
      <c r="F371" s="2"/>
      <c r="R371" s="2"/>
    </row>
    <row r="372" spans="1:18">
      <c r="A372" s="2"/>
      <c r="B372" s="2"/>
      <c r="C372" s="2"/>
      <c r="D372" s="2"/>
      <c r="E372" s="2"/>
      <c r="F372" s="2"/>
      <c r="R372" s="2"/>
    </row>
    <row r="373" spans="1:18">
      <c r="A373" s="2"/>
      <c r="B373" s="2"/>
      <c r="C373" s="2"/>
      <c r="D373" s="2"/>
      <c r="E373" s="2"/>
      <c r="F373" s="2"/>
      <c r="R373" s="2"/>
    </row>
    <row r="374" spans="1:18">
      <c r="A374" s="2"/>
      <c r="B374" s="2"/>
      <c r="C374" s="2"/>
      <c r="D374" s="2"/>
      <c r="E374" s="2"/>
      <c r="F374" s="2"/>
      <c r="R374" s="2"/>
    </row>
    <row r="375" spans="1:18">
      <c r="A375" s="2"/>
      <c r="B375" s="2"/>
      <c r="C375" s="2"/>
      <c r="D375" s="2"/>
      <c r="E375" s="2"/>
      <c r="F375" s="2"/>
      <c r="R375" s="2"/>
    </row>
    <row r="376" spans="1:18">
      <c r="A376" s="2"/>
      <c r="B376" s="2"/>
      <c r="C376" s="2"/>
      <c r="D376" s="2"/>
      <c r="E376" s="2"/>
      <c r="F376" s="2"/>
      <c r="R376" s="2"/>
    </row>
    <row r="377" spans="1:18">
      <c r="A377" s="2"/>
      <c r="B377" s="2"/>
      <c r="C377" s="2"/>
      <c r="D377" s="2"/>
      <c r="E377" s="2"/>
      <c r="F377" s="2"/>
      <c r="R377" s="2"/>
    </row>
    <row r="378" spans="1:18">
      <c r="A378" s="2"/>
      <c r="B378" s="2"/>
      <c r="C378" s="2"/>
      <c r="D378" s="2"/>
      <c r="E378" s="2"/>
      <c r="F378" s="2"/>
      <c r="R378" s="2"/>
    </row>
    <row r="379" spans="1:18">
      <c r="A379" s="2"/>
      <c r="B379" s="2"/>
      <c r="C379" s="2"/>
      <c r="D379" s="2"/>
      <c r="E379" s="2"/>
      <c r="F379" s="2"/>
      <c r="R379" s="2"/>
    </row>
    <row r="380" spans="1:18">
      <c r="A380" s="2"/>
      <c r="B380" s="2"/>
      <c r="C380" s="2"/>
      <c r="D380" s="2"/>
      <c r="E380" s="2"/>
      <c r="F380" s="2"/>
      <c r="R380" s="2"/>
    </row>
    <row r="381" spans="1:18">
      <c r="A381" s="2"/>
      <c r="B381" s="2"/>
      <c r="C381" s="2"/>
      <c r="D381" s="2"/>
      <c r="E381" s="2"/>
      <c r="F381" s="2"/>
      <c r="R381" s="2"/>
    </row>
    <row r="382" spans="1:18">
      <c r="A382" s="2"/>
      <c r="B382" s="2"/>
      <c r="C382" s="2"/>
      <c r="D382" s="2"/>
      <c r="E382" s="2"/>
      <c r="F382" s="2"/>
      <c r="R382" s="2"/>
    </row>
    <row r="383" spans="1:18">
      <c r="A383" s="2"/>
      <c r="B383" s="2"/>
      <c r="C383" s="2"/>
      <c r="D383" s="2"/>
      <c r="E383" s="2"/>
      <c r="F383" s="2"/>
      <c r="R383" s="2"/>
    </row>
    <row r="384" spans="1:18">
      <c r="A384" s="2"/>
      <c r="B384" s="2"/>
      <c r="C384" s="2"/>
      <c r="D384" s="2"/>
      <c r="E384" s="2"/>
      <c r="F384" s="2"/>
      <c r="R384" s="2"/>
    </row>
    <row r="385" spans="1:18">
      <c r="A385" s="2"/>
      <c r="B385" s="2"/>
      <c r="C385" s="2"/>
      <c r="D385" s="2"/>
      <c r="E385" s="2"/>
      <c r="F385" s="2"/>
      <c r="R385" s="2"/>
    </row>
    <row r="386" spans="1:18">
      <c r="A386" s="2"/>
      <c r="B386" s="2"/>
      <c r="C386" s="2"/>
      <c r="D386" s="2"/>
      <c r="E386" s="2"/>
      <c r="F386" s="2"/>
      <c r="R386" s="2"/>
    </row>
    <row r="387" spans="1:18">
      <c r="A387" s="2"/>
      <c r="B387" s="2"/>
      <c r="C387" s="2"/>
      <c r="D387" s="2"/>
      <c r="E387" s="2"/>
      <c r="F387" s="2"/>
      <c r="R387" s="2"/>
    </row>
    <row r="388" spans="1:18">
      <c r="A388" s="2"/>
      <c r="B388" s="2"/>
      <c r="C388" s="2"/>
      <c r="D388" s="2"/>
      <c r="E388" s="2"/>
      <c r="F388" s="2"/>
      <c r="R388" s="2"/>
    </row>
    <row r="389" spans="1:18">
      <c r="A389" s="2"/>
      <c r="B389" s="2"/>
      <c r="C389" s="2"/>
      <c r="D389" s="2"/>
      <c r="E389" s="2"/>
      <c r="F389" s="2"/>
      <c r="R389" s="2"/>
    </row>
    <row r="390" spans="1:18">
      <c r="A390" s="2"/>
      <c r="B390" s="2"/>
      <c r="C390" s="2"/>
      <c r="D390" s="2"/>
      <c r="E390" s="2"/>
      <c r="F390" s="2"/>
      <c r="R390" s="2"/>
    </row>
    <row r="391" spans="1:18">
      <c r="A391" s="2"/>
      <c r="B391" s="2"/>
      <c r="C391" s="2"/>
      <c r="D391" s="2"/>
      <c r="E391" s="2"/>
      <c r="F391" s="2"/>
      <c r="R391" s="2"/>
    </row>
    <row r="392" spans="1:18">
      <c r="A392" s="2"/>
      <c r="B392" s="2"/>
      <c r="C392" s="2"/>
      <c r="D392" s="2"/>
      <c r="E392" s="2"/>
      <c r="F392" s="2"/>
      <c r="R392" s="2"/>
    </row>
    <row r="393" spans="1:18">
      <c r="A393" s="2"/>
      <c r="B393" s="2"/>
      <c r="C393" s="2"/>
      <c r="D393" s="2"/>
      <c r="E393" s="2"/>
      <c r="F393" s="2"/>
      <c r="R393" s="2"/>
    </row>
    <row r="394" spans="1:18">
      <c r="A394" s="2"/>
      <c r="B394" s="2"/>
      <c r="C394" s="2"/>
      <c r="D394" s="2"/>
      <c r="E394" s="2"/>
      <c r="F394" s="2"/>
      <c r="R394" s="2"/>
    </row>
    <row r="395" spans="1:18">
      <c r="A395" s="2"/>
      <c r="B395" s="2"/>
      <c r="C395" s="2"/>
      <c r="D395" s="2"/>
      <c r="E395" s="2"/>
      <c r="F395" s="2"/>
      <c r="R395" s="2"/>
    </row>
    <row r="396" spans="1:18">
      <c r="A396" s="2"/>
      <c r="B396" s="2"/>
      <c r="C396" s="2"/>
      <c r="D396" s="2"/>
      <c r="E396" s="2"/>
      <c r="F396" s="2"/>
      <c r="R396" s="2"/>
    </row>
    <row r="397" spans="1:18">
      <c r="A397" s="2"/>
      <c r="B397" s="2"/>
      <c r="C397" s="2"/>
      <c r="D397" s="2"/>
      <c r="E397" s="2"/>
      <c r="F397" s="2"/>
      <c r="R397" s="2"/>
    </row>
    <row r="398" spans="1:18">
      <c r="A398" s="2"/>
      <c r="B398" s="2"/>
      <c r="C398" s="2"/>
      <c r="D398" s="2"/>
      <c r="E398" s="2"/>
      <c r="F398" s="2"/>
      <c r="R398" s="2"/>
    </row>
    <row r="399" spans="1:18">
      <c r="A399" s="2"/>
      <c r="B399" s="2"/>
      <c r="C399" s="2"/>
      <c r="D399" s="2"/>
      <c r="E399" s="2"/>
      <c r="F399" s="2"/>
      <c r="R399" s="2"/>
    </row>
    <row r="400" spans="1:18">
      <c r="A400" s="2"/>
      <c r="B400" s="2"/>
      <c r="C400" s="2"/>
      <c r="D400" s="2"/>
      <c r="E400" s="2"/>
      <c r="F400" s="2"/>
      <c r="R400" s="2"/>
    </row>
    <row r="401" spans="1:18">
      <c r="A401" s="2"/>
      <c r="B401" s="2"/>
      <c r="C401" s="2"/>
      <c r="D401" s="2"/>
      <c r="E401" s="2"/>
      <c r="F401" s="2"/>
      <c r="R401" s="2"/>
    </row>
    <row r="402" spans="1:18">
      <c r="A402" s="2"/>
      <c r="B402" s="2"/>
      <c r="C402" s="2"/>
      <c r="D402" s="2"/>
      <c r="E402" s="2"/>
      <c r="F402" s="2"/>
      <c r="R402" s="2"/>
    </row>
    <row r="403" spans="1:18">
      <c r="A403" s="2"/>
      <c r="B403" s="2"/>
      <c r="C403" s="2"/>
      <c r="D403" s="2"/>
      <c r="E403" s="2"/>
      <c r="F403" s="2"/>
      <c r="R403" s="2"/>
    </row>
    <row r="404" spans="1:18">
      <c r="A404" s="2"/>
      <c r="B404" s="2"/>
      <c r="C404" s="2"/>
      <c r="D404" s="2"/>
      <c r="E404" s="2"/>
      <c r="F404" s="2"/>
      <c r="R404" s="2"/>
    </row>
    <row r="405" spans="1:18">
      <c r="A405" s="2"/>
      <c r="B405" s="2"/>
      <c r="C405" s="2"/>
      <c r="D405" s="2"/>
      <c r="E405" s="2"/>
      <c r="F405" s="2"/>
      <c r="R405" s="2"/>
    </row>
    <row r="406" spans="1:18">
      <c r="A406" s="2"/>
      <c r="B406" s="2"/>
      <c r="C406" s="2"/>
      <c r="D406" s="2"/>
      <c r="E406" s="2"/>
      <c r="F406" s="2"/>
      <c r="R406" s="2"/>
    </row>
    <row r="407" spans="1:18">
      <c r="A407" s="2"/>
      <c r="B407" s="2"/>
      <c r="C407" s="2"/>
      <c r="D407" s="2"/>
      <c r="E407" s="2"/>
      <c r="F407" s="2"/>
      <c r="R407" s="2"/>
    </row>
    <row r="408" spans="1:18">
      <c r="A408" s="2"/>
      <c r="B408" s="2"/>
      <c r="C408" s="2"/>
      <c r="D408" s="2"/>
      <c r="E408" s="2"/>
      <c r="F408" s="2"/>
      <c r="R408" s="2"/>
    </row>
    <row r="409" spans="1:18">
      <c r="A409" s="2"/>
      <c r="B409" s="2"/>
      <c r="C409" s="2"/>
      <c r="D409" s="2"/>
      <c r="E409" s="2"/>
      <c r="F409" s="2"/>
      <c r="R409" s="2"/>
    </row>
    <row r="410" spans="1:18">
      <c r="A410" s="2"/>
      <c r="B410" s="2"/>
      <c r="C410" s="2"/>
      <c r="D410" s="2"/>
      <c r="E410" s="2"/>
      <c r="F410" s="2"/>
      <c r="R410" s="2"/>
    </row>
    <row r="411" spans="1:18">
      <c r="A411" s="2"/>
      <c r="B411" s="2"/>
      <c r="C411" s="2"/>
      <c r="D411" s="2"/>
      <c r="E411" s="2"/>
      <c r="F411" s="2"/>
      <c r="R411" s="2"/>
    </row>
    <row r="412" spans="1:18">
      <c r="A412" s="2"/>
      <c r="B412" s="2"/>
      <c r="C412" s="2"/>
      <c r="D412" s="2"/>
      <c r="E412" s="2"/>
      <c r="F412" s="2"/>
      <c r="R412" s="2"/>
    </row>
    <row r="413" spans="1:18">
      <c r="A413" s="2"/>
      <c r="B413" s="2"/>
      <c r="C413" s="2"/>
      <c r="D413" s="2"/>
      <c r="E413" s="2"/>
      <c r="F413" s="2"/>
      <c r="R413" s="2"/>
    </row>
    <row r="414" spans="1:18">
      <c r="A414" s="2"/>
      <c r="B414" s="2"/>
      <c r="C414" s="2"/>
      <c r="D414" s="2"/>
      <c r="E414" s="2"/>
      <c r="F414" s="2"/>
      <c r="R414" s="2"/>
    </row>
    <row r="415" spans="1:18">
      <c r="A415" s="2"/>
      <c r="B415" s="2"/>
      <c r="C415" s="2"/>
      <c r="D415" s="2"/>
      <c r="E415" s="2"/>
      <c r="F415" s="2"/>
      <c r="R415" s="2"/>
    </row>
    <row r="416" spans="1:18">
      <c r="A416" s="2"/>
      <c r="B416" s="2"/>
      <c r="C416" s="2"/>
      <c r="D416" s="2"/>
      <c r="E416" s="2"/>
      <c r="F416" s="2"/>
      <c r="R416" s="2"/>
    </row>
    <row r="417" spans="1:18">
      <c r="A417" s="2"/>
      <c r="B417" s="2"/>
      <c r="C417" s="2"/>
      <c r="D417" s="2"/>
      <c r="E417" s="2"/>
      <c r="F417" s="2"/>
      <c r="R417" s="2"/>
    </row>
    <row r="418" spans="1:18">
      <c r="A418" s="2"/>
      <c r="B418" s="2"/>
      <c r="C418" s="2"/>
      <c r="D418" s="2"/>
      <c r="E418" s="2"/>
      <c r="F418" s="2"/>
      <c r="R418" s="2"/>
    </row>
    <row r="419" spans="1:18">
      <c r="A419" s="2"/>
      <c r="B419" s="2"/>
      <c r="C419" s="2"/>
      <c r="D419" s="2"/>
      <c r="E419" s="2"/>
      <c r="F419" s="2"/>
      <c r="R419" s="2"/>
    </row>
    <row r="420" spans="1:18">
      <c r="A420" s="2"/>
      <c r="B420" s="2"/>
      <c r="C420" s="2"/>
      <c r="D420" s="2"/>
      <c r="E420" s="2"/>
      <c r="F420" s="2"/>
      <c r="R420" s="2"/>
    </row>
    <row r="421" spans="1:18">
      <c r="A421" s="2"/>
      <c r="B421" s="2"/>
      <c r="C421" s="2"/>
      <c r="D421" s="2"/>
      <c r="E421" s="2"/>
      <c r="F421" s="2"/>
      <c r="R421" s="2"/>
    </row>
    <row r="422" spans="1:18">
      <c r="A422" s="2"/>
      <c r="B422" s="2"/>
      <c r="C422" s="2"/>
      <c r="D422" s="2"/>
      <c r="E422" s="2"/>
      <c r="F422" s="2"/>
      <c r="R422" s="2"/>
    </row>
    <row r="423" spans="1:18">
      <c r="A423" s="2"/>
      <c r="B423" s="2"/>
      <c r="C423" s="2"/>
      <c r="D423" s="2"/>
      <c r="E423" s="2"/>
      <c r="F423" s="2"/>
      <c r="R423" s="2"/>
    </row>
    <row r="424" spans="1:18">
      <c r="A424" s="2"/>
      <c r="B424" s="2"/>
      <c r="C424" s="2"/>
      <c r="D424" s="2"/>
      <c r="E424" s="2"/>
      <c r="F424" s="2"/>
      <c r="R424" s="2"/>
    </row>
    <row r="425" spans="1:18">
      <c r="A425" s="2"/>
      <c r="B425" s="2"/>
      <c r="C425" s="2"/>
      <c r="D425" s="2"/>
      <c r="E425" s="2"/>
      <c r="F425" s="2"/>
      <c r="R425" s="2"/>
    </row>
    <row r="426" spans="1:18">
      <c r="A426" s="2"/>
      <c r="B426" s="2"/>
      <c r="C426" s="2"/>
      <c r="D426" s="2"/>
      <c r="E426" s="2"/>
      <c r="F426" s="2"/>
      <c r="R426" s="2"/>
    </row>
    <row r="427" spans="1:18">
      <c r="A427" s="2"/>
      <c r="B427" s="2"/>
      <c r="C427" s="2"/>
      <c r="D427" s="2"/>
      <c r="E427" s="2"/>
      <c r="F427" s="2"/>
      <c r="R427" s="2"/>
    </row>
    <row r="428" spans="1:18">
      <c r="A428" s="2"/>
      <c r="B428" s="2"/>
      <c r="C428" s="2"/>
      <c r="D428" s="2"/>
      <c r="E428" s="2"/>
      <c r="F428" s="2"/>
      <c r="R428" s="2"/>
    </row>
    <row r="429" spans="1:18">
      <c r="A429" s="2"/>
      <c r="B429" s="2"/>
      <c r="C429" s="2"/>
      <c r="D429" s="2"/>
      <c r="E429" s="2"/>
      <c r="F429" s="2"/>
      <c r="R429" s="2"/>
    </row>
    <row r="430" spans="1:18">
      <c r="A430" s="2"/>
      <c r="B430" s="2"/>
      <c r="C430" s="2"/>
      <c r="D430" s="2"/>
      <c r="E430" s="2"/>
      <c r="F430" s="2"/>
      <c r="R430" s="2"/>
    </row>
    <row r="431" spans="1:18">
      <c r="A431" s="2"/>
      <c r="B431" s="2"/>
      <c r="C431" s="2"/>
      <c r="D431" s="2"/>
      <c r="E431" s="2"/>
      <c r="F431" s="2"/>
      <c r="R431" s="2"/>
    </row>
    <row r="432" spans="1:18">
      <c r="A432" s="2"/>
      <c r="B432" s="2"/>
      <c r="C432" s="2"/>
      <c r="D432" s="2"/>
      <c r="E432" s="2"/>
      <c r="F432" s="2"/>
      <c r="R432" s="2"/>
    </row>
    <row r="433" spans="1:18">
      <c r="A433" s="2"/>
      <c r="B433" s="2"/>
      <c r="C433" s="2"/>
      <c r="D433" s="2"/>
      <c r="E433" s="2"/>
      <c r="F433" s="2"/>
      <c r="R433" s="2"/>
    </row>
    <row r="434" spans="1:18">
      <c r="A434" s="2"/>
      <c r="B434" s="2"/>
      <c r="C434" s="2"/>
      <c r="D434" s="2"/>
      <c r="E434" s="2"/>
      <c r="F434" s="2"/>
      <c r="R434" s="2"/>
    </row>
    <row r="435" spans="1:18">
      <c r="A435" s="2"/>
      <c r="B435" s="2"/>
      <c r="C435" s="2"/>
      <c r="D435" s="2"/>
      <c r="E435" s="2"/>
      <c r="F435" s="2"/>
      <c r="R435" s="2"/>
    </row>
    <row r="436" spans="1:18">
      <c r="A436" s="2"/>
      <c r="B436" s="2"/>
      <c r="C436" s="2"/>
      <c r="D436" s="2"/>
      <c r="E436" s="2"/>
      <c r="F436" s="2"/>
      <c r="R436" s="2"/>
    </row>
    <row r="437" spans="1:18">
      <c r="A437" s="2"/>
      <c r="B437" s="2"/>
      <c r="C437" s="2"/>
      <c r="D437" s="2"/>
      <c r="E437" s="2"/>
      <c r="F437" s="2"/>
      <c r="R437" s="2"/>
    </row>
    <row r="438" spans="1:18">
      <c r="A438" s="2"/>
      <c r="B438" s="2"/>
      <c r="C438" s="2"/>
      <c r="D438" s="2"/>
      <c r="E438" s="2"/>
      <c r="F438" s="2"/>
      <c r="R438" s="2"/>
    </row>
    <row r="439" spans="1:18">
      <c r="A439" s="2"/>
      <c r="B439" s="2"/>
      <c r="C439" s="2"/>
      <c r="D439" s="2"/>
      <c r="E439" s="2"/>
      <c r="F439" s="2"/>
      <c r="R439" s="2"/>
    </row>
    <row r="440" spans="1:18">
      <c r="A440" s="2"/>
      <c r="B440" s="2"/>
      <c r="C440" s="2"/>
      <c r="D440" s="2"/>
      <c r="E440" s="2"/>
      <c r="F440" s="2"/>
      <c r="R440" s="2"/>
    </row>
    <row r="441" spans="1:18">
      <c r="A441" s="2"/>
      <c r="B441" s="2"/>
      <c r="C441" s="2"/>
      <c r="D441" s="2"/>
      <c r="E441" s="2"/>
      <c r="F441" s="2"/>
      <c r="R441" s="2"/>
    </row>
    <row r="442" spans="1:18">
      <c r="A442" s="2"/>
      <c r="B442" s="2"/>
      <c r="C442" s="2"/>
      <c r="D442" s="2"/>
      <c r="E442" s="2"/>
      <c r="F442" s="2"/>
      <c r="R442" s="2"/>
    </row>
    <row r="443" spans="1:18">
      <c r="A443" s="2"/>
      <c r="B443" s="2"/>
      <c r="C443" s="2"/>
      <c r="D443" s="2"/>
      <c r="E443" s="2"/>
      <c r="F443" s="2"/>
      <c r="R443" s="2"/>
    </row>
    <row r="444" spans="1:18">
      <c r="A444" s="2"/>
      <c r="B444" s="2"/>
      <c r="C444" s="2"/>
      <c r="D444" s="2"/>
      <c r="E444" s="2"/>
      <c r="F444" s="2"/>
      <c r="R444" s="2"/>
    </row>
    <row r="445" spans="1:18">
      <c r="A445" s="2"/>
      <c r="B445" s="2"/>
      <c r="C445" s="2"/>
      <c r="D445" s="2"/>
      <c r="E445" s="2"/>
      <c r="F445" s="2"/>
      <c r="R445" s="2"/>
    </row>
    <row r="446" spans="1:18">
      <c r="A446" s="2"/>
      <c r="B446" s="2"/>
      <c r="C446" s="2"/>
      <c r="D446" s="2"/>
      <c r="E446" s="2"/>
      <c r="F446" s="2"/>
      <c r="R446" s="2"/>
    </row>
    <row r="447" spans="1:18">
      <c r="A447" s="2"/>
      <c r="B447" s="2"/>
      <c r="C447" s="2"/>
      <c r="D447" s="2"/>
      <c r="E447" s="2"/>
      <c r="F447" s="2"/>
      <c r="R447" s="2"/>
    </row>
    <row r="448" spans="1:18">
      <c r="A448" s="2"/>
      <c r="B448" s="2"/>
      <c r="C448" s="2"/>
      <c r="D448" s="2"/>
      <c r="E448" s="2"/>
      <c r="F448" s="2"/>
      <c r="R448" s="2"/>
    </row>
    <row r="449" spans="1:19">
      <c r="A449" s="2"/>
      <c r="B449" s="2"/>
      <c r="C449" s="2"/>
      <c r="D449" s="2"/>
      <c r="E449" s="2"/>
      <c r="F449" s="2"/>
      <c r="R449" s="2"/>
    </row>
    <row r="450" spans="1:19">
      <c r="A450" s="2"/>
      <c r="B450" s="2"/>
      <c r="C450" s="2"/>
      <c r="D450" s="2"/>
      <c r="E450" s="2"/>
      <c r="F450" s="2"/>
      <c r="R450" s="2"/>
    </row>
    <row r="451" spans="1:19">
      <c r="A451" s="2"/>
      <c r="B451" s="2"/>
      <c r="C451" s="2"/>
      <c r="D451" s="2"/>
      <c r="E451" s="2"/>
      <c r="F451" s="2"/>
      <c r="R451" s="2"/>
    </row>
    <row r="452" spans="1:19">
      <c r="A452" s="2"/>
      <c r="B452" s="2"/>
      <c r="C452" s="2"/>
      <c r="D452" s="2"/>
      <c r="E452" s="2"/>
      <c r="F452" s="2"/>
      <c r="R452" s="2"/>
    </row>
    <row r="453" spans="1:19">
      <c r="A453" s="2"/>
      <c r="B453" s="2"/>
      <c r="C453" s="2"/>
      <c r="D453" s="2"/>
      <c r="E453" s="2"/>
      <c r="F453" s="2"/>
      <c r="R453" s="2"/>
    </row>
    <row r="454" spans="1:19">
      <c r="A454" s="2"/>
      <c r="B454" s="2"/>
      <c r="C454" s="2"/>
      <c r="D454" s="2"/>
      <c r="E454" s="2"/>
      <c r="F454" s="2"/>
      <c r="R454" s="2"/>
    </row>
    <row r="455" spans="1:19">
      <c r="A455" s="2"/>
      <c r="B455" s="2"/>
      <c r="C455" s="2"/>
      <c r="D455" s="2"/>
      <c r="E455" s="2"/>
      <c r="F455" s="2"/>
      <c r="R455" s="2"/>
    </row>
    <row r="456" spans="1:19">
      <c r="A456" s="2"/>
      <c r="B456" s="2"/>
      <c r="C456" s="2"/>
      <c r="D456" s="2"/>
      <c r="E456" s="2"/>
      <c r="F456" s="2"/>
      <c r="R456" s="2"/>
    </row>
    <row r="457" spans="1:19">
      <c r="A457" s="2"/>
      <c r="B457" s="2"/>
      <c r="C457" s="2"/>
      <c r="D457" s="2"/>
      <c r="E457" s="2"/>
      <c r="F457" s="2"/>
      <c r="R457" s="2"/>
    </row>
    <row r="458" spans="1:19">
      <c r="A458" s="2"/>
      <c r="B458" s="2"/>
      <c r="C458" s="2"/>
      <c r="D458" s="2"/>
      <c r="E458" s="2"/>
      <c r="F458" s="2"/>
      <c r="R458" s="2"/>
    </row>
    <row r="459" spans="1:19">
      <c r="A459" s="2"/>
      <c r="B459" s="2"/>
      <c r="C459" s="2"/>
      <c r="D459" s="2"/>
      <c r="E459" s="2"/>
      <c r="F459" s="2"/>
      <c r="R459" s="2"/>
    </row>
    <row r="460" spans="1:19">
      <c r="A460" s="2"/>
      <c r="B460" s="2"/>
      <c r="C460" s="2"/>
      <c r="D460" s="2"/>
      <c r="E460" s="2"/>
      <c r="F460" s="2"/>
      <c r="R460" s="2"/>
    </row>
    <row r="461" spans="1:19" ht="13.5" thickBot="1">
      <c r="A461" s="2"/>
      <c r="B461" s="2"/>
      <c r="C461" s="2"/>
      <c r="D461" s="2"/>
      <c r="E461" s="2"/>
      <c r="F461" s="2"/>
      <c r="R461" s="2"/>
    </row>
    <row r="462" spans="1:19" ht="45">
      <c r="A462" s="367" t="s">
        <v>89</v>
      </c>
      <c r="B462" s="367"/>
      <c r="C462" s="368"/>
      <c r="D462" s="368"/>
      <c r="E462" s="368"/>
      <c r="F462" s="368"/>
      <c r="G462" s="368"/>
      <c r="H462" s="368"/>
      <c r="I462" s="368"/>
      <c r="J462" s="368"/>
      <c r="K462" s="368"/>
      <c r="L462" s="368"/>
      <c r="M462" s="368"/>
      <c r="N462" s="368"/>
      <c r="O462" s="368"/>
      <c r="P462" s="368"/>
      <c r="Q462" s="368"/>
      <c r="R462" s="368"/>
      <c r="S462" s="369"/>
    </row>
    <row r="463" spans="1:19">
      <c r="A463" s="2"/>
      <c r="B463" s="2"/>
      <c r="C463" s="2"/>
      <c r="D463" s="2"/>
      <c r="E463" s="2"/>
      <c r="F463" s="2"/>
      <c r="R463" s="2"/>
      <c r="S463" s="370"/>
    </row>
    <row r="464" spans="1:19">
      <c r="A464" s="2"/>
      <c r="B464" s="2"/>
      <c r="C464" s="2"/>
      <c r="D464" s="2"/>
      <c r="E464" s="2"/>
      <c r="F464" s="2"/>
      <c r="R464" s="2"/>
      <c r="S464" s="370"/>
    </row>
    <row r="465" spans="1:19">
      <c r="A465" s="2"/>
      <c r="B465" s="2"/>
      <c r="C465" s="2"/>
      <c r="D465" s="2"/>
      <c r="E465" s="2"/>
      <c r="F465" s="2"/>
      <c r="R465" s="2"/>
      <c r="S465" s="370"/>
    </row>
    <row r="466" spans="1:19">
      <c r="A466" s="2"/>
      <c r="B466" s="2"/>
      <c r="C466" s="2"/>
      <c r="D466" s="2"/>
      <c r="E466" s="2"/>
      <c r="F466" s="2"/>
      <c r="R466" s="2"/>
      <c r="S466" s="370"/>
    </row>
    <row r="467" spans="1:19">
      <c r="A467" s="2"/>
      <c r="B467" s="2"/>
      <c r="C467" s="2"/>
      <c r="D467" s="2"/>
      <c r="E467" s="2"/>
      <c r="F467" s="2"/>
      <c r="R467" s="2"/>
      <c r="S467" s="370"/>
    </row>
    <row r="468" spans="1:19">
      <c r="A468" s="2"/>
      <c r="B468" s="2"/>
      <c r="C468" s="2"/>
      <c r="D468" s="2"/>
      <c r="E468" s="2"/>
      <c r="F468" s="2"/>
      <c r="R468" s="2"/>
      <c r="S468" s="370"/>
    </row>
    <row r="469" spans="1:19">
      <c r="A469" s="2"/>
      <c r="B469" s="2"/>
      <c r="C469" s="2"/>
      <c r="D469" s="2"/>
      <c r="E469" s="2"/>
      <c r="F469" s="2"/>
      <c r="R469" s="2"/>
      <c r="S469" s="370"/>
    </row>
    <row r="470" spans="1:19">
      <c r="A470" s="2"/>
      <c r="B470" s="2"/>
      <c r="C470" s="2"/>
      <c r="D470" s="2"/>
      <c r="E470" s="2"/>
      <c r="F470" s="2"/>
      <c r="R470" s="2"/>
      <c r="S470" s="370"/>
    </row>
    <row r="471" spans="1:19">
      <c r="A471" s="2"/>
      <c r="B471" s="2"/>
      <c r="C471" s="2"/>
      <c r="D471" s="2"/>
      <c r="E471" s="2"/>
      <c r="F471" s="2"/>
      <c r="R471" s="2"/>
      <c r="S471" s="370"/>
    </row>
    <row r="472" spans="1:19">
      <c r="A472" s="2"/>
      <c r="B472" s="2"/>
      <c r="C472" s="2"/>
      <c r="D472" s="2"/>
      <c r="E472" s="2"/>
      <c r="F472" s="2"/>
      <c r="R472" s="2"/>
      <c r="S472" s="370"/>
    </row>
    <row r="473" spans="1:19" ht="13.5" thickBot="1">
      <c r="A473" s="371"/>
      <c r="B473" s="371"/>
      <c r="C473" s="371"/>
      <c r="D473" s="371"/>
      <c r="E473" s="371"/>
      <c r="F473" s="371"/>
      <c r="G473" s="371"/>
      <c r="H473" s="371"/>
      <c r="I473" s="371"/>
      <c r="J473" s="371"/>
      <c r="K473" s="371"/>
      <c r="L473" s="371"/>
      <c r="M473" s="371"/>
      <c r="N473" s="371"/>
      <c r="O473" s="371"/>
      <c r="P473" s="371"/>
      <c r="Q473" s="371"/>
      <c r="R473" s="371"/>
      <c r="S473" s="372"/>
    </row>
    <row r="474" spans="1:19">
      <c r="A474" s="2"/>
      <c r="B474" s="2"/>
      <c r="C474" s="2"/>
      <c r="D474" s="2"/>
      <c r="E474" s="2"/>
      <c r="F474" s="2"/>
      <c r="R474" s="2"/>
    </row>
    <row r="475" spans="1:19">
      <c r="A475" s="2"/>
      <c r="B475" s="2"/>
      <c r="C475" s="2"/>
      <c r="D475" s="2"/>
      <c r="E475" s="2"/>
      <c r="F475" s="2"/>
      <c r="R475" s="2"/>
    </row>
    <row r="476" spans="1:19">
      <c r="A476" s="2"/>
      <c r="B476" s="2"/>
      <c r="C476" s="2"/>
      <c r="D476" s="2"/>
      <c r="E476" s="2"/>
      <c r="F476" s="2"/>
      <c r="R476" s="2"/>
    </row>
    <row r="477" spans="1:19">
      <c r="A477" s="2"/>
      <c r="B477" s="2"/>
      <c r="C477" s="2"/>
      <c r="D477" s="2"/>
      <c r="E477" s="2"/>
      <c r="F477" s="2"/>
      <c r="R477" s="2"/>
    </row>
    <row r="478" spans="1:19">
      <c r="A478" s="2"/>
      <c r="B478" s="2"/>
      <c r="C478" s="2"/>
      <c r="D478" s="2"/>
      <c r="E478" s="2"/>
      <c r="F478" s="2"/>
      <c r="R478" s="2"/>
    </row>
    <row r="479" spans="1:19">
      <c r="A479" s="2"/>
      <c r="B479" s="2"/>
      <c r="C479" s="2"/>
      <c r="D479" s="2"/>
      <c r="E479" s="2"/>
      <c r="F479" s="2"/>
      <c r="R479" s="2"/>
    </row>
    <row r="480" spans="1:19">
      <c r="A480" s="2"/>
      <c r="B480" s="2"/>
      <c r="C480" s="2"/>
      <c r="D480" s="2"/>
      <c r="E480" s="2"/>
      <c r="F480" s="2"/>
      <c r="R480" s="2"/>
    </row>
    <row r="481" spans="1:18">
      <c r="A481" s="2"/>
      <c r="B481" s="2"/>
      <c r="C481" s="2"/>
      <c r="D481" s="2"/>
      <c r="E481" s="2"/>
      <c r="F481" s="2"/>
      <c r="R481" s="2"/>
    </row>
    <row r="482" spans="1:18">
      <c r="A482" s="2"/>
      <c r="B482" s="2"/>
      <c r="C482" s="2"/>
      <c r="D482" s="2"/>
      <c r="E482" s="2"/>
      <c r="F482" s="2"/>
      <c r="R482" s="2"/>
    </row>
    <row r="483" spans="1:18">
      <c r="A483" s="2"/>
      <c r="B483" s="2"/>
      <c r="C483" s="2"/>
      <c r="D483" s="2"/>
      <c r="E483" s="2"/>
      <c r="F483" s="2"/>
      <c r="R483" s="2"/>
    </row>
    <row r="484" spans="1:18">
      <c r="A484" s="2"/>
      <c r="B484" s="2"/>
      <c r="C484" s="2"/>
      <c r="D484" s="2"/>
      <c r="E484" s="2"/>
      <c r="F484" s="2"/>
      <c r="R484" s="2"/>
    </row>
    <row r="485" spans="1:18">
      <c r="A485" s="2"/>
      <c r="B485" s="2"/>
      <c r="C485" s="2"/>
      <c r="D485" s="2"/>
      <c r="E485" s="2"/>
      <c r="F485" s="2"/>
      <c r="R485" s="2"/>
    </row>
    <row r="486" spans="1:18">
      <c r="A486" s="2"/>
      <c r="B486" s="2"/>
      <c r="C486" s="2"/>
      <c r="D486" s="2"/>
      <c r="E486" s="2"/>
      <c r="F486" s="2"/>
      <c r="R486" s="2"/>
    </row>
    <row r="487" spans="1:18">
      <c r="A487" s="2"/>
      <c r="B487" s="2"/>
      <c r="C487" s="2"/>
      <c r="D487" s="2"/>
      <c r="E487" s="2"/>
      <c r="F487" s="2"/>
      <c r="R487" s="2"/>
    </row>
    <row r="488" spans="1:18">
      <c r="A488" s="2"/>
      <c r="B488" s="2"/>
      <c r="C488" s="2"/>
      <c r="D488" s="2"/>
      <c r="E488" s="2"/>
      <c r="F488" s="2"/>
      <c r="R488" s="2"/>
    </row>
    <row r="489" spans="1:18">
      <c r="A489" s="2"/>
      <c r="B489" s="2"/>
      <c r="C489" s="2"/>
      <c r="D489" s="2"/>
      <c r="E489" s="2"/>
      <c r="F489" s="2"/>
      <c r="R489" s="2"/>
    </row>
    <row r="490" spans="1:18">
      <c r="A490" s="2"/>
      <c r="B490" s="2"/>
      <c r="C490" s="2"/>
      <c r="D490" s="2"/>
      <c r="E490" s="2"/>
      <c r="F490" s="2"/>
      <c r="R490" s="2"/>
    </row>
    <row r="491" spans="1:18">
      <c r="A491" s="2"/>
      <c r="B491" s="2"/>
      <c r="C491" s="2"/>
      <c r="D491" s="2"/>
      <c r="E491" s="2"/>
      <c r="F491" s="2"/>
      <c r="R491" s="2"/>
    </row>
    <row r="492" spans="1:18">
      <c r="A492" s="2"/>
      <c r="B492" s="2"/>
      <c r="C492" s="2"/>
      <c r="D492" s="2"/>
      <c r="E492" s="2"/>
      <c r="F492" s="2"/>
      <c r="R492" s="2"/>
    </row>
    <row r="493" spans="1:18">
      <c r="A493" s="2"/>
      <c r="B493" s="2"/>
      <c r="C493" s="2"/>
      <c r="D493" s="2"/>
      <c r="E493" s="2"/>
      <c r="F493" s="2"/>
      <c r="R493" s="2"/>
    </row>
    <row r="494" spans="1:18">
      <c r="A494" s="2"/>
      <c r="B494" s="2"/>
      <c r="C494" s="2"/>
      <c r="D494" s="2"/>
      <c r="E494" s="2"/>
      <c r="F494" s="2"/>
      <c r="R494" s="2"/>
    </row>
    <row r="495" spans="1:18">
      <c r="A495" s="2"/>
      <c r="B495" s="2"/>
      <c r="C495" s="2"/>
      <c r="D495" s="2"/>
      <c r="E495" s="2"/>
      <c r="F495" s="2"/>
      <c r="R495" s="2"/>
    </row>
    <row r="496" spans="1:18">
      <c r="A496" s="2"/>
      <c r="B496" s="2"/>
      <c r="C496" s="2"/>
      <c r="D496" s="2"/>
      <c r="E496" s="2"/>
      <c r="F496" s="2"/>
      <c r="R496" s="2"/>
    </row>
    <row r="497" spans="1:18">
      <c r="A497" s="2"/>
      <c r="B497" s="2"/>
      <c r="C497" s="2"/>
      <c r="D497" s="2"/>
      <c r="E497" s="2"/>
      <c r="F497" s="2"/>
      <c r="R497" s="2"/>
    </row>
    <row r="498" spans="1:18">
      <c r="A498" s="2"/>
      <c r="B498" s="2"/>
      <c r="C498" s="2"/>
      <c r="D498" s="2"/>
      <c r="E498" s="2"/>
      <c r="F498" s="2"/>
      <c r="R498" s="2"/>
    </row>
    <row r="499" spans="1:18">
      <c r="A499" s="2"/>
      <c r="B499" s="2"/>
      <c r="C499" s="2"/>
      <c r="D499" s="2"/>
      <c r="E499" s="2"/>
      <c r="F499" s="2"/>
      <c r="R499" s="2"/>
    </row>
    <row r="500" spans="1:18">
      <c r="A500" s="2"/>
      <c r="B500" s="2"/>
      <c r="C500" s="2"/>
      <c r="D500" s="2"/>
      <c r="E500" s="2"/>
      <c r="F500" s="2"/>
      <c r="R500" s="2"/>
    </row>
    <row r="501" spans="1:18">
      <c r="A501" s="2"/>
      <c r="B501" s="2"/>
      <c r="C501" s="2"/>
      <c r="D501" s="2"/>
      <c r="E501" s="2"/>
      <c r="F501" s="2"/>
      <c r="R501" s="2"/>
    </row>
    <row r="502" spans="1:18">
      <c r="A502" s="2"/>
      <c r="B502" s="2"/>
      <c r="C502" s="2"/>
      <c r="D502" s="2"/>
      <c r="E502" s="2"/>
      <c r="F502" s="2"/>
      <c r="R502" s="2"/>
    </row>
    <row r="503" spans="1:18">
      <c r="A503" s="2"/>
      <c r="B503" s="2"/>
      <c r="C503" s="2"/>
      <c r="D503" s="2"/>
      <c r="E503" s="2"/>
      <c r="F503" s="2"/>
      <c r="R503" s="2"/>
    </row>
    <row r="504" spans="1:18">
      <c r="A504" s="2"/>
      <c r="B504" s="2"/>
      <c r="C504" s="2"/>
      <c r="D504" s="2"/>
      <c r="E504" s="2"/>
      <c r="F504" s="2"/>
      <c r="R504" s="2"/>
    </row>
    <row r="505" spans="1:18">
      <c r="A505" s="2"/>
      <c r="B505" s="2"/>
      <c r="C505" s="2"/>
      <c r="D505" s="2"/>
      <c r="E505" s="2"/>
      <c r="F505" s="2"/>
      <c r="R505" s="2"/>
    </row>
    <row r="506" spans="1:18">
      <c r="A506" s="2"/>
      <c r="B506" s="2"/>
      <c r="C506" s="2"/>
      <c r="D506" s="2"/>
      <c r="E506" s="2"/>
      <c r="F506" s="2"/>
      <c r="R506" s="2"/>
    </row>
    <row r="507" spans="1:18">
      <c r="A507" s="2"/>
      <c r="B507" s="2"/>
      <c r="C507" s="2"/>
      <c r="D507" s="2"/>
      <c r="E507" s="2"/>
      <c r="F507" s="2"/>
      <c r="R507" s="2"/>
    </row>
    <row r="508" spans="1:18">
      <c r="A508" s="2"/>
      <c r="B508" s="2"/>
      <c r="C508" s="2"/>
      <c r="D508" s="2"/>
      <c r="E508" s="2"/>
      <c r="F508" s="2"/>
      <c r="R508" s="2"/>
    </row>
    <row r="509" spans="1:18">
      <c r="A509" s="2"/>
      <c r="B509" s="2"/>
      <c r="C509" s="2"/>
      <c r="D509" s="2"/>
      <c r="E509" s="2"/>
      <c r="F509" s="2"/>
      <c r="R509" s="2"/>
    </row>
    <row r="510" spans="1:18">
      <c r="A510" s="2"/>
      <c r="B510" s="2"/>
      <c r="C510" s="2"/>
      <c r="D510" s="2"/>
      <c r="E510" s="2"/>
      <c r="F510" s="2"/>
      <c r="R510" s="2"/>
    </row>
    <row r="511" spans="1:18">
      <c r="A511" s="2"/>
      <c r="B511" s="2"/>
      <c r="C511" s="2"/>
      <c r="D511" s="2"/>
      <c r="E511" s="2"/>
      <c r="F511" s="2"/>
      <c r="R511" s="2"/>
    </row>
    <row r="512" spans="1:18">
      <c r="A512" s="2"/>
      <c r="B512" s="2"/>
      <c r="C512" s="2"/>
      <c r="D512" s="2"/>
      <c r="E512" s="2"/>
      <c r="F512" s="2"/>
      <c r="R512" s="2"/>
    </row>
    <row r="513" spans="1:18">
      <c r="A513" s="2"/>
      <c r="B513" s="2"/>
      <c r="C513" s="2"/>
      <c r="D513" s="2"/>
      <c r="E513" s="2"/>
      <c r="F513" s="2"/>
      <c r="R513" s="2"/>
    </row>
    <row r="514" spans="1:18">
      <c r="A514" s="2"/>
      <c r="B514" s="2"/>
      <c r="C514" s="2"/>
      <c r="D514" s="2"/>
      <c r="E514" s="2"/>
      <c r="F514" s="2"/>
      <c r="R514" s="2"/>
    </row>
    <row r="515" spans="1:18">
      <c r="A515" s="2"/>
      <c r="B515" s="2"/>
      <c r="C515" s="2"/>
      <c r="D515" s="2"/>
      <c r="E515" s="2"/>
      <c r="F515" s="2"/>
      <c r="R515" s="2"/>
    </row>
    <row r="516" spans="1:18">
      <c r="A516" s="2"/>
      <c r="B516" s="2"/>
      <c r="C516" s="2"/>
      <c r="D516" s="2"/>
      <c r="E516" s="2"/>
      <c r="F516" s="2"/>
      <c r="R516" s="2"/>
    </row>
    <row r="517" spans="1:18">
      <c r="A517" s="2"/>
      <c r="B517" s="2"/>
      <c r="C517" s="2"/>
      <c r="D517" s="2"/>
      <c r="E517" s="2"/>
      <c r="F517" s="2"/>
      <c r="R517" s="2"/>
    </row>
    <row r="518" spans="1:18">
      <c r="A518" s="2"/>
      <c r="B518" s="2"/>
      <c r="C518" s="2"/>
      <c r="D518" s="2"/>
      <c r="E518" s="2"/>
      <c r="F518" s="2"/>
      <c r="R518" s="2"/>
    </row>
    <row r="519" spans="1:18">
      <c r="A519" s="2"/>
      <c r="B519" s="2"/>
      <c r="C519" s="2"/>
      <c r="D519" s="2"/>
      <c r="E519" s="2"/>
      <c r="F519" s="2"/>
      <c r="R519" s="2"/>
    </row>
    <row r="520" spans="1:18">
      <c r="A520" s="2"/>
      <c r="B520" s="2"/>
      <c r="C520" s="2"/>
      <c r="D520" s="2"/>
      <c r="E520" s="2"/>
      <c r="F520" s="2"/>
      <c r="R520" s="2"/>
    </row>
    <row r="521" spans="1:18">
      <c r="A521" s="2"/>
      <c r="B521" s="2"/>
      <c r="C521" s="2"/>
      <c r="D521" s="2"/>
      <c r="E521" s="2"/>
      <c r="F521" s="2"/>
      <c r="R521" s="2"/>
    </row>
    <row r="522" spans="1:18">
      <c r="A522" s="2"/>
      <c r="B522" s="2"/>
      <c r="C522" s="2"/>
      <c r="D522" s="2"/>
      <c r="E522" s="2"/>
      <c r="F522" s="2"/>
      <c r="R522" s="2"/>
    </row>
    <row r="523" spans="1:18">
      <c r="A523" s="2"/>
      <c r="B523" s="2"/>
      <c r="C523" s="2"/>
      <c r="D523" s="2"/>
      <c r="E523" s="2"/>
      <c r="F523" s="2"/>
      <c r="R523" s="2"/>
    </row>
    <row r="524" spans="1:18">
      <c r="A524" s="2"/>
      <c r="B524" s="2"/>
      <c r="C524" s="2"/>
      <c r="D524" s="2"/>
      <c r="E524" s="2"/>
      <c r="F524" s="2"/>
      <c r="R524" s="2"/>
    </row>
    <row r="525" spans="1:18">
      <c r="A525" s="2"/>
      <c r="B525" s="2"/>
      <c r="C525" s="2"/>
      <c r="D525" s="2"/>
      <c r="E525" s="2"/>
      <c r="F525" s="2"/>
      <c r="R525" s="2"/>
    </row>
    <row r="526" spans="1:18">
      <c r="A526" s="2"/>
      <c r="B526" s="2"/>
      <c r="C526" s="2"/>
      <c r="D526" s="2"/>
      <c r="E526" s="2"/>
      <c r="F526" s="2"/>
      <c r="R526" s="2"/>
    </row>
    <row r="527" spans="1:18">
      <c r="A527" s="2"/>
      <c r="B527" s="2"/>
      <c r="C527" s="2"/>
      <c r="D527" s="2"/>
      <c r="E527" s="2"/>
      <c r="F527" s="2"/>
      <c r="R527" s="2"/>
    </row>
    <row r="528" spans="1:18">
      <c r="A528" s="2"/>
      <c r="B528" s="2"/>
      <c r="C528" s="2"/>
      <c r="D528" s="2"/>
      <c r="E528" s="2"/>
      <c r="F528" s="2"/>
      <c r="R528" s="2"/>
    </row>
    <row r="529" spans="1:18">
      <c r="A529" s="2"/>
      <c r="B529" s="2"/>
      <c r="C529" s="2"/>
      <c r="D529" s="2"/>
      <c r="E529" s="2"/>
      <c r="F529" s="2"/>
      <c r="R529" s="2"/>
    </row>
    <row r="530" spans="1:18">
      <c r="A530" s="2"/>
      <c r="B530" s="2"/>
      <c r="C530" s="2"/>
      <c r="D530" s="2"/>
      <c r="E530" s="2"/>
      <c r="F530" s="2"/>
      <c r="R530" s="2"/>
    </row>
    <row r="531" spans="1:18">
      <c r="A531" s="2"/>
      <c r="B531" s="2"/>
      <c r="C531" s="2"/>
      <c r="D531" s="2"/>
      <c r="E531" s="2"/>
      <c r="F531" s="2"/>
      <c r="R531" s="2"/>
    </row>
    <row r="532" spans="1:18">
      <c r="A532" s="2"/>
      <c r="B532" s="2"/>
      <c r="C532" s="2"/>
      <c r="D532" s="2"/>
      <c r="E532" s="2"/>
      <c r="F532" s="2"/>
      <c r="R532" s="2"/>
    </row>
    <row r="533" spans="1:18">
      <c r="A533" s="2"/>
      <c r="B533" s="2"/>
      <c r="C533" s="2"/>
      <c r="D533" s="2"/>
      <c r="E533" s="2"/>
      <c r="F533" s="2"/>
      <c r="R533" s="2"/>
    </row>
    <row r="534" spans="1:18">
      <c r="A534" s="2"/>
      <c r="B534" s="2"/>
      <c r="C534" s="2"/>
      <c r="D534" s="2"/>
      <c r="E534" s="2"/>
      <c r="F534" s="2"/>
      <c r="R534" s="2"/>
    </row>
    <row r="535" spans="1:18">
      <c r="A535" s="2"/>
      <c r="B535" s="2"/>
      <c r="C535" s="2"/>
      <c r="D535" s="2"/>
      <c r="E535" s="2"/>
      <c r="F535" s="2"/>
      <c r="R535" s="2"/>
    </row>
    <row r="536" spans="1:18">
      <c r="A536" s="2"/>
      <c r="B536" s="2"/>
      <c r="C536" s="2"/>
      <c r="D536" s="2"/>
      <c r="E536" s="2"/>
      <c r="F536" s="2"/>
      <c r="R536" s="2"/>
    </row>
    <row r="537" spans="1:18">
      <c r="A537" s="2"/>
      <c r="B537" s="2"/>
      <c r="C537" s="2"/>
      <c r="D537" s="2"/>
      <c r="E537" s="2"/>
      <c r="F537" s="2"/>
      <c r="R537" s="2"/>
    </row>
    <row r="538" spans="1:18">
      <c r="A538" s="2"/>
      <c r="B538" s="2"/>
      <c r="C538" s="2"/>
      <c r="D538" s="2"/>
      <c r="E538" s="2"/>
      <c r="F538" s="2"/>
      <c r="R538" s="2"/>
    </row>
    <row r="539" spans="1:18">
      <c r="A539" s="2"/>
      <c r="B539" s="2"/>
      <c r="C539" s="2"/>
      <c r="D539" s="2"/>
      <c r="E539" s="2"/>
      <c r="F539" s="2"/>
      <c r="R539" s="2"/>
    </row>
    <row r="540" spans="1:18">
      <c r="A540" s="2"/>
      <c r="B540" s="2"/>
      <c r="C540" s="2"/>
      <c r="D540" s="2"/>
      <c r="E540" s="2"/>
      <c r="F540" s="2"/>
      <c r="R540" s="2"/>
    </row>
    <row r="541" spans="1:18">
      <c r="A541" s="2"/>
      <c r="B541" s="2"/>
      <c r="C541" s="2"/>
      <c r="D541" s="2"/>
      <c r="E541" s="2"/>
      <c r="F541" s="2"/>
      <c r="R541" s="2"/>
    </row>
    <row r="542" spans="1:18">
      <c r="A542" s="2"/>
      <c r="B542" s="2"/>
      <c r="C542" s="2"/>
      <c r="D542" s="2"/>
      <c r="E542" s="2"/>
      <c r="F542" s="2"/>
      <c r="R542" s="2"/>
    </row>
    <row r="543" spans="1:18">
      <c r="A543" s="2"/>
      <c r="B543" s="2"/>
      <c r="C543" s="2"/>
      <c r="D543" s="2"/>
      <c r="E543" s="2"/>
      <c r="F543" s="2"/>
      <c r="R543" s="2"/>
    </row>
    <row r="544" spans="1:18">
      <c r="A544" s="2"/>
      <c r="B544" s="2"/>
      <c r="C544" s="2"/>
      <c r="D544" s="2"/>
      <c r="E544" s="2"/>
      <c r="F544" s="2"/>
      <c r="R544" s="2"/>
    </row>
    <row r="545" spans="1:18">
      <c r="A545" s="2"/>
      <c r="B545" s="2"/>
      <c r="C545" s="2"/>
      <c r="D545" s="2"/>
      <c r="E545" s="2"/>
      <c r="F545" s="2"/>
      <c r="R545" s="2"/>
    </row>
    <row r="546" spans="1:18">
      <c r="A546" s="2"/>
      <c r="B546" s="2"/>
      <c r="C546" s="2"/>
      <c r="D546" s="2"/>
      <c r="E546" s="2"/>
      <c r="F546" s="2"/>
      <c r="R546" s="2"/>
    </row>
    <row r="547" spans="1:18">
      <c r="A547" s="2"/>
      <c r="B547" s="2"/>
      <c r="C547" s="2"/>
      <c r="D547" s="2"/>
      <c r="E547" s="2"/>
      <c r="F547" s="2"/>
      <c r="R547" s="2"/>
    </row>
    <row r="548" spans="1:18">
      <c r="A548" s="2"/>
      <c r="B548" s="2"/>
      <c r="C548" s="2"/>
      <c r="D548" s="2"/>
      <c r="E548" s="2"/>
      <c r="F548" s="2"/>
      <c r="R548" s="2"/>
    </row>
    <row r="549" spans="1:18">
      <c r="A549" s="2"/>
      <c r="B549" s="2"/>
      <c r="C549" s="2"/>
      <c r="D549" s="2"/>
      <c r="E549" s="2"/>
      <c r="F549" s="2"/>
      <c r="R549" s="2"/>
    </row>
    <row r="550" spans="1:18">
      <c r="A550" s="2"/>
      <c r="B550" s="2"/>
      <c r="C550" s="2"/>
      <c r="D550" s="2"/>
      <c r="E550" s="2"/>
      <c r="F550" s="2"/>
      <c r="R550" s="2"/>
    </row>
    <row r="551" spans="1:18">
      <c r="A551" s="2"/>
      <c r="B551" s="2"/>
      <c r="C551" s="2"/>
      <c r="D551" s="2"/>
      <c r="E551" s="2"/>
      <c r="F551" s="2"/>
      <c r="R551" s="2"/>
    </row>
    <row r="552" spans="1:18">
      <c r="A552" s="2"/>
      <c r="B552" s="2"/>
      <c r="C552" s="2"/>
      <c r="D552" s="2"/>
      <c r="E552" s="2"/>
      <c r="F552" s="2"/>
      <c r="R552" s="2"/>
    </row>
    <row r="553" spans="1:18">
      <c r="A553" s="2"/>
      <c r="B553" s="2"/>
      <c r="C553" s="2"/>
      <c r="D553" s="2"/>
      <c r="E553" s="2"/>
      <c r="F553" s="2"/>
      <c r="R553" s="2"/>
    </row>
    <row r="554" spans="1:18">
      <c r="A554" s="2"/>
      <c r="B554" s="2"/>
      <c r="C554" s="2"/>
      <c r="D554" s="2"/>
      <c r="E554" s="2"/>
      <c r="F554" s="2"/>
      <c r="R554" s="2"/>
    </row>
    <row r="555" spans="1:18">
      <c r="A555" s="2"/>
      <c r="B555" s="2"/>
      <c r="C555" s="2"/>
      <c r="D555" s="2"/>
      <c r="E555" s="2"/>
      <c r="F555" s="2"/>
      <c r="R555" s="2"/>
    </row>
    <row r="556" spans="1:18">
      <c r="A556" s="2"/>
      <c r="B556" s="2"/>
      <c r="C556" s="2"/>
      <c r="D556" s="2"/>
      <c r="E556" s="2"/>
      <c r="F556" s="2"/>
      <c r="R556" s="2"/>
    </row>
    <row r="557" spans="1:18">
      <c r="A557" s="2"/>
      <c r="B557" s="2"/>
      <c r="C557" s="2"/>
      <c r="D557" s="2"/>
      <c r="E557" s="2"/>
      <c r="F557" s="2"/>
      <c r="R557" s="2"/>
    </row>
    <row r="558" spans="1:18">
      <c r="A558" s="2"/>
      <c r="B558" s="2"/>
      <c r="C558" s="2"/>
      <c r="D558" s="2"/>
      <c r="E558" s="2"/>
      <c r="F558" s="2"/>
      <c r="R558" s="2"/>
    </row>
    <row r="559" spans="1:18">
      <c r="A559" s="2"/>
      <c r="B559" s="2"/>
      <c r="C559" s="2"/>
      <c r="D559" s="2"/>
      <c r="E559" s="2"/>
      <c r="F559" s="2"/>
      <c r="R559" s="2"/>
    </row>
    <row r="560" spans="1:18">
      <c r="A560" s="2"/>
      <c r="B560" s="2"/>
      <c r="C560" s="2"/>
      <c r="D560" s="2"/>
      <c r="E560" s="2"/>
      <c r="F560" s="2"/>
      <c r="R560" s="2"/>
    </row>
    <row r="561" spans="1:18">
      <c r="A561" s="2"/>
      <c r="B561" s="2"/>
      <c r="C561" s="2"/>
      <c r="D561" s="2"/>
      <c r="E561" s="2"/>
      <c r="F561" s="2"/>
      <c r="R561" s="2"/>
    </row>
    <row r="562" spans="1:18">
      <c r="A562" s="2"/>
      <c r="B562" s="2"/>
      <c r="C562" s="2"/>
      <c r="D562" s="2"/>
      <c r="E562" s="2"/>
      <c r="F562" s="2"/>
      <c r="R562" s="2"/>
    </row>
    <row r="563" spans="1:18">
      <c r="A563" s="2"/>
      <c r="B563" s="2"/>
      <c r="C563" s="2"/>
      <c r="D563" s="2"/>
      <c r="E563" s="2"/>
      <c r="F563" s="2"/>
      <c r="R563" s="2"/>
    </row>
    <row r="564" spans="1:18">
      <c r="A564" s="2"/>
      <c r="B564" s="2"/>
      <c r="C564" s="2"/>
      <c r="D564" s="2"/>
      <c r="E564" s="2"/>
      <c r="F564" s="2"/>
      <c r="R564" s="2"/>
    </row>
    <row r="565" spans="1:18">
      <c r="A565" s="2"/>
      <c r="B565" s="2"/>
      <c r="C565" s="2"/>
      <c r="D565" s="2"/>
      <c r="E565" s="2"/>
      <c r="F565" s="2"/>
      <c r="R565" s="2"/>
    </row>
    <row r="566" spans="1:18">
      <c r="A566" s="2"/>
      <c r="B566" s="2"/>
      <c r="C566" s="2"/>
      <c r="D566" s="2"/>
      <c r="E566" s="2"/>
      <c r="F566" s="2"/>
      <c r="R566" s="2"/>
    </row>
    <row r="567" spans="1:18">
      <c r="A567" s="2"/>
      <c r="B567" s="2"/>
      <c r="C567" s="2"/>
      <c r="D567" s="2"/>
      <c r="E567" s="2"/>
      <c r="F567" s="2"/>
      <c r="R567" s="2"/>
    </row>
    <row r="568" spans="1:18">
      <c r="A568" s="2"/>
      <c r="B568" s="2"/>
      <c r="C568" s="2"/>
      <c r="D568" s="2"/>
      <c r="E568" s="2"/>
      <c r="F568" s="2"/>
      <c r="R568" s="2"/>
    </row>
    <row r="569" spans="1:18">
      <c r="A569" s="2"/>
      <c r="B569" s="2"/>
      <c r="C569" s="2"/>
      <c r="D569" s="2"/>
      <c r="E569" s="2"/>
      <c r="F569" s="2"/>
      <c r="R569" s="2"/>
    </row>
    <row r="570" spans="1:18">
      <c r="A570" s="2"/>
      <c r="B570" s="2"/>
      <c r="C570" s="2"/>
      <c r="D570" s="2"/>
      <c r="E570" s="2"/>
      <c r="F570" s="2"/>
      <c r="R570" s="2"/>
    </row>
    <row r="571" spans="1:18">
      <c r="A571" s="2"/>
      <c r="B571" s="2"/>
      <c r="C571" s="2"/>
      <c r="D571" s="2"/>
      <c r="E571" s="2"/>
      <c r="F571" s="2"/>
      <c r="R571" s="2"/>
    </row>
    <row r="572" spans="1:18">
      <c r="A572" s="2"/>
      <c r="B572" s="2"/>
      <c r="C572" s="2"/>
      <c r="D572" s="2"/>
      <c r="E572" s="2"/>
      <c r="F572" s="2"/>
      <c r="R572" s="2"/>
    </row>
    <row r="573" spans="1:18">
      <c r="A573" s="2"/>
      <c r="B573" s="2"/>
      <c r="C573" s="2"/>
      <c r="D573" s="2"/>
      <c r="E573" s="2"/>
      <c r="F573" s="2"/>
      <c r="R573" s="2"/>
    </row>
    <row r="574" spans="1:18">
      <c r="A574" s="2"/>
      <c r="B574" s="2"/>
      <c r="C574" s="2"/>
      <c r="D574" s="2"/>
      <c r="E574" s="2"/>
      <c r="F574" s="2"/>
      <c r="R574" s="2"/>
    </row>
    <row r="575" spans="1:18">
      <c r="A575" s="2"/>
      <c r="B575" s="2"/>
      <c r="C575" s="2"/>
      <c r="D575" s="2"/>
      <c r="E575" s="2"/>
      <c r="F575" s="2"/>
      <c r="R575" s="2"/>
    </row>
    <row r="576" spans="1:18">
      <c r="A576" s="2"/>
      <c r="B576" s="2"/>
      <c r="C576" s="2"/>
      <c r="D576" s="2"/>
      <c r="E576" s="2"/>
      <c r="F576" s="2"/>
      <c r="R576" s="2"/>
    </row>
    <row r="577" spans="1:18">
      <c r="A577" s="2"/>
      <c r="B577" s="2"/>
      <c r="C577" s="2"/>
      <c r="D577" s="2"/>
      <c r="E577" s="2"/>
      <c r="F577" s="2"/>
      <c r="R577" s="2"/>
    </row>
    <row r="578" spans="1:18">
      <c r="A578" s="2"/>
      <c r="B578" s="2"/>
      <c r="C578" s="2"/>
      <c r="D578" s="2"/>
      <c r="E578" s="2"/>
      <c r="F578" s="2"/>
      <c r="R578" s="2"/>
    </row>
    <row r="579" spans="1:18">
      <c r="A579" s="2"/>
      <c r="B579" s="2"/>
      <c r="C579" s="2"/>
      <c r="D579" s="2"/>
      <c r="E579" s="2"/>
      <c r="F579" s="2"/>
      <c r="R579" s="2"/>
    </row>
    <row r="580" spans="1:18">
      <c r="A580" s="2"/>
      <c r="B580" s="2"/>
      <c r="C580" s="2"/>
      <c r="D580" s="2"/>
      <c r="E580" s="2"/>
      <c r="F580" s="2"/>
      <c r="R580" s="2"/>
    </row>
    <row r="581" spans="1:18">
      <c r="A581" s="2"/>
      <c r="B581" s="2"/>
      <c r="C581" s="2"/>
      <c r="D581" s="2"/>
      <c r="E581" s="2"/>
      <c r="F581" s="2"/>
      <c r="R581" s="2"/>
    </row>
    <row r="582" spans="1:18">
      <c r="A582" s="2"/>
      <c r="B582" s="2"/>
      <c r="C582" s="2"/>
      <c r="D582" s="2"/>
      <c r="E582" s="2"/>
      <c r="F582" s="2"/>
      <c r="R582" s="2"/>
    </row>
    <row r="583" spans="1:18">
      <c r="A583" s="2"/>
      <c r="B583" s="2"/>
      <c r="C583" s="2"/>
      <c r="D583" s="2"/>
      <c r="E583" s="2"/>
      <c r="F583" s="2"/>
      <c r="R583" s="2"/>
    </row>
    <row r="584" spans="1:18">
      <c r="A584" s="2"/>
      <c r="B584" s="2"/>
      <c r="C584" s="2"/>
      <c r="D584" s="2"/>
      <c r="E584" s="2"/>
      <c r="F584" s="2"/>
      <c r="R584" s="2"/>
    </row>
    <row r="585" spans="1:18">
      <c r="A585" s="2"/>
      <c r="B585" s="2"/>
      <c r="C585" s="2"/>
      <c r="D585" s="2"/>
      <c r="E585" s="2"/>
      <c r="F585" s="2"/>
      <c r="R585" s="2"/>
    </row>
    <row r="586" spans="1:18">
      <c r="A586" s="2"/>
      <c r="B586" s="2"/>
      <c r="C586" s="2"/>
      <c r="D586" s="2"/>
      <c r="E586" s="2"/>
      <c r="F586" s="2"/>
      <c r="R586" s="2"/>
    </row>
    <row r="587" spans="1:18">
      <c r="A587" s="2"/>
      <c r="B587" s="2"/>
      <c r="C587" s="2"/>
      <c r="D587" s="2"/>
      <c r="E587" s="2"/>
      <c r="F587" s="2"/>
      <c r="R587" s="2"/>
    </row>
    <row r="588" spans="1:18">
      <c r="A588" s="2"/>
      <c r="B588" s="2"/>
      <c r="C588" s="2"/>
      <c r="D588" s="2"/>
      <c r="E588" s="2"/>
      <c r="F588" s="2"/>
      <c r="R588" s="2"/>
    </row>
    <row r="589" spans="1:18">
      <c r="A589" s="2"/>
      <c r="B589" s="2"/>
      <c r="C589" s="2"/>
      <c r="D589" s="2"/>
      <c r="E589" s="2"/>
      <c r="F589" s="2"/>
      <c r="R589" s="2"/>
    </row>
    <row r="590" spans="1:18">
      <c r="A590" s="2"/>
      <c r="B590" s="2"/>
      <c r="C590" s="2"/>
      <c r="D590" s="2"/>
      <c r="E590" s="2"/>
      <c r="F590" s="2"/>
      <c r="R590" s="2"/>
    </row>
    <row r="591" spans="1:18">
      <c r="A591" s="2"/>
      <c r="B591" s="2"/>
      <c r="C591" s="2"/>
      <c r="D591" s="2"/>
      <c r="E591" s="2"/>
      <c r="F591" s="2"/>
      <c r="R591" s="2"/>
    </row>
    <row r="592" spans="1:18">
      <c r="A592" s="2"/>
      <c r="B592" s="2"/>
      <c r="C592" s="2"/>
      <c r="D592" s="2"/>
      <c r="E592" s="2"/>
      <c r="F592" s="2"/>
      <c r="R592" s="2"/>
    </row>
    <row r="593" spans="1:18">
      <c r="A593" s="2"/>
      <c r="B593" s="2"/>
      <c r="C593" s="2"/>
      <c r="D593" s="2"/>
      <c r="E593" s="2"/>
      <c r="F593" s="2"/>
      <c r="R593" s="2"/>
    </row>
    <row r="594" spans="1:18">
      <c r="A594" s="2"/>
      <c r="B594" s="2"/>
      <c r="C594" s="2"/>
      <c r="D594" s="2"/>
      <c r="E594" s="2"/>
      <c r="F594" s="2"/>
      <c r="R594" s="2"/>
    </row>
    <row r="595" spans="1:18">
      <c r="A595" s="2"/>
      <c r="B595" s="2"/>
      <c r="C595" s="2"/>
      <c r="D595" s="2"/>
      <c r="E595" s="2"/>
      <c r="F595" s="2"/>
      <c r="R595" s="2"/>
    </row>
    <row r="596" spans="1:18">
      <c r="A596" s="2"/>
      <c r="B596" s="2"/>
      <c r="C596" s="2"/>
      <c r="D596" s="2"/>
      <c r="E596" s="2"/>
      <c r="F596" s="2"/>
      <c r="R596" s="2"/>
    </row>
    <row r="597" spans="1:18">
      <c r="A597" s="2"/>
      <c r="B597" s="2"/>
      <c r="C597" s="2"/>
      <c r="D597" s="2"/>
      <c r="E597" s="2"/>
      <c r="F597" s="2"/>
      <c r="R597" s="2"/>
    </row>
    <row r="598" spans="1:18">
      <c r="A598" s="2"/>
      <c r="B598" s="2"/>
      <c r="C598" s="2"/>
      <c r="D598" s="2"/>
      <c r="E598" s="2"/>
      <c r="F598" s="2"/>
      <c r="R598" s="2"/>
    </row>
    <row r="599" spans="1:18">
      <c r="A599" s="2"/>
      <c r="B599" s="2"/>
      <c r="C599" s="2"/>
      <c r="D599" s="2"/>
      <c r="E599" s="2"/>
      <c r="F599" s="2"/>
      <c r="R599" s="2"/>
    </row>
    <row r="600" spans="1:18">
      <c r="A600" s="2"/>
      <c r="B600" s="2"/>
      <c r="C600" s="2"/>
      <c r="D600" s="2"/>
      <c r="E600" s="2"/>
      <c r="F600" s="2"/>
      <c r="R600" s="2"/>
    </row>
    <row r="601" spans="1:18">
      <c r="A601" s="2"/>
      <c r="B601" s="2"/>
      <c r="C601" s="2"/>
      <c r="D601" s="2"/>
      <c r="E601" s="2"/>
      <c r="F601" s="2"/>
      <c r="R601" s="2"/>
    </row>
    <row r="602" spans="1:18">
      <c r="A602" s="2"/>
      <c r="B602" s="2"/>
      <c r="C602" s="2"/>
      <c r="D602" s="2"/>
      <c r="E602" s="2"/>
      <c r="F602" s="2"/>
      <c r="R602" s="2"/>
    </row>
    <row r="603" spans="1:18">
      <c r="A603" s="2"/>
      <c r="B603" s="2"/>
      <c r="C603" s="2"/>
      <c r="D603" s="2"/>
      <c r="E603" s="2"/>
      <c r="F603" s="2"/>
      <c r="R603" s="2"/>
    </row>
    <row r="604" spans="1:18">
      <c r="A604" s="2"/>
      <c r="B604" s="2"/>
      <c r="C604" s="2"/>
      <c r="D604" s="2"/>
      <c r="E604" s="2"/>
      <c r="F604" s="2"/>
      <c r="R604" s="2"/>
    </row>
    <row r="605" spans="1:18">
      <c r="A605" s="2"/>
      <c r="B605" s="2"/>
      <c r="C605" s="2"/>
      <c r="D605" s="2"/>
      <c r="E605" s="2"/>
      <c r="F605" s="2"/>
      <c r="R605" s="2"/>
    </row>
    <row r="606" spans="1:18">
      <c r="A606" s="2"/>
      <c r="B606" s="2"/>
      <c r="C606" s="2"/>
      <c r="D606" s="2"/>
      <c r="E606" s="2"/>
      <c r="F606" s="2"/>
      <c r="R606" s="2"/>
    </row>
    <row r="607" spans="1:18">
      <c r="A607" s="2"/>
      <c r="B607" s="2"/>
      <c r="C607" s="2"/>
      <c r="D607" s="2"/>
      <c r="E607" s="2"/>
      <c r="F607" s="2"/>
      <c r="R607" s="2"/>
    </row>
    <row r="608" spans="1:18">
      <c r="A608" s="2"/>
      <c r="B608" s="2"/>
      <c r="C608" s="2"/>
      <c r="D608" s="2"/>
      <c r="E608" s="2"/>
      <c r="F608" s="2"/>
      <c r="R608" s="2"/>
    </row>
    <row r="609" spans="1:18">
      <c r="A609" s="2"/>
      <c r="B609" s="2"/>
      <c r="C609" s="2"/>
      <c r="D609" s="2"/>
      <c r="E609" s="2"/>
      <c r="F609" s="2"/>
      <c r="R609" s="2"/>
    </row>
    <row r="610" spans="1:18">
      <c r="A610" s="2"/>
      <c r="B610" s="2"/>
      <c r="C610" s="2"/>
      <c r="D610" s="2"/>
      <c r="E610" s="2"/>
      <c r="F610" s="2"/>
      <c r="R610" s="2"/>
    </row>
    <row r="611" spans="1:18">
      <c r="A611" s="2"/>
      <c r="B611" s="2"/>
      <c r="C611" s="2"/>
      <c r="D611" s="2"/>
      <c r="E611" s="2"/>
      <c r="F611" s="2"/>
      <c r="R611" s="2"/>
    </row>
    <row r="612" spans="1:18">
      <c r="A612" s="2"/>
      <c r="B612" s="2"/>
      <c r="C612" s="2"/>
      <c r="D612" s="2"/>
      <c r="E612" s="2"/>
      <c r="F612" s="2"/>
      <c r="R612" s="2"/>
    </row>
    <row r="613" spans="1:18">
      <c r="A613" s="2"/>
      <c r="B613" s="2"/>
      <c r="C613" s="2"/>
      <c r="D613" s="2"/>
      <c r="E613" s="2"/>
      <c r="F613" s="2"/>
      <c r="R613" s="2"/>
    </row>
    <row r="614" spans="1:18">
      <c r="A614" s="2"/>
      <c r="B614" s="2"/>
      <c r="C614" s="2"/>
      <c r="D614" s="2"/>
      <c r="E614" s="2"/>
      <c r="F614" s="2"/>
      <c r="R614" s="2"/>
    </row>
    <row r="615" spans="1:18">
      <c r="A615" s="2"/>
      <c r="B615" s="2"/>
      <c r="C615" s="2"/>
      <c r="D615" s="2"/>
      <c r="E615" s="2"/>
      <c r="F615" s="2"/>
      <c r="R615" s="2"/>
    </row>
    <row r="616" spans="1:18">
      <c r="A616" s="2"/>
      <c r="B616" s="2"/>
      <c r="C616" s="2"/>
      <c r="D616" s="2"/>
      <c r="E616" s="2"/>
      <c r="F616" s="2"/>
      <c r="R616" s="2"/>
    </row>
    <row r="617" spans="1:18">
      <c r="A617" s="2"/>
      <c r="B617" s="2"/>
      <c r="C617" s="2"/>
      <c r="D617" s="2"/>
      <c r="E617" s="2"/>
      <c r="F617" s="2"/>
      <c r="R617" s="2"/>
    </row>
    <row r="618" spans="1:18">
      <c r="A618" s="2"/>
      <c r="B618" s="2"/>
      <c r="C618" s="2"/>
      <c r="D618" s="2"/>
      <c r="E618" s="2"/>
      <c r="F618" s="2"/>
      <c r="R618" s="2"/>
    </row>
    <row r="619" spans="1:18">
      <c r="A619" s="2"/>
      <c r="B619" s="2"/>
      <c r="C619" s="2"/>
      <c r="D619" s="2"/>
      <c r="E619" s="2"/>
      <c r="F619" s="2"/>
      <c r="R619" s="2"/>
    </row>
    <row r="620" spans="1:18">
      <c r="A620" s="2"/>
      <c r="B620" s="2"/>
      <c r="C620" s="2"/>
      <c r="D620" s="2"/>
      <c r="E620" s="2"/>
      <c r="F620" s="2"/>
      <c r="R620" s="2"/>
    </row>
    <row r="621" spans="1:18">
      <c r="A621" s="2"/>
      <c r="B621" s="2"/>
      <c r="C621" s="2"/>
      <c r="D621" s="2"/>
      <c r="E621" s="2"/>
      <c r="F621" s="2"/>
      <c r="R621" s="2"/>
    </row>
    <row r="622" spans="1:18">
      <c r="A622" s="2"/>
      <c r="B622" s="2"/>
      <c r="C622" s="2"/>
      <c r="D622" s="2"/>
      <c r="E622" s="2"/>
      <c r="F622" s="2"/>
      <c r="R622" s="2"/>
    </row>
    <row r="623" spans="1:18">
      <c r="A623" s="2"/>
      <c r="B623" s="2"/>
      <c r="C623" s="2"/>
      <c r="D623" s="2"/>
      <c r="E623" s="2"/>
      <c r="F623" s="2"/>
      <c r="R623" s="2"/>
    </row>
    <row r="624" spans="1:18">
      <c r="A624" s="2"/>
      <c r="B624" s="2"/>
      <c r="C624" s="2"/>
      <c r="D624" s="2"/>
      <c r="E624" s="2"/>
      <c r="F624" s="2"/>
      <c r="R624" s="2"/>
    </row>
    <row r="625" spans="1:18">
      <c r="A625" s="2"/>
      <c r="B625" s="2"/>
      <c r="C625" s="2"/>
      <c r="D625" s="2"/>
      <c r="E625" s="2"/>
      <c r="F625" s="2"/>
      <c r="R625" s="2"/>
    </row>
    <row r="626" spans="1:18">
      <c r="A626" s="2"/>
      <c r="B626" s="2"/>
      <c r="C626" s="2"/>
      <c r="D626" s="2"/>
      <c r="E626" s="2"/>
      <c r="F626" s="2"/>
      <c r="R626" s="2"/>
    </row>
    <row r="627" spans="1:18">
      <c r="A627" s="2"/>
      <c r="B627" s="2"/>
      <c r="C627" s="2"/>
      <c r="D627" s="2"/>
      <c r="E627" s="2"/>
      <c r="F627" s="2"/>
      <c r="R627" s="2"/>
    </row>
    <row r="628" spans="1:18">
      <c r="A628" s="2"/>
      <c r="B628" s="2"/>
      <c r="C628" s="2"/>
      <c r="D628" s="2"/>
      <c r="E628" s="2"/>
      <c r="F628" s="2"/>
      <c r="R628" s="2"/>
    </row>
    <row r="629" spans="1:18">
      <c r="A629" s="2"/>
      <c r="B629" s="2"/>
      <c r="C629" s="2"/>
      <c r="D629" s="2"/>
      <c r="E629" s="2"/>
      <c r="F629" s="2"/>
      <c r="R629" s="2"/>
    </row>
    <row r="630" spans="1:18">
      <c r="A630" s="2"/>
      <c r="B630" s="2"/>
      <c r="C630" s="2"/>
      <c r="D630" s="2"/>
      <c r="E630" s="2"/>
      <c r="F630" s="2"/>
      <c r="R630" s="2"/>
    </row>
    <row r="631" spans="1:18">
      <c r="A631" s="2"/>
      <c r="B631" s="2"/>
      <c r="C631" s="2"/>
      <c r="D631" s="2"/>
      <c r="E631" s="2"/>
      <c r="F631" s="2"/>
      <c r="R631" s="2"/>
    </row>
    <row r="632" spans="1:18">
      <c r="A632" s="2"/>
      <c r="B632" s="2"/>
      <c r="C632" s="2"/>
      <c r="D632" s="2"/>
      <c r="E632" s="2"/>
      <c r="F632" s="2"/>
      <c r="R632" s="2"/>
    </row>
    <row r="633" spans="1:18">
      <c r="A633" s="2"/>
      <c r="B633" s="2"/>
      <c r="C633" s="2"/>
      <c r="D633" s="2"/>
      <c r="E633" s="2"/>
      <c r="F633" s="2"/>
      <c r="R633" s="2"/>
    </row>
    <row r="634" spans="1:18">
      <c r="A634" s="2"/>
      <c r="B634" s="2"/>
      <c r="C634" s="2"/>
      <c r="D634" s="2"/>
      <c r="E634" s="2"/>
      <c r="F634" s="2"/>
      <c r="R634" s="2"/>
    </row>
    <row r="635" spans="1:18">
      <c r="A635" s="2"/>
      <c r="B635" s="2"/>
      <c r="C635" s="2"/>
      <c r="D635" s="2"/>
      <c r="E635" s="2"/>
      <c r="F635" s="2"/>
      <c r="R635" s="2"/>
    </row>
    <row r="636" spans="1:18">
      <c r="A636" s="2"/>
      <c r="B636" s="2"/>
      <c r="C636" s="2"/>
      <c r="D636" s="2"/>
      <c r="E636" s="2"/>
      <c r="F636" s="2"/>
      <c r="R636" s="2"/>
    </row>
    <row r="637" spans="1:18">
      <c r="A637" s="2"/>
      <c r="B637" s="2"/>
      <c r="C637" s="2"/>
      <c r="D637" s="2"/>
      <c r="E637" s="2"/>
      <c r="F637" s="2"/>
      <c r="R637" s="2"/>
    </row>
    <row r="638" spans="1:18">
      <c r="A638" s="2"/>
      <c r="B638" s="2"/>
      <c r="C638" s="2"/>
      <c r="D638" s="2"/>
      <c r="E638" s="2"/>
      <c r="F638" s="2"/>
      <c r="R638" s="2"/>
    </row>
    <row r="639" spans="1:18">
      <c r="A639" s="2"/>
      <c r="B639" s="2"/>
      <c r="C639" s="2"/>
      <c r="D639" s="2"/>
      <c r="E639" s="2"/>
      <c r="F639" s="2"/>
      <c r="R639" s="2"/>
    </row>
    <row r="640" spans="1:18">
      <c r="A640" s="2"/>
      <c r="B640" s="2"/>
      <c r="C640" s="2"/>
      <c r="D640" s="2"/>
      <c r="E640" s="2"/>
      <c r="F640" s="2"/>
      <c r="R640" s="2"/>
    </row>
    <row r="641" spans="1:18">
      <c r="A641" s="2"/>
      <c r="B641" s="2"/>
      <c r="C641" s="2"/>
      <c r="D641" s="2"/>
      <c r="E641" s="2"/>
      <c r="F641" s="2"/>
      <c r="R641" s="2"/>
    </row>
    <row r="642" spans="1:18">
      <c r="A642" s="2"/>
      <c r="B642" s="2"/>
      <c r="C642" s="2"/>
      <c r="D642" s="2"/>
      <c r="E642" s="2"/>
      <c r="F642" s="2"/>
      <c r="R642" s="2"/>
    </row>
    <row r="643" spans="1:18">
      <c r="A643" s="2"/>
      <c r="B643" s="2"/>
      <c r="C643" s="2"/>
      <c r="D643" s="2"/>
      <c r="E643" s="2"/>
      <c r="F643" s="2"/>
      <c r="R643" s="2"/>
    </row>
    <row r="644" spans="1:18">
      <c r="A644" s="2"/>
      <c r="B644" s="2"/>
      <c r="C644" s="2"/>
      <c r="D644" s="2"/>
      <c r="E644" s="2"/>
      <c r="F644" s="2"/>
      <c r="R644" s="2"/>
    </row>
    <row r="645" spans="1:18">
      <c r="A645" s="2"/>
      <c r="B645" s="2"/>
      <c r="C645" s="2"/>
      <c r="D645" s="2"/>
      <c r="E645" s="2"/>
      <c r="F645" s="2"/>
      <c r="R645" s="2"/>
    </row>
    <row r="646" spans="1:18">
      <c r="A646" s="2"/>
      <c r="B646" s="2"/>
      <c r="C646" s="2"/>
      <c r="D646" s="2"/>
      <c r="E646" s="2"/>
      <c r="F646" s="2"/>
      <c r="R646" s="2"/>
    </row>
    <row r="647" spans="1:18">
      <c r="A647" s="2"/>
      <c r="B647" s="2"/>
      <c r="C647" s="2"/>
      <c r="D647" s="2"/>
      <c r="E647" s="2"/>
      <c r="F647" s="2"/>
      <c r="R647" s="2"/>
    </row>
    <row r="648" spans="1:18">
      <c r="A648" s="2"/>
      <c r="B648" s="2"/>
      <c r="C648" s="2"/>
      <c r="D648" s="2"/>
      <c r="E648" s="2"/>
      <c r="F648" s="2"/>
      <c r="R648" s="2"/>
    </row>
    <row r="649" spans="1:18">
      <c r="A649" s="2"/>
      <c r="B649" s="2"/>
      <c r="C649" s="2"/>
      <c r="D649" s="2"/>
      <c r="E649" s="2"/>
      <c r="F649" s="2"/>
      <c r="R649" s="2"/>
    </row>
    <row r="650" spans="1:18">
      <c r="A650" s="2"/>
      <c r="B650" s="2"/>
      <c r="C650" s="2"/>
      <c r="D650" s="2"/>
      <c r="E650" s="2"/>
      <c r="F650" s="2"/>
      <c r="R650" s="2"/>
    </row>
    <row r="651" spans="1:18">
      <c r="A651" s="2"/>
      <c r="B651" s="2"/>
      <c r="C651" s="2"/>
      <c r="D651" s="2"/>
      <c r="E651" s="2"/>
      <c r="F651" s="2"/>
      <c r="R651" s="2"/>
    </row>
    <row r="652" spans="1:18">
      <c r="A652" s="2"/>
      <c r="B652" s="2"/>
      <c r="C652" s="2"/>
      <c r="D652" s="2"/>
      <c r="E652" s="2"/>
      <c r="F652" s="2"/>
      <c r="R652" s="2"/>
    </row>
    <row r="653" spans="1:18">
      <c r="A653" s="2"/>
      <c r="B653" s="2"/>
      <c r="C653" s="2"/>
      <c r="D653" s="2"/>
      <c r="E653" s="2"/>
      <c r="F653" s="2"/>
      <c r="R653" s="2"/>
    </row>
    <row r="654" spans="1:18">
      <c r="A654" s="2"/>
      <c r="B654" s="2"/>
      <c r="C654" s="2"/>
      <c r="D654" s="2"/>
      <c r="E654" s="2"/>
      <c r="F654" s="2"/>
      <c r="R654" s="2"/>
    </row>
    <row r="655" spans="1:18">
      <c r="A655" s="2"/>
      <c r="B655" s="2"/>
      <c r="C655" s="2"/>
      <c r="D655" s="2"/>
      <c r="E655" s="2"/>
      <c r="F655" s="2"/>
      <c r="R655" s="2"/>
    </row>
    <row r="656" spans="1:18">
      <c r="A656" s="2"/>
      <c r="B656" s="2"/>
      <c r="C656" s="2"/>
      <c r="D656" s="2"/>
      <c r="E656" s="2"/>
      <c r="F656" s="2"/>
      <c r="R656" s="2"/>
    </row>
    <row r="657" spans="1:18">
      <c r="A657" s="2"/>
      <c r="B657" s="2"/>
      <c r="C657" s="2"/>
      <c r="D657" s="2"/>
      <c r="E657" s="2"/>
      <c r="F657" s="2"/>
      <c r="R657" s="2"/>
    </row>
    <row r="658" spans="1:18">
      <c r="A658" s="2"/>
      <c r="B658" s="2"/>
      <c r="C658" s="2"/>
      <c r="D658" s="2"/>
      <c r="E658" s="2"/>
      <c r="F658" s="2"/>
      <c r="R658" s="2"/>
    </row>
    <row r="659" spans="1:18">
      <c r="A659" s="2"/>
      <c r="B659" s="2"/>
      <c r="C659" s="2"/>
      <c r="D659" s="2"/>
      <c r="E659" s="2"/>
      <c r="F659" s="2"/>
      <c r="R659" s="2"/>
    </row>
    <row r="660" spans="1:18">
      <c r="A660" s="2"/>
      <c r="B660" s="2"/>
      <c r="C660" s="2"/>
      <c r="D660" s="2"/>
      <c r="E660" s="2"/>
      <c r="F660" s="2"/>
      <c r="R660" s="2"/>
    </row>
    <row r="661" spans="1:18">
      <c r="A661" s="2"/>
      <c r="B661" s="2"/>
      <c r="C661" s="2"/>
      <c r="D661" s="2"/>
      <c r="E661" s="2"/>
      <c r="F661" s="2"/>
      <c r="R661" s="2"/>
    </row>
    <row r="662" spans="1:18">
      <c r="A662" s="2"/>
      <c r="B662" s="2"/>
      <c r="C662" s="2"/>
      <c r="D662" s="2"/>
      <c r="E662" s="2"/>
      <c r="F662" s="2"/>
      <c r="R662" s="2"/>
    </row>
    <row r="663" spans="1:18">
      <c r="A663" s="2"/>
      <c r="B663" s="2"/>
      <c r="C663" s="2"/>
      <c r="D663" s="2"/>
      <c r="E663" s="2"/>
      <c r="F663" s="2"/>
      <c r="R663" s="2"/>
    </row>
    <row r="664" spans="1:18">
      <c r="A664" s="2"/>
      <c r="B664" s="2"/>
      <c r="C664" s="2"/>
      <c r="D664" s="2"/>
      <c r="E664" s="2"/>
      <c r="F664" s="2"/>
      <c r="R664" s="2"/>
    </row>
    <row r="665" spans="1:18">
      <c r="A665" s="2"/>
      <c r="B665" s="2"/>
      <c r="C665" s="2"/>
      <c r="D665" s="2"/>
      <c r="E665" s="2"/>
      <c r="F665" s="2"/>
      <c r="R665" s="2"/>
    </row>
    <row r="666" spans="1:18">
      <c r="A666" s="2"/>
      <c r="B666" s="2"/>
      <c r="C666" s="2"/>
      <c r="D666" s="2"/>
      <c r="E666" s="2"/>
      <c r="F666" s="2"/>
      <c r="R666" s="2"/>
    </row>
    <row r="667" spans="1:18">
      <c r="A667" s="2"/>
      <c r="B667" s="2"/>
      <c r="C667" s="2"/>
      <c r="D667" s="2"/>
      <c r="E667" s="2"/>
      <c r="F667" s="2"/>
      <c r="R667" s="2"/>
    </row>
    <row r="668" spans="1:18">
      <c r="A668" s="2"/>
      <c r="B668" s="2"/>
      <c r="C668" s="2"/>
      <c r="D668" s="2"/>
      <c r="E668" s="2"/>
      <c r="F668" s="2"/>
      <c r="R668" s="2"/>
    </row>
    <row r="669" spans="1:18">
      <c r="A669" s="2"/>
      <c r="B669" s="2"/>
      <c r="C669" s="2"/>
      <c r="D669" s="2"/>
      <c r="E669" s="2"/>
      <c r="F669" s="2"/>
      <c r="R669" s="2"/>
    </row>
    <row r="670" spans="1:18">
      <c r="A670" s="2"/>
      <c r="B670" s="2"/>
      <c r="C670" s="2"/>
      <c r="D670" s="2"/>
      <c r="E670" s="2"/>
      <c r="F670" s="2"/>
      <c r="R670" s="2"/>
    </row>
    <row r="671" spans="1:18">
      <c r="A671" s="2"/>
      <c r="B671" s="2"/>
      <c r="C671" s="2"/>
      <c r="D671" s="2"/>
      <c r="E671" s="2"/>
      <c r="F671" s="2"/>
      <c r="R671" s="2"/>
    </row>
    <row r="672" spans="1:18">
      <c r="A672" s="2"/>
      <c r="B672" s="2"/>
      <c r="C672" s="2"/>
      <c r="D672" s="2"/>
      <c r="E672" s="2"/>
      <c r="F672" s="2"/>
      <c r="R672" s="2"/>
    </row>
    <row r="673" spans="1:18">
      <c r="A673" s="2"/>
      <c r="B673" s="2"/>
      <c r="C673" s="2"/>
      <c r="D673" s="2"/>
      <c r="E673" s="2"/>
      <c r="F673" s="2"/>
      <c r="R673" s="2"/>
    </row>
    <row r="674" spans="1:18">
      <c r="A674" s="2"/>
      <c r="B674" s="2"/>
      <c r="C674" s="2"/>
      <c r="D674" s="2"/>
      <c r="E674" s="2"/>
      <c r="F674" s="2"/>
      <c r="R674" s="2"/>
    </row>
    <row r="675" spans="1:18">
      <c r="A675" s="2"/>
      <c r="B675" s="2"/>
      <c r="C675" s="2"/>
      <c r="D675" s="2"/>
      <c r="E675" s="2"/>
      <c r="F675" s="2"/>
      <c r="R675" s="2"/>
    </row>
    <row r="676" spans="1:18">
      <c r="A676" s="2"/>
      <c r="B676" s="2"/>
      <c r="C676" s="2"/>
      <c r="D676" s="2"/>
      <c r="E676" s="2"/>
      <c r="F676" s="2"/>
      <c r="R676" s="2"/>
    </row>
    <row r="677" spans="1:18">
      <c r="A677" s="2"/>
      <c r="B677" s="2"/>
      <c r="C677" s="2"/>
      <c r="D677" s="2"/>
      <c r="E677" s="2"/>
      <c r="F677" s="2"/>
      <c r="R677" s="2"/>
    </row>
    <row r="678" spans="1:18">
      <c r="A678" s="2"/>
      <c r="B678" s="2"/>
      <c r="C678" s="2"/>
      <c r="D678" s="2"/>
      <c r="E678" s="2"/>
      <c r="F678" s="2"/>
      <c r="R678" s="2"/>
    </row>
    <row r="679" spans="1:18">
      <c r="A679" s="2"/>
      <c r="B679" s="2"/>
      <c r="C679" s="2"/>
      <c r="D679" s="2"/>
      <c r="E679" s="2"/>
      <c r="F679" s="2"/>
      <c r="R679" s="2"/>
    </row>
    <row r="680" spans="1:18">
      <c r="A680" s="2"/>
      <c r="B680" s="2"/>
      <c r="C680" s="2"/>
      <c r="D680" s="2"/>
      <c r="E680" s="2"/>
      <c r="F680" s="2"/>
      <c r="R680" s="2"/>
    </row>
    <row r="681" spans="1:18">
      <c r="A681" s="2"/>
      <c r="B681" s="2"/>
      <c r="C681" s="2"/>
      <c r="D681" s="2"/>
      <c r="E681" s="2"/>
      <c r="F681" s="2"/>
      <c r="R681" s="2"/>
    </row>
    <row r="682" spans="1:18">
      <c r="A682" s="2"/>
      <c r="B682" s="2"/>
      <c r="C682" s="2"/>
      <c r="D682" s="2"/>
      <c r="E682" s="2"/>
      <c r="F682" s="2"/>
      <c r="R682" s="2"/>
    </row>
    <row r="683" spans="1:18">
      <c r="A683" s="2"/>
      <c r="B683" s="2"/>
      <c r="C683" s="2"/>
      <c r="D683" s="2"/>
      <c r="E683" s="2"/>
      <c r="F683" s="2"/>
      <c r="R683" s="2"/>
    </row>
    <row r="684" spans="1:18">
      <c r="A684" s="2"/>
      <c r="B684" s="2"/>
      <c r="C684" s="2"/>
      <c r="D684" s="2"/>
      <c r="E684" s="2"/>
      <c r="F684" s="2"/>
      <c r="R684" s="2"/>
    </row>
    <row r="685" spans="1:18">
      <c r="A685" s="2"/>
      <c r="B685" s="2"/>
      <c r="C685" s="2"/>
      <c r="D685" s="2"/>
      <c r="E685" s="2"/>
      <c r="F685" s="2"/>
      <c r="R685" s="2"/>
    </row>
    <row r="686" spans="1:18">
      <c r="A686" s="2"/>
      <c r="B686" s="2"/>
      <c r="C686" s="2"/>
      <c r="D686" s="2"/>
      <c r="E686" s="2"/>
      <c r="F686" s="2"/>
      <c r="R686" s="2"/>
    </row>
    <row r="687" spans="1:18">
      <c r="A687" s="2"/>
      <c r="B687" s="2"/>
      <c r="C687" s="2"/>
      <c r="D687" s="2"/>
      <c r="E687" s="2"/>
      <c r="F687" s="2"/>
      <c r="R687" s="2"/>
    </row>
    <row r="688" spans="1:18">
      <c r="A688" s="2"/>
      <c r="B688" s="2"/>
      <c r="C688" s="2"/>
      <c r="D688" s="2"/>
      <c r="E688" s="2"/>
      <c r="F688" s="2"/>
      <c r="R688" s="2"/>
    </row>
    <row r="689" spans="1:18">
      <c r="A689" s="2"/>
      <c r="B689" s="2"/>
      <c r="C689" s="2"/>
      <c r="D689" s="2"/>
      <c r="E689" s="2"/>
      <c r="F689" s="2"/>
      <c r="R689" s="2"/>
    </row>
    <row r="690" spans="1:18">
      <c r="A690" s="2"/>
      <c r="B690" s="2"/>
      <c r="C690" s="2"/>
      <c r="D690" s="2"/>
      <c r="E690" s="2"/>
      <c r="F690" s="2"/>
      <c r="R690" s="2"/>
    </row>
    <row r="691" spans="1:18">
      <c r="A691" s="2"/>
      <c r="B691" s="2"/>
      <c r="C691" s="2"/>
      <c r="D691" s="2"/>
      <c r="E691" s="2"/>
      <c r="F691" s="2"/>
      <c r="R691" s="2"/>
    </row>
    <row r="692" spans="1:18">
      <c r="A692" s="2"/>
      <c r="B692" s="2"/>
      <c r="C692" s="2"/>
      <c r="D692" s="2"/>
      <c r="E692" s="2"/>
      <c r="F692" s="2"/>
      <c r="R692" s="2"/>
    </row>
    <row r="693" spans="1:18">
      <c r="A693" s="2"/>
      <c r="B693" s="2"/>
      <c r="C693" s="2"/>
      <c r="D693" s="2"/>
      <c r="E693" s="2"/>
      <c r="F693" s="2"/>
      <c r="R693" s="2"/>
    </row>
    <row r="694" spans="1:18">
      <c r="A694" s="2"/>
      <c r="B694" s="2"/>
      <c r="C694" s="2"/>
      <c r="D694" s="2"/>
      <c r="E694" s="2"/>
      <c r="F694" s="2"/>
      <c r="R694" s="2"/>
    </row>
    <row r="695" spans="1:18">
      <c r="A695" s="2"/>
      <c r="B695" s="2"/>
      <c r="C695" s="2"/>
      <c r="D695" s="2"/>
      <c r="E695" s="2"/>
      <c r="F695" s="2"/>
      <c r="R695" s="2"/>
    </row>
    <row r="696" spans="1:18">
      <c r="A696" s="2"/>
      <c r="B696" s="2"/>
      <c r="C696" s="2"/>
      <c r="D696" s="2"/>
      <c r="E696" s="2"/>
      <c r="F696" s="2"/>
      <c r="R696" s="2"/>
    </row>
    <row r="697" spans="1:18">
      <c r="A697" s="2"/>
      <c r="B697" s="2"/>
      <c r="C697" s="2"/>
      <c r="D697" s="2"/>
      <c r="E697" s="2"/>
      <c r="F697" s="2"/>
      <c r="R697" s="2"/>
    </row>
    <row r="698" spans="1:18">
      <c r="A698" s="2"/>
      <c r="B698" s="2"/>
      <c r="C698" s="2"/>
      <c r="D698" s="2"/>
      <c r="E698" s="2"/>
      <c r="F698" s="2"/>
      <c r="R698" s="2"/>
    </row>
    <row r="699" spans="1:18">
      <c r="A699" s="2"/>
      <c r="B699" s="2"/>
      <c r="C699" s="2"/>
      <c r="D699" s="2"/>
      <c r="E699" s="2"/>
      <c r="F699" s="2"/>
      <c r="R699" s="2"/>
    </row>
    <row r="700" spans="1:18">
      <c r="A700" s="2"/>
      <c r="B700" s="2"/>
      <c r="C700" s="2"/>
      <c r="D700" s="2"/>
      <c r="E700" s="2"/>
      <c r="F700" s="2"/>
      <c r="R700" s="2"/>
    </row>
    <row r="701" spans="1:18">
      <c r="A701" s="2"/>
      <c r="B701" s="2"/>
      <c r="C701" s="2"/>
      <c r="D701" s="2"/>
      <c r="E701" s="2"/>
      <c r="F701" s="2"/>
      <c r="R701" s="2"/>
    </row>
    <row r="702" spans="1:18">
      <c r="A702" s="2"/>
      <c r="B702" s="2"/>
      <c r="C702" s="2"/>
      <c r="D702" s="2"/>
      <c r="E702" s="2"/>
      <c r="F702" s="2"/>
      <c r="R702" s="2"/>
    </row>
    <row r="703" spans="1:18">
      <c r="A703" s="2"/>
      <c r="B703" s="2"/>
      <c r="C703" s="2"/>
      <c r="D703" s="2"/>
      <c r="E703" s="2"/>
      <c r="F703" s="2"/>
      <c r="R703" s="2"/>
    </row>
    <row r="704" spans="1:18">
      <c r="A704" s="2"/>
      <c r="B704" s="2"/>
      <c r="C704" s="2"/>
      <c r="D704" s="2"/>
      <c r="E704" s="2"/>
      <c r="F704" s="2"/>
      <c r="R704" s="2"/>
    </row>
    <row r="705" spans="1:18">
      <c r="A705" s="2"/>
      <c r="B705" s="2"/>
      <c r="C705" s="2"/>
      <c r="D705" s="2"/>
      <c r="E705" s="2"/>
      <c r="F705" s="2"/>
      <c r="R705" s="2"/>
    </row>
    <row r="706" spans="1:18">
      <c r="A706" s="2"/>
      <c r="B706" s="2"/>
      <c r="C706" s="2"/>
      <c r="D706" s="2"/>
      <c r="E706" s="2"/>
      <c r="F706" s="2"/>
      <c r="R706" s="2"/>
    </row>
    <row r="707" spans="1:18">
      <c r="A707" s="2"/>
      <c r="B707" s="2"/>
      <c r="C707" s="2"/>
      <c r="D707" s="2"/>
      <c r="E707" s="2"/>
      <c r="F707" s="2"/>
      <c r="R707" s="2"/>
    </row>
    <row r="708" spans="1:18">
      <c r="A708" s="2"/>
      <c r="B708" s="2"/>
      <c r="C708" s="2"/>
      <c r="D708" s="2"/>
      <c r="E708" s="2"/>
      <c r="F708" s="2"/>
      <c r="R708" s="2"/>
    </row>
    <row r="709" spans="1:18">
      <c r="A709" s="2"/>
      <c r="B709" s="2"/>
      <c r="C709" s="2"/>
      <c r="D709" s="2"/>
      <c r="E709" s="2"/>
      <c r="F709" s="2"/>
      <c r="R709" s="2"/>
    </row>
    <row r="710" spans="1:18">
      <c r="A710" s="2"/>
      <c r="B710" s="2"/>
      <c r="C710" s="2"/>
      <c r="D710" s="2"/>
      <c r="E710" s="2"/>
      <c r="F710" s="2"/>
      <c r="R710" s="2"/>
    </row>
    <row r="711" spans="1:18">
      <c r="A711" s="2"/>
      <c r="B711" s="2"/>
      <c r="C711" s="2"/>
      <c r="D711" s="2"/>
      <c r="E711" s="2"/>
      <c r="F711" s="2"/>
      <c r="R711" s="2"/>
    </row>
    <row r="712" spans="1:18">
      <c r="A712" s="2"/>
      <c r="B712" s="2"/>
      <c r="C712" s="2"/>
      <c r="D712" s="2"/>
      <c r="E712" s="2"/>
      <c r="F712" s="2"/>
      <c r="R712" s="2"/>
    </row>
    <row r="713" spans="1:18">
      <c r="A713" s="2"/>
      <c r="B713" s="2"/>
      <c r="C713" s="2"/>
      <c r="D713" s="2"/>
      <c r="E713" s="2"/>
      <c r="F713" s="2"/>
      <c r="R713" s="2"/>
    </row>
    <row r="714" spans="1:18">
      <c r="A714" s="2"/>
      <c r="B714" s="2"/>
      <c r="C714" s="2"/>
      <c r="D714" s="2"/>
      <c r="E714" s="2"/>
      <c r="F714" s="2"/>
      <c r="R714" s="2"/>
    </row>
    <row r="715" spans="1:18">
      <c r="A715" s="2"/>
      <c r="B715" s="2"/>
      <c r="C715" s="2"/>
      <c r="D715" s="2"/>
      <c r="E715" s="2"/>
      <c r="F715" s="2"/>
      <c r="R715" s="2"/>
    </row>
    <row r="716" spans="1:18">
      <c r="A716" s="2"/>
      <c r="B716" s="2"/>
      <c r="C716" s="2"/>
      <c r="D716" s="2"/>
      <c r="E716" s="2"/>
      <c r="F716" s="2"/>
      <c r="R716" s="2"/>
    </row>
    <row r="717" spans="1:18">
      <c r="A717" s="2"/>
      <c r="B717" s="2"/>
      <c r="C717" s="2"/>
      <c r="D717" s="2"/>
      <c r="E717" s="2"/>
      <c r="F717" s="2"/>
      <c r="R717" s="2"/>
    </row>
    <row r="718" spans="1:18">
      <c r="A718" s="2"/>
      <c r="B718" s="2"/>
      <c r="C718" s="2"/>
      <c r="D718" s="2"/>
      <c r="E718" s="2"/>
      <c r="F718" s="2"/>
      <c r="R718" s="2"/>
    </row>
    <row r="719" spans="1:18">
      <c r="A719" s="2"/>
      <c r="B719" s="2"/>
      <c r="C719" s="2"/>
      <c r="D719" s="2"/>
      <c r="E719" s="2"/>
      <c r="F719" s="2"/>
      <c r="R719" s="2"/>
    </row>
    <row r="720" spans="1:18">
      <c r="A720" s="2"/>
      <c r="B720" s="2"/>
      <c r="C720" s="2"/>
      <c r="D720" s="2"/>
      <c r="E720" s="2"/>
      <c r="F720" s="2"/>
      <c r="R720" s="2"/>
    </row>
    <row r="721" spans="1:18">
      <c r="A721" s="2"/>
      <c r="B721" s="2"/>
      <c r="C721" s="2"/>
      <c r="D721" s="2"/>
      <c r="E721" s="2"/>
      <c r="F721" s="2"/>
      <c r="R721" s="2"/>
    </row>
    <row r="722" spans="1:18">
      <c r="A722" s="2"/>
      <c r="B722" s="2"/>
      <c r="C722" s="2"/>
      <c r="D722" s="2"/>
      <c r="E722" s="2"/>
      <c r="F722" s="2"/>
      <c r="R722" s="2"/>
    </row>
    <row r="723" spans="1:18">
      <c r="A723" s="2"/>
      <c r="B723" s="2"/>
      <c r="C723" s="2"/>
      <c r="D723" s="2"/>
      <c r="E723" s="2"/>
      <c r="F723" s="2"/>
      <c r="R723" s="2"/>
    </row>
    <row r="724" spans="1:18">
      <c r="A724" s="2"/>
      <c r="B724" s="2"/>
      <c r="C724" s="2"/>
      <c r="D724" s="2"/>
      <c r="E724" s="2"/>
      <c r="F724" s="2"/>
      <c r="R724" s="2"/>
    </row>
    <row r="725" spans="1:18">
      <c r="A725" s="2"/>
      <c r="B725" s="2"/>
      <c r="C725" s="2"/>
      <c r="D725" s="2"/>
      <c r="E725" s="2"/>
      <c r="F725" s="2"/>
      <c r="R725" s="2"/>
    </row>
    <row r="726" spans="1:18">
      <c r="A726" s="2"/>
      <c r="B726" s="2"/>
      <c r="C726" s="2"/>
      <c r="D726" s="2"/>
      <c r="E726" s="2"/>
      <c r="F726" s="2"/>
      <c r="R726" s="2"/>
    </row>
    <row r="727" spans="1:18">
      <c r="A727" s="2"/>
      <c r="B727" s="2"/>
      <c r="C727" s="2"/>
      <c r="D727" s="2"/>
      <c r="E727" s="2"/>
      <c r="F727" s="2"/>
      <c r="R727" s="2"/>
    </row>
    <row r="728" spans="1:18">
      <c r="A728" s="2"/>
      <c r="B728" s="2"/>
      <c r="C728" s="2"/>
      <c r="D728" s="2"/>
      <c r="E728" s="2"/>
      <c r="F728" s="2"/>
      <c r="R728" s="2"/>
    </row>
    <row r="729" spans="1:18">
      <c r="A729" s="2"/>
      <c r="B729" s="2"/>
      <c r="C729" s="2"/>
      <c r="D729" s="2"/>
      <c r="E729" s="2"/>
      <c r="F729" s="2"/>
      <c r="R729" s="2"/>
    </row>
    <row r="730" spans="1:18">
      <c r="A730" s="2"/>
      <c r="B730" s="2"/>
      <c r="C730" s="2"/>
      <c r="D730" s="2"/>
      <c r="E730" s="2"/>
      <c r="F730" s="2"/>
      <c r="R730" s="2"/>
    </row>
    <row r="731" spans="1:18">
      <c r="A731" s="2"/>
      <c r="B731" s="2"/>
      <c r="C731" s="2"/>
      <c r="D731" s="2"/>
      <c r="E731" s="2"/>
      <c r="F731" s="2"/>
      <c r="R731" s="2"/>
    </row>
    <row r="732" spans="1:18">
      <c r="A732" s="2"/>
      <c r="B732" s="2"/>
      <c r="C732" s="2"/>
      <c r="D732" s="2"/>
      <c r="E732" s="2"/>
      <c r="F732" s="2"/>
      <c r="R732" s="2"/>
    </row>
    <row r="733" spans="1:18">
      <c r="A733" s="2"/>
      <c r="B733" s="2"/>
      <c r="C733" s="2"/>
      <c r="D733" s="2"/>
      <c r="E733" s="2"/>
      <c r="F733" s="2"/>
      <c r="R733" s="2"/>
    </row>
    <row r="734" spans="1:18">
      <c r="A734" s="2"/>
      <c r="B734" s="2"/>
      <c r="C734" s="2"/>
      <c r="D734" s="2"/>
      <c r="E734" s="2"/>
      <c r="F734" s="2"/>
      <c r="R734" s="2"/>
    </row>
    <row r="735" spans="1:18">
      <c r="A735" s="2"/>
      <c r="B735" s="2"/>
      <c r="C735" s="2"/>
      <c r="D735" s="2"/>
      <c r="E735" s="2"/>
      <c r="F735" s="2"/>
      <c r="R735" s="2"/>
    </row>
    <row r="736" spans="1:18">
      <c r="A736" s="2"/>
      <c r="B736" s="2"/>
      <c r="C736" s="2"/>
      <c r="D736" s="2"/>
      <c r="E736" s="2"/>
      <c r="F736" s="2"/>
      <c r="R736" s="2"/>
    </row>
    <row r="737" spans="1:18">
      <c r="A737" s="2"/>
      <c r="B737" s="2"/>
      <c r="C737" s="2"/>
      <c r="D737" s="2"/>
      <c r="E737" s="2"/>
      <c r="F737" s="2"/>
      <c r="R737" s="2"/>
    </row>
    <row r="738" spans="1:18">
      <c r="A738" s="2"/>
      <c r="B738" s="2"/>
      <c r="C738" s="2"/>
      <c r="D738" s="2"/>
      <c r="E738" s="2"/>
      <c r="F738" s="2"/>
      <c r="R738" s="2"/>
    </row>
    <row r="739" spans="1:18">
      <c r="A739" s="2"/>
      <c r="B739" s="2"/>
      <c r="C739" s="2"/>
      <c r="D739" s="2"/>
      <c r="E739" s="2"/>
      <c r="F739" s="2"/>
      <c r="R739" s="2"/>
    </row>
    <row r="740" spans="1:18">
      <c r="A740" s="2"/>
      <c r="B740" s="2"/>
      <c r="C740" s="2"/>
      <c r="D740" s="2"/>
      <c r="E740" s="2"/>
      <c r="F740" s="2"/>
      <c r="R740" s="2"/>
    </row>
    <row r="741" spans="1:18">
      <c r="A741" s="2"/>
      <c r="B741" s="2"/>
      <c r="C741" s="2"/>
      <c r="D741" s="2"/>
      <c r="E741" s="2"/>
      <c r="F741" s="2"/>
      <c r="R741" s="2"/>
    </row>
    <row r="742" spans="1:18">
      <c r="A742" s="2"/>
      <c r="B742" s="2"/>
      <c r="C742" s="2"/>
      <c r="D742" s="2"/>
      <c r="E742" s="2"/>
      <c r="F742" s="2"/>
      <c r="R742" s="2"/>
    </row>
    <row r="743" spans="1:18">
      <c r="A743" s="2"/>
      <c r="B743" s="2"/>
      <c r="C743" s="2"/>
      <c r="D743" s="2"/>
      <c r="E743" s="2"/>
      <c r="F743" s="2"/>
      <c r="R743" s="2"/>
    </row>
    <row r="744" spans="1:18">
      <c r="A744" s="2"/>
      <c r="B744" s="2"/>
      <c r="C744" s="2"/>
      <c r="D744" s="2"/>
      <c r="E744" s="2"/>
      <c r="F744" s="2"/>
      <c r="R744" s="2"/>
    </row>
    <row r="745" spans="1:18">
      <c r="A745" s="2"/>
      <c r="B745" s="2"/>
      <c r="C745" s="2"/>
      <c r="D745" s="2"/>
      <c r="E745" s="2"/>
      <c r="F745" s="2"/>
      <c r="R745" s="2"/>
    </row>
    <row r="746" spans="1:18">
      <c r="A746" s="2"/>
      <c r="B746" s="2"/>
      <c r="C746" s="2"/>
      <c r="D746" s="2"/>
      <c r="E746" s="2"/>
      <c r="F746" s="2"/>
      <c r="R746" s="2"/>
    </row>
    <row r="747" spans="1:18">
      <c r="A747" s="2"/>
      <c r="B747" s="2"/>
      <c r="C747" s="2"/>
      <c r="D747" s="2"/>
      <c r="E747" s="2"/>
      <c r="F747" s="2"/>
      <c r="R747" s="2"/>
    </row>
    <row r="748" spans="1:18">
      <c r="A748" s="2"/>
      <c r="B748" s="2"/>
      <c r="C748" s="2"/>
      <c r="D748" s="2"/>
      <c r="E748" s="2"/>
      <c r="F748" s="2"/>
      <c r="R748" s="2"/>
    </row>
    <row r="749" spans="1:18">
      <c r="A749" s="2"/>
      <c r="B749" s="2"/>
      <c r="C749" s="2"/>
      <c r="D749" s="2"/>
      <c r="E749" s="2"/>
      <c r="F749" s="2"/>
      <c r="R749" s="2"/>
    </row>
    <row r="750" spans="1:18">
      <c r="A750" s="2"/>
      <c r="B750" s="2"/>
      <c r="C750" s="2"/>
      <c r="D750" s="2"/>
      <c r="E750" s="2"/>
      <c r="F750" s="2"/>
      <c r="R750" s="2"/>
    </row>
    <row r="751" spans="1:18">
      <c r="A751" s="2"/>
      <c r="B751" s="2"/>
      <c r="C751" s="2"/>
      <c r="D751" s="2"/>
      <c r="E751" s="2"/>
      <c r="F751" s="2"/>
      <c r="R751" s="2"/>
    </row>
    <row r="752" spans="1:18">
      <c r="A752" s="2"/>
      <c r="B752" s="2"/>
      <c r="C752" s="2"/>
      <c r="D752" s="2"/>
      <c r="E752" s="2"/>
      <c r="F752" s="2"/>
      <c r="R752" s="2"/>
    </row>
    <row r="753" spans="1:18">
      <c r="A753" s="2"/>
      <c r="B753" s="2"/>
      <c r="C753" s="2"/>
      <c r="D753" s="2"/>
      <c r="E753" s="2"/>
      <c r="F753" s="2"/>
      <c r="R753" s="2"/>
    </row>
    <row r="754" spans="1:18">
      <c r="A754" s="2"/>
      <c r="B754" s="2"/>
      <c r="C754" s="2"/>
      <c r="D754" s="2"/>
      <c r="E754" s="2"/>
      <c r="F754" s="2"/>
      <c r="R754" s="2"/>
    </row>
    <row r="755" spans="1:18">
      <c r="A755" s="2"/>
      <c r="B755" s="2"/>
      <c r="C755" s="2"/>
      <c r="D755" s="2"/>
      <c r="E755" s="2"/>
      <c r="F755" s="2"/>
      <c r="R755" s="2"/>
    </row>
    <row r="756" spans="1:18">
      <c r="A756" s="2"/>
      <c r="B756" s="2"/>
      <c r="C756" s="2"/>
      <c r="D756" s="2"/>
      <c r="E756" s="2"/>
      <c r="F756" s="2"/>
      <c r="R756" s="2"/>
    </row>
    <row r="757" spans="1:18">
      <c r="A757" s="2"/>
      <c r="B757" s="2"/>
      <c r="C757" s="2"/>
      <c r="D757" s="2"/>
      <c r="E757" s="2"/>
      <c r="F757" s="2"/>
      <c r="R757" s="2"/>
    </row>
    <row r="758" spans="1:18">
      <c r="A758" s="2"/>
      <c r="B758" s="2"/>
      <c r="C758" s="2"/>
      <c r="D758" s="2"/>
      <c r="E758" s="2"/>
      <c r="F758" s="2"/>
      <c r="R758" s="2"/>
    </row>
    <row r="759" spans="1:18">
      <c r="A759" s="2"/>
      <c r="B759" s="2"/>
      <c r="C759" s="2"/>
      <c r="D759" s="2"/>
      <c r="E759" s="2"/>
      <c r="F759" s="2"/>
      <c r="R759" s="2"/>
    </row>
    <row r="760" spans="1:18">
      <c r="A760" s="2"/>
      <c r="B760" s="2"/>
      <c r="C760" s="2"/>
      <c r="D760" s="2"/>
      <c r="E760" s="2"/>
      <c r="F760" s="2"/>
      <c r="R760" s="2"/>
    </row>
    <row r="761" spans="1:18">
      <c r="A761" s="2"/>
      <c r="B761" s="2"/>
      <c r="C761" s="2"/>
      <c r="D761" s="2"/>
      <c r="E761" s="2"/>
      <c r="F761" s="2"/>
      <c r="R761" s="2"/>
    </row>
    <row r="762" spans="1:18">
      <c r="A762" s="2"/>
      <c r="B762" s="2"/>
      <c r="C762" s="2"/>
      <c r="D762" s="2"/>
      <c r="E762" s="2"/>
      <c r="F762" s="2"/>
      <c r="R762" s="2"/>
    </row>
    <row r="763" spans="1:18">
      <c r="A763" s="2"/>
      <c r="B763" s="2"/>
      <c r="C763" s="2"/>
      <c r="D763" s="2"/>
      <c r="E763" s="2"/>
      <c r="F763" s="2"/>
      <c r="R763" s="2"/>
    </row>
    <row r="764" spans="1:18">
      <c r="A764" s="2"/>
      <c r="B764" s="2"/>
      <c r="C764" s="2"/>
      <c r="D764" s="2"/>
      <c r="E764" s="2"/>
      <c r="F764" s="2"/>
      <c r="R764" s="2"/>
    </row>
    <row r="765" spans="1:18">
      <c r="A765" s="2"/>
      <c r="B765" s="2"/>
      <c r="C765" s="2"/>
      <c r="D765" s="2"/>
      <c r="E765" s="2"/>
      <c r="F765" s="2"/>
      <c r="R765" s="2"/>
    </row>
    <row r="766" spans="1:18">
      <c r="A766" s="2"/>
      <c r="B766" s="2"/>
      <c r="C766" s="2"/>
      <c r="D766" s="2"/>
      <c r="E766" s="2"/>
      <c r="F766" s="2"/>
      <c r="R766" s="2"/>
    </row>
    <row r="767" spans="1:18">
      <c r="A767" s="2"/>
      <c r="B767" s="2"/>
      <c r="C767" s="2"/>
      <c r="D767" s="2"/>
      <c r="E767" s="2"/>
      <c r="F767" s="2"/>
      <c r="R767" s="2"/>
    </row>
    <row r="768" spans="1:18">
      <c r="A768" s="2"/>
      <c r="B768" s="2"/>
      <c r="C768" s="2"/>
      <c r="D768" s="2"/>
      <c r="E768" s="2"/>
      <c r="F768" s="2"/>
      <c r="R768" s="2"/>
    </row>
    <row r="769" spans="1:18">
      <c r="A769" s="2"/>
      <c r="B769" s="2"/>
      <c r="C769" s="2"/>
      <c r="D769" s="2"/>
      <c r="E769" s="2"/>
      <c r="F769" s="2"/>
      <c r="R769" s="2"/>
    </row>
    <row r="770" spans="1:18">
      <c r="A770" s="2"/>
      <c r="B770" s="2"/>
      <c r="C770" s="2"/>
      <c r="D770" s="2"/>
      <c r="E770" s="2"/>
      <c r="F770" s="2"/>
      <c r="R770" s="2"/>
    </row>
    <row r="771" spans="1:18">
      <c r="A771" s="2"/>
      <c r="B771" s="2"/>
      <c r="C771" s="2"/>
      <c r="D771" s="2"/>
      <c r="E771" s="2"/>
      <c r="F771" s="2"/>
      <c r="R771" s="2"/>
    </row>
    <row r="772" spans="1:18">
      <c r="A772" s="2"/>
      <c r="B772" s="2"/>
      <c r="C772" s="2"/>
      <c r="D772" s="2"/>
      <c r="E772" s="2"/>
      <c r="F772" s="2"/>
      <c r="R772" s="2"/>
    </row>
    <row r="773" spans="1:18">
      <c r="A773" s="2"/>
      <c r="B773" s="2"/>
      <c r="C773" s="2"/>
      <c r="D773" s="2"/>
      <c r="E773" s="2"/>
      <c r="F773" s="2"/>
      <c r="R773" s="2"/>
    </row>
    <row r="774" spans="1:18">
      <c r="A774" s="2"/>
      <c r="B774" s="2"/>
      <c r="C774" s="2"/>
      <c r="D774" s="2"/>
      <c r="E774" s="2"/>
      <c r="F774" s="2"/>
      <c r="R774" s="2"/>
    </row>
    <row r="775" spans="1:18">
      <c r="A775" s="2"/>
      <c r="B775" s="2"/>
      <c r="C775" s="2"/>
      <c r="D775" s="2"/>
      <c r="E775" s="2"/>
      <c r="F775" s="2"/>
      <c r="R775" s="2"/>
    </row>
    <row r="776" spans="1:18">
      <c r="A776" s="2"/>
      <c r="B776" s="2"/>
      <c r="C776" s="2"/>
      <c r="D776" s="2"/>
      <c r="E776" s="2"/>
      <c r="F776" s="2"/>
      <c r="R776" s="2"/>
    </row>
    <row r="777" spans="1:18">
      <c r="A777" s="2"/>
      <c r="B777" s="2"/>
      <c r="C777" s="2"/>
      <c r="D777" s="2"/>
      <c r="E777" s="2"/>
      <c r="F777" s="2"/>
      <c r="R777" s="2"/>
    </row>
    <row r="778" spans="1:18">
      <c r="A778" s="2"/>
      <c r="B778" s="2"/>
      <c r="C778" s="2"/>
      <c r="D778" s="2"/>
      <c r="E778" s="2"/>
      <c r="F778" s="2"/>
      <c r="R778" s="2"/>
    </row>
    <row r="779" spans="1:18">
      <c r="A779" s="2"/>
      <c r="B779" s="2"/>
      <c r="C779" s="2"/>
      <c r="D779" s="2"/>
      <c r="E779" s="2"/>
      <c r="F779" s="2"/>
      <c r="R779" s="2"/>
    </row>
    <row r="780" spans="1:18">
      <c r="A780" s="2"/>
      <c r="B780" s="2"/>
      <c r="C780" s="2"/>
      <c r="D780" s="2"/>
      <c r="E780" s="2"/>
      <c r="F780" s="2"/>
      <c r="R780" s="2"/>
    </row>
    <row r="781" spans="1:18">
      <c r="A781" s="2"/>
      <c r="B781" s="2"/>
      <c r="C781" s="2"/>
      <c r="D781" s="2"/>
      <c r="E781" s="2"/>
      <c r="F781" s="2"/>
      <c r="R781" s="2"/>
    </row>
    <row r="782" spans="1:18">
      <c r="A782" s="2"/>
      <c r="B782" s="2"/>
      <c r="C782" s="2"/>
      <c r="D782" s="2"/>
      <c r="E782" s="2"/>
      <c r="F782" s="2"/>
      <c r="R782" s="2"/>
    </row>
    <row r="783" spans="1:18">
      <c r="A783" s="2"/>
      <c r="B783" s="2"/>
      <c r="C783" s="2"/>
      <c r="D783" s="2"/>
      <c r="E783" s="2"/>
      <c r="F783" s="2"/>
      <c r="R783" s="2"/>
    </row>
    <row r="784" spans="1:18">
      <c r="A784" s="2"/>
      <c r="B784" s="2"/>
      <c r="C784" s="2"/>
      <c r="D784" s="2"/>
      <c r="E784" s="2"/>
      <c r="F784" s="2"/>
      <c r="R784" s="2"/>
    </row>
    <row r="785" spans="1:18">
      <c r="A785" s="2"/>
      <c r="B785" s="2"/>
      <c r="C785" s="2"/>
      <c r="D785" s="2"/>
      <c r="E785" s="2"/>
      <c r="F785" s="2"/>
      <c r="R785" s="2"/>
    </row>
    <row r="786" spans="1:18">
      <c r="A786" s="2"/>
      <c r="B786" s="2"/>
      <c r="C786" s="2"/>
      <c r="D786" s="2"/>
      <c r="E786" s="2"/>
      <c r="F786" s="2"/>
      <c r="R786" s="2"/>
    </row>
    <row r="787" spans="1:18">
      <c r="A787" s="2"/>
      <c r="B787" s="2"/>
      <c r="C787" s="2"/>
      <c r="D787" s="2"/>
      <c r="E787" s="2"/>
      <c r="F787" s="2"/>
      <c r="R787" s="2"/>
    </row>
    <row r="788" spans="1:18">
      <c r="A788" s="2"/>
      <c r="B788" s="2"/>
      <c r="C788" s="2"/>
      <c r="D788" s="2"/>
      <c r="E788" s="2"/>
      <c r="F788" s="2"/>
      <c r="R788" s="2"/>
    </row>
    <row r="789" spans="1:18">
      <c r="A789" s="2"/>
      <c r="B789" s="2"/>
      <c r="C789" s="2"/>
      <c r="D789" s="2"/>
      <c r="E789" s="2"/>
      <c r="F789" s="2"/>
      <c r="R789" s="2"/>
    </row>
    <row r="790" spans="1:18">
      <c r="A790" s="2"/>
      <c r="B790" s="2"/>
      <c r="C790" s="2"/>
      <c r="D790" s="2"/>
      <c r="E790" s="2"/>
      <c r="F790" s="2"/>
      <c r="R790" s="2"/>
    </row>
    <row r="791" spans="1:18">
      <c r="A791" s="2"/>
      <c r="B791" s="2"/>
      <c r="C791" s="2"/>
      <c r="D791" s="2"/>
      <c r="E791" s="2"/>
      <c r="F791" s="2"/>
      <c r="R791" s="2"/>
    </row>
    <row r="792" spans="1:18">
      <c r="A792" s="2"/>
      <c r="B792" s="2"/>
      <c r="C792" s="2"/>
      <c r="D792" s="2"/>
      <c r="E792" s="2"/>
      <c r="F792" s="2"/>
      <c r="R792" s="2"/>
    </row>
    <row r="793" spans="1:18">
      <c r="A793" s="2"/>
      <c r="B793" s="2"/>
      <c r="C793" s="2"/>
      <c r="D793" s="2"/>
      <c r="E793" s="2"/>
      <c r="F793" s="2"/>
      <c r="R793" s="2"/>
    </row>
    <row r="794" spans="1:18">
      <c r="A794" s="2"/>
      <c r="B794" s="2"/>
      <c r="C794" s="2"/>
      <c r="D794" s="2"/>
      <c r="E794" s="2"/>
      <c r="F794" s="2"/>
      <c r="R794" s="2"/>
    </row>
    <row r="795" spans="1:18">
      <c r="A795" s="2"/>
      <c r="B795" s="2"/>
      <c r="C795" s="2"/>
      <c r="D795" s="2"/>
      <c r="E795" s="2"/>
      <c r="F795" s="2"/>
      <c r="R795" s="2"/>
    </row>
    <row r="796" spans="1:18">
      <c r="A796" s="2"/>
      <c r="B796" s="2"/>
      <c r="C796" s="2"/>
      <c r="D796" s="2"/>
      <c r="E796" s="2"/>
      <c r="F796" s="2"/>
      <c r="R796" s="2"/>
    </row>
    <row r="797" spans="1:18">
      <c r="A797" s="2"/>
      <c r="B797" s="2"/>
      <c r="C797" s="2"/>
      <c r="D797" s="2"/>
      <c r="E797" s="2"/>
      <c r="F797" s="2"/>
      <c r="R797" s="2"/>
    </row>
    <row r="798" spans="1:18">
      <c r="A798" s="2"/>
      <c r="B798" s="2"/>
      <c r="C798" s="2"/>
      <c r="D798" s="2"/>
      <c r="E798" s="2"/>
      <c r="F798" s="2"/>
      <c r="R798" s="2"/>
    </row>
    <row r="799" spans="1:18">
      <c r="A799" s="2"/>
      <c r="B799" s="2"/>
      <c r="C799" s="2"/>
      <c r="D799" s="2"/>
      <c r="E799" s="2"/>
      <c r="F799" s="2"/>
      <c r="R799" s="2"/>
    </row>
    <row r="800" spans="1:18">
      <c r="A800" s="2"/>
      <c r="B800" s="2"/>
      <c r="C800" s="2"/>
      <c r="D800" s="2"/>
      <c r="E800" s="2"/>
      <c r="F800" s="2"/>
      <c r="R800" s="2"/>
    </row>
    <row r="801" spans="1:18">
      <c r="A801" s="2"/>
      <c r="B801" s="2"/>
      <c r="C801" s="2"/>
      <c r="D801" s="2"/>
      <c r="E801" s="2"/>
      <c r="F801" s="2"/>
      <c r="R801" s="2"/>
    </row>
    <row r="802" spans="1:18">
      <c r="A802" s="2"/>
      <c r="B802" s="2"/>
      <c r="C802" s="2"/>
      <c r="D802" s="2"/>
      <c r="E802" s="2"/>
      <c r="F802" s="2"/>
      <c r="R802" s="2"/>
    </row>
    <row r="803" spans="1:18">
      <c r="A803" s="2"/>
      <c r="B803" s="2"/>
      <c r="C803" s="2"/>
      <c r="D803" s="2"/>
      <c r="E803" s="2"/>
      <c r="F803" s="2"/>
      <c r="R803" s="2"/>
    </row>
    <row r="804" spans="1:18">
      <c r="A804" s="2"/>
      <c r="B804" s="2"/>
      <c r="C804" s="2"/>
      <c r="D804" s="2"/>
      <c r="E804" s="2"/>
      <c r="F804" s="2"/>
      <c r="R804" s="2"/>
    </row>
    <row r="805" spans="1:18">
      <c r="A805" s="2"/>
      <c r="B805" s="2"/>
      <c r="C805" s="2"/>
      <c r="D805" s="2"/>
      <c r="E805" s="2"/>
      <c r="F805" s="2"/>
      <c r="R805" s="2"/>
    </row>
    <row r="806" spans="1:18">
      <c r="A806" s="2"/>
      <c r="B806" s="2"/>
      <c r="C806" s="2"/>
      <c r="D806" s="2"/>
      <c r="E806" s="2"/>
      <c r="F806" s="2"/>
      <c r="R806" s="2"/>
    </row>
    <row r="807" spans="1:18">
      <c r="A807" s="2"/>
      <c r="B807" s="2"/>
      <c r="C807" s="2"/>
      <c r="D807" s="2"/>
      <c r="E807" s="2"/>
      <c r="F807" s="2"/>
      <c r="R807" s="2"/>
    </row>
    <row r="808" spans="1:18">
      <c r="A808" s="2"/>
      <c r="B808" s="2"/>
      <c r="C808" s="2"/>
      <c r="D808" s="2"/>
      <c r="E808" s="2"/>
      <c r="F808" s="2"/>
      <c r="R808" s="2"/>
    </row>
    <row r="809" spans="1:18">
      <c r="A809" s="2"/>
      <c r="B809" s="2"/>
      <c r="C809" s="2"/>
      <c r="D809" s="2"/>
      <c r="E809" s="2"/>
      <c r="F809" s="2"/>
      <c r="R809" s="2"/>
    </row>
    <row r="810" spans="1:18">
      <c r="A810" s="2"/>
      <c r="B810" s="2"/>
      <c r="C810" s="2"/>
      <c r="D810" s="2"/>
      <c r="E810" s="2"/>
      <c r="F810" s="2"/>
      <c r="R810" s="2"/>
    </row>
    <row r="811" spans="1:18">
      <c r="A811" s="2"/>
      <c r="B811" s="2"/>
      <c r="C811" s="2"/>
      <c r="D811" s="2"/>
      <c r="E811" s="2"/>
      <c r="F811" s="2"/>
      <c r="R811" s="2"/>
    </row>
    <row r="812" spans="1:18">
      <c r="A812" s="2"/>
      <c r="B812" s="2"/>
      <c r="C812" s="2"/>
      <c r="D812" s="2"/>
      <c r="E812" s="2"/>
      <c r="F812" s="2"/>
      <c r="R812" s="2"/>
    </row>
    <row r="813" spans="1:18">
      <c r="A813" s="2"/>
      <c r="B813" s="2"/>
      <c r="C813" s="2"/>
      <c r="D813" s="2"/>
      <c r="E813" s="2"/>
      <c r="F813" s="2"/>
      <c r="R813" s="2"/>
    </row>
    <row r="814" spans="1:18">
      <c r="A814" s="2"/>
      <c r="B814" s="2"/>
      <c r="C814" s="2"/>
      <c r="D814" s="2"/>
      <c r="E814" s="2"/>
      <c r="F814" s="2"/>
      <c r="R814" s="2"/>
    </row>
    <row r="815" spans="1:18">
      <c r="A815" s="2"/>
      <c r="B815" s="2"/>
      <c r="C815" s="2"/>
      <c r="D815" s="2"/>
      <c r="E815" s="2"/>
      <c r="F815" s="2"/>
      <c r="R815" s="2"/>
    </row>
    <row r="816" spans="1:18">
      <c r="A816" s="2"/>
      <c r="B816" s="2"/>
      <c r="C816" s="2"/>
      <c r="D816" s="2"/>
      <c r="E816" s="2"/>
      <c r="F816" s="2"/>
      <c r="R816" s="2"/>
    </row>
    <row r="817" spans="1:18">
      <c r="A817" s="2"/>
      <c r="B817" s="2"/>
      <c r="C817" s="2"/>
      <c r="D817" s="2"/>
      <c r="E817" s="2"/>
      <c r="F817" s="2"/>
      <c r="R817" s="2"/>
    </row>
    <row r="818" spans="1:18">
      <c r="A818" s="2"/>
      <c r="B818" s="2"/>
      <c r="C818" s="2"/>
      <c r="D818" s="2"/>
      <c r="E818" s="2"/>
      <c r="F818" s="2"/>
      <c r="R818" s="2"/>
    </row>
    <row r="819" spans="1:18">
      <c r="A819" s="2"/>
      <c r="B819" s="2"/>
      <c r="C819" s="2"/>
      <c r="D819" s="2"/>
      <c r="E819" s="2"/>
      <c r="F819" s="2"/>
      <c r="R819" s="2"/>
    </row>
    <row r="820" spans="1:18">
      <c r="A820" s="2"/>
      <c r="B820" s="2"/>
      <c r="C820" s="2"/>
      <c r="D820" s="2"/>
      <c r="E820" s="2"/>
      <c r="F820" s="2"/>
      <c r="R820" s="2"/>
    </row>
    <row r="821" spans="1:18">
      <c r="A821" s="2"/>
      <c r="B821" s="2"/>
      <c r="C821" s="2"/>
      <c r="D821" s="2"/>
      <c r="E821" s="2"/>
      <c r="F821" s="2"/>
      <c r="R821" s="2"/>
    </row>
    <row r="822" spans="1:18">
      <c r="A822" s="2"/>
      <c r="B822" s="2"/>
      <c r="C822" s="2"/>
      <c r="D822" s="2"/>
      <c r="E822" s="2"/>
      <c r="F822" s="2"/>
      <c r="R822" s="2"/>
    </row>
    <row r="823" spans="1:18">
      <c r="A823" s="2"/>
      <c r="B823" s="2"/>
      <c r="C823" s="2"/>
      <c r="D823" s="2"/>
      <c r="E823" s="2"/>
      <c r="F823" s="2"/>
      <c r="R823" s="2"/>
    </row>
    <row r="824" spans="1:18">
      <c r="A824" s="2"/>
      <c r="B824" s="2"/>
      <c r="C824" s="2"/>
      <c r="D824" s="2"/>
      <c r="E824" s="2"/>
      <c r="F824" s="2"/>
      <c r="R824" s="2"/>
    </row>
    <row r="825" spans="1:18">
      <c r="A825" s="2"/>
      <c r="B825" s="2"/>
      <c r="C825" s="2"/>
      <c r="D825" s="2"/>
      <c r="E825" s="2"/>
      <c r="F825" s="2"/>
      <c r="R825" s="2"/>
    </row>
    <row r="826" spans="1:18">
      <c r="A826" s="2"/>
      <c r="B826" s="2"/>
      <c r="C826" s="2"/>
      <c r="D826" s="2"/>
      <c r="E826" s="2"/>
      <c r="F826" s="2"/>
      <c r="R826" s="2"/>
    </row>
    <row r="827" spans="1:18">
      <c r="A827" s="2"/>
      <c r="B827" s="2"/>
      <c r="C827" s="2"/>
      <c r="D827" s="2"/>
      <c r="E827" s="2"/>
      <c r="F827" s="2"/>
      <c r="R827" s="2"/>
    </row>
    <row r="828" spans="1:18">
      <c r="A828" s="2"/>
      <c r="B828" s="2"/>
      <c r="C828" s="2"/>
      <c r="D828" s="2"/>
      <c r="E828" s="2"/>
      <c r="F828" s="2"/>
      <c r="R828" s="2"/>
    </row>
    <row r="829" spans="1:18">
      <c r="A829" s="2"/>
      <c r="B829" s="2"/>
      <c r="C829" s="2"/>
      <c r="D829" s="2"/>
      <c r="E829" s="2"/>
      <c r="F829" s="2"/>
      <c r="R829" s="2"/>
    </row>
    <row r="830" spans="1:18">
      <c r="A830" s="2"/>
      <c r="B830" s="2"/>
      <c r="C830" s="2"/>
      <c r="D830" s="2"/>
      <c r="E830" s="2"/>
      <c r="F830" s="2"/>
      <c r="R830" s="2"/>
    </row>
    <row r="831" spans="1:18">
      <c r="A831" s="2"/>
      <c r="B831" s="2"/>
      <c r="C831" s="2"/>
      <c r="D831" s="2"/>
      <c r="E831" s="2"/>
      <c r="F831" s="2"/>
      <c r="R831" s="2"/>
    </row>
    <row r="832" spans="1:18">
      <c r="A832" s="2"/>
      <c r="B832" s="2"/>
      <c r="C832" s="2"/>
      <c r="D832" s="2"/>
      <c r="E832" s="2"/>
      <c r="F832" s="2"/>
      <c r="R832" s="2"/>
    </row>
    <row r="833" spans="1:18">
      <c r="A833" s="2"/>
      <c r="B833" s="2"/>
      <c r="C833" s="2"/>
      <c r="D833" s="2"/>
      <c r="E833" s="2"/>
      <c r="F833" s="2"/>
      <c r="R833" s="2"/>
    </row>
    <row r="834" spans="1:18">
      <c r="A834" s="2"/>
      <c r="B834" s="2"/>
      <c r="C834" s="2"/>
      <c r="D834" s="2"/>
      <c r="E834" s="2"/>
      <c r="F834" s="2"/>
      <c r="R834" s="2"/>
    </row>
    <row r="835" spans="1:18">
      <c r="A835" s="2"/>
      <c r="B835" s="2"/>
      <c r="C835" s="2"/>
      <c r="D835" s="2"/>
      <c r="E835" s="2"/>
      <c r="F835" s="2"/>
      <c r="R835" s="2"/>
    </row>
    <row r="836" spans="1:18">
      <c r="A836" s="2"/>
      <c r="B836" s="2"/>
      <c r="C836" s="2"/>
      <c r="D836" s="2"/>
      <c r="E836" s="2"/>
      <c r="F836" s="2"/>
      <c r="R836" s="2"/>
    </row>
    <row r="837" spans="1:18">
      <c r="A837" s="2"/>
      <c r="B837" s="2"/>
      <c r="C837" s="2"/>
      <c r="D837" s="2"/>
      <c r="E837" s="2"/>
      <c r="F837" s="2"/>
      <c r="R837" s="2"/>
    </row>
    <row r="838" spans="1:18">
      <c r="A838" s="2"/>
      <c r="B838" s="2"/>
      <c r="C838" s="2"/>
      <c r="D838" s="2"/>
      <c r="E838" s="2"/>
      <c r="F838" s="2"/>
      <c r="R838" s="2"/>
    </row>
    <row r="839" spans="1:18">
      <c r="A839" s="2"/>
      <c r="B839" s="2"/>
      <c r="C839" s="2"/>
      <c r="D839" s="2"/>
      <c r="E839" s="2"/>
      <c r="F839" s="2"/>
      <c r="R839" s="2"/>
    </row>
    <row r="840" spans="1:18">
      <c r="A840" s="2"/>
      <c r="B840" s="2"/>
      <c r="C840" s="2"/>
      <c r="D840" s="2"/>
      <c r="E840" s="2"/>
      <c r="F840" s="2"/>
      <c r="R840" s="2"/>
    </row>
    <row r="841" spans="1:18">
      <c r="A841" s="2"/>
      <c r="B841" s="2"/>
      <c r="C841" s="2"/>
      <c r="D841" s="2"/>
      <c r="E841" s="2"/>
      <c r="F841" s="2"/>
      <c r="R841" s="2"/>
    </row>
    <row r="842" spans="1:18">
      <c r="A842" s="2"/>
      <c r="B842" s="2"/>
      <c r="C842" s="2"/>
      <c r="D842" s="2"/>
      <c r="E842" s="2"/>
      <c r="F842" s="2"/>
      <c r="R842" s="2"/>
    </row>
    <row r="843" spans="1:18">
      <c r="A843" s="2"/>
      <c r="B843" s="2"/>
      <c r="C843" s="2"/>
      <c r="D843" s="2"/>
      <c r="E843" s="2"/>
      <c r="F843" s="2"/>
      <c r="R843" s="2"/>
    </row>
    <row r="844" spans="1:18">
      <c r="A844" s="2"/>
      <c r="B844" s="2"/>
      <c r="C844" s="2"/>
      <c r="D844" s="2"/>
      <c r="E844" s="2"/>
      <c r="F844" s="2"/>
      <c r="R844" s="2"/>
    </row>
    <row r="845" spans="1:18">
      <c r="A845" s="2"/>
      <c r="B845" s="2"/>
      <c r="C845" s="2"/>
      <c r="D845" s="2"/>
      <c r="E845" s="2"/>
      <c r="F845" s="2"/>
      <c r="R845" s="2"/>
    </row>
    <row r="846" spans="1:18">
      <c r="A846" s="2"/>
      <c r="B846" s="2"/>
      <c r="C846" s="2"/>
      <c r="D846" s="2"/>
      <c r="E846" s="2"/>
      <c r="F846" s="2"/>
      <c r="R846" s="2"/>
    </row>
    <row r="847" spans="1:18">
      <c r="A847" s="2"/>
      <c r="B847" s="2"/>
      <c r="C847" s="2"/>
      <c r="D847" s="2"/>
      <c r="E847" s="2"/>
      <c r="F847" s="2"/>
      <c r="R847" s="2"/>
    </row>
    <row r="848" spans="1:18">
      <c r="A848" s="2"/>
      <c r="B848" s="2"/>
      <c r="C848" s="2"/>
      <c r="D848" s="2"/>
      <c r="E848" s="2"/>
      <c r="F848" s="2"/>
      <c r="R848" s="2"/>
    </row>
    <row r="849" spans="1:18">
      <c r="A849" s="2"/>
      <c r="B849" s="2"/>
      <c r="C849" s="2"/>
      <c r="D849" s="2"/>
      <c r="E849" s="2"/>
      <c r="F849" s="2"/>
      <c r="R849" s="2"/>
    </row>
    <row r="850" spans="1:18">
      <c r="A850" s="2"/>
      <c r="B850" s="2"/>
      <c r="C850" s="2"/>
      <c r="D850" s="2"/>
      <c r="E850" s="2"/>
      <c r="F850" s="2"/>
      <c r="R850" s="2"/>
    </row>
    <row r="851" spans="1:18">
      <c r="A851" s="2"/>
      <c r="B851" s="2"/>
      <c r="C851" s="2"/>
      <c r="D851" s="2"/>
      <c r="E851" s="2"/>
      <c r="F851" s="2"/>
      <c r="R851" s="2"/>
    </row>
    <row r="852" spans="1:18">
      <c r="A852" s="2"/>
      <c r="B852" s="2"/>
      <c r="C852" s="2"/>
      <c r="D852" s="2"/>
      <c r="E852" s="2"/>
      <c r="F852" s="2"/>
      <c r="R852" s="2"/>
    </row>
    <row r="853" spans="1:18">
      <c r="A853" s="2"/>
      <c r="B853" s="2"/>
      <c r="C853" s="2"/>
      <c r="D853" s="2"/>
      <c r="E853" s="2"/>
      <c r="F853" s="2"/>
      <c r="R853" s="2"/>
    </row>
    <row r="854" spans="1:18">
      <c r="A854" s="2"/>
      <c r="B854" s="2"/>
      <c r="C854" s="2"/>
      <c r="D854" s="2"/>
      <c r="E854" s="2"/>
      <c r="F854" s="2"/>
      <c r="R854" s="2"/>
    </row>
    <row r="855" spans="1:18">
      <c r="A855" s="2"/>
      <c r="B855" s="2"/>
      <c r="C855" s="2"/>
      <c r="D855" s="2"/>
      <c r="E855" s="2"/>
      <c r="F855" s="2"/>
      <c r="R855" s="2"/>
    </row>
    <row r="856" spans="1:18">
      <c r="A856" s="2"/>
      <c r="B856" s="2"/>
      <c r="C856" s="2"/>
      <c r="D856" s="2"/>
      <c r="E856" s="2"/>
      <c r="F856" s="2"/>
      <c r="R856" s="2"/>
    </row>
    <row r="857" spans="1:18">
      <c r="A857" s="2"/>
      <c r="B857" s="2"/>
      <c r="C857" s="2"/>
      <c r="D857" s="2"/>
      <c r="E857" s="2"/>
      <c r="F857" s="2"/>
      <c r="R857" s="2"/>
    </row>
    <row r="858" spans="1:18">
      <c r="A858" s="2"/>
      <c r="B858" s="2"/>
      <c r="C858" s="2"/>
      <c r="D858" s="2"/>
      <c r="E858" s="2"/>
      <c r="F858" s="2"/>
      <c r="R858" s="2"/>
    </row>
    <row r="859" spans="1:18">
      <c r="A859" s="2"/>
      <c r="B859" s="2"/>
      <c r="C859" s="2"/>
      <c r="D859" s="2"/>
      <c r="E859" s="2"/>
      <c r="F859" s="2"/>
      <c r="R859" s="2"/>
    </row>
    <row r="860" spans="1:18">
      <c r="A860" s="2"/>
      <c r="B860" s="2"/>
      <c r="C860" s="2"/>
      <c r="D860" s="2"/>
      <c r="E860" s="2"/>
      <c r="F860" s="2"/>
      <c r="R860" s="2"/>
    </row>
    <row r="861" spans="1:18">
      <c r="A861" s="2"/>
      <c r="B861" s="2"/>
      <c r="C861" s="2"/>
      <c r="D861" s="2"/>
      <c r="E861" s="2"/>
      <c r="F861" s="2"/>
      <c r="R861" s="2"/>
    </row>
    <row r="862" spans="1:18">
      <c r="A862" s="2"/>
      <c r="B862" s="2"/>
      <c r="C862" s="2"/>
      <c r="D862" s="2"/>
      <c r="E862" s="2"/>
      <c r="F862" s="2"/>
      <c r="R862" s="2"/>
    </row>
    <row r="863" spans="1:18">
      <c r="A863" s="2"/>
      <c r="B863" s="2"/>
      <c r="C863" s="2"/>
      <c r="D863" s="2"/>
      <c r="E863" s="2"/>
      <c r="F863" s="2"/>
      <c r="R863" s="2"/>
    </row>
    <row r="864" spans="1:18">
      <c r="A864" s="2"/>
      <c r="B864" s="2"/>
      <c r="C864" s="2"/>
      <c r="D864" s="2"/>
      <c r="E864" s="2"/>
      <c r="F864" s="2"/>
      <c r="R864" s="2"/>
    </row>
    <row r="865" spans="1:18">
      <c r="A865" s="2"/>
      <c r="B865" s="2"/>
      <c r="C865" s="2"/>
      <c r="D865" s="2"/>
      <c r="E865" s="2"/>
      <c r="F865" s="2"/>
      <c r="R865" s="2"/>
    </row>
    <row r="866" spans="1:18">
      <c r="A866" s="2"/>
      <c r="B866" s="2"/>
      <c r="C866" s="2"/>
      <c r="D866" s="2"/>
      <c r="E866" s="2"/>
      <c r="F866" s="2"/>
      <c r="R866" s="2"/>
    </row>
    <row r="867" spans="1:18">
      <c r="A867" s="2"/>
      <c r="B867" s="2"/>
      <c r="C867" s="2"/>
      <c r="D867" s="2"/>
      <c r="E867" s="2"/>
      <c r="F867" s="2"/>
      <c r="R867" s="2"/>
    </row>
    <row r="868" spans="1:18">
      <c r="A868" s="2"/>
      <c r="B868" s="2"/>
      <c r="C868" s="2"/>
      <c r="D868" s="2"/>
      <c r="E868" s="2"/>
      <c r="F868" s="2"/>
      <c r="R868" s="2"/>
    </row>
    <row r="869" spans="1:18">
      <c r="A869" s="2"/>
      <c r="B869" s="2"/>
      <c r="C869" s="2"/>
      <c r="D869" s="2"/>
      <c r="E869" s="2"/>
      <c r="F869" s="2"/>
      <c r="R869" s="2"/>
    </row>
    <row r="870" spans="1:18">
      <c r="A870" s="2"/>
      <c r="B870" s="2"/>
      <c r="C870" s="2"/>
      <c r="D870" s="2"/>
      <c r="E870" s="2"/>
      <c r="F870" s="2"/>
      <c r="R870" s="2"/>
    </row>
    <row r="871" spans="1:18">
      <c r="A871" s="2"/>
      <c r="B871" s="2"/>
      <c r="C871" s="2"/>
      <c r="D871" s="2"/>
      <c r="E871" s="2"/>
      <c r="F871" s="2"/>
      <c r="R871" s="2"/>
    </row>
    <row r="872" spans="1:18">
      <c r="A872" s="2"/>
      <c r="B872" s="2"/>
      <c r="C872" s="2"/>
      <c r="D872" s="2"/>
      <c r="E872" s="2"/>
      <c r="F872" s="2"/>
      <c r="R872" s="2"/>
    </row>
    <row r="873" spans="1:18">
      <c r="A873" s="2"/>
      <c r="B873" s="2"/>
      <c r="C873" s="2"/>
      <c r="D873" s="2"/>
      <c r="E873" s="2"/>
      <c r="F873" s="2"/>
      <c r="R873" s="2"/>
    </row>
    <row r="874" spans="1:18">
      <c r="A874" s="2"/>
      <c r="B874" s="2"/>
      <c r="C874" s="2"/>
      <c r="D874" s="2"/>
      <c r="E874" s="2"/>
      <c r="F874" s="2"/>
      <c r="R874" s="2"/>
    </row>
    <row r="875" spans="1:18">
      <c r="A875" s="2"/>
      <c r="B875" s="2"/>
      <c r="C875" s="2"/>
      <c r="D875" s="2"/>
      <c r="E875" s="2"/>
      <c r="F875" s="2"/>
      <c r="R875" s="2"/>
    </row>
    <row r="876" spans="1:18">
      <c r="A876" s="2"/>
      <c r="B876" s="2"/>
      <c r="C876" s="2"/>
      <c r="D876" s="2"/>
      <c r="E876" s="2"/>
      <c r="F876" s="2"/>
      <c r="R876" s="2"/>
    </row>
    <row r="877" spans="1:18">
      <c r="A877" s="2"/>
      <c r="B877" s="2"/>
      <c r="C877" s="2"/>
      <c r="D877" s="2"/>
      <c r="E877" s="2"/>
      <c r="F877" s="2"/>
      <c r="R877" s="2"/>
    </row>
    <row r="878" spans="1:18">
      <c r="A878" s="2"/>
      <c r="B878" s="2"/>
      <c r="C878" s="2"/>
      <c r="D878" s="2"/>
      <c r="E878" s="2"/>
      <c r="F878" s="2"/>
      <c r="R878" s="2"/>
    </row>
    <row r="879" spans="1:18">
      <c r="A879" s="2"/>
      <c r="B879" s="2"/>
      <c r="C879" s="2"/>
      <c r="D879" s="2"/>
      <c r="E879" s="2"/>
      <c r="F879" s="2"/>
      <c r="R879" s="2"/>
    </row>
    <row r="880" spans="1:18">
      <c r="A880" s="2"/>
      <c r="B880" s="2"/>
      <c r="C880" s="2"/>
      <c r="D880" s="2"/>
      <c r="E880" s="2"/>
      <c r="F880" s="2"/>
      <c r="R880" s="2"/>
    </row>
    <row r="881" spans="1:18">
      <c r="A881" s="2"/>
      <c r="B881" s="2"/>
      <c r="C881" s="2"/>
      <c r="D881" s="2"/>
      <c r="E881" s="2"/>
      <c r="F881" s="2"/>
      <c r="R881" s="2"/>
    </row>
    <row r="882" spans="1:18">
      <c r="A882" s="2"/>
      <c r="B882" s="2"/>
      <c r="C882" s="2"/>
      <c r="D882" s="2"/>
      <c r="E882" s="2"/>
      <c r="F882" s="2"/>
      <c r="R882" s="2"/>
    </row>
    <row r="883" spans="1:18">
      <c r="A883" s="2"/>
      <c r="B883" s="2"/>
      <c r="C883" s="2"/>
      <c r="D883" s="2"/>
      <c r="E883" s="2"/>
      <c r="F883" s="2"/>
      <c r="R883" s="2"/>
    </row>
    <row r="884" spans="1:18">
      <c r="A884" s="2"/>
      <c r="B884" s="2"/>
      <c r="C884" s="2"/>
      <c r="D884" s="2"/>
      <c r="E884" s="2"/>
      <c r="F884" s="2"/>
      <c r="R884" s="2"/>
    </row>
    <row r="885" spans="1:18">
      <c r="A885" s="2"/>
      <c r="B885" s="2"/>
      <c r="C885" s="2"/>
      <c r="D885" s="2"/>
      <c r="E885" s="2"/>
      <c r="F885" s="2"/>
      <c r="R885" s="2"/>
    </row>
    <row r="886" spans="1:18">
      <c r="A886" s="2"/>
      <c r="B886" s="2"/>
      <c r="C886" s="2"/>
      <c r="D886" s="2"/>
      <c r="E886" s="2"/>
      <c r="F886" s="2"/>
      <c r="R886" s="2"/>
    </row>
    <row r="887" spans="1:18">
      <c r="A887" s="2"/>
      <c r="B887" s="2"/>
      <c r="C887" s="2"/>
      <c r="D887" s="2"/>
      <c r="E887" s="2"/>
      <c r="F887" s="2"/>
      <c r="R887" s="2"/>
    </row>
    <row r="888" spans="1:18">
      <c r="A888" s="2"/>
      <c r="B888" s="2"/>
      <c r="C888" s="2"/>
      <c r="D888" s="2"/>
      <c r="E888" s="2"/>
      <c r="F888" s="2"/>
      <c r="R888" s="2"/>
    </row>
    <row r="889" spans="1:18">
      <c r="A889" s="2"/>
      <c r="B889" s="2"/>
      <c r="C889" s="2"/>
      <c r="D889" s="2"/>
      <c r="E889" s="2"/>
      <c r="F889" s="2"/>
      <c r="R889" s="2"/>
    </row>
    <row r="890" spans="1:18">
      <c r="A890" s="2"/>
      <c r="B890" s="2"/>
      <c r="C890" s="2"/>
      <c r="D890" s="2"/>
      <c r="E890" s="2"/>
      <c r="F890" s="2"/>
      <c r="R890" s="2"/>
    </row>
    <row r="891" spans="1:18">
      <c r="A891" s="2"/>
      <c r="B891" s="2"/>
      <c r="C891" s="2"/>
      <c r="D891" s="2"/>
      <c r="E891" s="2"/>
      <c r="F891" s="2"/>
      <c r="R891" s="2"/>
    </row>
    <row r="892" spans="1:18">
      <c r="A892" s="2"/>
      <c r="B892" s="2"/>
      <c r="C892" s="2"/>
      <c r="D892" s="2"/>
      <c r="E892" s="2"/>
      <c r="F892" s="2"/>
      <c r="R892" s="2"/>
    </row>
    <row r="893" spans="1:18">
      <c r="A893" s="2"/>
      <c r="B893" s="2"/>
      <c r="C893" s="2"/>
      <c r="D893" s="2"/>
      <c r="E893" s="2"/>
      <c r="F893" s="2"/>
      <c r="R893" s="2"/>
    </row>
    <row r="894" spans="1:18">
      <c r="A894" s="2"/>
      <c r="B894" s="2"/>
      <c r="C894" s="2"/>
      <c r="D894" s="2"/>
      <c r="E894" s="2"/>
      <c r="F894" s="2"/>
      <c r="R894" s="2"/>
    </row>
    <row r="895" spans="1:18">
      <c r="A895" s="2"/>
      <c r="B895" s="2"/>
      <c r="C895" s="2"/>
      <c r="D895" s="2"/>
      <c r="E895" s="2"/>
      <c r="F895" s="2"/>
      <c r="R895" s="2"/>
    </row>
    <row r="896" spans="1:18">
      <c r="A896" s="2"/>
      <c r="B896" s="2"/>
      <c r="C896" s="2"/>
      <c r="D896" s="2"/>
      <c r="E896" s="2"/>
      <c r="F896" s="2"/>
      <c r="R896" s="2"/>
    </row>
    <row r="897" spans="1:18">
      <c r="A897" s="2"/>
      <c r="B897" s="2"/>
      <c r="C897" s="2"/>
      <c r="D897" s="2"/>
      <c r="E897" s="2"/>
      <c r="F897" s="2"/>
      <c r="R897" s="2"/>
    </row>
    <row r="898" spans="1:18">
      <c r="A898" s="2"/>
      <c r="B898" s="2"/>
      <c r="C898" s="2"/>
      <c r="D898" s="2"/>
      <c r="E898" s="2"/>
      <c r="F898" s="2"/>
      <c r="R898" s="2"/>
    </row>
    <row r="899" spans="1:18">
      <c r="A899" s="2"/>
      <c r="B899" s="2"/>
      <c r="C899" s="2"/>
      <c r="D899" s="2"/>
      <c r="E899" s="2"/>
      <c r="F899" s="2"/>
      <c r="R899" s="2"/>
    </row>
    <row r="900" spans="1:18">
      <c r="A900" s="2"/>
      <c r="B900" s="2"/>
      <c r="C900" s="2"/>
      <c r="D900" s="2"/>
      <c r="E900" s="2"/>
      <c r="F900" s="2"/>
      <c r="R900" s="2"/>
    </row>
    <row r="901" spans="1:18">
      <c r="A901" s="2"/>
      <c r="B901" s="2"/>
      <c r="C901" s="2"/>
      <c r="D901" s="2"/>
      <c r="E901" s="2"/>
      <c r="F901" s="2"/>
      <c r="R901" s="2"/>
    </row>
    <row r="902" spans="1:18">
      <c r="A902" s="2"/>
      <c r="B902" s="2"/>
      <c r="C902" s="2"/>
      <c r="D902" s="2"/>
      <c r="E902" s="2"/>
      <c r="F902" s="2"/>
      <c r="R902" s="2"/>
    </row>
    <row r="903" spans="1:18">
      <c r="A903" s="2"/>
      <c r="B903" s="2"/>
      <c r="C903" s="2"/>
      <c r="D903" s="2"/>
      <c r="E903" s="2"/>
      <c r="F903" s="2"/>
      <c r="R903" s="2"/>
    </row>
    <row r="904" spans="1:18">
      <c r="A904" s="2"/>
      <c r="B904" s="2"/>
      <c r="C904" s="2"/>
      <c r="D904" s="2"/>
      <c r="E904" s="2"/>
      <c r="F904" s="2"/>
      <c r="R904" s="2"/>
    </row>
    <row r="905" spans="1:18">
      <c r="A905" s="2"/>
      <c r="B905" s="2"/>
      <c r="C905" s="2"/>
      <c r="D905" s="2"/>
      <c r="E905" s="2"/>
      <c r="F905" s="2"/>
      <c r="R905" s="2"/>
    </row>
    <row r="906" spans="1:18">
      <c r="A906" s="2"/>
      <c r="B906" s="2"/>
      <c r="C906" s="2"/>
      <c r="D906" s="2"/>
      <c r="E906" s="2"/>
      <c r="F906" s="2"/>
      <c r="R906" s="2"/>
    </row>
    <row r="907" spans="1:18">
      <c r="A907" s="2"/>
      <c r="B907" s="2"/>
      <c r="C907" s="2"/>
      <c r="D907" s="2"/>
      <c r="E907" s="2"/>
      <c r="F907" s="2"/>
      <c r="R907" s="2"/>
    </row>
    <row r="908" spans="1:18">
      <c r="A908" s="2"/>
      <c r="B908" s="2"/>
      <c r="C908" s="2"/>
      <c r="D908" s="2"/>
      <c r="E908" s="2"/>
      <c r="F908" s="2"/>
      <c r="R908" s="2"/>
    </row>
    <row r="909" spans="1:18">
      <c r="A909" s="2"/>
      <c r="B909" s="2"/>
      <c r="C909" s="2"/>
      <c r="D909" s="2"/>
      <c r="E909" s="2"/>
      <c r="F909" s="2"/>
      <c r="R909" s="2"/>
    </row>
    <row r="910" spans="1:18">
      <c r="A910" s="2"/>
      <c r="B910" s="2"/>
      <c r="C910" s="2"/>
      <c r="D910" s="2"/>
      <c r="E910" s="2"/>
      <c r="F910" s="2"/>
      <c r="R910" s="2"/>
    </row>
    <row r="911" spans="1:18">
      <c r="A911" s="2"/>
      <c r="B911" s="2"/>
      <c r="C911" s="2"/>
      <c r="D911" s="2"/>
      <c r="E911" s="2"/>
      <c r="F911" s="2"/>
      <c r="R911" s="2"/>
    </row>
    <row r="912" spans="1:18">
      <c r="A912" s="2"/>
      <c r="B912" s="2"/>
      <c r="C912" s="2"/>
      <c r="D912" s="2"/>
      <c r="E912" s="2"/>
      <c r="F912" s="2"/>
      <c r="R912" s="2"/>
    </row>
    <row r="913" spans="1:18">
      <c r="A913" s="2"/>
      <c r="B913" s="2"/>
      <c r="C913" s="2"/>
      <c r="D913" s="2"/>
      <c r="E913" s="2"/>
      <c r="F913" s="2"/>
      <c r="R913" s="2"/>
    </row>
    <row r="914" spans="1:18">
      <c r="A914" s="2"/>
      <c r="B914" s="2"/>
      <c r="C914" s="2"/>
      <c r="D914" s="2"/>
      <c r="E914" s="2"/>
      <c r="F914" s="2"/>
      <c r="R914" s="2"/>
    </row>
    <row r="915" spans="1:18">
      <c r="A915" s="2"/>
      <c r="B915" s="2"/>
      <c r="C915" s="2"/>
      <c r="D915" s="2"/>
      <c r="E915" s="2"/>
      <c r="F915" s="2"/>
      <c r="R915" s="2"/>
    </row>
    <row r="916" spans="1:18">
      <c r="A916" s="2"/>
      <c r="B916" s="2"/>
      <c r="C916" s="2"/>
      <c r="D916" s="2"/>
      <c r="E916" s="2"/>
      <c r="F916" s="2"/>
      <c r="R916" s="2"/>
    </row>
    <row r="917" spans="1:18">
      <c r="A917" s="2"/>
      <c r="B917" s="2"/>
      <c r="C917" s="2"/>
      <c r="D917" s="2"/>
      <c r="E917" s="2"/>
      <c r="F917" s="2"/>
      <c r="R917" s="2"/>
    </row>
    <row r="918" spans="1:18">
      <c r="A918" s="2"/>
      <c r="B918" s="2"/>
      <c r="C918" s="2"/>
      <c r="D918" s="2"/>
      <c r="E918" s="2"/>
      <c r="F918" s="2"/>
      <c r="R918" s="2"/>
    </row>
    <row r="919" spans="1:18">
      <c r="A919" s="2"/>
      <c r="B919" s="2"/>
      <c r="C919" s="2"/>
      <c r="D919" s="2"/>
      <c r="E919" s="2"/>
      <c r="F919" s="2"/>
      <c r="R919" s="2"/>
    </row>
    <row r="920" spans="1:18">
      <c r="A920" s="2"/>
      <c r="B920" s="2"/>
      <c r="C920" s="2"/>
      <c r="D920" s="2"/>
      <c r="E920" s="2"/>
      <c r="F920" s="2"/>
      <c r="R920" s="2"/>
    </row>
    <row r="921" spans="1:18">
      <c r="A921" s="2"/>
      <c r="B921" s="2"/>
      <c r="C921" s="2"/>
      <c r="D921" s="2"/>
      <c r="E921" s="2"/>
      <c r="F921" s="2"/>
      <c r="R921" s="2"/>
    </row>
    <row r="922" spans="1:18">
      <c r="A922" s="2"/>
      <c r="B922" s="2"/>
      <c r="C922" s="2"/>
      <c r="D922" s="2"/>
      <c r="E922" s="2"/>
      <c r="F922" s="2"/>
      <c r="R922" s="2"/>
    </row>
    <row r="923" spans="1:18">
      <c r="A923" s="2"/>
      <c r="B923" s="2"/>
      <c r="C923" s="2"/>
      <c r="D923" s="2"/>
      <c r="E923" s="2"/>
      <c r="F923" s="2"/>
      <c r="R923" s="2"/>
    </row>
    <row r="924" spans="1:18">
      <c r="A924" s="2"/>
      <c r="B924" s="2"/>
      <c r="C924" s="2"/>
      <c r="D924" s="2"/>
      <c r="E924" s="2"/>
      <c r="F924" s="2"/>
      <c r="R924" s="2"/>
    </row>
    <row r="925" spans="1:18">
      <c r="A925" s="2"/>
      <c r="B925" s="2"/>
      <c r="C925" s="2"/>
      <c r="D925" s="2"/>
      <c r="E925" s="2"/>
      <c r="F925" s="2"/>
      <c r="R925" s="2"/>
    </row>
    <row r="926" spans="1:18">
      <c r="A926" s="2"/>
      <c r="B926" s="2"/>
      <c r="C926" s="2"/>
      <c r="D926" s="2"/>
      <c r="E926" s="2"/>
      <c r="F926" s="2"/>
      <c r="R926" s="2"/>
    </row>
    <row r="927" spans="1:18">
      <c r="A927" s="2"/>
      <c r="B927" s="2"/>
      <c r="C927" s="2"/>
      <c r="D927" s="2"/>
      <c r="E927" s="2"/>
      <c r="F927" s="2"/>
      <c r="R927" s="2"/>
    </row>
    <row r="928" spans="1:18">
      <c r="A928" s="2"/>
      <c r="B928" s="2"/>
      <c r="C928" s="2"/>
      <c r="D928" s="2"/>
      <c r="E928" s="2"/>
      <c r="F928" s="2"/>
      <c r="R928" s="2"/>
    </row>
    <row r="929" spans="1:18">
      <c r="A929" s="2"/>
      <c r="B929" s="2"/>
      <c r="C929" s="2"/>
      <c r="D929" s="2"/>
      <c r="E929" s="2"/>
      <c r="F929" s="2"/>
      <c r="R929" s="2"/>
    </row>
    <row r="930" spans="1:18">
      <c r="A930" s="2"/>
      <c r="B930" s="2"/>
      <c r="C930" s="2"/>
      <c r="D930" s="2"/>
      <c r="E930" s="2"/>
      <c r="F930" s="2"/>
      <c r="R930" s="2"/>
    </row>
    <row r="931" spans="1:18">
      <c r="A931" s="2"/>
      <c r="B931" s="2"/>
      <c r="C931" s="2"/>
      <c r="D931" s="2"/>
      <c r="E931" s="2"/>
      <c r="F931" s="2"/>
      <c r="R931" s="2"/>
    </row>
    <row r="932" spans="1:18">
      <c r="A932" s="2"/>
      <c r="B932" s="2"/>
      <c r="C932" s="2"/>
      <c r="D932" s="2"/>
      <c r="E932" s="2"/>
      <c r="F932" s="2"/>
      <c r="R932" s="2"/>
    </row>
    <row r="933" spans="1:18">
      <c r="A933" s="2"/>
      <c r="B933" s="2"/>
      <c r="C933" s="2"/>
      <c r="D933" s="2"/>
      <c r="E933" s="2"/>
      <c r="F933" s="2"/>
      <c r="R933" s="2"/>
    </row>
    <row r="934" spans="1:18">
      <c r="A934" s="2"/>
      <c r="B934" s="2"/>
      <c r="C934" s="2"/>
      <c r="D934" s="2"/>
      <c r="E934" s="2"/>
      <c r="F934" s="2"/>
      <c r="R934" s="2"/>
    </row>
    <row r="935" spans="1:18">
      <c r="A935" s="2"/>
      <c r="B935" s="2"/>
      <c r="C935" s="2"/>
      <c r="D935" s="2"/>
      <c r="E935" s="2"/>
      <c r="F935" s="2"/>
      <c r="R935" s="2"/>
    </row>
    <row r="936" spans="1:18">
      <c r="A936" s="2"/>
      <c r="B936" s="2"/>
      <c r="C936" s="2"/>
      <c r="D936" s="2"/>
      <c r="E936" s="2"/>
      <c r="F936" s="2"/>
      <c r="R936" s="2"/>
    </row>
    <row r="937" spans="1:18">
      <c r="A937" s="2"/>
      <c r="B937" s="2"/>
      <c r="C937" s="2"/>
      <c r="D937" s="2"/>
      <c r="E937" s="2"/>
      <c r="F937" s="2"/>
      <c r="R937" s="2"/>
    </row>
    <row r="938" spans="1:18">
      <c r="A938" s="2"/>
      <c r="B938" s="2"/>
      <c r="C938" s="2"/>
      <c r="D938" s="2"/>
      <c r="E938" s="2"/>
      <c r="F938" s="2"/>
      <c r="R938" s="2"/>
    </row>
    <row r="939" spans="1:18">
      <c r="A939" s="2"/>
      <c r="B939" s="2"/>
      <c r="C939" s="2"/>
      <c r="D939" s="2"/>
      <c r="E939" s="2"/>
      <c r="F939" s="2"/>
      <c r="R939" s="2"/>
    </row>
    <row r="940" spans="1:18">
      <c r="A940" s="2"/>
      <c r="B940" s="2"/>
      <c r="C940" s="2"/>
      <c r="D940" s="2"/>
      <c r="E940" s="2"/>
      <c r="F940" s="2"/>
      <c r="R940" s="2"/>
    </row>
    <row r="941" spans="1:18">
      <c r="A941" s="2"/>
      <c r="B941" s="2"/>
      <c r="C941" s="2"/>
      <c r="D941" s="2"/>
      <c r="E941" s="2"/>
      <c r="F941" s="2"/>
      <c r="R941" s="2"/>
    </row>
    <row r="942" spans="1:18">
      <c r="A942" s="2"/>
      <c r="B942" s="2"/>
      <c r="C942" s="2"/>
      <c r="D942" s="2"/>
      <c r="E942" s="2"/>
      <c r="F942" s="2"/>
      <c r="R942" s="2"/>
    </row>
    <row r="943" spans="1:18">
      <c r="A943" s="2"/>
      <c r="B943" s="2"/>
      <c r="C943" s="2"/>
      <c r="D943" s="2"/>
      <c r="E943" s="2"/>
      <c r="F943" s="2"/>
      <c r="R943" s="2"/>
    </row>
    <row r="944" spans="1:18">
      <c r="A944" s="2"/>
      <c r="B944" s="2"/>
      <c r="C944" s="2"/>
      <c r="D944" s="2"/>
      <c r="E944" s="2"/>
      <c r="F944" s="2"/>
      <c r="R944" s="2"/>
    </row>
    <row r="945" spans="1:18">
      <c r="A945" s="2"/>
      <c r="B945" s="2"/>
      <c r="C945" s="2"/>
      <c r="D945" s="2"/>
      <c r="E945" s="2"/>
      <c r="F945" s="2"/>
      <c r="R945" s="2"/>
    </row>
    <row r="946" spans="1:18">
      <c r="A946" s="2"/>
      <c r="B946" s="2"/>
      <c r="C946" s="2"/>
      <c r="D946" s="2"/>
      <c r="E946" s="2"/>
      <c r="F946" s="2"/>
      <c r="R946" s="2"/>
    </row>
    <row r="947" spans="1:18">
      <c r="A947" s="2"/>
      <c r="B947" s="2"/>
      <c r="C947" s="2"/>
      <c r="D947" s="2"/>
      <c r="E947" s="2"/>
      <c r="F947" s="2"/>
      <c r="R947" s="2"/>
    </row>
    <row r="948" spans="1:18">
      <c r="A948" s="2"/>
      <c r="B948" s="2"/>
      <c r="C948" s="2"/>
      <c r="D948" s="2"/>
      <c r="E948" s="2"/>
      <c r="F948" s="2"/>
      <c r="R948" s="2"/>
    </row>
    <row r="949" spans="1:18">
      <c r="A949" s="2"/>
      <c r="B949" s="2"/>
      <c r="C949" s="2"/>
      <c r="D949" s="2"/>
      <c r="E949" s="2"/>
      <c r="F949" s="2"/>
      <c r="R949" s="2"/>
    </row>
    <row r="950" spans="1:18">
      <c r="A950" s="2"/>
      <c r="B950" s="2"/>
      <c r="C950" s="2"/>
      <c r="D950" s="2"/>
      <c r="E950" s="2"/>
      <c r="F950" s="2"/>
      <c r="R950" s="2"/>
    </row>
    <row r="951" spans="1:18">
      <c r="A951" s="2"/>
      <c r="B951" s="2"/>
      <c r="C951" s="2"/>
      <c r="D951" s="2"/>
      <c r="E951" s="2"/>
      <c r="F951" s="2"/>
      <c r="R951" s="2"/>
    </row>
    <row r="952" spans="1:18">
      <c r="A952" s="2"/>
      <c r="B952" s="2"/>
      <c r="C952" s="2"/>
      <c r="D952" s="2"/>
      <c r="E952" s="2"/>
      <c r="F952" s="2"/>
      <c r="R952" s="2"/>
    </row>
    <row r="953" spans="1:18">
      <c r="A953" s="2"/>
      <c r="B953" s="2"/>
      <c r="C953" s="2"/>
      <c r="D953" s="2"/>
      <c r="E953" s="2"/>
      <c r="F953" s="2"/>
      <c r="R953" s="2"/>
    </row>
    <row r="954" spans="1:18">
      <c r="A954" s="2"/>
      <c r="B954" s="2"/>
      <c r="C954" s="2"/>
      <c r="D954" s="2"/>
      <c r="E954" s="2"/>
      <c r="F954" s="2"/>
      <c r="R954" s="2"/>
    </row>
    <row r="955" spans="1:18">
      <c r="A955" s="2"/>
      <c r="B955" s="2"/>
      <c r="C955" s="2"/>
      <c r="D955" s="2"/>
      <c r="E955" s="2"/>
      <c r="F955" s="2"/>
      <c r="R955" s="2"/>
    </row>
    <row r="956" spans="1:18">
      <c r="A956" s="2"/>
      <c r="B956" s="2"/>
      <c r="C956" s="2"/>
      <c r="D956" s="2"/>
      <c r="E956" s="2"/>
      <c r="F956" s="2"/>
      <c r="R956" s="2"/>
    </row>
    <row r="957" spans="1:18">
      <c r="A957" s="2"/>
      <c r="B957" s="2"/>
      <c r="C957" s="2"/>
      <c r="D957" s="2"/>
      <c r="E957" s="2"/>
      <c r="F957" s="2"/>
      <c r="R957" s="2"/>
    </row>
    <row r="958" spans="1:18">
      <c r="A958" s="2"/>
      <c r="B958" s="2"/>
      <c r="C958" s="2"/>
      <c r="D958" s="2"/>
      <c r="E958" s="2"/>
      <c r="F958" s="2"/>
      <c r="R958" s="2"/>
    </row>
    <row r="959" spans="1:18">
      <c r="A959" s="2"/>
      <c r="B959" s="2"/>
      <c r="C959" s="2"/>
      <c r="D959" s="2"/>
      <c r="E959" s="2"/>
      <c r="F959" s="2"/>
      <c r="R959" s="2"/>
    </row>
    <row r="960" spans="1:18">
      <c r="A960" s="2"/>
      <c r="B960" s="2"/>
      <c r="C960" s="2"/>
      <c r="D960" s="2"/>
      <c r="E960" s="2"/>
      <c r="F960" s="2"/>
      <c r="R960" s="2"/>
    </row>
    <row r="961" spans="1:18">
      <c r="A961" s="2"/>
      <c r="B961" s="2"/>
      <c r="C961" s="2"/>
      <c r="D961" s="2"/>
      <c r="E961" s="2"/>
      <c r="F961" s="2"/>
      <c r="R961" s="2"/>
    </row>
    <row r="962" spans="1:18">
      <c r="A962" s="2"/>
      <c r="B962" s="2"/>
      <c r="C962" s="2"/>
      <c r="D962" s="2"/>
      <c r="E962" s="2"/>
      <c r="F962" s="2"/>
      <c r="R962" s="2"/>
    </row>
    <row r="963" spans="1:18">
      <c r="A963" s="2"/>
      <c r="B963" s="2"/>
      <c r="C963" s="2"/>
      <c r="D963" s="2"/>
      <c r="E963" s="2"/>
      <c r="F963" s="2"/>
      <c r="R963" s="2"/>
    </row>
    <row r="964" spans="1:18">
      <c r="A964" s="2"/>
      <c r="B964" s="2"/>
      <c r="C964" s="2"/>
      <c r="D964" s="2"/>
      <c r="E964" s="2"/>
      <c r="F964" s="2"/>
      <c r="R964" s="2"/>
    </row>
    <row r="965" spans="1:18">
      <c r="A965" s="2"/>
      <c r="B965" s="2"/>
      <c r="C965" s="2"/>
      <c r="D965" s="2"/>
      <c r="E965" s="2"/>
      <c r="F965" s="2"/>
      <c r="R965" s="2"/>
    </row>
    <row r="966" spans="1:18">
      <c r="A966" s="2"/>
      <c r="B966" s="2"/>
      <c r="C966" s="2"/>
      <c r="D966" s="2"/>
      <c r="E966" s="2"/>
      <c r="F966" s="2"/>
      <c r="R966" s="2"/>
    </row>
    <row r="967" spans="1:18">
      <c r="A967" s="2"/>
      <c r="B967" s="2"/>
      <c r="C967" s="2"/>
      <c r="D967" s="2"/>
      <c r="E967" s="2"/>
      <c r="F967" s="2"/>
      <c r="R967" s="2"/>
    </row>
    <row r="968" spans="1:18">
      <c r="A968" s="2"/>
      <c r="B968" s="2"/>
      <c r="C968" s="2"/>
      <c r="D968" s="2"/>
      <c r="E968" s="2"/>
      <c r="F968" s="2"/>
      <c r="R968" s="2"/>
    </row>
    <row r="969" spans="1:18">
      <c r="A969" s="2"/>
      <c r="B969" s="2"/>
      <c r="C969" s="2"/>
      <c r="D969" s="2"/>
      <c r="E969" s="2"/>
      <c r="F969" s="2"/>
      <c r="R969" s="2"/>
    </row>
    <row r="970" spans="1:18">
      <c r="A970" s="2"/>
      <c r="B970" s="2"/>
      <c r="C970" s="2"/>
      <c r="D970" s="2"/>
      <c r="E970" s="2"/>
      <c r="F970" s="2"/>
      <c r="R970" s="2"/>
    </row>
    <row r="971" spans="1:18">
      <c r="A971" s="2"/>
      <c r="B971" s="2"/>
      <c r="C971" s="2"/>
      <c r="D971" s="2"/>
      <c r="E971" s="2"/>
      <c r="F971" s="2"/>
      <c r="R971" s="2"/>
    </row>
    <row r="972" spans="1:18">
      <c r="A972" s="2"/>
      <c r="B972" s="2"/>
      <c r="C972" s="2"/>
      <c r="D972" s="2"/>
      <c r="E972" s="2"/>
      <c r="F972" s="2"/>
      <c r="R972" s="2"/>
    </row>
    <row r="973" spans="1:18">
      <c r="A973" s="2"/>
      <c r="B973" s="2"/>
      <c r="C973" s="2"/>
      <c r="D973" s="2"/>
      <c r="E973" s="2"/>
      <c r="F973" s="2"/>
      <c r="R973" s="2"/>
    </row>
    <row r="974" spans="1:18">
      <c r="A974" s="2"/>
      <c r="B974" s="2"/>
      <c r="C974" s="2"/>
      <c r="D974" s="2"/>
      <c r="E974" s="2"/>
      <c r="F974" s="2"/>
      <c r="R974" s="2"/>
    </row>
    <row r="975" spans="1:18">
      <c r="A975" s="2"/>
      <c r="B975" s="2"/>
      <c r="C975" s="2"/>
      <c r="D975" s="2"/>
      <c r="E975" s="2"/>
      <c r="F975" s="2"/>
      <c r="R975" s="2"/>
    </row>
    <row r="976" spans="1:18">
      <c r="A976" s="2"/>
      <c r="B976" s="2"/>
      <c r="C976" s="2"/>
      <c r="D976" s="2"/>
      <c r="E976" s="2"/>
      <c r="F976" s="2"/>
      <c r="R976" s="2"/>
    </row>
    <row r="977" spans="1:18">
      <c r="A977" s="2"/>
      <c r="B977" s="2"/>
      <c r="C977" s="2"/>
      <c r="D977" s="2"/>
      <c r="E977" s="2"/>
      <c r="F977" s="2"/>
      <c r="R977" s="2"/>
    </row>
    <row r="978" spans="1:18">
      <c r="A978" s="2"/>
      <c r="B978" s="2"/>
      <c r="C978" s="2"/>
      <c r="D978" s="2"/>
      <c r="E978" s="2"/>
      <c r="F978" s="2"/>
      <c r="R978" s="2"/>
    </row>
    <row r="979" spans="1:18">
      <c r="A979" s="2"/>
      <c r="B979" s="2"/>
      <c r="C979" s="2"/>
      <c r="D979" s="2"/>
      <c r="E979" s="2"/>
      <c r="F979" s="2"/>
      <c r="R979" s="2"/>
    </row>
    <row r="980" spans="1:18">
      <c r="A980" s="2"/>
      <c r="B980" s="2"/>
      <c r="C980" s="2"/>
      <c r="D980" s="2"/>
      <c r="E980" s="2"/>
      <c r="F980" s="2"/>
      <c r="R980" s="2"/>
    </row>
    <row r="981" spans="1:18">
      <c r="A981" s="2"/>
      <c r="B981" s="2"/>
      <c r="C981" s="2"/>
      <c r="D981" s="2"/>
      <c r="E981" s="2"/>
      <c r="F981" s="2"/>
      <c r="R981" s="2"/>
    </row>
    <row r="982" spans="1:18">
      <c r="A982" s="2"/>
      <c r="B982" s="2"/>
      <c r="C982" s="2"/>
      <c r="D982" s="2"/>
      <c r="E982" s="2"/>
      <c r="F982" s="2"/>
      <c r="R982" s="2"/>
    </row>
    <row r="983" spans="1:18">
      <c r="A983" s="2"/>
      <c r="B983" s="2"/>
      <c r="C983" s="2"/>
      <c r="D983" s="2"/>
      <c r="E983" s="2"/>
      <c r="F983" s="2"/>
      <c r="R983" s="2"/>
    </row>
    <row r="984" spans="1:18">
      <c r="A984" s="2"/>
      <c r="B984" s="2"/>
      <c r="C984" s="2"/>
      <c r="D984" s="2"/>
      <c r="E984" s="2"/>
      <c r="F984" s="2"/>
      <c r="R984" s="2"/>
    </row>
    <row r="985" spans="1:18">
      <c r="A985" s="2"/>
      <c r="B985" s="2"/>
      <c r="C985" s="2"/>
      <c r="D985" s="2"/>
      <c r="E985" s="2"/>
      <c r="F985" s="2"/>
      <c r="R985" s="2"/>
    </row>
    <row r="986" spans="1:18">
      <c r="A986" s="2"/>
      <c r="B986" s="2"/>
      <c r="C986" s="2"/>
      <c r="D986" s="2"/>
      <c r="E986" s="2"/>
      <c r="F986" s="2"/>
      <c r="R986" s="2"/>
    </row>
    <row r="987" spans="1:18">
      <c r="A987" s="2"/>
      <c r="B987" s="2"/>
      <c r="C987" s="2"/>
      <c r="D987" s="2"/>
      <c r="E987" s="2"/>
      <c r="F987" s="2"/>
      <c r="R987" s="2"/>
    </row>
    <row r="988" spans="1:18">
      <c r="A988" s="2"/>
      <c r="B988" s="2"/>
      <c r="C988" s="2"/>
      <c r="D988" s="2"/>
      <c r="E988" s="2"/>
      <c r="F988" s="2"/>
      <c r="R988" s="2"/>
    </row>
    <row r="989" spans="1:18">
      <c r="A989" s="2"/>
      <c r="B989" s="2"/>
      <c r="C989" s="2"/>
      <c r="D989" s="2"/>
      <c r="E989" s="2"/>
      <c r="F989" s="2"/>
      <c r="R989" s="2"/>
    </row>
    <row r="990" spans="1:18">
      <c r="A990" s="2"/>
      <c r="B990" s="2"/>
      <c r="C990" s="2"/>
      <c r="D990" s="2"/>
      <c r="E990" s="2"/>
      <c r="F990" s="2"/>
      <c r="R990" s="2"/>
    </row>
    <row r="991" spans="1:18">
      <c r="A991" s="2"/>
      <c r="B991" s="2"/>
      <c r="C991" s="2"/>
      <c r="D991" s="2"/>
      <c r="E991" s="2"/>
      <c r="F991" s="2"/>
      <c r="R991" s="2"/>
    </row>
    <row r="992" spans="1:18">
      <c r="A992" s="2"/>
      <c r="B992" s="2"/>
      <c r="C992" s="2"/>
      <c r="D992" s="2"/>
      <c r="E992" s="2"/>
      <c r="F992" s="2"/>
      <c r="R992" s="2"/>
    </row>
    <row r="993" spans="1:18">
      <c r="A993" s="2"/>
      <c r="B993" s="2"/>
      <c r="C993" s="2"/>
      <c r="D993" s="2"/>
      <c r="E993" s="2"/>
      <c r="F993" s="2"/>
      <c r="R993" s="2"/>
    </row>
    <row r="994" spans="1:18">
      <c r="A994" s="2"/>
      <c r="B994" s="2"/>
      <c r="C994" s="2"/>
      <c r="D994" s="2"/>
      <c r="E994" s="2"/>
      <c r="F994" s="2"/>
      <c r="R994" s="2"/>
    </row>
    <row r="995" spans="1:18">
      <c r="A995" s="2"/>
      <c r="B995" s="2"/>
      <c r="C995" s="2"/>
      <c r="D995" s="2"/>
      <c r="E995" s="2"/>
      <c r="F995" s="2"/>
      <c r="R995" s="2"/>
    </row>
    <row r="996" spans="1:18">
      <c r="A996" s="2"/>
      <c r="B996" s="2"/>
      <c r="C996" s="2"/>
      <c r="D996" s="2"/>
      <c r="E996" s="2"/>
      <c r="F996" s="2"/>
      <c r="R996" s="2"/>
    </row>
    <row r="997" spans="1:18">
      <c r="A997" s="2"/>
      <c r="B997" s="2"/>
      <c r="C997" s="2"/>
      <c r="D997" s="2"/>
      <c r="E997" s="2"/>
      <c r="F997" s="2"/>
      <c r="R997" s="2"/>
    </row>
    <row r="998" spans="1:18">
      <c r="A998" s="2"/>
      <c r="B998" s="2"/>
      <c r="C998" s="2"/>
      <c r="D998" s="2"/>
      <c r="E998" s="2"/>
      <c r="F998" s="2"/>
      <c r="R998" s="2"/>
    </row>
    <row r="999" spans="1:18">
      <c r="A999" s="2"/>
      <c r="B999" s="2"/>
      <c r="C999" s="2"/>
      <c r="D999" s="2"/>
      <c r="E999" s="2"/>
      <c r="F999" s="2"/>
      <c r="R999" s="2"/>
    </row>
    <row r="1000" spans="1:18">
      <c r="A1000" s="2"/>
      <c r="B1000" s="2"/>
      <c r="C1000" s="2"/>
      <c r="D1000" s="2"/>
      <c r="E1000" s="2"/>
      <c r="F1000" s="2"/>
      <c r="R1000" s="2"/>
    </row>
    <row r="1001" spans="1:18">
      <c r="A1001" s="2"/>
      <c r="B1001" s="2"/>
      <c r="C1001" s="2"/>
      <c r="D1001" s="2"/>
      <c r="E1001" s="2"/>
      <c r="F1001" s="2"/>
      <c r="R1001" s="2"/>
    </row>
    <row r="1002" spans="1:18">
      <c r="A1002" s="2"/>
      <c r="B1002" s="2"/>
      <c r="C1002" s="2"/>
      <c r="D1002" s="2"/>
      <c r="E1002" s="2"/>
      <c r="F1002" s="2"/>
      <c r="R1002" s="2"/>
    </row>
    <row r="1003" spans="1:18">
      <c r="A1003" s="2"/>
      <c r="B1003" s="2"/>
      <c r="C1003" s="2"/>
      <c r="D1003" s="2"/>
      <c r="E1003" s="2"/>
      <c r="F1003" s="2"/>
      <c r="R1003" s="2"/>
    </row>
    <row r="1004" spans="1:18">
      <c r="A1004" s="2"/>
      <c r="B1004" s="2"/>
      <c r="C1004" s="2"/>
      <c r="D1004" s="2"/>
      <c r="E1004" s="2"/>
      <c r="F1004" s="2"/>
      <c r="R1004" s="2"/>
    </row>
    <row r="1005" spans="1:18">
      <c r="A1005" s="2"/>
      <c r="B1005" s="2"/>
      <c r="C1005" s="2"/>
      <c r="D1005" s="2"/>
      <c r="E1005" s="2"/>
      <c r="F1005" s="2"/>
      <c r="R1005" s="2"/>
    </row>
    <row r="1006" spans="1:18">
      <c r="A1006" s="2"/>
      <c r="B1006" s="2"/>
      <c r="C1006" s="2"/>
      <c r="D1006" s="2"/>
      <c r="E1006" s="2"/>
      <c r="F1006" s="2"/>
      <c r="R1006" s="2"/>
    </row>
    <row r="1007" spans="1:18">
      <c r="A1007" s="2"/>
      <c r="B1007" s="2"/>
      <c r="C1007" s="2"/>
      <c r="D1007" s="2"/>
      <c r="E1007" s="2"/>
      <c r="F1007" s="2"/>
      <c r="R1007" s="2"/>
    </row>
    <row r="1008" spans="1:18">
      <c r="A1008" s="2"/>
      <c r="B1008" s="2"/>
      <c r="C1008" s="2"/>
      <c r="D1008" s="2"/>
      <c r="E1008" s="2"/>
      <c r="F1008" s="2"/>
      <c r="R1008" s="2"/>
    </row>
    <row r="1009" spans="1:18">
      <c r="A1009" s="2"/>
      <c r="B1009" s="2"/>
      <c r="C1009" s="2"/>
      <c r="D1009" s="2"/>
      <c r="E1009" s="2"/>
      <c r="F1009" s="2"/>
      <c r="R1009" s="2"/>
    </row>
    <row r="1010" spans="1:18">
      <c r="A1010" s="2"/>
      <c r="B1010" s="2"/>
      <c r="C1010" s="2"/>
      <c r="D1010" s="2"/>
      <c r="E1010" s="2"/>
      <c r="F1010" s="2"/>
      <c r="R1010" s="2"/>
    </row>
    <row r="1011" spans="1:18">
      <c r="A1011" s="2"/>
      <c r="B1011" s="2"/>
      <c r="C1011" s="2"/>
      <c r="D1011" s="2"/>
      <c r="E1011" s="2"/>
      <c r="F1011" s="2"/>
      <c r="R1011" s="2"/>
    </row>
    <row r="1012" spans="1:18">
      <c r="A1012" s="2"/>
      <c r="B1012" s="2"/>
      <c r="C1012" s="2"/>
      <c r="D1012" s="2"/>
      <c r="E1012" s="2"/>
      <c r="F1012" s="2"/>
      <c r="R1012" s="2"/>
    </row>
    <row r="1013" spans="1:18">
      <c r="A1013" s="2"/>
      <c r="B1013" s="2"/>
      <c r="C1013" s="2"/>
      <c r="D1013" s="2"/>
      <c r="E1013" s="2"/>
      <c r="F1013" s="2"/>
      <c r="R1013" s="2"/>
    </row>
    <row r="1014" spans="1:18">
      <c r="A1014" s="2"/>
      <c r="B1014" s="2"/>
      <c r="C1014" s="2"/>
      <c r="D1014" s="2"/>
      <c r="E1014" s="2"/>
      <c r="F1014" s="2"/>
      <c r="R1014" s="2"/>
    </row>
    <row r="1015" spans="1:18">
      <c r="A1015" s="2"/>
      <c r="B1015" s="2"/>
      <c r="C1015" s="2"/>
      <c r="D1015" s="2"/>
      <c r="E1015" s="2"/>
      <c r="F1015" s="2"/>
      <c r="R1015" s="2"/>
    </row>
    <row r="1016" spans="1:18">
      <c r="A1016" s="2"/>
      <c r="B1016" s="2"/>
      <c r="C1016" s="2"/>
      <c r="D1016" s="2"/>
      <c r="E1016" s="2"/>
      <c r="F1016" s="2"/>
      <c r="R1016" s="2"/>
    </row>
    <row r="1017" spans="1:18">
      <c r="A1017" s="2"/>
      <c r="B1017" s="2"/>
      <c r="C1017" s="2"/>
      <c r="D1017" s="2"/>
      <c r="E1017" s="2"/>
      <c r="F1017" s="2"/>
      <c r="R1017" s="2"/>
    </row>
    <row r="1018" spans="1:18">
      <c r="A1018" s="2"/>
      <c r="B1018" s="2"/>
      <c r="C1018" s="2"/>
      <c r="D1018" s="2"/>
      <c r="E1018" s="2"/>
      <c r="F1018" s="2"/>
      <c r="R1018" s="2"/>
    </row>
    <row r="1019" spans="1:18">
      <c r="A1019" s="2"/>
      <c r="B1019" s="2"/>
      <c r="C1019" s="2"/>
      <c r="D1019" s="2"/>
      <c r="E1019" s="2"/>
      <c r="F1019" s="2"/>
      <c r="R1019" s="2"/>
    </row>
    <row r="1020" spans="1:18">
      <c r="A1020" s="2"/>
      <c r="B1020" s="2"/>
      <c r="C1020" s="2"/>
      <c r="D1020" s="2"/>
      <c r="E1020" s="2"/>
      <c r="F1020" s="2"/>
      <c r="R1020" s="2"/>
    </row>
    <row r="1021" spans="1:18">
      <c r="A1021" s="2"/>
      <c r="B1021" s="2"/>
      <c r="C1021" s="2"/>
      <c r="D1021" s="2"/>
      <c r="E1021" s="2"/>
      <c r="F1021" s="2"/>
      <c r="R1021" s="2"/>
    </row>
    <row r="1022" spans="1:18">
      <c r="A1022" s="2"/>
      <c r="B1022" s="2"/>
      <c r="C1022" s="2"/>
      <c r="D1022" s="2"/>
      <c r="E1022" s="2"/>
      <c r="F1022" s="2"/>
      <c r="R1022" s="2"/>
    </row>
    <row r="1023" spans="1:18">
      <c r="A1023" s="2"/>
      <c r="B1023" s="2"/>
      <c r="C1023" s="2"/>
      <c r="D1023" s="2"/>
      <c r="E1023" s="2"/>
      <c r="F1023" s="2"/>
      <c r="R1023" s="2"/>
    </row>
    <row r="1024" spans="1:18">
      <c r="A1024" s="2"/>
      <c r="B1024" s="2"/>
      <c r="C1024" s="2"/>
      <c r="D1024" s="2"/>
      <c r="E1024" s="2"/>
      <c r="F1024" s="2"/>
      <c r="R1024" s="2"/>
    </row>
    <row r="1025" spans="1:18">
      <c r="A1025" s="2"/>
      <c r="B1025" s="2"/>
      <c r="C1025" s="2"/>
      <c r="D1025" s="2"/>
      <c r="E1025" s="2"/>
      <c r="F1025" s="2"/>
      <c r="R1025" s="2"/>
    </row>
    <row r="1026" spans="1:18">
      <c r="A1026" s="2"/>
      <c r="B1026" s="2"/>
      <c r="C1026" s="2"/>
      <c r="D1026" s="2"/>
      <c r="E1026" s="2"/>
      <c r="F1026" s="2"/>
      <c r="R1026" s="2"/>
    </row>
    <row r="1027" spans="1:18">
      <c r="A1027" s="2"/>
      <c r="B1027" s="2"/>
      <c r="C1027" s="2"/>
      <c r="D1027" s="2"/>
      <c r="E1027" s="2"/>
      <c r="F1027" s="2"/>
      <c r="R1027" s="2"/>
    </row>
    <row r="1028" spans="1:18">
      <c r="A1028" s="2"/>
      <c r="B1028" s="2"/>
      <c r="C1028" s="2"/>
      <c r="D1028" s="2"/>
      <c r="E1028" s="2"/>
      <c r="F1028" s="2"/>
      <c r="R1028" s="2"/>
    </row>
    <row r="1029" spans="1:18">
      <c r="A1029" s="2"/>
      <c r="B1029" s="2"/>
      <c r="C1029" s="2"/>
      <c r="D1029" s="2"/>
      <c r="E1029" s="2"/>
      <c r="F1029" s="2"/>
      <c r="R1029" s="2"/>
    </row>
    <row r="1030" spans="1:18">
      <c r="A1030" s="2"/>
      <c r="B1030" s="2"/>
      <c r="C1030" s="2"/>
      <c r="D1030" s="2"/>
      <c r="E1030" s="2"/>
      <c r="F1030" s="2"/>
      <c r="R1030" s="2"/>
    </row>
    <row r="1031" spans="1:18">
      <c r="A1031" s="2"/>
      <c r="B1031" s="2"/>
      <c r="C1031" s="2"/>
      <c r="D1031" s="2"/>
      <c r="E1031" s="2"/>
      <c r="F1031" s="2"/>
      <c r="R1031" s="2"/>
    </row>
    <row r="1032" spans="1:18">
      <c r="A1032" s="2"/>
      <c r="B1032" s="2"/>
      <c r="C1032" s="2"/>
      <c r="D1032" s="2"/>
      <c r="E1032" s="2"/>
      <c r="F1032" s="2"/>
      <c r="R1032" s="2"/>
    </row>
    <row r="1033" spans="1:18">
      <c r="A1033" s="2"/>
      <c r="B1033" s="2"/>
      <c r="C1033" s="2"/>
      <c r="D1033" s="2"/>
      <c r="E1033" s="2"/>
      <c r="F1033" s="2"/>
      <c r="R1033" s="2"/>
    </row>
    <row r="1034" spans="1:18">
      <c r="A1034" s="2"/>
      <c r="B1034" s="2"/>
      <c r="C1034" s="2"/>
      <c r="D1034" s="2"/>
      <c r="E1034" s="2"/>
      <c r="F1034" s="2"/>
      <c r="R1034" s="2"/>
    </row>
    <row r="1035" spans="1:18">
      <c r="A1035" s="2"/>
      <c r="B1035" s="2"/>
      <c r="C1035" s="2"/>
      <c r="D1035" s="2"/>
      <c r="E1035" s="2"/>
      <c r="F1035" s="2"/>
      <c r="R1035" s="2"/>
    </row>
    <row r="1036" spans="1:18">
      <c r="A1036" s="2"/>
      <c r="B1036" s="2"/>
      <c r="C1036" s="2"/>
      <c r="D1036" s="2"/>
      <c r="E1036" s="2"/>
      <c r="F1036" s="2"/>
      <c r="R1036" s="2"/>
    </row>
    <row r="1037" spans="1:18">
      <c r="A1037" s="2"/>
      <c r="B1037" s="2"/>
      <c r="C1037" s="2"/>
      <c r="D1037" s="2"/>
      <c r="E1037" s="2"/>
      <c r="F1037" s="2"/>
      <c r="R1037" s="2"/>
    </row>
    <row r="1038" spans="1:18">
      <c r="A1038" s="2"/>
      <c r="B1038" s="2"/>
      <c r="C1038" s="2"/>
      <c r="D1038" s="2"/>
      <c r="E1038" s="2"/>
      <c r="F1038" s="2"/>
      <c r="R1038" s="2"/>
    </row>
    <row r="1039" spans="1:18">
      <c r="A1039" s="2"/>
      <c r="B1039" s="2"/>
      <c r="C1039" s="2"/>
      <c r="D1039" s="2"/>
      <c r="E1039" s="2"/>
      <c r="F1039" s="2"/>
      <c r="R1039" s="2"/>
    </row>
    <row r="1040" spans="1:18">
      <c r="A1040" s="2"/>
      <c r="B1040" s="2"/>
      <c r="C1040" s="2"/>
      <c r="D1040" s="2"/>
      <c r="E1040" s="2"/>
      <c r="F1040" s="2"/>
      <c r="R1040" s="2"/>
    </row>
    <row r="1041" spans="1:18">
      <c r="A1041" s="2"/>
      <c r="B1041" s="2"/>
      <c r="C1041" s="2"/>
      <c r="D1041" s="2"/>
      <c r="E1041" s="2"/>
      <c r="F1041" s="2"/>
      <c r="R1041" s="2"/>
    </row>
    <row r="1042" spans="1:18">
      <c r="A1042" s="2"/>
      <c r="B1042" s="2"/>
      <c r="C1042" s="2"/>
      <c r="D1042" s="2"/>
      <c r="E1042" s="2"/>
      <c r="F1042" s="2"/>
      <c r="R1042" s="2"/>
    </row>
    <row r="1043" spans="1:18">
      <c r="A1043" s="2"/>
      <c r="B1043" s="2"/>
      <c r="C1043" s="2"/>
      <c r="D1043" s="2"/>
      <c r="E1043" s="2"/>
      <c r="F1043" s="2"/>
      <c r="R1043" s="2"/>
    </row>
    <row r="1044" spans="1:18">
      <c r="A1044" s="2"/>
      <c r="B1044" s="2"/>
      <c r="C1044" s="2"/>
      <c r="D1044" s="2"/>
      <c r="E1044" s="2"/>
      <c r="F1044" s="2"/>
      <c r="R1044" s="2"/>
    </row>
    <row r="1045" spans="1:18">
      <c r="A1045" s="2"/>
      <c r="B1045" s="2"/>
      <c r="C1045" s="2"/>
      <c r="D1045" s="2"/>
      <c r="E1045" s="2"/>
      <c r="F1045" s="2"/>
      <c r="R1045" s="2"/>
    </row>
    <row r="1046" spans="1:18">
      <c r="A1046" s="2"/>
      <c r="B1046" s="2"/>
      <c r="C1046" s="2"/>
      <c r="D1046" s="2"/>
      <c r="E1046" s="2"/>
      <c r="F1046" s="2"/>
      <c r="R1046" s="2"/>
    </row>
    <row r="1047" spans="1:18">
      <c r="A1047" s="2"/>
      <c r="B1047" s="2"/>
      <c r="C1047" s="2"/>
      <c r="D1047" s="2"/>
      <c r="E1047" s="2"/>
      <c r="F1047" s="2"/>
      <c r="R1047" s="2"/>
    </row>
    <row r="1048" spans="1:18">
      <c r="A1048" s="2"/>
      <c r="B1048" s="2"/>
      <c r="C1048" s="2"/>
      <c r="D1048" s="2"/>
      <c r="E1048" s="2"/>
      <c r="F1048" s="2"/>
      <c r="R1048" s="2"/>
    </row>
    <row r="1049" spans="1:18">
      <c r="A1049" s="2"/>
      <c r="B1049" s="2"/>
      <c r="C1049" s="2"/>
      <c r="D1049" s="2"/>
      <c r="E1049" s="2"/>
      <c r="F1049" s="2"/>
      <c r="R1049" s="2"/>
    </row>
    <row r="1050" spans="1:18">
      <c r="A1050" s="2"/>
      <c r="B1050" s="2"/>
      <c r="C1050" s="2"/>
      <c r="D1050" s="2"/>
      <c r="E1050" s="2"/>
      <c r="F1050" s="2"/>
      <c r="R1050" s="2"/>
    </row>
    <row r="1051" spans="1:18">
      <c r="A1051" s="2"/>
      <c r="B1051" s="2"/>
      <c r="C1051" s="2"/>
      <c r="D1051" s="2"/>
      <c r="E1051" s="2"/>
      <c r="F1051" s="2"/>
      <c r="R1051" s="2"/>
    </row>
    <row r="1052" spans="1:18">
      <c r="A1052" s="2"/>
      <c r="B1052" s="2"/>
      <c r="C1052" s="2"/>
      <c r="D1052" s="2"/>
      <c r="E1052" s="2"/>
      <c r="F1052" s="2"/>
      <c r="R1052" s="2"/>
    </row>
    <row r="1053" spans="1:18">
      <c r="A1053" s="2"/>
      <c r="B1053" s="2"/>
      <c r="C1053" s="2"/>
      <c r="D1053" s="2"/>
      <c r="E1053" s="2"/>
      <c r="F1053" s="2"/>
      <c r="R1053" s="2"/>
    </row>
    <row r="1054" spans="1:18">
      <c r="A1054" s="2"/>
      <c r="B1054" s="2"/>
      <c r="C1054" s="2"/>
      <c r="D1054" s="2"/>
      <c r="E1054" s="2"/>
      <c r="F1054" s="2"/>
      <c r="R1054" s="2"/>
    </row>
    <row r="1055" spans="1:18">
      <c r="A1055" s="2"/>
      <c r="B1055" s="2"/>
      <c r="C1055" s="2"/>
      <c r="D1055" s="2"/>
      <c r="E1055" s="2"/>
      <c r="F1055" s="2"/>
      <c r="R1055" s="2"/>
    </row>
    <row r="1056" spans="1:18">
      <c r="A1056" s="2"/>
      <c r="B1056" s="2"/>
      <c r="C1056" s="2"/>
      <c r="D1056" s="2"/>
      <c r="E1056" s="2"/>
      <c r="F1056" s="2"/>
      <c r="R1056" s="2"/>
    </row>
    <row r="1057" spans="1:18">
      <c r="A1057" s="2"/>
      <c r="B1057" s="2"/>
      <c r="C1057" s="2"/>
      <c r="D1057" s="2"/>
      <c r="E1057" s="2"/>
      <c r="F1057" s="2"/>
      <c r="R1057" s="2"/>
    </row>
    <row r="1058" spans="1:18">
      <c r="A1058" s="2"/>
      <c r="B1058" s="2"/>
      <c r="C1058" s="2"/>
      <c r="D1058" s="2"/>
      <c r="E1058" s="2"/>
      <c r="F1058" s="2"/>
      <c r="R1058" s="2"/>
    </row>
    <row r="1059" spans="1:18">
      <c r="A1059" s="2"/>
      <c r="B1059" s="2"/>
      <c r="C1059" s="2"/>
      <c r="D1059" s="2"/>
      <c r="E1059" s="2"/>
      <c r="F1059" s="2"/>
      <c r="R1059" s="2"/>
    </row>
    <row r="1060" spans="1:18">
      <c r="A1060" s="2"/>
      <c r="B1060" s="2"/>
      <c r="C1060" s="2"/>
      <c r="D1060" s="2"/>
      <c r="E1060" s="2"/>
      <c r="F1060" s="2"/>
      <c r="R1060" s="2"/>
    </row>
    <row r="1061" spans="1:18">
      <c r="A1061" s="2"/>
      <c r="B1061" s="2"/>
      <c r="C1061" s="2"/>
      <c r="D1061" s="2"/>
      <c r="E1061" s="2"/>
      <c r="F1061" s="2"/>
      <c r="R1061" s="2"/>
    </row>
    <row r="1062" spans="1:18">
      <c r="A1062" s="2"/>
      <c r="B1062" s="2"/>
      <c r="C1062" s="2"/>
      <c r="D1062" s="2"/>
      <c r="E1062" s="2"/>
      <c r="F1062" s="2"/>
      <c r="R1062" s="2"/>
    </row>
    <row r="1063" spans="1:18">
      <c r="A1063" s="2"/>
      <c r="B1063" s="2"/>
      <c r="C1063" s="2"/>
      <c r="D1063" s="2"/>
      <c r="E1063" s="2"/>
      <c r="F1063" s="2"/>
      <c r="R1063" s="2"/>
    </row>
    <row r="1064" spans="1:18">
      <c r="A1064" s="2"/>
      <c r="B1064" s="2"/>
      <c r="C1064" s="2"/>
      <c r="D1064" s="2"/>
      <c r="E1064" s="2"/>
      <c r="F1064" s="2"/>
      <c r="R1064" s="2"/>
    </row>
    <row r="1065" spans="1:18">
      <c r="A1065" s="2"/>
      <c r="B1065" s="2"/>
      <c r="C1065" s="2"/>
      <c r="D1065" s="2"/>
      <c r="E1065" s="2"/>
      <c r="F1065" s="2"/>
      <c r="R1065" s="2"/>
    </row>
    <row r="1066" spans="1:18">
      <c r="A1066" s="2"/>
      <c r="B1066" s="2"/>
      <c r="C1066" s="2"/>
      <c r="D1066" s="2"/>
      <c r="E1066" s="2"/>
      <c r="F1066" s="2"/>
      <c r="R1066" s="2"/>
    </row>
    <row r="1067" spans="1:18">
      <c r="A1067" s="2"/>
      <c r="B1067" s="2"/>
      <c r="C1067" s="2"/>
      <c r="D1067" s="2"/>
      <c r="E1067" s="2"/>
      <c r="F1067" s="2"/>
      <c r="R1067" s="2"/>
    </row>
    <row r="1068" spans="1:18">
      <c r="A1068" s="2"/>
      <c r="B1068" s="2"/>
      <c r="C1068" s="2"/>
      <c r="D1068" s="2"/>
      <c r="E1068" s="2"/>
      <c r="F1068" s="2"/>
      <c r="R1068" s="2"/>
    </row>
    <row r="1069" spans="1:18">
      <c r="A1069" s="2"/>
      <c r="B1069" s="2"/>
      <c r="C1069" s="2"/>
      <c r="D1069" s="2"/>
      <c r="E1069" s="2"/>
      <c r="F1069" s="2"/>
      <c r="R1069" s="2"/>
    </row>
    <row r="1070" spans="1:18">
      <c r="A1070" s="2"/>
      <c r="B1070" s="2"/>
      <c r="C1070" s="2"/>
      <c r="D1070" s="2"/>
      <c r="E1070" s="2"/>
      <c r="F1070" s="2"/>
      <c r="R1070" s="2"/>
    </row>
    <row r="1071" spans="1:18">
      <c r="A1071" s="2"/>
      <c r="B1071" s="2"/>
      <c r="C1071" s="2"/>
      <c r="D1071" s="2"/>
      <c r="E1071" s="2"/>
      <c r="F1071" s="2"/>
      <c r="R1071" s="2"/>
    </row>
    <row r="1072" spans="1:18">
      <c r="A1072" s="2"/>
      <c r="B1072" s="2"/>
      <c r="C1072" s="2"/>
      <c r="D1072" s="2"/>
      <c r="E1072" s="2"/>
      <c r="F1072" s="2"/>
      <c r="R1072" s="2"/>
    </row>
    <row r="1073" spans="1:18">
      <c r="A1073" s="2"/>
      <c r="B1073" s="2"/>
      <c r="C1073" s="2"/>
      <c r="D1073" s="2"/>
      <c r="E1073" s="2"/>
      <c r="F1073" s="2"/>
      <c r="R1073" s="2"/>
    </row>
    <row r="1074" spans="1:18">
      <c r="A1074" s="2"/>
      <c r="B1074" s="2"/>
      <c r="C1074" s="2"/>
      <c r="D1074" s="2"/>
      <c r="E1074" s="2"/>
      <c r="F1074" s="2"/>
      <c r="R1074" s="2"/>
    </row>
    <row r="1075" spans="1:18">
      <c r="A1075" s="2"/>
      <c r="B1075" s="2"/>
      <c r="C1075" s="2"/>
      <c r="D1075" s="2"/>
      <c r="E1075" s="2"/>
      <c r="F1075" s="2"/>
      <c r="R1075" s="2"/>
    </row>
    <row r="1076" spans="1:18">
      <c r="A1076" s="2"/>
      <c r="B1076" s="2"/>
      <c r="C1076" s="2"/>
      <c r="D1076" s="2"/>
      <c r="E1076" s="2"/>
      <c r="F1076" s="2"/>
      <c r="R1076" s="2"/>
    </row>
    <row r="1077" spans="1:18">
      <c r="A1077" s="2"/>
      <c r="B1077" s="2"/>
      <c r="C1077" s="2"/>
      <c r="D1077" s="2"/>
      <c r="E1077" s="2"/>
      <c r="F1077" s="2"/>
      <c r="R1077" s="2"/>
    </row>
    <row r="1078" spans="1:18">
      <c r="A1078" s="2"/>
      <c r="B1078" s="2"/>
      <c r="C1078" s="2"/>
      <c r="D1078" s="2"/>
      <c r="E1078" s="2"/>
      <c r="F1078" s="2"/>
      <c r="R1078" s="2"/>
    </row>
    <row r="1079" spans="1:18">
      <c r="A1079" s="2"/>
      <c r="B1079" s="2"/>
      <c r="C1079" s="2"/>
      <c r="D1079" s="2"/>
      <c r="E1079" s="2"/>
      <c r="F1079" s="2"/>
      <c r="R1079" s="2"/>
    </row>
    <row r="1080" spans="1:18">
      <c r="A1080" s="2"/>
      <c r="B1080" s="2"/>
      <c r="C1080" s="2"/>
      <c r="D1080" s="2"/>
      <c r="E1080" s="2"/>
      <c r="F1080" s="2"/>
      <c r="R1080" s="2"/>
    </row>
    <row r="1081" spans="1:18">
      <c r="A1081" s="2"/>
      <c r="B1081" s="2"/>
      <c r="C1081" s="2"/>
      <c r="D1081" s="2"/>
      <c r="E1081" s="2"/>
      <c r="F1081" s="2"/>
      <c r="R1081" s="2"/>
    </row>
    <row r="1082" spans="1:18">
      <c r="A1082" s="2"/>
      <c r="B1082" s="2"/>
      <c r="C1082" s="2"/>
      <c r="D1082" s="2"/>
      <c r="E1082" s="2"/>
      <c r="F1082" s="2"/>
      <c r="R1082" s="2"/>
    </row>
    <row r="1083" spans="1:18">
      <c r="A1083" s="2"/>
      <c r="B1083" s="2"/>
      <c r="C1083" s="2"/>
      <c r="D1083" s="2"/>
      <c r="E1083" s="2"/>
      <c r="F1083" s="2"/>
      <c r="R1083" s="2"/>
    </row>
    <row r="1084" spans="1:18">
      <c r="A1084" s="2"/>
      <c r="B1084" s="2"/>
      <c r="C1084" s="2"/>
      <c r="D1084" s="2"/>
      <c r="E1084" s="2"/>
      <c r="F1084" s="2"/>
      <c r="R1084" s="2"/>
    </row>
    <row r="1085" spans="1:18">
      <c r="A1085" s="2"/>
      <c r="B1085" s="2"/>
      <c r="C1085" s="2"/>
      <c r="D1085" s="2"/>
      <c r="E1085" s="2"/>
      <c r="F1085" s="2"/>
      <c r="R1085" s="2"/>
    </row>
    <row r="1086" spans="1:18">
      <c r="A1086" s="2"/>
      <c r="B1086" s="2"/>
      <c r="C1086" s="2"/>
      <c r="D1086" s="2"/>
      <c r="E1086" s="2"/>
      <c r="F1086" s="2"/>
      <c r="R1086" s="2"/>
    </row>
    <row r="1087" spans="1:18">
      <c r="A1087" s="2"/>
      <c r="B1087" s="2"/>
      <c r="C1087" s="2"/>
      <c r="D1087" s="2"/>
      <c r="E1087" s="2"/>
      <c r="F1087" s="2"/>
      <c r="R1087" s="2"/>
    </row>
    <row r="1088" spans="1:18">
      <c r="A1088" s="2"/>
      <c r="B1088" s="2"/>
      <c r="C1088" s="2"/>
      <c r="D1088" s="2"/>
      <c r="E1088" s="2"/>
      <c r="F1088" s="2"/>
      <c r="R1088" s="2"/>
    </row>
    <row r="1089" spans="1:18">
      <c r="A1089" s="2"/>
      <c r="B1089" s="2"/>
      <c r="C1089" s="2"/>
      <c r="D1089" s="2"/>
      <c r="E1089" s="2"/>
      <c r="F1089" s="2"/>
      <c r="R1089" s="2"/>
    </row>
    <row r="1090" spans="1:18">
      <c r="A1090" s="2"/>
      <c r="B1090" s="2"/>
      <c r="C1090" s="2"/>
      <c r="D1090" s="2"/>
      <c r="E1090" s="2"/>
      <c r="F1090" s="2"/>
      <c r="R1090" s="2"/>
    </row>
    <row r="1091" spans="1:18">
      <c r="A1091" s="2"/>
      <c r="B1091" s="2"/>
      <c r="C1091" s="2"/>
      <c r="D1091" s="2"/>
      <c r="E1091" s="2"/>
      <c r="F1091" s="2"/>
      <c r="R1091" s="2"/>
    </row>
    <row r="1092" spans="1:18">
      <c r="A1092" s="2"/>
      <c r="B1092" s="2"/>
      <c r="C1092" s="2"/>
      <c r="D1092" s="2"/>
      <c r="E1092" s="2"/>
      <c r="F1092" s="2"/>
      <c r="R1092" s="2"/>
    </row>
    <row r="1093" spans="1:18">
      <c r="A1093" s="2"/>
      <c r="B1093" s="2"/>
      <c r="C1093" s="2"/>
      <c r="D1093" s="2"/>
      <c r="E1093" s="2"/>
      <c r="F1093" s="2"/>
      <c r="R1093" s="2"/>
    </row>
    <row r="1094" spans="1:18">
      <c r="A1094" s="2"/>
      <c r="B1094" s="2"/>
      <c r="C1094" s="2"/>
      <c r="D1094" s="2"/>
      <c r="E1094" s="2"/>
      <c r="F1094" s="2"/>
      <c r="R1094" s="2"/>
    </row>
    <row r="1095" spans="1:18">
      <c r="A1095" s="2"/>
      <c r="B1095" s="2"/>
      <c r="C1095" s="2"/>
      <c r="D1095" s="2"/>
      <c r="E1095" s="2"/>
      <c r="F1095" s="2"/>
      <c r="R1095" s="2"/>
    </row>
    <row r="1096" spans="1:18">
      <c r="A1096" s="2"/>
      <c r="B1096" s="2"/>
      <c r="C1096" s="2"/>
      <c r="D1096" s="2"/>
      <c r="E1096" s="2"/>
      <c r="F1096" s="2"/>
      <c r="R1096" s="2"/>
    </row>
    <row r="1097" spans="1:18">
      <c r="A1097" s="2"/>
      <c r="B1097" s="2"/>
      <c r="C1097" s="2"/>
      <c r="D1097" s="2"/>
      <c r="E1097" s="2"/>
      <c r="F1097" s="2"/>
      <c r="R1097" s="2"/>
    </row>
    <row r="1098" spans="1:18">
      <c r="A1098" s="2"/>
      <c r="B1098" s="2"/>
      <c r="C1098" s="2"/>
      <c r="D1098" s="2"/>
      <c r="E1098" s="2"/>
      <c r="F1098" s="2"/>
      <c r="R1098" s="2"/>
    </row>
    <row r="1099" spans="1:18">
      <c r="A1099" s="2"/>
      <c r="B1099" s="2"/>
      <c r="C1099" s="2"/>
      <c r="D1099" s="2"/>
      <c r="E1099" s="2"/>
      <c r="F1099" s="2"/>
      <c r="R1099" s="2"/>
    </row>
    <row r="1100" spans="1:18">
      <c r="A1100" s="2"/>
      <c r="B1100" s="2"/>
      <c r="C1100" s="2"/>
      <c r="D1100" s="2"/>
      <c r="E1100" s="2"/>
      <c r="F1100" s="2"/>
      <c r="R1100" s="2"/>
    </row>
    <row r="1101" spans="1:18">
      <c r="A1101" s="2"/>
      <c r="B1101" s="2"/>
      <c r="C1101" s="2"/>
      <c r="D1101" s="2"/>
      <c r="E1101" s="2"/>
      <c r="F1101" s="2"/>
      <c r="R1101" s="2"/>
    </row>
    <row r="1102" spans="1:18">
      <c r="A1102" s="2"/>
      <c r="B1102" s="2"/>
      <c r="C1102" s="2"/>
      <c r="D1102" s="2"/>
      <c r="E1102" s="2"/>
      <c r="F1102" s="2"/>
      <c r="R1102" s="2"/>
    </row>
    <row r="1103" spans="1:18">
      <c r="A1103" s="2"/>
      <c r="B1103" s="2"/>
      <c r="C1103" s="2"/>
      <c r="D1103" s="2"/>
      <c r="E1103" s="2"/>
      <c r="F1103" s="2"/>
      <c r="R1103" s="2"/>
    </row>
    <row r="1104" spans="1:18">
      <c r="A1104" s="2"/>
      <c r="B1104" s="2"/>
      <c r="C1104" s="2"/>
      <c r="D1104" s="2"/>
      <c r="E1104" s="2"/>
      <c r="F1104" s="2"/>
      <c r="R1104" s="2"/>
    </row>
    <row r="1105" spans="1:18">
      <c r="A1105" s="2"/>
      <c r="B1105" s="2"/>
      <c r="C1105" s="2"/>
      <c r="D1105" s="2"/>
      <c r="E1105" s="2"/>
      <c r="F1105" s="2"/>
      <c r="R1105" s="2"/>
    </row>
    <row r="1106" spans="1:18">
      <c r="A1106" s="2"/>
      <c r="B1106" s="2"/>
      <c r="C1106" s="2"/>
      <c r="D1106" s="2"/>
      <c r="E1106" s="2"/>
      <c r="F1106" s="2"/>
      <c r="R1106" s="2"/>
    </row>
    <row r="1107" spans="1:18">
      <c r="A1107" s="2"/>
      <c r="B1107" s="2"/>
      <c r="C1107" s="2"/>
      <c r="D1107" s="2"/>
      <c r="E1107" s="2"/>
      <c r="F1107" s="2"/>
      <c r="R1107" s="2"/>
    </row>
    <row r="1108" spans="1:18">
      <c r="A1108" s="2"/>
      <c r="B1108" s="2"/>
      <c r="C1108" s="2"/>
      <c r="D1108" s="2"/>
      <c r="E1108" s="2"/>
      <c r="F1108" s="2"/>
      <c r="R1108" s="2"/>
    </row>
    <row r="1109" spans="1:18">
      <c r="A1109" s="2"/>
      <c r="B1109" s="2"/>
      <c r="C1109" s="2"/>
      <c r="D1109" s="2"/>
      <c r="E1109" s="2"/>
      <c r="F1109" s="2"/>
      <c r="R1109" s="2"/>
    </row>
    <row r="1110" spans="1:18">
      <c r="A1110" s="2"/>
      <c r="B1110" s="2"/>
      <c r="C1110" s="2"/>
      <c r="D1110" s="2"/>
      <c r="E1110" s="2"/>
      <c r="F1110" s="2"/>
      <c r="R1110" s="2"/>
    </row>
    <row r="1111" spans="1:18">
      <c r="A1111" s="2"/>
      <c r="B1111" s="2"/>
      <c r="C1111" s="2"/>
      <c r="D1111" s="2"/>
      <c r="E1111" s="2"/>
      <c r="F1111" s="2"/>
      <c r="R1111" s="2"/>
    </row>
    <row r="1112" spans="1:18">
      <c r="A1112" s="2"/>
      <c r="B1112" s="2"/>
      <c r="C1112" s="2"/>
      <c r="D1112" s="2"/>
      <c r="E1112" s="2"/>
      <c r="F1112" s="2"/>
      <c r="R1112" s="2"/>
    </row>
    <row r="1113" spans="1:18">
      <c r="A1113" s="2"/>
      <c r="B1113" s="2"/>
      <c r="C1113" s="2"/>
      <c r="D1113" s="2"/>
      <c r="E1113" s="2"/>
      <c r="F1113" s="2"/>
      <c r="R1113" s="2"/>
    </row>
    <row r="1114" spans="1:18">
      <c r="A1114" s="2"/>
      <c r="B1114" s="2"/>
      <c r="C1114" s="2"/>
      <c r="D1114" s="2"/>
      <c r="E1114" s="2"/>
      <c r="F1114" s="2"/>
      <c r="R1114" s="2"/>
    </row>
    <row r="1115" spans="1:18">
      <c r="A1115" s="2"/>
      <c r="B1115" s="2"/>
      <c r="C1115" s="2"/>
      <c r="D1115" s="2"/>
      <c r="E1115" s="2"/>
      <c r="F1115" s="2"/>
      <c r="R1115" s="2"/>
    </row>
    <row r="1116" spans="1:18">
      <c r="A1116" s="2"/>
      <c r="B1116" s="2"/>
      <c r="C1116" s="2"/>
      <c r="D1116" s="2"/>
      <c r="E1116" s="2"/>
      <c r="F1116" s="2"/>
      <c r="R1116" s="2"/>
    </row>
    <row r="1117" spans="1:18">
      <c r="A1117" s="2"/>
      <c r="B1117" s="2"/>
      <c r="C1117" s="2"/>
      <c r="D1117" s="2"/>
      <c r="E1117" s="2"/>
      <c r="F1117" s="2"/>
      <c r="R1117" s="2"/>
    </row>
  </sheetData>
  <mergeCells count="24">
    <mergeCell ref="F221:O221"/>
    <mergeCell ref="S73:S81"/>
    <mergeCell ref="F112:H113"/>
    <mergeCell ref="A118:A119"/>
    <mergeCell ref="A149:A150"/>
    <mergeCell ref="F215:O215"/>
    <mergeCell ref="F216:O216"/>
    <mergeCell ref="F217:O217"/>
    <mergeCell ref="F218:O218"/>
    <mergeCell ref="F219:O219"/>
    <mergeCell ref="F220:O220"/>
    <mergeCell ref="J214:O214"/>
    <mergeCell ref="S30:S44"/>
    <mergeCell ref="A52:S52"/>
    <mergeCell ref="B53:K54"/>
    <mergeCell ref="R53:R55"/>
    <mergeCell ref="S53:S55"/>
    <mergeCell ref="L53:Q54"/>
    <mergeCell ref="A5:S5"/>
    <mergeCell ref="A7:S7"/>
    <mergeCell ref="B8:K9"/>
    <mergeCell ref="R8:R10"/>
    <mergeCell ref="S8:S10"/>
    <mergeCell ref="L8:Q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27" orientation="landscape" useFirstPageNumber="1" r:id="rId1"/>
  <headerFooter alignWithMargins="0">
    <oddHeader>&amp;C&amp;"Arial,Kursywa"Wieloletnia prognoza finansowa Województwa Zachodniopomorskiego na lata 2015 - 2038 
____________________________________________________________________________________________________________________</oddHeader>
    <oddFooter>&amp;C&amp;8&amp;P</oddFooter>
  </headerFooter>
  <rowBreaks count="2" manualBreakCount="2">
    <brk id="51" max="15" man="1"/>
    <brk id="9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49"/>
  <sheetViews>
    <sheetView showGridLines="0" zoomScaleNormal="100" zoomScaleSheetLayoutView="100" workbookViewId="0">
      <selection activeCell="W19" sqref="W19"/>
    </sheetView>
  </sheetViews>
  <sheetFormatPr defaultRowHeight="11.25"/>
  <cols>
    <col min="1" max="1" width="2.85546875" style="1599" customWidth="1"/>
    <col min="2" max="2" width="60.85546875" style="1600" customWidth="1"/>
    <col min="3" max="3" width="10.5703125" style="1600" customWidth="1"/>
    <col min="4" max="4" width="14.42578125" style="1600" customWidth="1"/>
    <col min="5" max="5" width="10.140625" style="1600" hidden="1" customWidth="1"/>
    <col min="6" max="8" width="11.5703125" style="1600" hidden="1" customWidth="1"/>
    <col min="9" max="9" width="6" style="1600" hidden="1" customWidth="1"/>
    <col min="10" max="10" width="9.5703125" style="1600" hidden="1" customWidth="1"/>
    <col min="11" max="11" width="9.85546875" style="1600" hidden="1" customWidth="1"/>
    <col min="12" max="12" width="9.7109375" style="1600" hidden="1" customWidth="1"/>
    <col min="13" max="13" width="9.7109375" style="1600" customWidth="1"/>
    <col min="14" max="14" width="9.5703125" style="1600" customWidth="1"/>
    <col min="15" max="15" width="11.140625" style="1600" customWidth="1"/>
    <col min="16" max="16" width="9.28515625" style="1655" customWidth="1"/>
    <col min="17" max="19" width="9.28515625" style="1653" customWidth="1"/>
    <col min="20" max="20" width="9.85546875" style="1653" customWidth="1"/>
    <col min="21" max="21" width="11.42578125" style="1653" customWidth="1"/>
    <col min="22" max="22" width="14.5703125" style="1656" customWidth="1"/>
    <col min="23" max="23" width="11.85546875" style="1600" customWidth="1"/>
    <col min="24" max="258" width="9.140625" style="1600"/>
    <col min="259" max="259" width="2.85546875" style="1600" customWidth="1"/>
    <col min="260" max="260" width="50.7109375" style="1600" customWidth="1"/>
    <col min="261" max="261" width="9.42578125" style="1600" customWidth="1"/>
    <col min="262" max="262" width="11.85546875" style="1600" customWidth="1"/>
    <col min="263" max="263" width="8.42578125" style="1600" bestFit="1" customWidth="1"/>
    <col min="264" max="266" width="0" style="1600" hidden="1" customWidth="1"/>
    <col min="267" max="267" width="6" style="1600" bestFit="1" customWidth="1"/>
    <col min="268" max="268" width="9.5703125" style="1600" customWidth="1"/>
    <col min="269" max="269" width="9.85546875" style="1600" customWidth="1"/>
    <col min="270" max="270" width="9.7109375" style="1600" customWidth="1"/>
    <col min="271" max="271" width="9.5703125" style="1600" customWidth="1"/>
    <col min="272" max="272" width="9.85546875" style="1600" customWidth="1"/>
    <col min="273" max="273" width="6.5703125" style="1600" customWidth="1"/>
    <col min="274" max="274" width="6" style="1600" bestFit="1" customWidth="1"/>
    <col min="275" max="275" width="6.28515625" style="1600" customWidth="1"/>
    <col min="276" max="276" width="11.7109375" style="1600" customWidth="1"/>
    <col min="277" max="277" width="0" style="1600" hidden="1" customWidth="1"/>
    <col min="278" max="278" width="14.5703125" style="1600" customWidth="1"/>
    <col min="279" max="279" width="11.85546875" style="1600" customWidth="1"/>
    <col min="280" max="514" width="9.140625" style="1600"/>
    <col min="515" max="515" width="2.85546875" style="1600" customWidth="1"/>
    <col min="516" max="516" width="50.7109375" style="1600" customWidth="1"/>
    <col min="517" max="517" width="9.42578125" style="1600" customWidth="1"/>
    <col min="518" max="518" width="11.85546875" style="1600" customWidth="1"/>
    <col min="519" max="519" width="8.42578125" style="1600" bestFit="1" customWidth="1"/>
    <col min="520" max="522" width="0" style="1600" hidden="1" customWidth="1"/>
    <col min="523" max="523" width="6" style="1600" bestFit="1" customWidth="1"/>
    <col min="524" max="524" width="9.5703125" style="1600" customWidth="1"/>
    <col min="525" max="525" width="9.85546875" style="1600" customWidth="1"/>
    <col min="526" max="526" width="9.7109375" style="1600" customWidth="1"/>
    <col min="527" max="527" width="9.5703125" style="1600" customWidth="1"/>
    <col min="528" max="528" width="9.85546875" style="1600" customWidth="1"/>
    <col min="529" max="529" width="6.5703125" style="1600" customWidth="1"/>
    <col min="530" max="530" width="6" style="1600" bestFit="1" customWidth="1"/>
    <col min="531" max="531" width="6.28515625" style="1600" customWidth="1"/>
    <col min="532" max="532" width="11.7109375" style="1600" customWidth="1"/>
    <col min="533" max="533" width="0" style="1600" hidden="1" customWidth="1"/>
    <col min="534" max="534" width="14.5703125" style="1600" customWidth="1"/>
    <col min="535" max="535" width="11.85546875" style="1600" customWidth="1"/>
    <col min="536" max="770" width="9.140625" style="1600"/>
    <col min="771" max="771" width="2.85546875" style="1600" customWidth="1"/>
    <col min="772" max="772" width="50.7109375" style="1600" customWidth="1"/>
    <col min="773" max="773" width="9.42578125" style="1600" customWidth="1"/>
    <col min="774" max="774" width="11.85546875" style="1600" customWidth="1"/>
    <col min="775" max="775" width="8.42578125" style="1600" bestFit="1" customWidth="1"/>
    <col min="776" max="778" width="0" style="1600" hidden="1" customWidth="1"/>
    <col min="779" max="779" width="6" style="1600" bestFit="1" customWidth="1"/>
    <col min="780" max="780" width="9.5703125" style="1600" customWidth="1"/>
    <col min="781" max="781" width="9.85546875" style="1600" customWidth="1"/>
    <col min="782" max="782" width="9.7109375" style="1600" customWidth="1"/>
    <col min="783" max="783" width="9.5703125" style="1600" customWidth="1"/>
    <col min="784" max="784" width="9.85546875" style="1600" customWidth="1"/>
    <col min="785" max="785" width="6.5703125" style="1600" customWidth="1"/>
    <col min="786" max="786" width="6" style="1600" bestFit="1" customWidth="1"/>
    <col min="787" max="787" width="6.28515625" style="1600" customWidth="1"/>
    <col min="788" max="788" width="11.7109375" style="1600" customWidth="1"/>
    <col min="789" max="789" width="0" style="1600" hidden="1" customWidth="1"/>
    <col min="790" max="790" width="14.5703125" style="1600" customWidth="1"/>
    <col min="791" max="791" width="11.85546875" style="1600" customWidth="1"/>
    <col min="792" max="1026" width="9.140625" style="1600"/>
    <col min="1027" max="1027" width="2.85546875" style="1600" customWidth="1"/>
    <col min="1028" max="1028" width="50.7109375" style="1600" customWidth="1"/>
    <col min="1029" max="1029" width="9.42578125" style="1600" customWidth="1"/>
    <col min="1030" max="1030" width="11.85546875" style="1600" customWidth="1"/>
    <col min="1031" max="1031" width="8.42578125" style="1600" bestFit="1" customWidth="1"/>
    <col min="1032" max="1034" width="0" style="1600" hidden="1" customWidth="1"/>
    <col min="1035" max="1035" width="6" style="1600" bestFit="1" customWidth="1"/>
    <col min="1036" max="1036" width="9.5703125" style="1600" customWidth="1"/>
    <col min="1037" max="1037" width="9.85546875" style="1600" customWidth="1"/>
    <col min="1038" max="1038" width="9.7109375" style="1600" customWidth="1"/>
    <col min="1039" max="1039" width="9.5703125" style="1600" customWidth="1"/>
    <col min="1040" max="1040" width="9.85546875" style="1600" customWidth="1"/>
    <col min="1041" max="1041" width="6.5703125" style="1600" customWidth="1"/>
    <col min="1042" max="1042" width="6" style="1600" bestFit="1" customWidth="1"/>
    <col min="1043" max="1043" width="6.28515625" style="1600" customWidth="1"/>
    <col min="1044" max="1044" width="11.7109375" style="1600" customWidth="1"/>
    <col min="1045" max="1045" width="0" style="1600" hidden="1" customWidth="1"/>
    <col min="1046" max="1046" width="14.5703125" style="1600" customWidth="1"/>
    <col min="1047" max="1047" width="11.85546875" style="1600" customWidth="1"/>
    <col min="1048" max="1282" width="9.140625" style="1600"/>
    <col min="1283" max="1283" width="2.85546875" style="1600" customWidth="1"/>
    <col min="1284" max="1284" width="50.7109375" style="1600" customWidth="1"/>
    <col min="1285" max="1285" width="9.42578125" style="1600" customWidth="1"/>
    <col min="1286" max="1286" width="11.85546875" style="1600" customWidth="1"/>
    <col min="1287" max="1287" width="8.42578125" style="1600" bestFit="1" customWidth="1"/>
    <col min="1288" max="1290" width="0" style="1600" hidden="1" customWidth="1"/>
    <col min="1291" max="1291" width="6" style="1600" bestFit="1" customWidth="1"/>
    <col min="1292" max="1292" width="9.5703125" style="1600" customWidth="1"/>
    <col min="1293" max="1293" width="9.85546875" style="1600" customWidth="1"/>
    <col min="1294" max="1294" width="9.7109375" style="1600" customWidth="1"/>
    <col min="1295" max="1295" width="9.5703125" style="1600" customWidth="1"/>
    <col min="1296" max="1296" width="9.85546875" style="1600" customWidth="1"/>
    <col min="1297" max="1297" width="6.5703125" style="1600" customWidth="1"/>
    <col min="1298" max="1298" width="6" style="1600" bestFit="1" customWidth="1"/>
    <col min="1299" max="1299" width="6.28515625" style="1600" customWidth="1"/>
    <col min="1300" max="1300" width="11.7109375" style="1600" customWidth="1"/>
    <col min="1301" max="1301" width="0" style="1600" hidden="1" customWidth="1"/>
    <col min="1302" max="1302" width="14.5703125" style="1600" customWidth="1"/>
    <col min="1303" max="1303" width="11.85546875" style="1600" customWidth="1"/>
    <col min="1304" max="1538" width="9.140625" style="1600"/>
    <col min="1539" max="1539" width="2.85546875" style="1600" customWidth="1"/>
    <col min="1540" max="1540" width="50.7109375" style="1600" customWidth="1"/>
    <col min="1541" max="1541" width="9.42578125" style="1600" customWidth="1"/>
    <col min="1542" max="1542" width="11.85546875" style="1600" customWidth="1"/>
    <col min="1543" max="1543" width="8.42578125" style="1600" bestFit="1" customWidth="1"/>
    <col min="1544" max="1546" width="0" style="1600" hidden="1" customWidth="1"/>
    <col min="1547" max="1547" width="6" style="1600" bestFit="1" customWidth="1"/>
    <col min="1548" max="1548" width="9.5703125" style="1600" customWidth="1"/>
    <col min="1549" max="1549" width="9.85546875" style="1600" customWidth="1"/>
    <col min="1550" max="1550" width="9.7109375" style="1600" customWidth="1"/>
    <col min="1551" max="1551" width="9.5703125" style="1600" customWidth="1"/>
    <col min="1552" max="1552" width="9.85546875" style="1600" customWidth="1"/>
    <col min="1553" max="1553" width="6.5703125" style="1600" customWidth="1"/>
    <col min="1554" max="1554" width="6" style="1600" bestFit="1" customWidth="1"/>
    <col min="1555" max="1555" width="6.28515625" style="1600" customWidth="1"/>
    <col min="1556" max="1556" width="11.7109375" style="1600" customWidth="1"/>
    <col min="1557" max="1557" width="0" style="1600" hidden="1" customWidth="1"/>
    <col min="1558" max="1558" width="14.5703125" style="1600" customWidth="1"/>
    <col min="1559" max="1559" width="11.85546875" style="1600" customWidth="1"/>
    <col min="1560" max="1794" width="9.140625" style="1600"/>
    <col min="1795" max="1795" width="2.85546875" style="1600" customWidth="1"/>
    <col min="1796" max="1796" width="50.7109375" style="1600" customWidth="1"/>
    <col min="1797" max="1797" width="9.42578125" style="1600" customWidth="1"/>
    <col min="1798" max="1798" width="11.85546875" style="1600" customWidth="1"/>
    <col min="1799" max="1799" width="8.42578125" style="1600" bestFit="1" customWidth="1"/>
    <col min="1800" max="1802" width="0" style="1600" hidden="1" customWidth="1"/>
    <col min="1803" max="1803" width="6" style="1600" bestFit="1" customWidth="1"/>
    <col min="1804" max="1804" width="9.5703125" style="1600" customWidth="1"/>
    <col min="1805" max="1805" width="9.85546875" style="1600" customWidth="1"/>
    <col min="1806" max="1806" width="9.7109375" style="1600" customWidth="1"/>
    <col min="1807" max="1807" width="9.5703125" style="1600" customWidth="1"/>
    <col min="1808" max="1808" width="9.85546875" style="1600" customWidth="1"/>
    <col min="1809" max="1809" width="6.5703125" style="1600" customWidth="1"/>
    <col min="1810" max="1810" width="6" style="1600" bestFit="1" customWidth="1"/>
    <col min="1811" max="1811" width="6.28515625" style="1600" customWidth="1"/>
    <col min="1812" max="1812" width="11.7109375" style="1600" customWidth="1"/>
    <col min="1813" max="1813" width="0" style="1600" hidden="1" customWidth="1"/>
    <col min="1814" max="1814" width="14.5703125" style="1600" customWidth="1"/>
    <col min="1815" max="1815" width="11.85546875" style="1600" customWidth="1"/>
    <col min="1816" max="2050" width="9.140625" style="1600"/>
    <col min="2051" max="2051" width="2.85546875" style="1600" customWidth="1"/>
    <col min="2052" max="2052" width="50.7109375" style="1600" customWidth="1"/>
    <col min="2053" max="2053" width="9.42578125" style="1600" customWidth="1"/>
    <col min="2054" max="2054" width="11.85546875" style="1600" customWidth="1"/>
    <col min="2055" max="2055" width="8.42578125" style="1600" bestFit="1" customWidth="1"/>
    <col min="2056" max="2058" width="0" style="1600" hidden="1" customWidth="1"/>
    <col min="2059" max="2059" width="6" style="1600" bestFit="1" customWidth="1"/>
    <col min="2060" max="2060" width="9.5703125" style="1600" customWidth="1"/>
    <col min="2061" max="2061" width="9.85546875" style="1600" customWidth="1"/>
    <col min="2062" max="2062" width="9.7109375" style="1600" customWidth="1"/>
    <col min="2063" max="2063" width="9.5703125" style="1600" customWidth="1"/>
    <col min="2064" max="2064" width="9.85546875" style="1600" customWidth="1"/>
    <col min="2065" max="2065" width="6.5703125" style="1600" customWidth="1"/>
    <col min="2066" max="2066" width="6" style="1600" bestFit="1" customWidth="1"/>
    <col min="2067" max="2067" width="6.28515625" style="1600" customWidth="1"/>
    <col min="2068" max="2068" width="11.7109375" style="1600" customWidth="1"/>
    <col min="2069" max="2069" width="0" style="1600" hidden="1" customWidth="1"/>
    <col min="2070" max="2070" width="14.5703125" style="1600" customWidth="1"/>
    <col min="2071" max="2071" width="11.85546875" style="1600" customWidth="1"/>
    <col min="2072" max="2306" width="9.140625" style="1600"/>
    <col min="2307" max="2307" width="2.85546875" style="1600" customWidth="1"/>
    <col min="2308" max="2308" width="50.7109375" style="1600" customWidth="1"/>
    <col min="2309" max="2309" width="9.42578125" style="1600" customWidth="1"/>
    <col min="2310" max="2310" width="11.85546875" style="1600" customWidth="1"/>
    <col min="2311" max="2311" width="8.42578125" style="1600" bestFit="1" customWidth="1"/>
    <col min="2312" max="2314" width="0" style="1600" hidden="1" customWidth="1"/>
    <col min="2315" max="2315" width="6" style="1600" bestFit="1" customWidth="1"/>
    <col min="2316" max="2316" width="9.5703125" style="1600" customWidth="1"/>
    <col min="2317" max="2317" width="9.85546875" style="1600" customWidth="1"/>
    <col min="2318" max="2318" width="9.7109375" style="1600" customWidth="1"/>
    <col min="2319" max="2319" width="9.5703125" style="1600" customWidth="1"/>
    <col min="2320" max="2320" width="9.85546875" style="1600" customWidth="1"/>
    <col min="2321" max="2321" width="6.5703125" style="1600" customWidth="1"/>
    <col min="2322" max="2322" width="6" style="1600" bestFit="1" customWidth="1"/>
    <col min="2323" max="2323" width="6.28515625" style="1600" customWidth="1"/>
    <col min="2324" max="2324" width="11.7109375" style="1600" customWidth="1"/>
    <col min="2325" max="2325" width="0" style="1600" hidden="1" customWidth="1"/>
    <col min="2326" max="2326" width="14.5703125" style="1600" customWidth="1"/>
    <col min="2327" max="2327" width="11.85546875" style="1600" customWidth="1"/>
    <col min="2328" max="2562" width="9.140625" style="1600"/>
    <col min="2563" max="2563" width="2.85546875" style="1600" customWidth="1"/>
    <col min="2564" max="2564" width="50.7109375" style="1600" customWidth="1"/>
    <col min="2565" max="2565" width="9.42578125" style="1600" customWidth="1"/>
    <col min="2566" max="2566" width="11.85546875" style="1600" customWidth="1"/>
    <col min="2567" max="2567" width="8.42578125" style="1600" bestFit="1" customWidth="1"/>
    <col min="2568" max="2570" width="0" style="1600" hidden="1" customWidth="1"/>
    <col min="2571" max="2571" width="6" style="1600" bestFit="1" customWidth="1"/>
    <col min="2572" max="2572" width="9.5703125" style="1600" customWidth="1"/>
    <col min="2573" max="2573" width="9.85546875" style="1600" customWidth="1"/>
    <col min="2574" max="2574" width="9.7109375" style="1600" customWidth="1"/>
    <col min="2575" max="2575" width="9.5703125" style="1600" customWidth="1"/>
    <col min="2576" max="2576" width="9.85546875" style="1600" customWidth="1"/>
    <col min="2577" max="2577" width="6.5703125" style="1600" customWidth="1"/>
    <col min="2578" max="2578" width="6" style="1600" bestFit="1" customWidth="1"/>
    <col min="2579" max="2579" width="6.28515625" style="1600" customWidth="1"/>
    <col min="2580" max="2580" width="11.7109375" style="1600" customWidth="1"/>
    <col min="2581" max="2581" width="0" style="1600" hidden="1" customWidth="1"/>
    <col min="2582" max="2582" width="14.5703125" style="1600" customWidth="1"/>
    <col min="2583" max="2583" width="11.85546875" style="1600" customWidth="1"/>
    <col min="2584" max="2818" width="9.140625" style="1600"/>
    <col min="2819" max="2819" width="2.85546875" style="1600" customWidth="1"/>
    <col min="2820" max="2820" width="50.7109375" style="1600" customWidth="1"/>
    <col min="2821" max="2821" width="9.42578125" style="1600" customWidth="1"/>
    <col min="2822" max="2822" width="11.85546875" style="1600" customWidth="1"/>
    <col min="2823" max="2823" width="8.42578125" style="1600" bestFit="1" customWidth="1"/>
    <col min="2824" max="2826" width="0" style="1600" hidden="1" customWidth="1"/>
    <col min="2827" max="2827" width="6" style="1600" bestFit="1" customWidth="1"/>
    <col min="2828" max="2828" width="9.5703125" style="1600" customWidth="1"/>
    <col min="2829" max="2829" width="9.85546875" style="1600" customWidth="1"/>
    <col min="2830" max="2830" width="9.7109375" style="1600" customWidth="1"/>
    <col min="2831" max="2831" width="9.5703125" style="1600" customWidth="1"/>
    <col min="2832" max="2832" width="9.85546875" style="1600" customWidth="1"/>
    <col min="2833" max="2833" width="6.5703125" style="1600" customWidth="1"/>
    <col min="2834" max="2834" width="6" style="1600" bestFit="1" customWidth="1"/>
    <col min="2835" max="2835" width="6.28515625" style="1600" customWidth="1"/>
    <col min="2836" max="2836" width="11.7109375" style="1600" customWidth="1"/>
    <col min="2837" max="2837" width="0" style="1600" hidden="1" customWidth="1"/>
    <col min="2838" max="2838" width="14.5703125" style="1600" customWidth="1"/>
    <col min="2839" max="2839" width="11.85546875" style="1600" customWidth="1"/>
    <col min="2840" max="3074" width="9.140625" style="1600"/>
    <col min="3075" max="3075" width="2.85546875" style="1600" customWidth="1"/>
    <col min="3076" max="3076" width="50.7109375" style="1600" customWidth="1"/>
    <col min="3077" max="3077" width="9.42578125" style="1600" customWidth="1"/>
    <col min="3078" max="3078" width="11.85546875" style="1600" customWidth="1"/>
    <col min="3079" max="3079" width="8.42578125" style="1600" bestFit="1" customWidth="1"/>
    <col min="3080" max="3082" width="0" style="1600" hidden="1" customWidth="1"/>
    <col min="3083" max="3083" width="6" style="1600" bestFit="1" customWidth="1"/>
    <col min="3084" max="3084" width="9.5703125" style="1600" customWidth="1"/>
    <col min="3085" max="3085" width="9.85546875" style="1600" customWidth="1"/>
    <col min="3086" max="3086" width="9.7109375" style="1600" customWidth="1"/>
    <col min="3087" max="3087" width="9.5703125" style="1600" customWidth="1"/>
    <col min="3088" max="3088" width="9.85546875" style="1600" customWidth="1"/>
    <col min="3089" max="3089" width="6.5703125" style="1600" customWidth="1"/>
    <col min="3090" max="3090" width="6" style="1600" bestFit="1" customWidth="1"/>
    <col min="3091" max="3091" width="6.28515625" style="1600" customWidth="1"/>
    <col min="3092" max="3092" width="11.7109375" style="1600" customWidth="1"/>
    <col min="3093" max="3093" width="0" style="1600" hidden="1" customWidth="1"/>
    <col min="3094" max="3094" width="14.5703125" style="1600" customWidth="1"/>
    <col min="3095" max="3095" width="11.85546875" style="1600" customWidth="1"/>
    <col min="3096" max="3330" width="9.140625" style="1600"/>
    <col min="3331" max="3331" width="2.85546875" style="1600" customWidth="1"/>
    <col min="3332" max="3332" width="50.7109375" style="1600" customWidth="1"/>
    <col min="3333" max="3333" width="9.42578125" style="1600" customWidth="1"/>
    <col min="3334" max="3334" width="11.85546875" style="1600" customWidth="1"/>
    <col min="3335" max="3335" width="8.42578125" style="1600" bestFit="1" customWidth="1"/>
    <col min="3336" max="3338" width="0" style="1600" hidden="1" customWidth="1"/>
    <col min="3339" max="3339" width="6" style="1600" bestFit="1" customWidth="1"/>
    <col min="3340" max="3340" width="9.5703125" style="1600" customWidth="1"/>
    <col min="3341" max="3341" width="9.85546875" style="1600" customWidth="1"/>
    <col min="3342" max="3342" width="9.7109375" style="1600" customWidth="1"/>
    <col min="3343" max="3343" width="9.5703125" style="1600" customWidth="1"/>
    <col min="3344" max="3344" width="9.85546875" style="1600" customWidth="1"/>
    <col min="3345" max="3345" width="6.5703125" style="1600" customWidth="1"/>
    <col min="3346" max="3346" width="6" style="1600" bestFit="1" customWidth="1"/>
    <col min="3347" max="3347" width="6.28515625" style="1600" customWidth="1"/>
    <col min="3348" max="3348" width="11.7109375" style="1600" customWidth="1"/>
    <col min="3349" max="3349" width="0" style="1600" hidden="1" customWidth="1"/>
    <col min="3350" max="3350" width="14.5703125" style="1600" customWidth="1"/>
    <col min="3351" max="3351" width="11.85546875" style="1600" customWidth="1"/>
    <col min="3352" max="3586" width="9.140625" style="1600"/>
    <col min="3587" max="3587" width="2.85546875" style="1600" customWidth="1"/>
    <col min="3588" max="3588" width="50.7109375" style="1600" customWidth="1"/>
    <col min="3589" max="3589" width="9.42578125" style="1600" customWidth="1"/>
    <col min="3590" max="3590" width="11.85546875" style="1600" customWidth="1"/>
    <col min="3591" max="3591" width="8.42578125" style="1600" bestFit="1" customWidth="1"/>
    <col min="3592" max="3594" width="0" style="1600" hidden="1" customWidth="1"/>
    <col min="3595" max="3595" width="6" style="1600" bestFit="1" customWidth="1"/>
    <col min="3596" max="3596" width="9.5703125" style="1600" customWidth="1"/>
    <col min="3597" max="3597" width="9.85546875" style="1600" customWidth="1"/>
    <col min="3598" max="3598" width="9.7109375" style="1600" customWidth="1"/>
    <col min="3599" max="3599" width="9.5703125" style="1600" customWidth="1"/>
    <col min="3600" max="3600" width="9.85546875" style="1600" customWidth="1"/>
    <col min="3601" max="3601" width="6.5703125" style="1600" customWidth="1"/>
    <col min="3602" max="3602" width="6" style="1600" bestFit="1" customWidth="1"/>
    <col min="3603" max="3603" width="6.28515625" style="1600" customWidth="1"/>
    <col min="3604" max="3604" width="11.7109375" style="1600" customWidth="1"/>
    <col min="3605" max="3605" width="0" style="1600" hidden="1" customWidth="1"/>
    <col min="3606" max="3606" width="14.5703125" style="1600" customWidth="1"/>
    <col min="3607" max="3607" width="11.85546875" style="1600" customWidth="1"/>
    <col min="3608" max="3842" width="9.140625" style="1600"/>
    <col min="3843" max="3843" width="2.85546875" style="1600" customWidth="1"/>
    <col min="3844" max="3844" width="50.7109375" style="1600" customWidth="1"/>
    <col min="3845" max="3845" width="9.42578125" style="1600" customWidth="1"/>
    <col min="3846" max="3846" width="11.85546875" style="1600" customWidth="1"/>
    <col min="3847" max="3847" width="8.42578125" style="1600" bestFit="1" customWidth="1"/>
    <col min="3848" max="3850" width="0" style="1600" hidden="1" customWidth="1"/>
    <col min="3851" max="3851" width="6" style="1600" bestFit="1" customWidth="1"/>
    <col min="3852" max="3852" width="9.5703125" style="1600" customWidth="1"/>
    <col min="3853" max="3853" width="9.85546875" style="1600" customWidth="1"/>
    <col min="3854" max="3854" width="9.7109375" style="1600" customWidth="1"/>
    <col min="3855" max="3855" width="9.5703125" style="1600" customWidth="1"/>
    <col min="3856" max="3856" width="9.85546875" style="1600" customWidth="1"/>
    <col min="3857" max="3857" width="6.5703125" style="1600" customWidth="1"/>
    <col min="3858" max="3858" width="6" style="1600" bestFit="1" customWidth="1"/>
    <col min="3859" max="3859" width="6.28515625" style="1600" customWidth="1"/>
    <col min="3860" max="3860" width="11.7109375" style="1600" customWidth="1"/>
    <col min="3861" max="3861" width="0" style="1600" hidden="1" customWidth="1"/>
    <col min="3862" max="3862" width="14.5703125" style="1600" customWidth="1"/>
    <col min="3863" max="3863" width="11.85546875" style="1600" customWidth="1"/>
    <col min="3864" max="4098" width="9.140625" style="1600"/>
    <col min="4099" max="4099" width="2.85546875" style="1600" customWidth="1"/>
    <col min="4100" max="4100" width="50.7109375" style="1600" customWidth="1"/>
    <col min="4101" max="4101" width="9.42578125" style="1600" customWidth="1"/>
    <col min="4102" max="4102" width="11.85546875" style="1600" customWidth="1"/>
    <col min="4103" max="4103" width="8.42578125" style="1600" bestFit="1" customWidth="1"/>
    <col min="4104" max="4106" width="0" style="1600" hidden="1" customWidth="1"/>
    <col min="4107" max="4107" width="6" style="1600" bestFit="1" customWidth="1"/>
    <col min="4108" max="4108" width="9.5703125" style="1600" customWidth="1"/>
    <col min="4109" max="4109" width="9.85546875" style="1600" customWidth="1"/>
    <col min="4110" max="4110" width="9.7109375" style="1600" customWidth="1"/>
    <col min="4111" max="4111" width="9.5703125" style="1600" customWidth="1"/>
    <col min="4112" max="4112" width="9.85546875" style="1600" customWidth="1"/>
    <col min="4113" max="4113" width="6.5703125" style="1600" customWidth="1"/>
    <col min="4114" max="4114" width="6" style="1600" bestFit="1" customWidth="1"/>
    <col min="4115" max="4115" width="6.28515625" style="1600" customWidth="1"/>
    <col min="4116" max="4116" width="11.7109375" style="1600" customWidth="1"/>
    <col min="4117" max="4117" width="0" style="1600" hidden="1" customWidth="1"/>
    <col min="4118" max="4118" width="14.5703125" style="1600" customWidth="1"/>
    <col min="4119" max="4119" width="11.85546875" style="1600" customWidth="1"/>
    <col min="4120" max="4354" width="9.140625" style="1600"/>
    <col min="4355" max="4355" width="2.85546875" style="1600" customWidth="1"/>
    <col min="4356" max="4356" width="50.7109375" style="1600" customWidth="1"/>
    <col min="4357" max="4357" width="9.42578125" style="1600" customWidth="1"/>
    <col min="4358" max="4358" width="11.85546875" style="1600" customWidth="1"/>
    <col min="4359" max="4359" width="8.42578125" style="1600" bestFit="1" customWidth="1"/>
    <col min="4360" max="4362" width="0" style="1600" hidden="1" customWidth="1"/>
    <col min="4363" max="4363" width="6" style="1600" bestFit="1" customWidth="1"/>
    <col min="4364" max="4364" width="9.5703125" style="1600" customWidth="1"/>
    <col min="4365" max="4365" width="9.85546875" style="1600" customWidth="1"/>
    <col min="4366" max="4366" width="9.7109375" style="1600" customWidth="1"/>
    <col min="4367" max="4367" width="9.5703125" style="1600" customWidth="1"/>
    <col min="4368" max="4368" width="9.85546875" style="1600" customWidth="1"/>
    <col min="4369" max="4369" width="6.5703125" style="1600" customWidth="1"/>
    <col min="4370" max="4370" width="6" style="1600" bestFit="1" customWidth="1"/>
    <col min="4371" max="4371" width="6.28515625" style="1600" customWidth="1"/>
    <col min="4372" max="4372" width="11.7109375" style="1600" customWidth="1"/>
    <col min="4373" max="4373" width="0" style="1600" hidden="1" customWidth="1"/>
    <col min="4374" max="4374" width="14.5703125" style="1600" customWidth="1"/>
    <col min="4375" max="4375" width="11.85546875" style="1600" customWidth="1"/>
    <col min="4376" max="4610" width="9.140625" style="1600"/>
    <col min="4611" max="4611" width="2.85546875" style="1600" customWidth="1"/>
    <col min="4612" max="4612" width="50.7109375" style="1600" customWidth="1"/>
    <col min="4613" max="4613" width="9.42578125" style="1600" customWidth="1"/>
    <col min="4614" max="4614" width="11.85546875" style="1600" customWidth="1"/>
    <col min="4615" max="4615" width="8.42578125" style="1600" bestFit="1" customWidth="1"/>
    <col min="4616" max="4618" width="0" style="1600" hidden="1" customWidth="1"/>
    <col min="4619" max="4619" width="6" style="1600" bestFit="1" customWidth="1"/>
    <col min="4620" max="4620" width="9.5703125" style="1600" customWidth="1"/>
    <col min="4621" max="4621" width="9.85546875" style="1600" customWidth="1"/>
    <col min="4622" max="4622" width="9.7109375" style="1600" customWidth="1"/>
    <col min="4623" max="4623" width="9.5703125" style="1600" customWidth="1"/>
    <col min="4624" max="4624" width="9.85546875" style="1600" customWidth="1"/>
    <col min="4625" max="4625" width="6.5703125" style="1600" customWidth="1"/>
    <col min="4626" max="4626" width="6" style="1600" bestFit="1" customWidth="1"/>
    <col min="4627" max="4627" width="6.28515625" style="1600" customWidth="1"/>
    <col min="4628" max="4628" width="11.7109375" style="1600" customWidth="1"/>
    <col min="4629" max="4629" width="0" style="1600" hidden="1" customWidth="1"/>
    <col min="4630" max="4630" width="14.5703125" style="1600" customWidth="1"/>
    <col min="4631" max="4631" width="11.85546875" style="1600" customWidth="1"/>
    <col min="4632" max="4866" width="9.140625" style="1600"/>
    <col min="4867" max="4867" width="2.85546875" style="1600" customWidth="1"/>
    <col min="4868" max="4868" width="50.7109375" style="1600" customWidth="1"/>
    <col min="4869" max="4869" width="9.42578125" style="1600" customWidth="1"/>
    <col min="4870" max="4870" width="11.85546875" style="1600" customWidth="1"/>
    <col min="4871" max="4871" width="8.42578125" style="1600" bestFit="1" customWidth="1"/>
    <col min="4872" max="4874" width="0" style="1600" hidden="1" customWidth="1"/>
    <col min="4875" max="4875" width="6" style="1600" bestFit="1" customWidth="1"/>
    <col min="4876" max="4876" width="9.5703125" style="1600" customWidth="1"/>
    <col min="4877" max="4877" width="9.85546875" style="1600" customWidth="1"/>
    <col min="4878" max="4878" width="9.7109375" style="1600" customWidth="1"/>
    <col min="4879" max="4879" width="9.5703125" style="1600" customWidth="1"/>
    <col min="4880" max="4880" width="9.85546875" style="1600" customWidth="1"/>
    <col min="4881" max="4881" width="6.5703125" style="1600" customWidth="1"/>
    <col min="4882" max="4882" width="6" style="1600" bestFit="1" customWidth="1"/>
    <col min="4883" max="4883" width="6.28515625" style="1600" customWidth="1"/>
    <col min="4884" max="4884" width="11.7109375" style="1600" customWidth="1"/>
    <col min="4885" max="4885" width="0" style="1600" hidden="1" customWidth="1"/>
    <col min="4886" max="4886" width="14.5703125" style="1600" customWidth="1"/>
    <col min="4887" max="4887" width="11.85546875" style="1600" customWidth="1"/>
    <col min="4888" max="5122" width="9.140625" style="1600"/>
    <col min="5123" max="5123" width="2.85546875" style="1600" customWidth="1"/>
    <col min="5124" max="5124" width="50.7109375" style="1600" customWidth="1"/>
    <col min="5125" max="5125" width="9.42578125" style="1600" customWidth="1"/>
    <col min="5126" max="5126" width="11.85546875" style="1600" customWidth="1"/>
    <col min="5127" max="5127" width="8.42578125" style="1600" bestFit="1" customWidth="1"/>
    <col min="5128" max="5130" width="0" style="1600" hidden="1" customWidth="1"/>
    <col min="5131" max="5131" width="6" style="1600" bestFit="1" customWidth="1"/>
    <col min="5132" max="5132" width="9.5703125" style="1600" customWidth="1"/>
    <col min="5133" max="5133" width="9.85546875" style="1600" customWidth="1"/>
    <col min="5134" max="5134" width="9.7109375" style="1600" customWidth="1"/>
    <col min="5135" max="5135" width="9.5703125" style="1600" customWidth="1"/>
    <col min="5136" max="5136" width="9.85546875" style="1600" customWidth="1"/>
    <col min="5137" max="5137" width="6.5703125" style="1600" customWidth="1"/>
    <col min="5138" max="5138" width="6" style="1600" bestFit="1" customWidth="1"/>
    <col min="5139" max="5139" width="6.28515625" style="1600" customWidth="1"/>
    <col min="5140" max="5140" width="11.7109375" style="1600" customWidth="1"/>
    <col min="5141" max="5141" width="0" style="1600" hidden="1" customWidth="1"/>
    <col min="5142" max="5142" width="14.5703125" style="1600" customWidth="1"/>
    <col min="5143" max="5143" width="11.85546875" style="1600" customWidth="1"/>
    <col min="5144" max="5378" width="9.140625" style="1600"/>
    <col min="5379" max="5379" width="2.85546875" style="1600" customWidth="1"/>
    <col min="5380" max="5380" width="50.7109375" style="1600" customWidth="1"/>
    <col min="5381" max="5381" width="9.42578125" style="1600" customWidth="1"/>
    <col min="5382" max="5382" width="11.85546875" style="1600" customWidth="1"/>
    <col min="5383" max="5383" width="8.42578125" style="1600" bestFit="1" customWidth="1"/>
    <col min="5384" max="5386" width="0" style="1600" hidden="1" customWidth="1"/>
    <col min="5387" max="5387" width="6" style="1600" bestFit="1" customWidth="1"/>
    <col min="5388" max="5388" width="9.5703125" style="1600" customWidth="1"/>
    <col min="5389" max="5389" width="9.85546875" style="1600" customWidth="1"/>
    <col min="5390" max="5390" width="9.7109375" style="1600" customWidth="1"/>
    <col min="5391" max="5391" width="9.5703125" style="1600" customWidth="1"/>
    <col min="5392" max="5392" width="9.85546875" style="1600" customWidth="1"/>
    <col min="5393" max="5393" width="6.5703125" style="1600" customWidth="1"/>
    <col min="5394" max="5394" width="6" style="1600" bestFit="1" customWidth="1"/>
    <col min="5395" max="5395" width="6.28515625" style="1600" customWidth="1"/>
    <col min="5396" max="5396" width="11.7109375" style="1600" customWidth="1"/>
    <col min="5397" max="5397" width="0" style="1600" hidden="1" customWidth="1"/>
    <col min="5398" max="5398" width="14.5703125" style="1600" customWidth="1"/>
    <col min="5399" max="5399" width="11.85546875" style="1600" customWidth="1"/>
    <col min="5400" max="5634" width="9.140625" style="1600"/>
    <col min="5635" max="5635" width="2.85546875" style="1600" customWidth="1"/>
    <col min="5636" max="5636" width="50.7109375" style="1600" customWidth="1"/>
    <col min="5637" max="5637" width="9.42578125" style="1600" customWidth="1"/>
    <col min="5638" max="5638" width="11.85546875" style="1600" customWidth="1"/>
    <col min="5639" max="5639" width="8.42578125" style="1600" bestFit="1" customWidth="1"/>
    <col min="5640" max="5642" width="0" style="1600" hidden="1" customWidth="1"/>
    <col min="5643" max="5643" width="6" style="1600" bestFit="1" customWidth="1"/>
    <col min="5644" max="5644" width="9.5703125" style="1600" customWidth="1"/>
    <col min="5645" max="5645" width="9.85546875" style="1600" customWidth="1"/>
    <col min="5646" max="5646" width="9.7109375" style="1600" customWidth="1"/>
    <col min="5647" max="5647" width="9.5703125" style="1600" customWidth="1"/>
    <col min="5648" max="5648" width="9.85546875" style="1600" customWidth="1"/>
    <col min="5649" max="5649" width="6.5703125" style="1600" customWidth="1"/>
    <col min="5650" max="5650" width="6" style="1600" bestFit="1" customWidth="1"/>
    <col min="5651" max="5651" width="6.28515625" style="1600" customWidth="1"/>
    <col min="5652" max="5652" width="11.7109375" style="1600" customWidth="1"/>
    <col min="5653" max="5653" width="0" style="1600" hidden="1" customWidth="1"/>
    <col min="5654" max="5654" width="14.5703125" style="1600" customWidth="1"/>
    <col min="5655" max="5655" width="11.85546875" style="1600" customWidth="1"/>
    <col min="5656" max="5890" width="9.140625" style="1600"/>
    <col min="5891" max="5891" width="2.85546875" style="1600" customWidth="1"/>
    <col min="5892" max="5892" width="50.7109375" style="1600" customWidth="1"/>
    <col min="5893" max="5893" width="9.42578125" style="1600" customWidth="1"/>
    <col min="5894" max="5894" width="11.85546875" style="1600" customWidth="1"/>
    <col min="5895" max="5895" width="8.42578125" style="1600" bestFit="1" customWidth="1"/>
    <col min="5896" max="5898" width="0" style="1600" hidden="1" customWidth="1"/>
    <col min="5899" max="5899" width="6" style="1600" bestFit="1" customWidth="1"/>
    <col min="5900" max="5900" width="9.5703125" style="1600" customWidth="1"/>
    <col min="5901" max="5901" width="9.85546875" style="1600" customWidth="1"/>
    <col min="5902" max="5902" width="9.7109375" style="1600" customWidth="1"/>
    <col min="5903" max="5903" width="9.5703125" style="1600" customWidth="1"/>
    <col min="5904" max="5904" width="9.85546875" style="1600" customWidth="1"/>
    <col min="5905" max="5905" width="6.5703125" style="1600" customWidth="1"/>
    <col min="5906" max="5906" width="6" style="1600" bestFit="1" customWidth="1"/>
    <col min="5907" max="5907" width="6.28515625" style="1600" customWidth="1"/>
    <col min="5908" max="5908" width="11.7109375" style="1600" customWidth="1"/>
    <col min="5909" max="5909" width="0" style="1600" hidden="1" customWidth="1"/>
    <col min="5910" max="5910" width="14.5703125" style="1600" customWidth="1"/>
    <col min="5911" max="5911" width="11.85546875" style="1600" customWidth="1"/>
    <col min="5912" max="6146" width="9.140625" style="1600"/>
    <col min="6147" max="6147" width="2.85546875" style="1600" customWidth="1"/>
    <col min="6148" max="6148" width="50.7109375" style="1600" customWidth="1"/>
    <col min="6149" max="6149" width="9.42578125" style="1600" customWidth="1"/>
    <col min="6150" max="6150" width="11.85546875" style="1600" customWidth="1"/>
    <col min="6151" max="6151" width="8.42578125" style="1600" bestFit="1" customWidth="1"/>
    <col min="6152" max="6154" width="0" style="1600" hidden="1" customWidth="1"/>
    <col min="6155" max="6155" width="6" style="1600" bestFit="1" customWidth="1"/>
    <col min="6156" max="6156" width="9.5703125" style="1600" customWidth="1"/>
    <col min="6157" max="6157" width="9.85546875" style="1600" customWidth="1"/>
    <col min="6158" max="6158" width="9.7109375" style="1600" customWidth="1"/>
    <col min="6159" max="6159" width="9.5703125" style="1600" customWidth="1"/>
    <col min="6160" max="6160" width="9.85546875" style="1600" customWidth="1"/>
    <col min="6161" max="6161" width="6.5703125" style="1600" customWidth="1"/>
    <col min="6162" max="6162" width="6" style="1600" bestFit="1" customWidth="1"/>
    <col min="6163" max="6163" width="6.28515625" style="1600" customWidth="1"/>
    <col min="6164" max="6164" width="11.7109375" style="1600" customWidth="1"/>
    <col min="6165" max="6165" width="0" style="1600" hidden="1" customWidth="1"/>
    <col min="6166" max="6166" width="14.5703125" style="1600" customWidth="1"/>
    <col min="6167" max="6167" width="11.85546875" style="1600" customWidth="1"/>
    <col min="6168" max="6402" width="9.140625" style="1600"/>
    <col min="6403" max="6403" width="2.85546875" style="1600" customWidth="1"/>
    <col min="6404" max="6404" width="50.7109375" style="1600" customWidth="1"/>
    <col min="6405" max="6405" width="9.42578125" style="1600" customWidth="1"/>
    <col min="6406" max="6406" width="11.85546875" style="1600" customWidth="1"/>
    <col min="6407" max="6407" width="8.42578125" style="1600" bestFit="1" customWidth="1"/>
    <col min="6408" max="6410" width="0" style="1600" hidden="1" customWidth="1"/>
    <col min="6411" max="6411" width="6" style="1600" bestFit="1" customWidth="1"/>
    <col min="6412" max="6412" width="9.5703125" style="1600" customWidth="1"/>
    <col min="6413" max="6413" width="9.85546875" style="1600" customWidth="1"/>
    <col min="6414" max="6414" width="9.7109375" style="1600" customWidth="1"/>
    <col min="6415" max="6415" width="9.5703125" style="1600" customWidth="1"/>
    <col min="6416" max="6416" width="9.85546875" style="1600" customWidth="1"/>
    <col min="6417" max="6417" width="6.5703125" style="1600" customWidth="1"/>
    <col min="6418" max="6418" width="6" style="1600" bestFit="1" customWidth="1"/>
    <col min="6419" max="6419" width="6.28515625" style="1600" customWidth="1"/>
    <col min="6420" max="6420" width="11.7109375" style="1600" customWidth="1"/>
    <col min="6421" max="6421" width="0" style="1600" hidden="1" customWidth="1"/>
    <col min="6422" max="6422" width="14.5703125" style="1600" customWidth="1"/>
    <col min="6423" max="6423" width="11.85546875" style="1600" customWidth="1"/>
    <col min="6424" max="6658" width="9.140625" style="1600"/>
    <col min="6659" max="6659" width="2.85546875" style="1600" customWidth="1"/>
    <col min="6660" max="6660" width="50.7109375" style="1600" customWidth="1"/>
    <col min="6661" max="6661" width="9.42578125" style="1600" customWidth="1"/>
    <col min="6662" max="6662" width="11.85546875" style="1600" customWidth="1"/>
    <col min="6663" max="6663" width="8.42578125" style="1600" bestFit="1" customWidth="1"/>
    <col min="6664" max="6666" width="0" style="1600" hidden="1" customWidth="1"/>
    <col min="6667" max="6667" width="6" style="1600" bestFit="1" customWidth="1"/>
    <col min="6668" max="6668" width="9.5703125" style="1600" customWidth="1"/>
    <col min="6669" max="6669" width="9.85546875" style="1600" customWidth="1"/>
    <col min="6670" max="6670" width="9.7109375" style="1600" customWidth="1"/>
    <col min="6671" max="6671" width="9.5703125" style="1600" customWidth="1"/>
    <col min="6672" max="6672" width="9.85546875" style="1600" customWidth="1"/>
    <col min="6673" max="6673" width="6.5703125" style="1600" customWidth="1"/>
    <col min="6674" max="6674" width="6" style="1600" bestFit="1" customWidth="1"/>
    <col min="6675" max="6675" width="6.28515625" style="1600" customWidth="1"/>
    <col min="6676" max="6676" width="11.7109375" style="1600" customWidth="1"/>
    <col min="6677" max="6677" width="0" style="1600" hidden="1" customWidth="1"/>
    <col min="6678" max="6678" width="14.5703125" style="1600" customWidth="1"/>
    <col min="6679" max="6679" width="11.85546875" style="1600" customWidth="1"/>
    <col min="6680" max="6914" width="9.140625" style="1600"/>
    <col min="6915" max="6915" width="2.85546875" style="1600" customWidth="1"/>
    <col min="6916" max="6916" width="50.7109375" style="1600" customWidth="1"/>
    <col min="6917" max="6917" width="9.42578125" style="1600" customWidth="1"/>
    <col min="6918" max="6918" width="11.85546875" style="1600" customWidth="1"/>
    <col min="6919" max="6919" width="8.42578125" style="1600" bestFit="1" customWidth="1"/>
    <col min="6920" max="6922" width="0" style="1600" hidden="1" customWidth="1"/>
    <col min="6923" max="6923" width="6" style="1600" bestFit="1" customWidth="1"/>
    <col min="6924" max="6924" width="9.5703125" style="1600" customWidth="1"/>
    <col min="6925" max="6925" width="9.85546875" style="1600" customWidth="1"/>
    <col min="6926" max="6926" width="9.7109375" style="1600" customWidth="1"/>
    <col min="6927" max="6927" width="9.5703125" style="1600" customWidth="1"/>
    <col min="6928" max="6928" width="9.85546875" style="1600" customWidth="1"/>
    <col min="6929" max="6929" width="6.5703125" style="1600" customWidth="1"/>
    <col min="6930" max="6930" width="6" style="1600" bestFit="1" customWidth="1"/>
    <col min="6931" max="6931" width="6.28515625" style="1600" customWidth="1"/>
    <col min="6932" max="6932" width="11.7109375" style="1600" customWidth="1"/>
    <col min="6933" max="6933" width="0" style="1600" hidden="1" customWidth="1"/>
    <col min="6934" max="6934" width="14.5703125" style="1600" customWidth="1"/>
    <col min="6935" max="6935" width="11.85546875" style="1600" customWidth="1"/>
    <col min="6936" max="7170" width="9.140625" style="1600"/>
    <col min="7171" max="7171" width="2.85546875" style="1600" customWidth="1"/>
    <col min="7172" max="7172" width="50.7109375" style="1600" customWidth="1"/>
    <col min="7173" max="7173" width="9.42578125" style="1600" customWidth="1"/>
    <col min="7174" max="7174" width="11.85546875" style="1600" customWidth="1"/>
    <col min="7175" max="7175" width="8.42578125" style="1600" bestFit="1" customWidth="1"/>
    <col min="7176" max="7178" width="0" style="1600" hidden="1" customWidth="1"/>
    <col min="7179" max="7179" width="6" style="1600" bestFit="1" customWidth="1"/>
    <col min="7180" max="7180" width="9.5703125" style="1600" customWidth="1"/>
    <col min="7181" max="7181" width="9.85546875" style="1600" customWidth="1"/>
    <col min="7182" max="7182" width="9.7109375" style="1600" customWidth="1"/>
    <col min="7183" max="7183" width="9.5703125" style="1600" customWidth="1"/>
    <col min="7184" max="7184" width="9.85546875" style="1600" customWidth="1"/>
    <col min="7185" max="7185" width="6.5703125" style="1600" customWidth="1"/>
    <col min="7186" max="7186" width="6" style="1600" bestFit="1" customWidth="1"/>
    <col min="7187" max="7187" width="6.28515625" style="1600" customWidth="1"/>
    <col min="7188" max="7188" width="11.7109375" style="1600" customWidth="1"/>
    <col min="7189" max="7189" width="0" style="1600" hidden="1" customWidth="1"/>
    <col min="7190" max="7190" width="14.5703125" style="1600" customWidth="1"/>
    <col min="7191" max="7191" width="11.85546875" style="1600" customWidth="1"/>
    <col min="7192" max="7426" width="9.140625" style="1600"/>
    <col min="7427" max="7427" width="2.85546875" style="1600" customWidth="1"/>
    <col min="7428" max="7428" width="50.7109375" style="1600" customWidth="1"/>
    <col min="7429" max="7429" width="9.42578125" style="1600" customWidth="1"/>
    <col min="7430" max="7430" width="11.85546875" style="1600" customWidth="1"/>
    <col min="7431" max="7431" width="8.42578125" style="1600" bestFit="1" customWidth="1"/>
    <col min="7432" max="7434" width="0" style="1600" hidden="1" customWidth="1"/>
    <col min="7435" max="7435" width="6" style="1600" bestFit="1" customWidth="1"/>
    <col min="7436" max="7436" width="9.5703125" style="1600" customWidth="1"/>
    <col min="7437" max="7437" width="9.85546875" style="1600" customWidth="1"/>
    <col min="7438" max="7438" width="9.7109375" style="1600" customWidth="1"/>
    <col min="7439" max="7439" width="9.5703125" style="1600" customWidth="1"/>
    <col min="7440" max="7440" width="9.85546875" style="1600" customWidth="1"/>
    <col min="7441" max="7441" width="6.5703125" style="1600" customWidth="1"/>
    <col min="7442" max="7442" width="6" style="1600" bestFit="1" customWidth="1"/>
    <col min="7443" max="7443" width="6.28515625" style="1600" customWidth="1"/>
    <col min="7444" max="7444" width="11.7109375" style="1600" customWidth="1"/>
    <col min="7445" max="7445" width="0" style="1600" hidden="1" customWidth="1"/>
    <col min="7446" max="7446" width="14.5703125" style="1600" customWidth="1"/>
    <col min="7447" max="7447" width="11.85546875" style="1600" customWidth="1"/>
    <col min="7448" max="7682" width="9.140625" style="1600"/>
    <col min="7683" max="7683" width="2.85546875" style="1600" customWidth="1"/>
    <col min="7684" max="7684" width="50.7109375" style="1600" customWidth="1"/>
    <col min="7685" max="7685" width="9.42578125" style="1600" customWidth="1"/>
    <col min="7686" max="7686" width="11.85546875" style="1600" customWidth="1"/>
    <col min="7687" max="7687" width="8.42578125" style="1600" bestFit="1" customWidth="1"/>
    <col min="7688" max="7690" width="0" style="1600" hidden="1" customWidth="1"/>
    <col min="7691" max="7691" width="6" style="1600" bestFit="1" customWidth="1"/>
    <col min="7692" max="7692" width="9.5703125" style="1600" customWidth="1"/>
    <col min="7693" max="7693" width="9.85546875" style="1600" customWidth="1"/>
    <col min="7694" max="7694" width="9.7109375" style="1600" customWidth="1"/>
    <col min="7695" max="7695" width="9.5703125" style="1600" customWidth="1"/>
    <col min="7696" max="7696" width="9.85546875" style="1600" customWidth="1"/>
    <col min="7697" max="7697" width="6.5703125" style="1600" customWidth="1"/>
    <col min="7698" max="7698" width="6" style="1600" bestFit="1" customWidth="1"/>
    <col min="7699" max="7699" width="6.28515625" style="1600" customWidth="1"/>
    <col min="7700" max="7700" width="11.7109375" style="1600" customWidth="1"/>
    <col min="7701" max="7701" width="0" style="1600" hidden="1" customWidth="1"/>
    <col min="7702" max="7702" width="14.5703125" style="1600" customWidth="1"/>
    <col min="7703" max="7703" width="11.85546875" style="1600" customWidth="1"/>
    <col min="7704" max="7938" width="9.140625" style="1600"/>
    <col min="7939" max="7939" width="2.85546875" style="1600" customWidth="1"/>
    <col min="7940" max="7940" width="50.7109375" style="1600" customWidth="1"/>
    <col min="7941" max="7941" width="9.42578125" style="1600" customWidth="1"/>
    <col min="7942" max="7942" width="11.85546875" style="1600" customWidth="1"/>
    <col min="7943" max="7943" width="8.42578125" style="1600" bestFit="1" customWidth="1"/>
    <col min="7944" max="7946" width="0" style="1600" hidden="1" customWidth="1"/>
    <col min="7947" max="7947" width="6" style="1600" bestFit="1" customWidth="1"/>
    <col min="7948" max="7948" width="9.5703125" style="1600" customWidth="1"/>
    <col min="7949" max="7949" width="9.85546875" style="1600" customWidth="1"/>
    <col min="7950" max="7950" width="9.7109375" style="1600" customWidth="1"/>
    <col min="7951" max="7951" width="9.5703125" style="1600" customWidth="1"/>
    <col min="7952" max="7952" width="9.85546875" style="1600" customWidth="1"/>
    <col min="7953" max="7953" width="6.5703125" style="1600" customWidth="1"/>
    <col min="7954" max="7954" width="6" style="1600" bestFit="1" customWidth="1"/>
    <col min="7955" max="7955" width="6.28515625" style="1600" customWidth="1"/>
    <col min="7956" max="7956" width="11.7109375" style="1600" customWidth="1"/>
    <col min="7957" max="7957" width="0" style="1600" hidden="1" customWidth="1"/>
    <col min="7958" max="7958" width="14.5703125" style="1600" customWidth="1"/>
    <col min="7959" max="7959" width="11.85546875" style="1600" customWidth="1"/>
    <col min="7960" max="8194" width="9.140625" style="1600"/>
    <col min="8195" max="8195" width="2.85546875" style="1600" customWidth="1"/>
    <col min="8196" max="8196" width="50.7109375" style="1600" customWidth="1"/>
    <col min="8197" max="8197" width="9.42578125" style="1600" customWidth="1"/>
    <col min="8198" max="8198" width="11.85546875" style="1600" customWidth="1"/>
    <col min="8199" max="8199" width="8.42578125" style="1600" bestFit="1" customWidth="1"/>
    <col min="8200" max="8202" width="0" style="1600" hidden="1" customWidth="1"/>
    <col min="8203" max="8203" width="6" style="1600" bestFit="1" customWidth="1"/>
    <col min="8204" max="8204" width="9.5703125" style="1600" customWidth="1"/>
    <col min="8205" max="8205" width="9.85546875" style="1600" customWidth="1"/>
    <col min="8206" max="8206" width="9.7109375" style="1600" customWidth="1"/>
    <col min="8207" max="8207" width="9.5703125" style="1600" customWidth="1"/>
    <col min="8208" max="8208" width="9.85546875" style="1600" customWidth="1"/>
    <col min="8209" max="8209" width="6.5703125" style="1600" customWidth="1"/>
    <col min="8210" max="8210" width="6" style="1600" bestFit="1" customWidth="1"/>
    <col min="8211" max="8211" width="6.28515625" style="1600" customWidth="1"/>
    <col min="8212" max="8212" width="11.7109375" style="1600" customWidth="1"/>
    <col min="8213" max="8213" width="0" style="1600" hidden="1" customWidth="1"/>
    <col min="8214" max="8214" width="14.5703125" style="1600" customWidth="1"/>
    <col min="8215" max="8215" width="11.85546875" style="1600" customWidth="1"/>
    <col min="8216" max="8450" width="9.140625" style="1600"/>
    <col min="8451" max="8451" width="2.85546875" style="1600" customWidth="1"/>
    <col min="8452" max="8452" width="50.7109375" style="1600" customWidth="1"/>
    <col min="8453" max="8453" width="9.42578125" style="1600" customWidth="1"/>
    <col min="8454" max="8454" width="11.85546875" style="1600" customWidth="1"/>
    <col min="8455" max="8455" width="8.42578125" style="1600" bestFit="1" customWidth="1"/>
    <col min="8456" max="8458" width="0" style="1600" hidden="1" customWidth="1"/>
    <col min="8459" max="8459" width="6" style="1600" bestFit="1" customWidth="1"/>
    <col min="8460" max="8460" width="9.5703125" style="1600" customWidth="1"/>
    <col min="8461" max="8461" width="9.85546875" style="1600" customWidth="1"/>
    <col min="8462" max="8462" width="9.7109375" style="1600" customWidth="1"/>
    <col min="8463" max="8463" width="9.5703125" style="1600" customWidth="1"/>
    <col min="8464" max="8464" width="9.85546875" style="1600" customWidth="1"/>
    <col min="8465" max="8465" width="6.5703125" style="1600" customWidth="1"/>
    <col min="8466" max="8466" width="6" style="1600" bestFit="1" customWidth="1"/>
    <col min="8467" max="8467" width="6.28515625" style="1600" customWidth="1"/>
    <col min="8468" max="8468" width="11.7109375" style="1600" customWidth="1"/>
    <col min="8469" max="8469" width="0" style="1600" hidden="1" customWidth="1"/>
    <col min="8470" max="8470" width="14.5703125" style="1600" customWidth="1"/>
    <col min="8471" max="8471" width="11.85546875" style="1600" customWidth="1"/>
    <col min="8472" max="8706" width="9.140625" style="1600"/>
    <col min="8707" max="8707" width="2.85546875" style="1600" customWidth="1"/>
    <col min="8708" max="8708" width="50.7109375" style="1600" customWidth="1"/>
    <col min="8709" max="8709" width="9.42578125" style="1600" customWidth="1"/>
    <col min="8710" max="8710" width="11.85546875" style="1600" customWidth="1"/>
    <col min="8711" max="8711" width="8.42578125" style="1600" bestFit="1" customWidth="1"/>
    <col min="8712" max="8714" width="0" style="1600" hidden="1" customWidth="1"/>
    <col min="8715" max="8715" width="6" style="1600" bestFit="1" customWidth="1"/>
    <col min="8716" max="8716" width="9.5703125" style="1600" customWidth="1"/>
    <col min="8717" max="8717" width="9.85546875" style="1600" customWidth="1"/>
    <col min="8718" max="8718" width="9.7109375" style="1600" customWidth="1"/>
    <col min="8719" max="8719" width="9.5703125" style="1600" customWidth="1"/>
    <col min="8720" max="8720" width="9.85546875" style="1600" customWidth="1"/>
    <col min="8721" max="8721" width="6.5703125" style="1600" customWidth="1"/>
    <col min="8722" max="8722" width="6" style="1600" bestFit="1" customWidth="1"/>
    <col min="8723" max="8723" width="6.28515625" style="1600" customWidth="1"/>
    <col min="8724" max="8724" width="11.7109375" style="1600" customWidth="1"/>
    <col min="8725" max="8725" width="0" style="1600" hidden="1" customWidth="1"/>
    <col min="8726" max="8726" width="14.5703125" style="1600" customWidth="1"/>
    <col min="8727" max="8727" width="11.85546875" style="1600" customWidth="1"/>
    <col min="8728" max="8962" width="9.140625" style="1600"/>
    <col min="8963" max="8963" width="2.85546875" style="1600" customWidth="1"/>
    <col min="8964" max="8964" width="50.7109375" style="1600" customWidth="1"/>
    <col min="8965" max="8965" width="9.42578125" style="1600" customWidth="1"/>
    <col min="8966" max="8966" width="11.85546875" style="1600" customWidth="1"/>
    <col min="8967" max="8967" width="8.42578125" style="1600" bestFit="1" customWidth="1"/>
    <col min="8968" max="8970" width="0" style="1600" hidden="1" customWidth="1"/>
    <col min="8971" max="8971" width="6" style="1600" bestFit="1" customWidth="1"/>
    <col min="8972" max="8972" width="9.5703125" style="1600" customWidth="1"/>
    <col min="8973" max="8973" width="9.85546875" style="1600" customWidth="1"/>
    <col min="8974" max="8974" width="9.7109375" style="1600" customWidth="1"/>
    <col min="8975" max="8975" width="9.5703125" style="1600" customWidth="1"/>
    <col min="8976" max="8976" width="9.85546875" style="1600" customWidth="1"/>
    <col min="8977" max="8977" width="6.5703125" style="1600" customWidth="1"/>
    <col min="8978" max="8978" width="6" style="1600" bestFit="1" customWidth="1"/>
    <col min="8979" max="8979" width="6.28515625" style="1600" customWidth="1"/>
    <col min="8980" max="8980" width="11.7109375" style="1600" customWidth="1"/>
    <col min="8981" max="8981" width="0" style="1600" hidden="1" customWidth="1"/>
    <col min="8982" max="8982" width="14.5703125" style="1600" customWidth="1"/>
    <col min="8983" max="8983" width="11.85546875" style="1600" customWidth="1"/>
    <col min="8984" max="9218" width="9.140625" style="1600"/>
    <col min="9219" max="9219" width="2.85546875" style="1600" customWidth="1"/>
    <col min="9220" max="9220" width="50.7109375" style="1600" customWidth="1"/>
    <col min="9221" max="9221" width="9.42578125" style="1600" customWidth="1"/>
    <col min="9222" max="9222" width="11.85546875" style="1600" customWidth="1"/>
    <col min="9223" max="9223" width="8.42578125" style="1600" bestFit="1" customWidth="1"/>
    <col min="9224" max="9226" width="0" style="1600" hidden="1" customWidth="1"/>
    <col min="9227" max="9227" width="6" style="1600" bestFit="1" customWidth="1"/>
    <col min="9228" max="9228" width="9.5703125" style="1600" customWidth="1"/>
    <col min="9229" max="9229" width="9.85546875" style="1600" customWidth="1"/>
    <col min="9230" max="9230" width="9.7109375" style="1600" customWidth="1"/>
    <col min="9231" max="9231" width="9.5703125" style="1600" customWidth="1"/>
    <col min="9232" max="9232" width="9.85546875" style="1600" customWidth="1"/>
    <col min="9233" max="9233" width="6.5703125" style="1600" customWidth="1"/>
    <col min="9234" max="9234" width="6" style="1600" bestFit="1" customWidth="1"/>
    <col min="9235" max="9235" width="6.28515625" style="1600" customWidth="1"/>
    <col min="9236" max="9236" width="11.7109375" style="1600" customWidth="1"/>
    <col min="9237" max="9237" width="0" style="1600" hidden="1" customWidth="1"/>
    <col min="9238" max="9238" width="14.5703125" style="1600" customWidth="1"/>
    <col min="9239" max="9239" width="11.85546875" style="1600" customWidth="1"/>
    <col min="9240" max="9474" width="9.140625" style="1600"/>
    <col min="9475" max="9475" width="2.85546875" style="1600" customWidth="1"/>
    <col min="9476" max="9476" width="50.7109375" style="1600" customWidth="1"/>
    <col min="9477" max="9477" width="9.42578125" style="1600" customWidth="1"/>
    <col min="9478" max="9478" width="11.85546875" style="1600" customWidth="1"/>
    <col min="9479" max="9479" width="8.42578125" style="1600" bestFit="1" customWidth="1"/>
    <col min="9480" max="9482" width="0" style="1600" hidden="1" customWidth="1"/>
    <col min="9483" max="9483" width="6" style="1600" bestFit="1" customWidth="1"/>
    <col min="9484" max="9484" width="9.5703125" style="1600" customWidth="1"/>
    <col min="9485" max="9485" width="9.85546875" style="1600" customWidth="1"/>
    <col min="9486" max="9486" width="9.7109375" style="1600" customWidth="1"/>
    <col min="9487" max="9487" width="9.5703125" style="1600" customWidth="1"/>
    <col min="9488" max="9488" width="9.85546875" style="1600" customWidth="1"/>
    <col min="9489" max="9489" width="6.5703125" style="1600" customWidth="1"/>
    <col min="9490" max="9490" width="6" style="1600" bestFit="1" customWidth="1"/>
    <col min="9491" max="9491" width="6.28515625" style="1600" customWidth="1"/>
    <col min="9492" max="9492" width="11.7109375" style="1600" customWidth="1"/>
    <col min="9493" max="9493" width="0" style="1600" hidden="1" customWidth="1"/>
    <col min="9494" max="9494" width="14.5703125" style="1600" customWidth="1"/>
    <col min="9495" max="9495" width="11.85546875" style="1600" customWidth="1"/>
    <col min="9496" max="9730" width="9.140625" style="1600"/>
    <col min="9731" max="9731" width="2.85546875" style="1600" customWidth="1"/>
    <col min="9732" max="9732" width="50.7109375" style="1600" customWidth="1"/>
    <col min="9733" max="9733" width="9.42578125" style="1600" customWidth="1"/>
    <col min="9734" max="9734" width="11.85546875" style="1600" customWidth="1"/>
    <col min="9735" max="9735" width="8.42578125" style="1600" bestFit="1" customWidth="1"/>
    <col min="9736" max="9738" width="0" style="1600" hidden="1" customWidth="1"/>
    <col min="9739" max="9739" width="6" style="1600" bestFit="1" customWidth="1"/>
    <col min="9740" max="9740" width="9.5703125" style="1600" customWidth="1"/>
    <col min="9741" max="9741" width="9.85546875" style="1600" customWidth="1"/>
    <col min="9742" max="9742" width="9.7109375" style="1600" customWidth="1"/>
    <col min="9743" max="9743" width="9.5703125" style="1600" customWidth="1"/>
    <col min="9744" max="9744" width="9.85546875" style="1600" customWidth="1"/>
    <col min="9745" max="9745" width="6.5703125" style="1600" customWidth="1"/>
    <col min="9746" max="9746" width="6" style="1600" bestFit="1" customWidth="1"/>
    <col min="9747" max="9747" width="6.28515625" style="1600" customWidth="1"/>
    <col min="9748" max="9748" width="11.7109375" style="1600" customWidth="1"/>
    <col min="9749" max="9749" width="0" style="1600" hidden="1" customWidth="1"/>
    <col min="9750" max="9750" width="14.5703125" style="1600" customWidth="1"/>
    <col min="9751" max="9751" width="11.85546875" style="1600" customWidth="1"/>
    <col min="9752" max="9986" width="9.140625" style="1600"/>
    <col min="9987" max="9987" width="2.85546875" style="1600" customWidth="1"/>
    <col min="9988" max="9988" width="50.7109375" style="1600" customWidth="1"/>
    <col min="9989" max="9989" width="9.42578125" style="1600" customWidth="1"/>
    <col min="9990" max="9990" width="11.85546875" style="1600" customWidth="1"/>
    <col min="9991" max="9991" width="8.42578125" style="1600" bestFit="1" customWidth="1"/>
    <col min="9992" max="9994" width="0" style="1600" hidden="1" customWidth="1"/>
    <col min="9995" max="9995" width="6" style="1600" bestFit="1" customWidth="1"/>
    <col min="9996" max="9996" width="9.5703125" style="1600" customWidth="1"/>
    <col min="9997" max="9997" width="9.85546875" style="1600" customWidth="1"/>
    <col min="9998" max="9998" width="9.7109375" style="1600" customWidth="1"/>
    <col min="9999" max="9999" width="9.5703125" style="1600" customWidth="1"/>
    <col min="10000" max="10000" width="9.85546875" style="1600" customWidth="1"/>
    <col min="10001" max="10001" width="6.5703125" style="1600" customWidth="1"/>
    <col min="10002" max="10002" width="6" style="1600" bestFit="1" customWidth="1"/>
    <col min="10003" max="10003" width="6.28515625" style="1600" customWidth="1"/>
    <col min="10004" max="10004" width="11.7109375" style="1600" customWidth="1"/>
    <col min="10005" max="10005" width="0" style="1600" hidden="1" customWidth="1"/>
    <col min="10006" max="10006" width="14.5703125" style="1600" customWidth="1"/>
    <col min="10007" max="10007" width="11.85546875" style="1600" customWidth="1"/>
    <col min="10008" max="10242" width="9.140625" style="1600"/>
    <col min="10243" max="10243" width="2.85546875" style="1600" customWidth="1"/>
    <col min="10244" max="10244" width="50.7109375" style="1600" customWidth="1"/>
    <col min="10245" max="10245" width="9.42578125" style="1600" customWidth="1"/>
    <col min="10246" max="10246" width="11.85546875" style="1600" customWidth="1"/>
    <col min="10247" max="10247" width="8.42578125" style="1600" bestFit="1" customWidth="1"/>
    <col min="10248" max="10250" width="0" style="1600" hidden="1" customWidth="1"/>
    <col min="10251" max="10251" width="6" style="1600" bestFit="1" customWidth="1"/>
    <col min="10252" max="10252" width="9.5703125" style="1600" customWidth="1"/>
    <col min="10253" max="10253" width="9.85546875" style="1600" customWidth="1"/>
    <col min="10254" max="10254" width="9.7109375" style="1600" customWidth="1"/>
    <col min="10255" max="10255" width="9.5703125" style="1600" customWidth="1"/>
    <col min="10256" max="10256" width="9.85546875" style="1600" customWidth="1"/>
    <col min="10257" max="10257" width="6.5703125" style="1600" customWidth="1"/>
    <col min="10258" max="10258" width="6" style="1600" bestFit="1" customWidth="1"/>
    <col min="10259" max="10259" width="6.28515625" style="1600" customWidth="1"/>
    <col min="10260" max="10260" width="11.7109375" style="1600" customWidth="1"/>
    <col min="10261" max="10261" width="0" style="1600" hidden="1" customWidth="1"/>
    <col min="10262" max="10262" width="14.5703125" style="1600" customWidth="1"/>
    <col min="10263" max="10263" width="11.85546875" style="1600" customWidth="1"/>
    <col min="10264" max="10498" width="9.140625" style="1600"/>
    <col min="10499" max="10499" width="2.85546875" style="1600" customWidth="1"/>
    <col min="10500" max="10500" width="50.7109375" style="1600" customWidth="1"/>
    <col min="10501" max="10501" width="9.42578125" style="1600" customWidth="1"/>
    <col min="10502" max="10502" width="11.85546875" style="1600" customWidth="1"/>
    <col min="10503" max="10503" width="8.42578125" style="1600" bestFit="1" customWidth="1"/>
    <col min="10504" max="10506" width="0" style="1600" hidden="1" customWidth="1"/>
    <col min="10507" max="10507" width="6" style="1600" bestFit="1" customWidth="1"/>
    <col min="10508" max="10508" width="9.5703125" style="1600" customWidth="1"/>
    <col min="10509" max="10509" width="9.85546875" style="1600" customWidth="1"/>
    <col min="10510" max="10510" width="9.7109375" style="1600" customWidth="1"/>
    <col min="10511" max="10511" width="9.5703125" style="1600" customWidth="1"/>
    <col min="10512" max="10512" width="9.85546875" style="1600" customWidth="1"/>
    <col min="10513" max="10513" width="6.5703125" style="1600" customWidth="1"/>
    <col min="10514" max="10514" width="6" style="1600" bestFit="1" customWidth="1"/>
    <col min="10515" max="10515" width="6.28515625" style="1600" customWidth="1"/>
    <col min="10516" max="10516" width="11.7109375" style="1600" customWidth="1"/>
    <col min="10517" max="10517" width="0" style="1600" hidden="1" customWidth="1"/>
    <col min="10518" max="10518" width="14.5703125" style="1600" customWidth="1"/>
    <col min="10519" max="10519" width="11.85546875" style="1600" customWidth="1"/>
    <col min="10520" max="10754" width="9.140625" style="1600"/>
    <col min="10755" max="10755" width="2.85546875" style="1600" customWidth="1"/>
    <col min="10756" max="10756" width="50.7109375" style="1600" customWidth="1"/>
    <col min="10757" max="10757" width="9.42578125" style="1600" customWidth="1"/>
    <col min="10758" max="10758" width="11.85546875" style="1600" customWidth="1"/>
    <col min="10759" max="10759" width="8.42578125" style="1600" bestFit="1" customWidth="1"/>
    <col min="10760" max="10762" width="0" style="1600" hidden="1" customWidth="1"/>
    <col min="10763" max="10763" width="6" style="1600" bestFit="1" customWidth="1"/>
    <col min="10764" max="10764" width="9.5703125" style="1600" customWidth="1"/>
    <col min="10765" max="10765" width="9.85546875" style="1600" customWidth="1"/>
    <col min="10766" max="10766" width="9.7109375" style="1600" customWidth="1"/>
    <col min="10767" max="10767" width="9.5703125" style="1600" customWidth="1"/>
    <col min="10768" max="10768" width="9.85546875" style="1600" customWidth="1"/>
    <col min="10769" max="10769" width="6.5703125" style="1600" customWidth="1"/>
    <col min="10770" max="10770" width="6" style="1600" bestFit="1" customWidth="1"/>
    <col min="10771" max="10771" width="6.28515625" style="1600" customWidth="1"/>
    <col min="10772" max="10772" width="11.7109375" style="1600" customWidth="1"/>
    <col min="10773" max="10773" width="0" style="1600" hidden="1" customWidth="1"/>
    <col min="10774" max="10774" width="14.5703125" style="1600" customWidth="1"/>
    <col min="10775" max="10775" width="11.85546875" style="1600" customWidth="1"/>
    <col min="10776" max="11010" width="9.140625" style="1600"/>
    <col min="11011" max="11011" width="2.85546875" style="1600" customWidth="1"/>
    <col min="11012" max="11012" width="50.7109375" style="1600" customWidth="1"/>
    <col min="11013" max="11013" width="9.42578125" style="1600" customWidth="1"/>
    <col min="11014" max="11014" width="11.85546875" style="1600" customWidth="1"/>
    <col min="11015" max="11015" width="8.42578125" style="1600" bestFit="1" customWidth="1"/>
    <col min="11016" max="11018" width="0" style="1600" hidden="1" customWidth="1"/>
    <col min="11019" max="11019" width="6" style="1600" bestFit="1" customWidth="1"/>
    <col min="11020" max="11020" width="9.5703125" style="1600" customWidth="1"/>
    <col min="11021" max="11021" width="9.85546875" style="1600" customWidth="1"/>
    <col min="11022" max="11022" width="9.7109375" style="1600" customWidth="1"/>
    <col min="11023" max="11023" width="9.5703125" style="1600" customWidth="1"/>
    <col min="11024" max="11024" width="9.85546875" style="1600" customWidth="1"/>
    <col min="11025" max="11025" width="6.5703125" style="1600" customWidth="1"/>
    <col min="11026" max="11026" width="6" style="1600" bestFit="1" customWidth="1"/>
    <col min="11027" max="11027" width="6.28515625" style="1600" customWidth="1"/>
    <col min="11028" max="11028" width="11.7109375" style="1600" customWidth="1"/>
    <col min="11029" max="11029" width="0" style="1600" hidden="1" customWidth="1"/>
    <col min="11030" max="11030" width="14.5703125" style="1600" customWidth="1"/>
    <col min="11031" max="11031" width="11.85546875" style="1600" customWidth="1"/>
    <col min="11032" max="11266" width="9.140625" style="1600"/>
    <col min="11267" max="11267" width="2.85546875" style="1600" customWidth="1"/>
    <col min="11268" max="11268" width="50.7109375" style="1600" customWidth="1"/>
    <col min="11269" max="11269" width="9.42578125" style="1600" customWidth="1"/>
    <col min="11270" max="11270" width="11.85546875" style="1600" customWidth="1"/>
    <col min="11271" max="11271" width="8.42578125" style="1600" bestFit="1" customWidth="1"/>
    <col min="11272" max="11274" width="0" style="1600" hidden="1" customWidth="1"/>
    <col min="11275" max="11275" width="6" style="1600" bestFit="1" customWidth="1"/>
    <col min="11276" max="11276" width="9.5703125" style="1600" customWidth="1"/>
    <col min="11277" max="11277" width="9.85546875" style="1600" customWidth="1"/>
    <col min="11278" max="11278" width="9.7109375" style="1600" customWidth="1"/>
    <col min="11279" max="11279" width="9.5703125" style="1600" customWidth="1"/>
    <col min="11280" max="11280" width="9.85546875" style="1600" customWidth="1"/>
    <col min="11281" max="11281" width="6.5703125" style="1600" customWidth="1"/>
    <col min="11282" max="11282" width="6" style="1600" bestFit="1" customWidth="1"/>
    <col min="11283" max="11283" width="6.28515625" style="1600" customWidth="1"/>
    <col min="11284" max="11284" width="11.7109375" style="1600" customWidth="1"/>
    <col min="11285" max="11285" width="0" style="1600" hidden="1" customWidth="1"/>
    <col min="11286" max="11286" width="14.5703125" style="1600" customWidth="1"/>
    <col min="11287" max="11287" width="11.85546875" style="1600" customWidth="1"/>
    <col min="11288" max="11522" width="9.140625" style="1600"/>
    <col min="11523" max="11523" width="2.85546875" style="1600" customWidth="1"/>
    <col min="11524" max="11524" width="50.7109375" style="1600" customWidth="1"/>
    <col min="11525" max="11525" width="9.42578125" style="1600" customWidth="1"/>
    <col min="11526" max="11526" width="11.85546875" style="1600" customWidth="1"/>
    <col min="11527" max="11527" width="8.42578125" style="1600" bestFit="1" customWidth="1"/>
    <col min="11528" max="11530" width="0" style="1600" hidden="1" customWidth="1"/>
    <col min="11531" max="11531" width="6" style="1600" bestFit="1" customWidth="1"/>
    <col min="11532" max="11532" width="9.5703125" style="1600" customWidth="1"/>
    <col min="11533" max="11533" width="9.85546875" style="1600" customWidth="1"/>
    <col min="11534" max="11534" width="9.7109375" style="1600" customWidth="1"/>
    <col min="11535" max="11535" width="9.5703125" style="1600" customWidth="1"/>
    <col min="11536" max="11536" width="9.85546875" style="1600" customWidth="1"/>
    <col min="11537" max="11537" width="6.5703125" style="1600" customWidth="1"/>
    <col min="11538" max="11538" width="6" style="1600" bestFit="1" customWidth="1"/>
    <col min="11539" max="11539" width="6.28515625" style="1600" customWidth="1"/>
    <col min="11540" max="11540" width="11.7109375" style="1600" customWidth="1"/>
    <col min="11541" max="11541" width="0" style="1600" hidden="1" customWidth="1"/>
    <col min="11542" max="11542" width="14.5703125" style="1600" customWidth="1"/>
    <col min="11543" max="11543" width="11.85546875" style="1600" customWidth="1"/>
    <col min="11544" max="11778" width="9.140625" style="1600"/>
    <col min="11779" max="11779" width="2.85546875" style="1600" customWidth="1"/>
    <col min="11780" max="11780" width="50.7109375" style="1600" customWidth="1"/>
    <col min="11781" max="11781" width="9.42578125" style="1600" customWidth="1"/>
    <col min="11782" max="11782" width="11.85546875" style="1600" customWidth="1"/>
    <col min="11783" max="11783" width="8.42578125" style="1600" bestFit="1" customWidth="1"/>
    <col min="11784" max="11786" width="0" style="1600" hidden="1" customWidth="1"/>
    <col min="11787" max="11787" width="6" style="1600" bestFit="1" customWidth="1"/>
    <col min="11788" max="11788" width="9.5703125" style="1600" customWidth="1"/>
    <col min="11789" max="11789" width="9.85546875" style="1600" customWidth="1"/>
    <col min="11790" max="11790" width="9.7109375" style="1600" customWidth="1"/>
    <col min="11791" max="11791" width="9.5703125" style="1600" customWidth="1"/>
    <col min="11792" max="11792" width="9.85546875" style="1600" customWidth="1"/>
    <col min="11793" max="11793" width="6.5703125" style="1600" customWidth="1"/>
    <col min="11794" max="11794" width="6" style="1600" bestFit="1" customWidth="1"/>
    <col min="11795" max="11795" width="6.28515625" style="1600" customWidth="1"/>
    <col min="11796" max="11796" width="11.7109375" style="1600" customWidth="1"/>
    <col min="11797" max="11797" width="0" style="1600" hidden="1" customWidth="1"/>
    <col min="11798" max="11798" width="14.5703125" style="1600" customWidth="1"/>
    <col min="11799" max="11799" width="11.85546875" style="1600" customWidth="1"/>
    <col min="11800" max="12034" width="9.140625" style="1600"/>
    <col min="12035" max="12035" width="2.85546875" style="1600" customWidth="1"/>
    <col min="12036" max="12036" width="50.7109375" style="1600" customWidth="1"/>
    <col min="12037" max="12037" width="9.42578125" style="1600" customWidth="1"/>
    <col min="12038" max="12038" width="11.85546875" style="1600" customWidth="1"/>
    <col min="12039" max="12039" width="8.42578125" style="1600" bestFit="1" customWidth="1"/>
    <col min="12040" max="12042" width="0" style="1600" hidden="1" customWidth="1"/>
    <col min="12043" max="12043" width="6" style="1600" bestFit="1" customWidth="1"/>
    <col min="12044" max="12044" width="9.5703125" style="1600" customWidth="1"/>
    <col min="12045" max="12045" width="9.85546875" style="1600" customWidth="1"/>
    <col min="12046" max="12046" width="9.7109375" style="1600" customWidth="1"/>
    <col min="12047" max="12047" width="9.5703125" style="1600" customWidth="1"/>
    <col min="12048" max="12048" width="9.85546875" style="1600" customWidth="1"/>
    <col min="12049" max="12049" width="6.5703125" style="1600" customWidth="1"/>
    <col min="12050" max="12050" width="6" style="1600" bestFit="1" customWidth="1"/>
    <col min="12051" max="12051" width="6.28515625" style="1600" customWidth="1"/>
    <col min="12052" max="12052" width="11.7109375" style="1600" customWidth="1"/>
    <col min="12053" max="12053" width="0" style="1600" hidden="1" customWidth="1"/>
    <col min="12054" max="12054" width="14.5703125" style="1600" customWidth="1"/>
    <col min="12055" max="12055" width="11.85546875" style="1600" customWidth="1"/>
    <col min="12056" max="12290" width="9.140625" style="1600"/>
    <col min="12291" max="12291" width="2.85546875" style="1600" customWidth="1"/>
    <col min="12292" max="12292" width="50.7109375" style="1600" customWidth="1"/>
    <col min="12293" max="12293" width="9.42578125" style="1600" customWidth="1"/>
    <col min="12294" max="12294" width="11.85546875" style="1600" customWidth="1"/>
    <col min="12295" max="12295" width="8.42578125" style="1600" bestFit="1" customWidth="1"/>
    <col min="12296" max="12298" width="0" style="1600" hidden="1" customWidth="1"/>
    <col min="12299" max="12299" width="6" style="1600" bestFit="1" customWidth="1"/>
    <col min="12300" max="12300" width="9.5703125" style="1600" customWidth="1"/>
    <col min="12301" max="12301" width="9.85546875" style="1600" customWidth="1"/>
    <col min="12302" max="12302" width="9.7109375" style="1600" customWidth="1"/>
    <col min="12303" max="12303" width="9.5703125" style="1600" customWidth="1"/>
    <col min="12304" max="12304" width="9.85546875" style="1600" customWidth="1"/>
    <col min="12305" max="12305" width="6.5703125" style="1600" customWidth="1"/>
    <col min="12306" max="12306" width="6" style="1600" bestFit="1" customWidth="1"/>
    <col min="12307" max="12307" width="6.28515625" style="1600" customWidth="1"/>
    <col min="12308" max="12308" width="11.7109375" style="1600" customWidth="1"/>
    <col min="12309" max="12309" width="0" style="1600" hidden="1" customWidth="1"/>
    <col min="12310" max="12310" width="14.5703125" style="1600" customWidth="1"/>
    <col min="12311" max="12311" width="11.85546875" style="1600" customWidth="1"/>
    <col min="12312" max="12546" width="9.140625" style="1600"/>
    <col min="12547" max="12547" width="2.85546875" style="1600" customWidth="1"/>
    <col min="12548" max="12548" width="50.7109375" style="1600" customWidth="1"/>
    <col min="12549" max="12549" width="9.42578125" style="1600" customWidth="1"/>
    <col min="12550" max="12550" width="11.85546875" style="1600" customWidth="1"/>
    <col min="12551" max="12551" width="8.42578125" style="1600" bestFit="1" customWidth="1"/>
    <col min="12552" max="12554" width="0" style="1600" hidden="1" customWidth="1"/>
    <col min="12555" max="12555" width="6" style="1600" bestFit="1" customWidth="1"/>
    <col min="12556" max="12556" width="9.5703125" style="1600" customWidth="1"/>
    <col min="12557" max="12557" width="9.85546875" style="1600" customWidth="1"/>
    <col min="12558" max="12558" width="9.7109375" style="1600" customWidth="1"/>
    <col min="12559" max="12559" width="9.5703125" style="1600" customWidth="1"/>
    <col min="12560" max="12560" width="9.85546875" style="1600" customWidth="1"/>
    <col min="12561" max="12561" width="6.5703125" style="1600" customWidth="1"/>
    <col min="12562" max="12562" width="6" style="1600" bestFit="1" customWidth="1"/>
    <col min="12563" max="12563" width="6.28515625" style="1600" customWidth="1"/>
    <col min="12564" max="12564" width="11.7109375" style="1600" customWidth="1"/>
    <col min="12565" max="12565" width="0" style="1600" hidden="1" customWidth="1"/>
    <col min="12566" max="12566" width="14.5703125" style="1600" customWidth="1"/>
    <col min="12567" max="12567" width="11.85546875" style="1600" customWidth="1"/>
    <col min="12568" max="12802" width="9.140625" style="1600"/>
    <col min="12803" max="12803" width="2.85546875" style="1600" customWidth="1"/>
    <col min="12804" max="12804" width="50.7109375" style="1600" customWidth="1"/>
    <col min="12805" max="12805" width="9.42578125" style="1600" customWidth="1"/>
    <col min="12806" max="12806" width="11.85546875" style="1600" customWidth="1"/>
    <col min="12807" max="12807" width="8.42578125" style="1600" bestFit="1" customWidth="1"/>
    <col min="12808" max="12810" width="0" style="1600" hidden="1" customWidth="1"/>
    <col min="12811" max="12811" width="6" style="1600" bestFit="1" customWidth="1"/>
    <col min="12812" max="12812" width="9.5703125" style="1600" customWidth="1"/>
    <col min="12813" max="12813" width="9.85546875" style="1600" customWidth="1"/>
    <col min="12814" max="12814" width="9.7109375" style="1600" customWidth="1"/>
    <col min="12815" max="12815" width="9.5703125" style="1600" customWidth="1"/>
    <col min="12816" max="12816" width="9.85546875" style="1600" customWidth="1"/>
    <col min="12817" max="12817" width="6.5703125" style="1600" customWidth="1"/>
    <col min="12818" max="12818" width="6" style="1600" bestFit="1" customWidth="1"/>
    <col min="12819" max="12819" width="6.28515625" style="1600" customWidth="1"/>
    <col min="12820" max="12820" width="11.7109375" style="1600" customWidth="1"/>
    <col min="12821" max="12821" width="0" style="1600" hidden="1" customWidth="1"/>
    <col min="12822" max="12822" width="14.5703125" style="1600" customWidth="1"/>
    <col min="12823" max="12823" width="11.85546875" style="1600" customWidth="1"/>
    <col min="12824" max="13058" width="9.140625" style="1600"/>
    <col min="13059" max="13059" width="2.85546875" style="1600" customWidth="1"/>
    <col min="13060" max="13060" width="50.7109375" style="1600" customWidth="1"/>
    <col min="13061" max="13061" width="9.42578125" style="1600" customWidth="1"/>
    <col min="13062" max="13062" width="11.85546875" style="1600" customWidth="1"/>
    <col min="13063" max="13063" width="8.42578125" style="1600" bestFit="1" customWidth="1"/>
    <col min="13064" max="13066" width="0" style="1600" hidden="1" customWidth="1"/>
    <col min="13067" max="13067" width="6" style="1600" bestFit="1" customWidth="1"/>
    <col min="13068" max="13068" width="9.5703125" style="1600" customWidth="1"/>
    <col min="13069" max="13069" width="9.85546875" style="1600" customWidth="1"/>
    <col min="13070" max="13070" width="9.7109375" style="1600" customWidth="1"/>
    <col min="13071" max="13071" width="9.5703125" style="1600" customWidth="1"/>
    <col min="13072" max="13072" width="9.85546875" style="1600" customWidth="1"/>
    <col min="13073" max="13073" width="6.5703125" style="1600" customWidth="1"/>
    <col min="13074" max="13074" width="6" style="1600" bestFit="1" customWidth="1"/>
    <col min="13075" max="13075" width="6.28515625" style="1600" customWidth="1"/>
    <col min="13076" max="13076" width="11.7109375" style="1600" customWidth="1"/>
    <col min="13077" max="13077" width="0" style="1600" hidden="1" customWidth="1"/>
    <col min="13078" max="13078" width="14.5703125" style="1600" customWidth="1"/>
    <col min="13079" max="13079" width="11.85546875" style="1600" customWidth="1"/>
    <col min="13080" max="13314" width="9.140625" style="1600"/>
    <col min="13315" max="13315" width="2.85546875" style="1600" customWidth="1"/>
    <col min="13316" max="13316" width="50.7109375" style="1600" customWidth="1"/>
    <col min="13317" max="13317" width="9.42578125" style="1600" customWidth="1"/>
    <col min="13318" max="13318" width="11.85546875" style="1600" customWidth="1"/>
    <col min="13319" max="13319" width="8.42578125" style="1600" bestFit="1" customWidth="1"/>
    <col min="13320" max="13322" width="0" style="1600" hidden="1" customWidth="1"/>
    <col min="13323" max="13323" width="6" style="1600" bestFit="1" customWidth="1"/>
    <col min="13324" max="13324" width="9.5703125" style="1600" customWidth="1"/>
    <col min="13325" max="13325" width="9.85546875" style="1600" customWidth="1"/>
    <col min="13326" max="13326" width="9.7109375" style="1600" customWidth="1"/>
    <col min="13327" max="13327" width="9.5703125" style="1600" customWidth="1"/>
    <col min="13328" max="13328" width="9.85546875" style="1600" customWidth="1"/>
    <col min="13329" max="13329" width="6.5703125" style="1600" customWidth="1"/>
    <col min="13330" max="13330" width="6" style="1600" bestFit="1" customWidth="1"/>
    <col min="13331" max="13331" width="6.28515625" style="1600" customWidth="1"/>
    <col min="13332" max="13332" width="11.7109375" style="1600" customWidth="1"/>
    <col min="13333" max="13333" width="0" style="1600" hidden="1" customWidth="1"/>
    <col min="13334" max="13334" width="14.5703125" style="1600" customWidth="1"/>
    <col min="13335" max="13335" width="11.85546875" style="1600" customWidth="1"/>
    <col min="13336" max="13570" width="9.140625" style="1600"/>
    <col min="13571" max="13571" width="2.85546875" style="1600" customWidth="1"/>
    <col min="13572" max="13572" width="50.7109375" style="1600" customWidth="1"/>
    <col min="13573" max="13573" width="9.42578125" style="1600" customWidth="1"/>
    <col min="13574" max="13574" width="11.85546875" style="1600" customWidth="1"/>
    <col min="13575" max="13575" width="8.42578125" style="1600" bestFit="1" customWidth="1"/>
    <col min="13576" max="13578" width="0" style="1600" hidden="1" customWidth="1"/>
    <col min="13579" max="13579" width="6" style="1600" bestFit="1" customWidth="1"/>
    <col min="13580" max="13580" width="9.5703125" style="1600" customWidth="1"/>
    <col min="13581" max="13581" width="9.85546875" style="1600" customWidth="1"/>
    <col min="13582" max="13582" width="9.7109375" style="1600" customWidth="1"/>
    <col min="13583" max="13583" width="9.5703125" style="1600" customWidth="1"/>
    <col min="13584" max="13584" width="9.85546875" style="1600" customWidth="1"/>
    <col min="13585" max="13585" width="6.5703125" style="1600" customWidth="1"/>
    <col min="13586" max="13586" width="6" style="1600" bestFit="1" customWidth="1"/>
    <col min="13587" max="13587" width="6.28515625" style="1600" customWidth="1"/>
    <col min="13588" max="13588" width="11.7109375" style="1600" customWidth="1"/>
    <col min="13589" max="13589" width="0" style="1600" hidden="1" customWidth="1"/>
    <col min="13590" max="13590" width="14.5703125" style="1600" customWidth="1"/>
    <col min="13591" max="13591" width="11.85546875" style="1600" customWidth="1"/>
    <col min="13592" max="13826" width="9.140625" style="1600"/>
    <col min="13827" max="13827" width="2.85546875" style="1600" customWidth="1"/>
    <col min="13828" max="13828" width="50.7109375" style="1600" customWidth="1"/>
    <col min="13829" max="13829" width="9.42578125" style="1600" customWidth="1"/>
    <col min="13830" max="13830" width="11.85546875" style="1600" customWidth="1"/>
    <col min="13831" max="13831" width="8.42578125" style="1600" bestFit="1" customWidth="1"/>
    <col min="13832" max="13834" width="0" style="1600" hidden="1" customWidth="1"/>
    <col min="13835" max="13835" width="6" style="1600" bestFit="1" customWidth="1"/>
    <col min="13836" max="13836" width="9.5703125" style="1600" customWidth="1"/>
    <col min="13837" max="13837" width="9.85546875" style="1600" customWidth="1"/>
    <col min="13838" max="13838" width="9.7109375" style="1600" customWidth="1"/>
    <col min="13839" max="13839" width="9.5703125" style="1600" customWidth="1"/>
    <col min="13840" max="13840" width="9.85546875" style="1600" customWidth="1"/>
    <col min="13841" max="13841" width="6.5703125" style="1600" customWidth="1"/>
    <col min="13842" max="13842" width="6" style="1600" bestFit="1" customWidth="1"/>
    <col min="13843" max="13843" width="6.28515625" style="1600" customWidth="1"/>
    <col min="13844" max="13844" width="11.7109375" style="1600" customWidth="1"/>
    <col min="13845" max="13845" width="0" style="1600" hidden="1" customWidth="1"/>
    <col min="13846" max="13846" width="14.5703125" style="1600" customWidth="1"/>
    <col min="13847" max="13847" width="11.85546875" style="1600" customWidth="1"/>
    <col min="13848" max="14082" width="9.140625" style="1600"/>
    <col min="14083" max="14083" width="2.85546875" style="1600" customWidth="1"/>
    <col min="14084" max="14084" width="50.7109375" style="1600" customWidth="1"/>
    <col min="14085" max="14085" width="9.42578125" style="1600" customWidth="1"/>
    <col min="14086" max="14086" width="11.85546875" style="1600" customWidth="1"/>
    <col min="14087" max="14087" width="8.42578125" style="1600" bestFit="1" customWidth="1"/>
    <col min="14088" max="14090" width="0" style="1600" hidden="1" customWidth="1"/>
    <col min="14091" max="14091" width="6" style="1600" bestFit="1" customWidth="1"/>
    <col min="14092" max="14092" width="9.5703125" style="1600" customWidth="1"/>
    <col min="14093" max="14093" width="9.85546875" style="1600" customWidth="1"/>
    <col min="14094" max="14094" width="9.7109375" style="1600" customWidth="1"/>
    <col min="14095" max="14095" width="9.5703125" style="1600" customWidth="1"/>
    <col min="14096" max="14096" width="9.85546875" style="1600" customWidth="1"/>
    <col min="14097" max="14097" width="6.5703125" style="1600" customWidth="1"/>
    <col min="14098" max="14098" width="6" style="1600" bestFit="1" customWidth="1"/>
    <col min="14099" max="14099" width="6.28515625" style="1600" customWidth="1"/>
    <col min="14100" max="14100" width="11.7109375" style="1600" customWidth="1"/>
    <col min="14101" max="14101" width="0" style="1600" hidden="1" customWidth="1"/>
    <col min="14102" max="14102" width="14.5703125" style="1600" customWidth="1"/>
    <col min="14103" max="14103" width="11.85546875" style="1600" customWidth="1"/>
    <col min="14104" max="14338" width="9.140625" style="1600"/>
    <col min="14339" max="14339" width="2.85546875" style="1600" customWidth="1"/>
    <col min="14340" max="14340" width="50.7109375" style="1600" customWidth="1"/>
    <col min="14341" max="14341" width="9.42578125" style="1600" customWidth="1"/>
    <col min="14342" max="14342" width="11.85546875" style="1600" customWidth="1"/>
    <col min="14343" max="14343" width="8.42578125" style="1600" bestFit="1" customWidth="1"/>
    <col min="14344" max="14346" width="0" style="1600" hidden="1" customWidth="1"/>
    <col min="14347" max="14347" width="6" style="1600" bestFit="1" customWidth="1"/>
    <col min="14348" max="14348" width="9.5703125" style="1600" customWidth="1"/>
    <col min="14349" max="14349" width="9.85546875" style="1600" customWidth="1"/>
    <col min="14350" max="14350" width="9.7109375" style="1600" customWidth="1"/>
    <col min="14351" max="14351" width="9.5703125" style="1600" customWidth="1"/>
    <col min="14352" max="14352" width="9.85546875" style="1600" customWidth="1"/>
    <col min="14353" max="14353" width="6.5703125" style="1600" customWidth="1"/>
    <col min="14354" max="14354" width="6" style="1600" bestFit="1" customWidth="1"/>
    <col min="14355" max="14355" width="6.28515625" style="1600" customWidth="1"/>
    <col min="14356" max="14356" width="11.7109375" style="1600" customWidth="1"/>
    <col min="14357" max="14357" width="0" style="1600" hidden="1" customWidth="1"/>
    <col min="14358" max="14358" width="14.5703125" style="1600" customWidth="1"/>
    <col min="14359" max="14359" width="11.85546875" style="1600" customWidth="1"/>
    <col min="14360" max="14594" width="9.140625" style="1600"/>
    <col min="14595" max="14595" width="2.85546875" style="1600" customWidth="1"/>
    <col min="14596" max="14596" width="50.7109375" style="1600" customWidth="1"/>
    <col min="14597" max="14597" width="9.42578125" style="1600" customWidth="1"/>
    <col min="14598" max="14598" width="11.85546875" style="1600" customWidth="1"/>
    <col min="14599" max="14599" width="8.42578125" style="1600" bestFit="1" customWidth="1"/>
    <col min="14600" max="14602" width="0" style="1600" hidden="1" customWidth="1"/>
    <col min="14603" max="14603" width="6" style="1600" bestFit="1" customWidth="1"/>
    <col min="14604" max="14604" width="9.5703125" style="1600" customWidth="1"/>
    <col min="14605" max="14605" width="9.85546875" style="1600" customWidth="1"/>
    <col min="14606" max="14606" width="9.7109375" style="1600" customWidth="1"/>
    <col min="14607" max="14607" width="9.5703125" style="1600" customWidth="1"/>
    <col min="14608" max="14608" width="9.85546875" style="1600" customWidth="1"/>
    <col min="14609" max="14609" width="6.5703125" style="1600" customWidth="1"/>
    <col min="14610" max="14610" width="6" style="1600" bestFit="1" customWidth="1"/>
    <col min="14611" max="14611" width="6.28515625" style="1600" customWidth="1"/>
    <col min="14612" max="14612" width="11.7109375" style="1600" customWidth="1"/>
    <col min="14613" max="14613" width="0" style="1600" hidden="1" customWidth="1"/>
    <col min="14614" max="14614" width="14.5703125" style="1600" customWidth="1"/>
    <col min="14615" max="14615" width="11.85546875" style="1600" customWidth="1"/>
    <col min="14616" max="14850" width="9.140625" style="1600"/>
    <col min="14851" max="14851" width="2.85546875" style="1600" customWidth="1"/>
    <col min="14852" max="14852" width="50.7109375" style="1600" customWidth="1"/>
    <col min="14853" max="14853" width="9.42578125" style="1600" customWidth="1"/>
    <col min="14854" max="14854" width="11.85546875" style="1600" customWidth="1"/>
    <col min="14855" max="14855" width="8.42578125" style="1600" bestFit="1" customWidth="1"/>
    <col min="14856" max="14858" width="0" style="1600" hidden="1" customWidth="1"/>
    <col min="14859" max="14859" width="6" style="1600" bestFit="1" customWidth="1"/>
    <col min="14860" max="14860" width="9.5703125" style="1600" customWidth="1"/>
    <col min="14861" max="14861" width="9.85546875" style="1600" customWidth="1"/>
    <col min="14862" max="14862" width="9.7109375" style="1600" customWidth="1"/>
    <col min="14863" max="14863" width="9.5703125" style="1600" customWidth="1"/>
    <col min="14864" max="14864" width="9.85546875" style="1600" customWidth="1"/>
    <col min="14865" max="14865" width="6.5703125" style="1600" customWidth="1"/>
    <col min="14866" max="14866" width="6" style="1600" bestFit="1" customWidth="1"/>
    <col min="14867" max="14867" width="6.28515625" style="1600" customWidth="1"/>
    <col min="14868" max="14868" width="11.7109375" style="1600" customWidth="1"/>
    <col min="14869" max="14869" width="0" style="1600" hidden="1" customWidth="1"/>
    <col min="14870" max="14870" width="14.5703125" style="1600" customWidth="1"/>
    <col min="14871" max="14871" width="11.85546875" style="1600" customWidth="1"/>
    <col min="14872" max="15106" width="9.140625" style="1600"/>
    <col min="15107" max="15107" width="2.85546875" style="1600" customWidth="1"/>
    <col min="15108" max="15108" width="50.7109375" style="1600" customWidth="1"/>
    <col min="15109" max="15109" width="9.42578125" style="1600" customWidth="1"/>
    <col min="15110" max="15110" width="11.85546875" style="1600" customWidth="1"/>
    <col min="15111" max="15111" width="8.42578125" style="1600" bestFit="1" customWidth="1"/>
    <col min="15112" max="15114" width="0" style="1600" hidden="1" customWidth="1"/>
    <col min="15115" max="15115" width="6" style="1600" bestFit="1" customWidth="1"/>
    <col min="15116" max="15116" width="9.5703125" style="1600" customWidth="1"/>
    <col min="15117" max="15117" width="9.85546875" style="1600" customWidth="1"/>
    <col min="15118" max="15118" width="9.7109375" style="1600" customWidth="1"/>
    <col min="15119" max="15119" width="9.5703125" style="1600" customWidth="1"/>
    <col min="15120" max="15120" width="9.85546875" style="1600" customWidth="1"/>
    <col min="15121" max="15121" width="6.5703125" style="1600" customWidth="1"/>
    <col min="15122" max="15122" width="6" style="1600" bestFit="1" customWidth="1"/>
    <col min="15123" max="15123" width="6.28515625" style="1600" customWidth="1"/>
    <col min="15124" max="15124" width="11.7109375" style="1600" customWidth="1"/>
    <col min="15125" max="15125" width="0" style="1600" hidden="1" customWidth="1"/>
    <col min="15126" max="15126" width="14.5703125" style="1600" customWidth="1"/>
    <col min="15127" max="15127" width="11.85546875" style="1600" customWidth="1"/>
    <col min="15128" max="15362" width="9.140625" style="1600"/>
    <col min="15363" max="15363" width="2.85546875" style="1600" customWidth="1"/>
    <col min="15364" max="15364" width="50.7109375" style="1600" customWidth="1"/>
    <col min="15365" max="15365" width="9.42578125" style="1600" customWidth="1"/>
    <col min="15366" max="15366" width="11.85546875" style="1600" customWidth="1"/>
    <col min="15367" max="15367" width="8.42578125" style="1600" bestFit="1" customWidth="1"/>
    <col min="15368" max="15370" width="0" style="1600" hidden="1" customWidth="1"/>
    <col min="15371" max="15371" width="6" style="1600" bestFit="1" customWidth="1"/>
    <col min="15372" max="15372" width="9.5703125" style="1600" customWidth="1"/>
    <col min="15373" max="15373" width="9.85546875" style="1600" customWidth="1"/>
    <col min="15374" max="15374" width="9.7109375" style="1600" customWidth="1"/>
    <col min="15375" max="15375" width="9.5703125" style="1600" customWidth="1"/>
    <col min="15376" max="15376" width="9.85546875" style="1600" customWidth="1"/>
    <col min="15377" max="15377" width="6.5703125" style="1600" customWidth="1"/>
    <col min="15378" max="15378" width="6" style="1600" bestFit="1" customWidth="1"/>
    <col min="15379" max="15379" width="6.28515625" style="1600" customWidth="1"/>
    <col min="15380" max="15380" width="11.7109375" style="1600" customWidth="1"/>
    <col min="15381" max="15381" width="0" style="1600" hidden="1" customWidth="1"/>
    <col min="15382" max="15382" width="14.5703125" style="1600" customWidth="1"/>
    <col min="15383" max="15383" width="11.85546875" style="1600" customWidth="1"/>
    <col min="15384" max="15618" width="9.140625" style="1600"/>
    <col min="15619" max="15619" width="2.85546875" style="1600" customWidth="1"/>
    <col min="15620" max="15620" width="50.7109375" style="1600" customWidth="1"/>
    <col min="15621" max="15621" width="9.42578125" style="1600" customWidth="1"/>
    <col min="15622" max="15622" width="11.85546875" style="1600" customWidth="1"/>
    <col min="15623" max="15623" width="8.42578125" style="1600" bestFit="1" customWidth="1"/>
    <col min="15624" max="15626" width="0" style="1600" hidden="1" customWidth="1"/>
    <col min="15627" max="15627" width="6" style="1600" bestFit="1" customWidth="1"/>
    <col min="15628" max="15628" width="9.5703125" style="1600" customWidth="1"/>
    <col min="15629" max="15629" width="9.85546875" style="1600" customWidth="1"/>
    <col min="15630" max="15630" width="9.7109375" style="1600" customWidth="1"/>
    <col min="15631" max="15631" width="9.5703125" style="1600" customWidth="1"/>
    <col min="15632" max="15632" width="9.85546875" style="1600" customWidth="1"/>
    <col min="15633" max="15633" width="6.5703125" style="1600" customWidth="1"/>
    <col min="15634" max="15634" width="6" style="1600" bestFit="1" customWidth="1"/>
    <col min="15635" max="15635" width="6.28515625" style="1600" customWidth="1"/>
    <col min="15636" max="15636" width="11.7109375" style="1600" customWidth="1"/>
    <col min="15637" max="15637" width="0" style="1600" hidden="1" customWidth="1"/>
    <col min="15638" max="15638" width="14.5703125" style="1600" customWidth="1"/>
    <col min="15639" max="15639" width="11.85546875" style="1600" customWidth="1"/>
    <col min="15640" max="15874" width="9.140625" style="1600"/>
    <col min="15875" max="15875" width="2.85546875" style="1600" customWidth="1"/>
    <col min="15876" max="15876" width="50.7109375" style="1600" customWidth="1"/>
    <col min="15877" max="15877" width="9.42578125" style="1600" customWidth="1"/>
    <col min="15878" max="15878" width="11.85546875" style="1600" customWidth="1"/>
    <col min="15879" max="15879" width="8.42578125" style="1600" bestFit="1" customWidth="1"/>
    <col min="15880" max="15882" width="0" style="1600" hidden="1" customWidth="1"/>
    <col min="15883" max="15883" width="6" style="1600" bestFit="1" customWidth="1"/>
    <col min="15884" max="15884" width="9.5703125" style="1600" customWidth="1"/>
    <col min="15885" max="15885" width="9.85546875" style="1600" customWidth="1"/>
    <col min="15886" max="15886" width="9.7109375" style="1600" customWidth="1"/>
    <col min="15887" max="15887" width="9.5703125" style="1600" customWidth="1"/>
    <col min="15888" max="15888" width="9.85546875" style="1600" customWidth="1"/>
    <col min="15889" max="15889" width="6.5703125" style="1600" customWidth="1"/>
    <col min="15890" max="15890" width="6" style="1600" bestFit="1" customWidth="1"/>
    <col min="15891" max="15891" width="6.28515625" style="1600" customWidth="1"/>
    <col min="15892" max="15892" width="11.7109375" style="1600" customWidth="1"/>
    <col min="15893" max="15893" width="0" style="1600" hidden="1" customWidth="1"/>
    <col min="15894" max="15894" width="14.5703125" style="1600" customWidth="1"/>
    <col min="15895" max="15895" width="11.85546875" style="1600" customWidth="1"/>
    <col min="15896" max="16130" width="9.140625" style="1600"/>
    <col min="16131" max="16131" width="2.85546875" style="1600" customWidth="1"/>
    <col min="16132" max="16132" width="50.7109375" style="1600" customWidth="1"/>
    <col min="16133" max="16133" width="9.42578125" style="1600" customWidth="1"/>
    <col min="16134" max="16134" width="11.85546875" style="1600" customWidth="1"/>
    <col min="16135" max="16135" width="8.42578125" style="1600" bestFit="1" customWidth="1"/>
    <col min="16136" max="16138" width="0" style="1600" hidden="1" customWidth="1"/>
    <col min="16139" max="16139" width="6" style="1600" bestFit="1" customWidth="1"/>
    <col min="16140" max="16140" width="9.5703125" style="1600" customWidth="1"/>
    <col min="16141" max="16141" width="9.85546875" style="1600" customWidth="1"/>
    <col min="16142" max="16142" width="9.7109375" style="1600" customWidth="1"/>
    <col min="16143" max="16143" width="9.5703125" style="1600" customWidth="1"/>
    <col min="16144" max="16144" width="9.85546875" style="1600" customWidth="1"/>
    <col min="16145" max="16145" width="6.5703125" style="1600" customWidth="1"/>
    <col min="16146" max="16146" width="6" style="1600" bestFit="1" customWidth="1"/>
    <col min="16147" max="16147" width="6.28515625" style="1600" customWidth="1"/>
    <col min="16148" max="16148" width="11.7109375" style="1600" customWidth="1"/>
    <col min="16149" max="16149" width="0" style="1600" hidden="1" customWidth="1"/>
    <col min="16150" max="16150" width="14.5703125" style="1600" customWidth="1"/>
    <col min="16151" max="16151" width="11.85546875" style="1600" customWidth="1"/>
    <col min="16152" max="16384" width="9.140625" style="1600"/>
  </cols>
  <sheetData>
    <row r="1" spans="1:23" ht="15" customHeight="1">
      <c r="O1" s="1601"/>
      <c r="P1" s="1653"/>
      <c r="R1" s="1600"/>
      <c r="S1" s="1602" t="s">
        <v>311</v>
      </c>
      <c r="T1" s="1600"/>
      <c r="U1" s="1603"/>
      <c r="V1" s="1604"/>
    </row>
    <row r="2" spans="1:23" ht="5.25" customHeight="1">
      <c r="N2" s="1605"/>
      <c r="O2" s="1606"/>
      <c r="P2" s="1607"/>
      <c r="Q2" s="1600"/>
      <c r="R2" s="1600"/>
      <c r="S2" s="1600"/>
      <c r="T2" s="1600"/>
      <c r="U2" s="1603"/>
      <c r="V2" s="1604"/>
    </row>
    <row r="3" spans="1:23" ht="15" customHeight="1">
      <c r="N3" s="1605"/>
      <c r="O3" s="1606"/>
      <c r="P3" s="1607"/>
      <c r="Q3" s="1600"/>
      <c r="R3" s="1600"/>
      <c r="S3" s="1600"/>
      <c r="T3" s="1600"/>
      <c r="U3" s="1603"/>
      <c r="V3" s="1604"/>
    </row>
    <row r="4" spans="1:23" ht="36" customHeight="1" thickBot="1">
      <c r="A4" s="2868" t="s">
        <v>299</v>
      </c>
      <c r="B4" s="2868"/>
      <c r="C4" s="2868"/>
      <c r="D4" s="2868"/>
      <c r="E4" s="2868"/>
      <c r="F4" s="2868"/>
      <c r="G4" s="2868"/>
      <c r="H4" s="2868"/>
      <c r="I4" s="2868"/>
      <c r="J4" s="2868"/>
      <c r="K4" s="2868"/>
      <c r="L4" s="2868"/>
      <c r="M4" s="2868"/>
      <c r="N4" s="2868"/>
      <c r="O4" s="2868"/>
      <c r="P4" s="2868"/>
      <c r="Q4" s="2868"/>
      <c r="R4" s="2868"/>
      <c r="S4" s="2868"/>
      <c r="T4" s="2868"/>
      <c r="U4" s="2868"/>
      <c r="V4" s="2868"/>
    </row>
    <row r="5" spans="1:23" ht="29.25" customHeight="1">
      <c r="A5" s="1608"/>
      <c r="B5" s="2869" t="s">
        <v>96</v>
      </c>
      <c r="C5" s="2445" t="s">
        <v>91</v>
      </c>
      <c r="D5" s="2370" t="s">
        <v>158</v>
      </c>
      <c r="E5" s="2872" t="s">
        <v>3</v>
      </c>
      <c r="F5" s="2873"/>
      <c r="G5" s="2873"/>
      <c r="H5" s="2873"/>
      <c r="I5" s="2873"/>
      <c r="J5" s="2873"/>
      <c r="K5" s="2873"/>
      <c r="L5" s="2874"/>
      <c r="M5" s="2880" t="s">
        <v>320</v>
      </c>
      <c r="N5" s="2880"/>
      <c r="O5" s="2373" t="s">
        <v>317</v>
      </c>
      <c r="P5" s="2374"/>
      <c r="Q5" s="2374"/>
      <c r="R5" s="2374"/>
      <c r="S5" s="2374"/>
      <c r="T5" s="2586"/>
      <c r="U5" s="2590" t="s">
        <v>336</v>
      </c>
      <c r="V5" s="2625" t="s">
        <v>94</v>
      </c>
    </row>
    <row r="6" spans="1:23" ht="29.25" customHeight="1">
      <c r="A6" s="1609" t="s">
        <v>95</v>
      </c>
      <c r="B6" s="2870"/>
      <c r="C6" s="2672"/>
      <c r="D6" s="2674"/>
      <c r="E6" s="2875"/>
      <c r="F6" s="2876"/>
      <c r="G6" s="2876"/>
      <c r="H6" s="2876"/>
      <c r="I6" s="2876"/>
      <c r="J6" s="2876"/>
      <c r="K6" s="2876"/>
      <c r="L6" s="2877"/>
      <c r="M6" s="2881"/>
      <c r="N6" s="2881"/>
      <c r="O6" s="2587"/>
      <c r="P6" s="2588"/>
      <c r="Q6" s="2588"/>
      <c r="R6" s="2588"/>
      <c r="S6" s="2588"/>
      <c r="T6" s="2589"/>
      <c r="U6" s="2878"/>
      <c r="V6" s="2626"/>
    </row>
    <row r="7" spans="1:23" ht="24" customHeight="1" thickBot="1">
      <c r="A7" s="1609"/>
      <c r="B7" s="2871"/>
      <c r="C7" s="2673"/>
      <c r="D7" s="2675"/>
      <c r="E7" s="1610" t="s">
        <v>6</v>
      </c>
      <c r="F7" s="1611" t="s">
        <v>7</v>
      </c>
      <c r="G7" s="1611" t="s">
        <v>8</v>
      </c>
      <c r="H7" s="1611" t="s">
        <v>9</v>
      </c>
      <c r="I7" s="2099" t="s">
        <v>10</v>
      </c>
      <c r="J7" s="2099" t="s">
        <v>11</v>
      </c>
      <c r="K7" s="2099" t="s">
        <v>12</v>
      </c>
      <c r="L7" s="2099" t="s">
        <v>13</v>
      </c>
      <c r="M7" s="2099" t="s">
        <v>327</v>
      </c>
      <c r="N7" s="1612" t="s">
        <v>14</v>
      </c>
      <c r="O7" s="1612" t="s">
        <v>15</v>
      </c>
      <c r="P7" s="1612" t="s">
        <v>16</v>
      </c>
      <c r="Q7" s="1612" t="s">
        <v>17</v>
      </c>
      <c r="R7" s="1612" t="s">
        <v>18</v>
      </c>
      <c r="S7" s="1666" t="s">
        <v>315</v>
      </c>
      <c r="T7" s="1666" t="s">
        <v>316</v>
      </c>
      <c r="U7" s="2879"/>
      <c r="V7" s="2627"/>
    </row>
    <row r="8" spans="1:23" ht="15" customHeight="1" thickBot="1">
      <c r="A8" s="1613">
        <v>1</v>
      </c>
      <c r="B8" s="1614">
        <v>2</v>
      </c>
      <c r="C8" s="1615" t="s">
        <v>159</v>
      </c>
      <c r="D8" s="1615" t="s">
        <v>160</v>
      </c>
      <c r="E8" s="1615" t="s">
        <v>161</v>
      </c>
      <c r="F8" s="1616">
        <v>8</v>
      </c>
      <c r="G8" s="1616">
        <v>9</v>
      </c>
      <c r="H8" s="1616">
        <v>10</v>
      </c>
      <c r="I8" s="1617" t="s">
        <v>162</v>
      </c>
      <c r="J8" s="1617" t="s">
        <v>163</v>
      </c>
      <c r="K8" s="1617" t="s">
        <v>164</v>
      </c>
      <c r="L8" s="1617" t="s">
        <v>165</v>
      </c>
      <c r="M8" s="1617">
        <v>5</v>
      </c>
      <c r="N8" s="1617">
        <v>6</v>
      </c>
      <c r="O8" s="1617">
        <v>7</v>
      </c>
      <c r="P8" s="1617">
        <v>8</v>
      </c>
      <c r="Q8" s="1617">
        <v>9</v>
      </c>
      <c r="R8" s="1617">
        <v>10</v>
      </c>
      <c r="S8" s="1828">
        <v>11</v>
      </c>
      <c r="T8" s="1828">
        <v>12</v>
      </c>
      <c r="U8" s="1618">
        <v>13</v>
      </c>
      <c r="V8" s="1619">
        <v>14</v>
      </c>
    </row>
    <row r="9" spans="1:23" s="2035" customFormat="1" ht="15.75" customHeight="1">
      <c r="A9" s="805"/>
      <c r="B9" s="1620" t="s">
        <v>97</v>
      </c>
      <c r="C9" s="1091"/>
      <c r="D9" s="1092">
        <f>+D10+D11</f>
        <v>2774905</v>
      </c>
      <c r="E9" s="1092">
        <f t="shared" ref="E9:Q9" si="0">+E10+E11</f>
        <v>0</v>
      </c>
      <c r="F9" s="1092">
        <f t="shared" si="0"/>
        <v>0</v>
      </c>
      <c r="G9" s="1092">
        <f t="shared" si="0"/>
        <v>0</v>
      </c>
      <c r="H9" s="1092">
        <f t="shared" si="0"/>
        <v>0</v>
      </c>
      <c r="I9" s="1092">
        <f t="shared" si="0"/>
        <v>0</v>
      </c>
      <c r="J9" s="1092">
        <f t="shared" si="0"/>
        <v>7150</v>
      </c>
      <c r="K9" s="1092">
        <f t="shared" si="0"/>
        <v>166570</v>
      </c>
      <c r="L9" s="1092">
        <f t="shared" si="0"/>
        <v>304765</v>
      </c>
      <c r="M9" s="1092">
        <f t="shared" ref="M9" si="1">+M10+M11</f>
        <v>478485</v>
      </c>
      <c r="N9" s="1092">
        <f t="shared" si="0"/>
        <v>1224113</v>
      </c>
      <c r="O9" s="1092">
        <f t="shared" si="0"/>
        <v>1072307</v>
      </c>
      <c r="P9" s="1092">
        <f t="shared" si="0"/>
        <v>0</v>
      </c>
      <c r="Q9" s="1092">
        <f t="shared" si="0"/>
        <v>0</v>
      </c>
      <c r="R9" s="1092">
        <f t="shared" ref="R9:T9" si="2">+R10+R11</f>
        <v>0</v>
      </c>
      <c r="S9" s="1092">
        <f t="shared" si="2"/>
        <v>0</v>
      </c>
      <c r="T9" s="1092">
        <f t="shared" si="2"/>
        <v>0</v>
      </c>
      <c r="U9" s="843">
        <f>+U10+U11</f>
        <v>1072307</v>
      </c>
      <c r="V9" s="399"/>
      <c r="W9" s="2034"/>
    </row>
    <row r="10" spans="1:23" s="2035" customFormat="1" ht="13.5" customHeight="1">
      <c r="A10" s="805"/>
      <c r="B10" s="1133" t="s">
        <v>98</v>
      </c>
      <c r="C10" s="1094"/>
      <c r="D10" s="1095">
        <f>+D21+D30</f>
        <v>2676905</v>
      </c>
      <c r="E10" s="1095">
        <f t="shared" ref="E10:Q10" si="3">+E21+E30</f>
        <v>0</v>
      </c>
      <c r="F10" s="1095">
        <f t="shared" si="3"/>
        <v>0</v>
      </c>
      <c r="G10" s="1095">
        <f t="shared" si="3"/>
        <v>0</v>
      </c>
      <c r="H10" s="1095">
        <f t="shared" si="3"/>
        <v>0</v>
      </c>
      <c r="I10" s="1095">
        <f t="shared" si="3"/>
        <v>0</v>
      </c>
      <c r="J10" s="1095">
        <f t="shared" si="3"/>
        <v>7150</v>
      </c>
      <c r="K10" s="1095">
        <f t="shared" si="3"/>
        <v>166570</v>
      </c>
      <c r="L10" s="1095">
        <f t="shared" si="3"/>
        <v>304765</v>
      </c>
      <c r="M10" s="1095">
        <f t="shared" ref="M10" si="4">+M21+M30</f>
        <v>478485</v>
      </c>
      <c r="N10" s="1095">
        <f t="shared" si="3"/>
        <v>1145540</v>
      </c>
      <c r="O10" s="1095">
        <f t="shared" si="3"/>
        <v>1052880</v>
      </c>
      <c r="P10" s="1095">
        <f t="shared" si="3"/>
        <v>0</v>
      </c>
      <c r="Q10" s="1095">
        <f t="shared" si="3"/>
        <v>0</v>
      </c>
      <c r="R10" s="1095">
        <f t="shared" ref="R10:T10" si="5">+R21+R30</f>
        <v>0</v>
      </c>
      <c r="S10" s="1095">
        <f t="shared" si="5"/>
        <v>0</v>
      </c>
      <c r="T10" s="1095">
        <f t="shared" si="5"/>
        <v>0</v>
      </c>
      <c r="U10" s="398">
        <f>SUM(O10:T10)</f>
        <v>1052880</v>
      </c>
      <c r="V10" s="399"/>
    </row>
    <row r="11" spans="1:23" s="2035" customFormat="1" ht="13.5" customHeight="1" thickBot="1">
      <c r="A11" s="805"/>
      <c r="B11" s="1621" t="s">
        <v>21</v>
      </c>
      <c r="C11" s="1622"/>
      <c r="D11" s="1623">
        <f>D39</f>
        <v>98000</v>
      </c>
      <c r="E11" s="1623">
        <f t="shared" ref="E11:Q11" si="6">E39</f>
        <v>0</v>
      </c>
      <c r="F11" s="1623">
        <f t="shared" si="6"/>
        <v>0</v>
      </c>
      <c r="G11" s="1623">
        <f t="shared" si="6"/>
        <v>0</v>
      </c>
      <c r="H11" s="1623">
        <f t="shared" si="6"/>
        <v>0</v>
      </c>
      <c r="I11" s="1623">
        <f t="shared" si="6"/>
        <v>0</v>
      </c>
      <c r="J11" s="1623">
        <f t="shared" si="6"/>
        <v>0</v>
      </c>
      <c r="K11" s="1623">
        <f t="shared" si="6"/>
        <v>0</v>
      </c>
      <c r="L11" s="1623">
        <f t="shared" si="6"/>
        <v>0</v>
      </c>
      <c r="M11" s="1623">
        <f t="shared" ref="M11" si="7">M39</f>
        <v>0</v>
      </c>
      <c r="N11" s="1623">
        <f t="shared" si="6"/>
        <v>78573</v>
      </c>
      <c r="O11" s="1623">
        <f t="shared" si="6"/>
        <v>19427</v>
      </c>
      <c r="P11" s="1623">
        <f t="shared" si="6"/>
        <v>0</v>
      </c>
      <c r="Q11" s="1623">
        <f t="shared" si="6"/>
        <v>0</v>
      </c>
      <c r="R11" s="1623">
        <f t="shared" ref="R11:T11" si="8">R39</f>
        <v>0</v>
      </c>
      <c r="S11" s="1623">
        <f t="shared" si="8"/>
        <v>0</v>
      </c>
      <c r="T11" s="1623">
        <f t="shared" si="8"/>
        <v>0</v>
      </c>
      <c r="U11" s="845">
        <f>SUM(O11:T11)</f>
        <v>19427</v>
      </c>
      <c r="V11" s="399"/>
    </row>
    <row r="12" spans="1:23" ht="17.25" customHeight="1">
      <c r="A12" s="805"/>
      <c r="B12" s="608" t="s">
        <v>22</v>
      </c>
      <c r="C12" s="603"/>
      <c r="D12" s="673">
        <f>D13+D15</f>
        <v>2774905</v>
      </c>
      <c r="E12" s="673">
        <f t="shared" ref="E12:O12" si="9">E13+E15</f>
        <v>0</v>
      </c>
      <c r="F12" s="673">
        <f t="shared" si="9"/>
        <v>0</v>
      </c>
      <c r="G12" s="673">
        <f t="shared" si="9"/>
        <v>0</v>
      </c>
      <c r="H12" s="673">
        <f t="shared" si="9"/>
        <v>0</v>
      </c>
      <c r="I12" s="673">
        <f t="shared" si="9"/>
        <v>0</v>
      </c>
      <c r="J12" s="673">
        <f t="shared" si="9"/>
        <v>7150</v>
      </c>
      <c r="K12" s="673">
        <f t="shared" si="9"/>
        <v>166570</v>
      </c>
      <c r="L12" s="673">
        <f t="shared" si="9"/>
        <v>304765</v>
      </c>
      <c r="M12" s="673">
        <f t="shared" ref="M12" si="10">M13+M15</f>
        <v>478485</v>
      </c>
      <c r="N12" s="673">
        <f t="shared" si="9"/>
        <v>1224113</v>
      </c>
      <c r="O12" s="673">
        <f t="shared" si="9"/>
        <v>1072307</v>
      </c>
      <c r="P12" s="673">
        <f t="shared" ref="P12:T12" si="11">P13+P15</f>
        <v>0</v>
      </c>
      <c r="Q12" s="673">
        <f t="shared" si="11"/>
        <v>0</v>
      </c>
      <c r="R12" s="673">
        <f t="shared" si="11"/>
        <v>0</v>
      </c>
      <c r="S12" s="673">
        <f t="shared" si="11"/>
        <v>0</v>
      </c>
      <c r="T12" s="673">
        <f t="shared" si="11"/>
        <v>0</v>
      </c>
      <c r="U12" s="1460">
        <f>+U13+U15</f>
        <v>1072307</v>
      </c>
      <c r="V12" s="739"/>
    </row>
    <row r="13" spans="1:23" ht="13.5" customHeight="1">
      <c r="A13" s="805"/>
      <c r="B13" s="1259" t="s">
        <v>36</v>
      </c>
      <c r="C13" s="1260"/>
      <c r="D13" s="1625">
        <f>D14</f>
        <v>416236</v>
      </c>
      <c r="E13" s="1625">
        <f t="shared" ref="E13:K13" si="12">+E14</f>
        <v>0</v>
      </c>
      <c r="F13" s="1625">
        <f t="shared" si="12"/>
        <v>0</v>
      </c>
      <c r="G13" s="1625">
        <f t="shared" si="12"/>
        <v>0</v>
      </c>
      <c r="H13" s="1625">
        <f t="shared" si="12"/>
        <v>0</v>
      </c>
      <c r="I13" s="1625">
        <f t="shared" si="12"/>
        <v>0</v>
      </c>
      <c r="J13" s="1625">
        <f t="shared" si="12"/>
        <v>1073</v>
      </c>
      <c r="K13" s="1625">
        <f t="shared" si="12"/>
        <v>24986</v>
      </c>
      <c r="L13" s="1625">
        <f>+L14</f>
        <v>45714</v>
      </c>
      <c r="M13" s="1625">
        <f>+M14</f>
        <v>71773</v>
      </c>
      <c r="N13" s="1625">
        <f>+N14</f>
        <v>89274</v>
      </c>
      <c r="O13" s="1625">
        <f>+O14</f>
        <v>255189</v>
      </c>
      <c r="P13" s="1625">
        <f t="shared" ref="P13:T13" si="13">+P14</f>
        <v>0</v>
      </c>
      <c r="Q13" s="1625">
        <f t="shared" si="13"/>
        <v>0</v>
      </c>
      <c r="R13" s="1625">
        <f t="shared" si="13"/>
        <v>0</v>
      </c>
      <c r="S13" s="1625">
        <f t="shared" si="13"/>
        <v>0</v>
      </c>
      <c r="T13" s="1625">
        <f t="shared" si="13"/>
        <v>0</v>
      </c>
      <c r="U13" s="1626">
        <f>+U14</f>
        <v>255189</v>
      </c>
      <c r="V13" s="2089"/>
    </row>
    <row r="14" spans="1:23" ht="13.5" customHeight="1">
      <c r="A14" s="805"/>
      <c r="B14" s="414" t="s">
        <v>24</v>
      </c>
      <c r="C14" s="415"/>
      <c r="D14" s="1627">
        <f>D23+D32+D41</f>
        <v>416236</v>
      </c>
      <c r="E14" s="1627">
        <f t="shared" ref="E14:O14" si="14">E23+E32</f>
        <v>0</v>
      </c>
      <c r="F14" s="1627">
        <f t="shared" si="14"/>
        <v>0</v>
      </c>
      <c r="G14" s="1627">
        <f t="shared" si="14"/>
        <v>0</v>
      </c>
      <c r="H14" s="1627">
        <f t="shared" si="14"/>
        <v>0</v>
      </c>
      <c r="I14" s="1627">
        <f t="shared" si="14"/>
        <v>0</v>
      </c>
      <c r="J14" s="1627">
        <f t="shared" si="14"/>
        <v>1073</v>
      </c>
      <c r="K14" s="1627">
        <f t="shared" si="14"/>
        <v>24986</v>
      </c>
      <c r="L14" s="1627">
        <f t="shared" si="14"/>
        <v>45714</v>
      </c>
      <c r="M14" s="1627">
        <f t="shared" ref="M14" si="15">M23+M32</f>
        <v>71773</v>
      </c>
      <c r="N14" s="1627">
        <f t="shared" si="14"/>
        <v>89274</v>
      </c>
      <c r="O14" s="1627">
        <f t="shared" si="14"/>
        <v>255189</v>
      </c>
      <c r="P14" s="1627">
        <f t="shared" ref="P14:T14" si="16">P23+P32</f>
        <v>0</v>
      </c>
      <c r="Q14" s="1627">
        <f t="shared" si="16"/>
        <v>0</v>
      </c>
      <c r="R14" s="1627">
        <f t="shared" si="16"/>
        <v>0</v>
      </c>
      <c r="S14" s="1627">
        <f t="shared" si="16"/>
        <v>0</v>
      </c>
      <c r="T14" s="1627">
        <f t="shared" si="16"/>
        <v>0</v>
      </c>
      <c r="U14" s="462">
        <f>SUM(O14:T14)</f>
        <v>255189</v>
      </c>
      <c r="V14" s="2089"/>
    </row>
    <row r="15" spans="1:23" ht="13.5" customHeight="1">
      <c r="A15" s="805"/>
      <c r="B15" s="1266" t="s">
        <v>30</v>
      </c>
      <c r="C15" s="406"/>
      <c r="D15" s="1625">
        <f>D16</f>
        <v>2358669</v>
      </c>
      <c r="E15" s="1625">
        <f t="shared" ref="E15:T15" si="17">E16</f>
        <v>0</v>
      </c>
      <c r="F15" s="1625">
        <f t="shared" si="17"/>
        <v>0</v>
      </c>
      <c r="G15" s="1625">
        <f t="shared" si="17"/>
        <v>0</v>
      </c>
      <c r="H15" s="1625">
        <f t="shared" si="17"/>
        <v>0</v>
      </c>
      <c r="I15" s="1625">
        <f t="shared" si="17"/>
        <v>0</v>
      </c>
      <c r="J15" s="1625">
        <f t="shared" si="17"/>
        <v>6077</v>
      </c>
      <c r="K15" s="1625">
        <f t="shared" si="17"/>
        <v>141584</v>
      </c>
      <c r="L15" s="1625">
        <f t="shared" si="17"/>
        <v>259051</v>
      </c>
      <c r="M15" s="1625">
        <f t="shared" si="17"/>
        <v>406712</v>
      </c>
      <c r="N15" s="1625">
        <f t="shared" si="17"/>
        <v>1134839</v>
      </c>
      <c r="O15" s="1625">
        <f t="shared" si="17"/>
        <v>817118</v>
      </c>
      <c r="P15" s="1625">
        <f t="shared" si="17"/>
        <v>0</v>
      </c>
      <c r="Q15" s="1625">
        <f t="shared" si="17"/>
        <v>0</v>
      </c>
      <c r="R15" s="1625">
        <f t="shared" si="17"/>
        <v>0</v>
      </c>
      <c r="S15" s="1625">
        <f t="shared" si="17"/>
        <v>0</v>
      </c>
      <c r="T15" s="1625">
        <f t="shared" si="17"/>
        <v>0</v>
      </c>
      <c r="U15" s="557">
        <f>+U16</f>
        <v>817118</v>
      </c>
      <c r="V15" s="2089"/>
    </row>
    <row r="16" spans="1:23" ht="13.5" customHeight="1">
      <c r="A16" s="805"/>
      <c r="B16" s="414" t="s">
        <v>33</v>
      </c>
      <c r="C16" s="425"/>
      <c r="D16" s="1628">
        <f>D25+D34+D43</f>
        <v>2358669</v>
      </c>
      <c r="E16" s="1628">
        <f t="shared" ref="E16:O16" si="18">E25+E34+E43</f>
        <v>0</v>
      </c>
      <c r="F16" s="1628">
        <f t="shared" si="18"/>
        <v>0</v>
      </c>
      <c r="G16" s="1628">
        <f t="shared" si="18"/>
        <v>0</v>
      </c>
      <c r="H16" s="1628">
        <f t="shared" si="18"/>
        <v>0</v>
      </c>
      <c r="I16" s="1628">
        <f t="shared" si="18"/>
        <v>0</v>
      </c>
      <c r="J16" s="1628">
        <f t="shared" si="18"/>
        <v>6077</v>
      </c>
      <c r="K16" s="1628">
        <f t="shared" si="18"/>
        <v>141584</v>
      </c>
      <c r="L16" s="1628">
        <f t="shared" si="18"/>
        <v>259051</v>
      </c>
      <c r="M16" s="1628">
        <f t="shared" ref="M16" si="19">M25+M34+M43</f>
        <v>406712</v>
      </c>
      <c r="N16" s="1628">
        <f t="shared" si="18"/>
        <v>1134839</v>
      </c>
      <c r="O16" s="1628">
        <f t="shared" si="18"/>
        <v>817118</v>
      </c>
      <c r="P16" s="1628">
        <f t="shared" ref="P16:T16" si="20">P25+P34+P43</f>
        <v>0</v>
      </c>
      <c r="Q16" s="1628">
        <f t="shared" si="20"/>
        <v>0</v>
      </c>
      <c r="R16" s="1628">
        <f t="shared" si="20"/>
        <v>0</v>
      </c>
      <c r="S16" s="1628">
        <f t="shared" si="20"/>
        <v>0</v>
      </c>
      <c r="T16" s="1628">
        <f t="shared" si="20"/>
        <v>0</v>
      </c>
      <c r="U16" s="462">
        <f>SUM(O16:T16)</f>
        <v>817118</v>
      </c>
      <c r="V16" s="2089"/>
    </row>
    <row r="17" spans="1:26" ht="16.5" customHeight="1">
      <c r="A17" s="805"/>
      <c r="B17" s="427" t="s">
        <v>34</v>
      </c>
      <c r="C17" s="428"/>
      <c r="D17" s="453">
        <f>D18</f>
        <v>2358669</v>
      </c>
      <c r="E17" s="453">
        <f t="shared" ref="E17:T18" si="21">E18</f>
        <v>0</v>
      </c>
      <c r="F17" s="453">
        <f t="shared" si="21"/>
        <v>0</v>
      </c>
      <c r="G17" s="453">
        <f t="shared" si="21"/>
        <v>0</v>
      </c>
      <c r="H17" s="453">
        <f t="shared" si="21"/>
        <v>0</v>
      </c>
      <c r="I17" s="453">
        <f t="shared" si="21"/>
        <v>0</v>
      </c>
      <c r="J17" s="453">
        <f t="shared" si="21"/>
        <v>0</v>
      </c>
      <c r="K17" s="453">
        <f t="shared" si="21"/>
        <v>0</v>
      </c>
      <c r="L17" s="453">
        <f t="shared" si="21"/>
        <v>706765</v>
      </c>
      <c r="M17" s="453">
        <f t="shared" si="21"/>
        <v>706765</v>
      </c>
      <c r="N17" s="453">
        <f t="shared" si="21"/>
        <v>406855</v>
      </c>
      <c r="O17" s="453">
        <f t="shared" si="21"/>
        <v>1245049</v>
      </c>
      <c r="P17" s="453">
        <f t="shared" si="21"/>
        <v>0</v>
      </c>
      <c r="Q17" s="453">
        <f t="shared" si="21"/>
        <v>0</v>
      </c>
      <c r="R17" s="453">
        <f t="shared" si="21"/>
        <v>0</v>
      </c>
      <c r="S17" s="453">
        <f t="shared" si="21"/>
        <v>0</v>
      </c>
      <c r="T17" s="453">
        <f t="shared" si="21"/>
        <v>0</v>
      </c>
      <c r="U17" s="2437" t="s">
        <v>77</v>
      </c>
      <c r="V17" s="2089"/>
    </row>
    <row r="18" spans="1:26" s="2036" customFormat="1" ht="15" customHeight="1">
      <c r="A18" s="1629"/>
      <c r="B18" s="1630" t="s">
        <v>30</v>
      </c>
      <c r="C18" s="1631"/>
      <c r="D18" s="1632">
        <f>D19</f>
        <v>2358669</v>
      </c>
      <c r="E18" s="1632">
        <f t="shared" si="21"/>
        <v>0</v>
      </c>
      <c r="F18" s="1632">
        <f t="shared" si="21"/>
        <v>0</v>
      </c>
      <c r="G18" s="1632">
        <f t="shared" si="21"/>
        <v>0</v>
      </c>
      <c r="H18" s="1632">
        <f t="shared" si="21"/>
        <v>0</v>
      </c>
      <c r="I18" s="1632">
        <f t="shared" si="21"/>
        <v>0</v>
      </c>
      <c r="J18" s="1632">
        <f t="shared" si="21"/>
        <v>0</v>
      </c>
      <c r="K18" s="1632">
        <f t="shared" si="21"/>
        <v>0</v>
      </c>
      <c r="L18" s="1632">
        <f t="shared" si="21"/>
        <v>706765</v>
      </c>
      <c r="M18" s="1632">
        <f t="shared" si="21"/>
        <v>706765</v>
      </c>
      <c r="N18" s="1632">
        <f t="shared" si="21"/>
        <v>406855</v>
      </c>
      <c r="O18" s="1632">
        <f t="shared" si="21"/>
        <v>1245049</v>
      </c>
      <c r="P18" s="1632">
        <f t="shared" si="21"/>
        <v>0</v>
      </c>
      <c r="Q18" s="1632">
        <f t="shared" si="21"/>
        <v>0</v>
      </c>
      <c r="R18" s="1632">
        <f t="shared" si="21"/>
        <v>0</v>
      </c>
      <c r="S18" s="1632">
        <f t="shared" si="21"/>
        <v>0</v>
      </c>
      <c r="T18" s="1632">
        <f t="shared" si="21"/>
        <v>0</v>
      </c>
      <c r="U18" s="2438"/>
      <c r="V18" s="1633"/>
    </row>
    <row r="19" spans="1:26" ht="13.5" customHeight="1" thickBot="1">
      <c r="A19" s="1040"/>
      <c r="B19" s="1358" t="s">
        <v>33</v>
      </c>
      <c r="C19" s="438"/>
      <c r="D19" s="1634">
        <f>D28+D37+D46</f>
        <v>2358669</v>
      </c>
      <c r="E19" s="1634">
        <f t="shared" ref="E19:N19" si="22">E28+E37+E46</f>
        <v>0</v>
      </c>
      <c r="F19" s="1634">
        <f t="shared" si="22"/>
        <v>0</v>
      </c>
      <c r="G19" s="1634">
        <f t="shared" si="22"/>
        <v>0</v>
      </c>
      <c r="H19" s="1634">
        <f t="shared" si="22"/>
        <v>0</v>
      </c>
      <c r="I19" s="1634">
        <f t="shared" si="22"/>
        <v>0</v>
      </c>
      <c r="J19" s="1634">
        <f t="shared" si="22"/>
        <v>0</v>
      </c>
      <c r="K19" s="1634">
        <f t="shared" si="22"/>
        <v>0</v>
      </c>
      <c r="L19" s="1634">
        <f t="shared" si="22"/>
        <v>706765</v>
      </c>
      <c r="M19" s="1634">
        <f t="shared" ref="M19" si="23">M28+M37+M46</f>
        <v>706765</v>
      </c>
      <c r="N19" s="1634">
        <f t="shared" si="22"/>
        <v>406855</v>
      </c>
      <c r="O19" s="1634">
        <f>O28+O37+O46</f>
        <v>1245049</v>
      </c>
      <c r="P19" s="1634">
        <f t="shared" ref="P19:T19" si="24">P28+P37+P46</f>
        <v>0</v>
      </c>
      <c r="Q19" s="1634">
        <f t="shared" si="24"/>
        <v>0</v>
      </c>
      <c r="R19" s="1634">
        <f t="shared" si="24"/>
        <v>0</v>
      </c>
      <c r="S19" s="1634">
        <f t="shared" si="24"/>
        <v>0</v>
      </c>
      <c r="T19" s="1634">
        <f t="shared" si="24"/>
        <v>0</v>
      </c>
      <c r="U19" s="2439"/>
      <c r="V19" s="808"/>
      <c r="W19" s="2037"/>
    </row>
    <row r="20" spans="1:26" ht="28.5" customHeight="1">
      <c r="A20" s="2855" t="s">
        <v>82</v>
      </c>
      <c r="B20" s="1635" t="s">
        <v>380</v>
      </c>
      <c r="C20" s="1636" t="s">
        <v>138</v>
      </c>
      <c r="D20" s="1637"/>
      <c r="E20" s="1638"/>
      <c r="F20" s="1638"/>
      <c r="G20" s="1638"/>
      <c r="H20" s="1638"/>
      <c r="I20" s="1638"/>
      <c r="J20" s="1638"/>
      <c r="K20" s="1638"/>
      <c r="L20" s="1639"/>
      <c r="M20" s="1639"/>
      <c r="N20" s="1639"/>
      <c r="O20" s="1639"/>
      <c r="P20" s="1640"/>
      <c r="Q20" s="1640"/>
      <c r="R20" s="1640"/>
      <c r="S20" s="1640"/>
      <c r="T20" s="1640"/>
      <c r="U20" s="1641"/>
      <c r="V20" s="2858" t="s">
        <v>300</v>
      </c>
    </row>
    <row r="21" spans="1:26" ht="15.75" customHeight="1">
      <c r="A21" s="2856"/>
      <c r="B21" s="554" t="s">
        <v>22</v>
      </c>
      <c r="C21" s="428"/>
      <c r="D21" s="496">
        <f t="shared" ref="D21:N21" si="25">+D22+D24</f>
        <v>1057105</v>
      </c>
      <c r="E21" s="496">
        <f t="shared" si="25"/>
        <v>0</v>
      </c>
      <c r="F21" s="496">
        <f t="shared" si="25"/>
        <v>0</v>
      </c>
      <c r="G21" s="496">
        <f t="shared" si="25"/>
        <v>0</v>
      </c>
      <c r="H21" s="496">
        <f t="shared" si="25"/>
        <v>0</v>
      </c>
      <c r="I21" s="496">
        <f t="shared" si="25"/>
        <v>0</v>
      </c>
      <c r="J21" s="496">
        <f t="shared" si="25"/>
        <v>7150</v>
      </c>
      <c r="K21" s="496">
        <f t="shared" si="25"/>
        <v>166570</v>
      </c>
      <c r="L21" s="496">
        <f t="shared" si="25"/>
        <v>304765</v>
      </c>
      <c r="M21" s="496">
        <f t="shared" ref="M21" si="26">+M22+M24</f>
        <v>478485</v>
      </c>
      <c r="N21" s="496">
        <f t="shared" si="25"/>
        <v>578620</v>
      </c>
      <c r="O21" s="496"/>
      <c r="P21" s="496"/>
      <c r="Q21" s="496"/>
      <c r="R21" s="496"/>
      <c r="S21" s="496"/>
      <c r="T21" s="496"/>
      <c r="U21" s="535">
        <f>+U22+U24</f>
        <v>0</v>
      </c>
      <c r="V21" s="2859"/>
      <c r="W21" s="2037"/>
      <c r="X21" s="2037"/>
    </row>
    <row r="22" spans="1:26" ht="14.25" customHeight="1">
      <c r="A22" s="2856"/>
      <c r="B22" s="555" t="s">
        <v>36</v>
      </c>
      <c r="C22" s="2433" t="s">
        <v>301</v>
      </c>
      <c r="D22" s="635">
        <f>+D23</f>
        <v>158566</v>
      </c>
      <c r="E22" s="635">
        <f t="shared" ref="E22:J22" si="27">+E23</f>
        <v>0</v>
      </c>
      <c r="F22" s="1642">
        <f t="shared" si="27"/>
        <v>0</v>
      </c>
      <c r="G22" s="1043">
        <f t="shared" si="27"/>
        <v>0</v>
      </c>
      <c r="H22" s="635">
        <f t="shared" si="27"/>
        <v>0</v>
      </c>
      <c r="I22" s="635">
        <f t="shared" si="27"/>
        <v>0</v>
      </c>
      <c r="J22" s="635">
        <f t="shared" si="27"/>
        <v>1073</v>
      </c>
      <c r="K22" s="1043">
        <f>+K23</f>
        <v>24986</v>
      </c>
      <c r="L22" s="1043">
        <f>+L23</f>
        <v>45714</v>
      </c>
      <c r="M22" s="1043">
        <f>+M23</f>
        <v>71773</v>
      </c>
      <c r="N22" s="1043">
        <f>+N23</f>
        <v>86793</v>
      </c>
      <c r="O22" s="1043"/>
      <c r="P22" s="620"/>
      <c r="Q22" s="620"/>
      <c r="R22" s="620"/>
      <c r="S22" s="620"/>
      <c r="T22" s="620"/>
      <c r="U22" s="1624">
        <f>+U23</f>
        <v>0</v>
      </c>
      <c r="V22" s="2860"/>
    </row>
    <row r="23" spans="1:26" ht="13.5" customHeight="1">
      <c r="A23" s="2856"/>
      <c r="B23" s="539" t="s">
        <v>24</v>
      </c>
      <c r="C23" s="2862"/>
      <c r="D23" s="510">
        <f>SUM(M23:T23)</f>
        <v>158566</v>
      </c>
      <c r="E23" s="510">
        <v>0</v>
      </c>
      <c r="F23" s="511"/>
      <c r="G23" s="511"/>
      <c r="H23" s="510"/>
      <c r="I23" s="510">
        <v>0</v>
      </c>
      <c r="J23" s="510">
        <v>1073</v>
      </c>
      <c r="K23" s="510">
        <f>25757-771</f>
        <v>24986</v>
      </c>
      <c r="L23" s="510">
        <f>67644-20690-1240</f>
        <v>45714</v>
      </c>
      <c r="M23" s="510">
        <f>+E23+I23+J23+K23+L23</f>
        <v>71773</v>
      </c>
      <c r="N23" s="510">
        <f>46824+771+20690+15027+3840-359</f>
        <v>86793</v>
      </c>
      <c r="O23" s="510"/>
      <c r="P23" s="511"/>
      <c r="Q23" s="511"/>
      <c r="R23" s="511"/>
      <c r="S23" s="511"/>
      <c r="T23" s="511"/>
      <c r="U23" s="462">
        <f>SUM(O23:T23)</f>
        <v>0</v>
      </c>
      <c r="V23" s="2860"/>
    </row>
    <row r="24" spans="1:26" ht="14.25" customHeight="1">
      <c r="A24" s="2856"/>
      <c r="B24" s="605" t="s">
        <v>30</v>
      </c>
      <c r="C24" s="2862"/>
      <c r="D24" s="1643">
        <f t="shared" ref="D24:U24" si="28">+D25</f>
        <v>898539</v>
      </c>
      <c r="E24" s="1643">
        <f t="shared" si="28"/>
        <v>0</v>
      </c>
      <c r="F24" s="1643">
        <f t="shared" si="28"/>
        <v>0</v>
      </c>
      <c r="G24" s="1643">
        <f t="shared" si="28"/>
        <v>0</v>
      </c>
      <c r="H24" s="1643">
        <f t="shared" si="28"/>
        <v>0</v>
      </c>
      <c r="I24" s="635">
        <f t="shared" si="28"/>
        <v>0</v>
      </c>
      <c r="J24" s="635">
        <f t="shared" si="28"/>
        <v>6077</v>
      </c>
      <c r="K24" s="1043">
        <f t="shared" si="28"/>
        <v>141584</v>
      </c>
      <c r="L24" s="635">
        <f t="shared" si="28"/>
        <v>259051</v>
      </c>
      <c r="M24" s="635">
        <f t="shared" si="28"/>
        <v>406712</v>
      </c>
      <c r="N24" s="635">
        <f t="shared" si="28"/>
        <v>491827</v>
      </c>
      <c r="O24" s="635"/>
      <c r="P24" s="642"/>
      <c r="Q24" s="642"/>
      <c r="R24" s="642"/>
      <c r="S24" s="642"/>
      <c r="T24" s="642"/>
      <c r="U24" s="557">
        <f t="shared" si="28"/>
        <v>0</v>
      </c>
      <c r="V24" s="2860"/>
    </row>
    <row r="25" spans="1:26" ht="12.75" customHeight="1">
      <c r="A25" s="2856"/>
      <c r="B25" s="539" t="s">
        <v>33</v>
      </c>
      <c r="C25" s="2862"/>
      <c r="D25" s="510">
        <f>SUM(M25:T25)</f>
        <v>898539</v>
      </c>
      <c r="E25" s="508">
        <v>0</v>
      </c>
      <c r="F25" s="516">
        <v>0</v>
      </c>
      <c r="G25" s="516"/>
      <c r="H25" s="508"/>
      <c r="I25" s="508">
        <v>0</v>
      </c>
      <c r="J25" s="508">
        <v>6077</v>
      </c>
      <c r="K25" s="508">
        <f>145953-4369</f>
        <v>141584</v>
      </c>
      <c r="L25" s="508">
        <f>383319-117244-7024</f>
        <v>259051</v>
      </c>
      <c r="M25" s="510">
        <f>+E25+I25+J25+K25+L25</f>
        <v>406712</v>
      </c>
      <c r="N25" s="508">
        <f>265340+4369+117244+85151+21760-2037</f>
        <v>491827</v>
      </c>
      <c r="O25" s="508"/>
      <c r="P25" s="516"/>
      <c r="Q25" s="516"/>
      <c r="R25" s="516"/>
      <c r="S25" s="516"/>
      <c r="T25" s="516"/>
      <c r="U25" s="462">
        <f>SUM(O25:T25)</f>
        <v>0</v>
      </c>
      <c r="V25" s="2860"/>
    </row>
    <row r="26" spans="1:26" ht="15" customHeight="1">
      <c r="A26" s="2856"/>
      <c r="B26" s="554" t="s">
        <v>34</v>
      </c>
      <c r="C26" s="428"/>
      <c r="D26" s="518">
        <f>+D27</f>
        <v>898539</v>
      </c>
      <c r="E26" s="518">
        <f t="shared" ref="E26:O27" si="29">+E27</f>
        <v>0</v>
      </c>
      <c r="F26" s="518">
        <f t="shared" si="29"/>
        <v>0</v>
      </c>
      <c r="G26" s="518">
        <f t="shared" si="29"/>
        <v>0</v>
      </c>
      <c r="H26" s="518">
        <f t="shared" si="29"/>
        <v>0</v>
      </c>
      <c r="I26" s="518">
        <f t="shared" si="29"/>
        <v>0</v>
      </c>
      <c r="J26" s="518">
        <f t="shared" si="29"/>
        <v>0</v>
      </c>
      <c r="K26" s="518">
        <f t="shared" si="29"/>
        <v>0</v>
      </c>
      <c r="L26" s="518">
        <f t="shared" si="29"/>
        <v>135835</v>
      </c>
      <c r="M26" s="518">
        <f t="shared" si="29"/>
        <v>135835</v>
      </c>
      <c r="N26" s="518">
        <f t="shared" si="29"/>
        <v>256855</v>
      </c>
      <c r="O26" s="518">
        <f t="shared" si="29"/>
        <v>505849</v>
      </c>
      <c r="P26" s="518"/>
      <c r="Q26" s="518"/>
      <c r="R26" s="496"/>
      <c r="S26" s="496"/>
      <c r="T26" s="496"/>
      <c r="U26" s="2437" t="s">
        <v>77</v>
      </c>
      <c r="V26" s="2860"/>
    </row>
    <row r="27" spans="1:26" ht="12.75" customHeight="1">
      <c r="A27" s="2856"/>
      <c r="B27" s="605" t="s">
        <v>30</v>
      </c>
      <c r="C27" s="2490" t="s">
        <v>301</v>
      </c>
      <c r="D27" s="1643">
        <f>+D28</f>
        <v>898539</v>
      </c>
      <c r="E27" s="1643">
        <f t="shared" si="29"/>
        <v>0</v>
      </c>
      <c r="F27" s="1643">
        <f t="shared" si="29"/>
        <v>0</v>
      </c>
      <c r="G27" s="1643">
        <f t="shared" si="29"/>
        <v>0</v>
      </c>
      <c r="H27" s="1643">
        <f t="shared" si="29"/>
        <v>0</v>
      </c>
      <c r="I27" s="1643">
        <f t="shared" si="29"/>
        <v>0</v>
      </c>
      <c r="J27" s="1643">
        <f t="shared" si="29"/>
        <v>0</v>
      </c>
      <c r="K27" s="1643">
        <f t="shared" si="29"/>
        <v>0</v>
      </c>
      <c r="L27" s="1643">
        <f t="shared" si="29"/>
        <v>135835</v>
      </c>
      <c r="M27" s="1643">
        <f t="shared" si="29"/>
        <v>135835</v>
      </c>
      <c r="N27" s="1643">
        <f t="shared" si="29"/>
        <v>256855</v>
      </c>
      <c r="O27" s="1643">
        <f t="shared" si="29"/>
        <v>505849</v>
      </c>
      <c r="P27" s="1643"/>
      <c r="Q27" s="1643"/>
      <c r="R27" s="1643"/>
      <c r="S27" s="1643"/>
      <c r="T27" s="1643"/>
      <c r="U27" s="2438"/>
      <c r="V27" s="2860"/>
    </row>
    <row r="28" spans="1:26" ht="15.75" customHeight="1" thickBot="1">
      <c r="A28" s="2857"/>
      <c r="B28" s="2035" t="s">
        <v>33</v>
      </c>
      <c r="C28" s="2863"/>
      <c r="D28" s="510">
        <f>SUM(M28:T28)</f>
        <v>898539</v>
      </c>
      <c r="E28" s="1644"/>
      <c r="F28" s="1645"/>
      <c r="G28" s="1645"/>
      <c r="H28" s="1645"/>
      <c r="I28" s="1645">
        <v>0</v>
      </c>
      <c r="J28" s="1645">
        <v>0</v>
      </c>
      <c r="K28" s="1645">
        <v>0</v>
      </c>
      <c r="L28" s="1645">
        <f>373390-218785-18770</f>
        <v>135835</v>
      </c>
      <c r="M28" s="510">
        <f>+E28+I28+J28+K28+L28</f>
        <v>135835</v>
      </c>
      <c r="N28" s="1645">
        <f>294629-28554-7024-2196</f>
        <v>256855</v>
      </c>
      <c r="O28" s="1645">
        <f>132670+247339+103921+21760+159</f>
        <v>505849</v>
      </c>
      <c r="P28" s="1646"/>
      <c r="Q28" s="1646"/>
      <c r="R28" s="1646"/>
      <c r="S28" s="1646"/>
      <c r="T28" s="1646"/>
      <c r="U28" s="2439"/>
      <c r="V28" s="2861"/>
    </row>
    <row r="29" spans="1:26" ht="27.75" customHeight="1">
      <c r="A29" s="2855" t="s">
        <v>83</v>
      </c>
      <c r="B29" s="1635" t="s">
        <v>379</v>
      </c>
      <c r="C29" s="1636" t="s">
        <v>138</v>
      </c>
      <c r="D29" s="1637"/>
      <c r="E29" s="1638"/>
      <c r="F29" s="1638"/>
      <c r="G29" s="1638"/>
      <c r="H29" s="1638"/>
      <c r="I29" s="1638"/>
      <c r="J29" s="1638"/>
      <c r="K29" s="1638"/>
      <c r="L29" s="1639"/>
      <c r="M29" s="1639"/>
      <c r="N29" s="1639"/>
      <c r="O29" s="1639"/>
      <c r="P29" s="1640"/>
      <c r="Q29" s="1640"/>
      <c r="R29" s="1640"/>
      <c r="S29" s="1640"/>
      <c r="T29" s="1640"/>
      <c r="U29" s="1641"/>
      <c r="V29" s="2864" t="s">
        <v>302</v>
      </c>
    </row>
    <row r="30" spans="1:26" ht="15.75" customHeight="1">
      <c r="A30" s="2856"/>
      <c r="B30" s="554" t="s">
        <v>22</v>
      </c>
      <c r="C30" s="428"/>
      <c r="D30" s="518">
        <f t="shared" ref="D30:O30" si="30">+D31+D33</f>
        <v>1619800</v>
      </c>
      <c r="E30" s="496">
        <f t="shared" si="30"/>
        <v>0</v>
      </c>
      <c r="F30" s="496">
        <f t="shared" si="30"/>
        <v>0</v>
      </c>
      <c r="G30" s="496">
        <f t="shared" si="30"/>
        <v>0</v>
      </c>
      <c r="H30" s="496">
        <f t="shared" si="30"/>
        <v>0</v>
      </c>
      <c r="I30" s="496">
        <f t="shared" si="30"/>
        <v>0</v>
      </c>
      <c r="J30" s="496">
        <f t="shared" si="30"/>
        <v>0</v>
      </c>
      <c r="K30" s="496">
        <f t="shared" si="30"/>
        <v>0</v>
      </c>
      <c r="L30" s="496">
        <f t="shared" si="30"/>
        <v>0</v>
      </c>
      <c r="M30" s="496">
        <f t="shared" ref="M30" si="31">+M31+M33</f>
        <v>0</v>
      </c>
      <c r="N30" s="496">
        <f t="shared" si="30"/>
        <v>566920</v>
      </c>
      <c r="O30" s="496">
        <f t="shared" si="30"/>
        <v>1052880</v>
      </c>
      <c r="P30" s="496"/>
      <c r="Q30" s="496"/>
      <c r="R30" s="496"/>
      <c r="S30" s="496"/>
      <c r="T30" s="496"/>
      <c r="U30" s="535">
        <f>+U31+U33</f>
        <v>1052880</v>
      </c>
      <c r="V30" s="2865"/>
      <c r="W30" s="2037"/>
      <c r="X30" s="2037"/>
      <c r="Y30" s="2037"/>
      <c r="Z30" s="2037"/>
    </row>
    <row r="31" spans="1:26" ht="12">
      <c r="A31" s="2856"/>
      <c r="B31" s="555" t="s">
        <v>36</v>
      </c>
      <c r="C31" s="2433" t="s">
        <v>303</v>
      </c>
      <c r="D31" s="567">
        <f>+D32</f>
        <v>257670</v>
      </c>
      <c r="E31" s="567">
        <f t="shared" ref="E31:J31" si="32">+E32</f>
        <v>0</v>
      </c>
      <c r="F31" s="567">
        <f t="shared" si="32"/>
        <v>0</v>
      </c>
      <c r="G31" s="567">
        <f t="shared" si="32"/>
        <v>0</v>
      </c>
      <c r="H31" s="567">
        <f t="shared" si="32"/>
        <v>0</v>
      </c>
      <c r="I31" s="567">
        <f t="shared" si="32"/>
        <v>0</v>
      </c>
      <c r="J31" s="567">
        <f t="shared" si="32"/>
        <v>0</v>
      </c>
      <c r="K31" s="1042">
        <f>+K32</f>
        <v>0</v>
      </c>
      <c r="L31" s="1041">
        <f>+L32</f>
        <v>0</v>
      </c>
      <c r="M31" s="1041">
        <f>+M32</f>
        <v>0</v>
      </c>
      <c r="N31" s="1042">
        <f>+N32</f>
        <v>2481</v>
      </c>
      <c r="O31" s="1042">
        <f>+O32</f>
        <v>255189</v>
      </c>
      <c r="P31" s="620"/>
      <c r="Q31" s="620"/>
      <c r="R31" s="620"/>
      <c r="S31" s="720"/>
      <c r="T31" s="720"/>
      <c r="U31" s="557">
        <f>+U32</f>
        <v>255189</v>
      </c>
      <c r="V31" s="2866"/>
    </row>
    <row r="32" spans="1:26" ht="11.25" customHeight="1">
      <c r="A32" s="2856"/>
      <c r="B32" s="539" t="s">
        <v>24</v>
      </c>
      <c r="C32" s="2862"/>
      <c r="D32" s="510">
        <f>SUM(M32:T32)</f>
        <v>257670</v>
      </c>
      <c r="E32" s="510"/>
      <c r="F32" s="511"/>
      <c r="G32" s="511"/>
      <c r="H32" s="510"/>
      <c r="I32" s="510"/>
      <c r="J32" s="510"/>
      <c r="K32" s="510"/>
      <c r="L32" s="510">
        <v>0</v>
      </c>
      <c r="M32" s="510">
        <f>+E32+I32+J32+K32+L32</f>
        <v>0</v>
      </c>
      <c r="N32" s="511">
        <f>200000-197519</f>
        <v>2481</v>
      </c>
      <c r="O32" s="511">
        <f>57670+197519</f>
        <v>255189</v>
      </c>
      <c r="P32" s="511"/>
      <c r="Q32" s="511"/>
      <c r="R32" s="511"/>
      <c r="S32" s="511"/>
      <c r="T32" s="511"/>
      <c r="U32" s="462">
        <f>SUM(O32:T32)</f>
        <v>255189</v>
      </c>
      <c r="V32" s="2866"/>
    </row>
    <row r="33" spans="1:24" ht="12">
      <c r="A33" s="2856"/>
      <c r="B33" s="605" t="s">
        <v>30</v>
      </c>
      <c r="C33" s="2862"/>
      <c r="D33" s="1647">
        <f t="shared" ref="D33:U33" si="33">+D34</f>
        <v>1362130</v>
      </c>
      <c r="E33" s="1643">
        <f t="shared" si="33"/>
        <v>0</v>
      </c>
      <c r="F33" s="1643">
        <f t="shared" si="33"/>
        <v>0</v>
      </c>
      <c r="G33" s="1643">
        <f t="shared" si="33"/>
        <v>0</v>
      </c>
      <c r="H33" s="1643">
        <f t="shared" si="33"/>
        <v>0</v>
      </c>
      <c r="I33" s="635">
        <f t="shared" si="33"/>
        <v>0</v>
      </c>
      <c r="J33" s="635">
        <f t="shared" si="33"/>
        <v>0</v>
      </c>
      <c r="K33" s="1043">
        <f t="shared" si="33"/>
        <v>0</v>
      </c>
      <c r="L33" s="635">
        <f t="shared" si="33"/>
        <v>0</v>
      </c>
      <c r="M33" s="635">
        <f t="shared" si="33"/>
        <v>0</v>
      </c>
      <c r="N33" s="1043">
        <f t="shared" si="33"/>
        <v>564439</v>
      </c>
      <c r="O33" s="1043">
        <f t="shared" si="33"/>
        <v>797691</v>
      </c>
      <c r="P33" s="1043"/>
      <c r="Q33" s="1043"/>
      <c r="R33" s="1043"/>
      <c r="S33" s="1642"/>
      <c r="T33" s="1642"/>
      <c r="U33" s="557">
        <f t="shared" si="33"/>
        <v>797691</v>
      </c>
      <c r="V33" s="2866"/>
    </row>
    <row r="34" spans="1:24" ht="12.75">
      <c r="A34" s="2856"/>
      <c r="B34" s="1648" t="s">
        <v>33</v>
      </c>
      <c r="C34" s="2862"/>
      <c r="D34" s="510">
        <f>SUM(M34:T34)</f>
        <v>1362130</v>
      </c>
      <c r="E34" s="508"/>
      <c r="F34" s="516"/>
      <c r="G34" s="516"/>
      <c r="H34" s="508"/>
      <c r="I34" s="508"/>
      <c r="J34" s="508"/>
      <c r="K34" s="508"/>
      <c r="L34" s="508">
        <v>0</v>
      </c>
      <c r="M34" s="510">
        <f>+E34+I34+J34+K34+L34</f>
        <v>0</v>
      </c>
      <c r="N34" s="516">
        <f>1036150-471711</f>
        <v>564439</v>
      </c>
      <c r="O34" s="516">
        <f>325980+471711</f>
        <v>797691</v>
      </c>
      <c r="P34" s="516"/>
      <c r="Q34" s="516"/>
      <c r="R34" s="516"/>
      <c r="S34" s="516"/>
      <c r="T34" s="516"/>
      <c r="U34" s="462">
        <f>SUM(O34:T34)</f>
        <v>797691</v>
      </c>
      <c r="V34" s="2866"/>
    </row>
    <row r="35" spans="1:24" ht="15" customHeight="1">
      <c r="A35" s="2856"/>
      <c r="B35" s="561" t="s">
        <v>34</v>
      </c>
      <c r="C35" s="428"/>
      <c r="D35" s="518">
        <f>+D36</f>
        <v>1362130</v>
      </c>
      <c r="E35" s="518">
        <f t="shared" ref="E35:O36" si="34">+E36</f>
        <v>0</v>
      </c>
      <c r="F35" s="518">
        <f t="shared" si="34"/>
        <v>0</v>
      </c>
      <c r="G35" s="518">
        <f t="shared" si="34"/>
        <v>0</v>
      </c>
      <c r="H35" s="518">
        <f t="shared" si="34"/>
        <v>0</v>
      </c>
      <c r="I35" s="518">
        <f t="shared" si="34"/>
        <v>0</v>
      </c>
      <c r="J35" s="518">
        <f t="shared" si="34"/>
        <v>0</v>
      </c>
      <c r="K35" s="518">
        <f t="shared" si="34"/>
        <v>0</v>
      </c>
      <c r="L35" s="518">
        <f t="shared" si="34"/>
        <v>472930</v>
      </c>
      <c r="M35" s="518">
        <f t="shared" si="34"/>
        <v>472930</v>
      </c>
      <c r="N35" s="518">
        <f t="shared" si="34"/>
        <v>150000</v>
      </c>
      <c r="O35" s="518">
        <f t="shared" si="34"/>
        <v>739200</v>
      </c>
      <c r="P35" s="518"/>
      <c r="Q35" s="518"/>
      <c r="R35" s="496"/>
      <c r="S35" s="496"/>
      <c r="T35" s="496"/>
      <c r="U35" s="2437" t="s">
        <v>77</v>
      </c>
      <c r="V35" s="2866"/>
    </row>
    <row r="36" spans="1:24" ht="12">
      <c r="A36" s="2856"/>
      <c r="B36" s="605" t="s">
        <v>30</v>
      </c>
      <c r="C36" s="2490" t="s">
        <v>304</v>
      </c>
      <c r="D36" s="1647">
        <f>+D37</f>
        <v>1362130</v>
      </c>
      <c r="E36" s="1643">
        <f t="shared" si="34"/>
        <v>0</v>
      </c>
      <c r="F36" s="1643">
        <f t="shared" si="34"/>
        <v>0</v>
      </c>
      <c r="G36" s="1643">
        <f t="shared" si="34"/>
        <v>0</v>
      </c>
      <c r="H36" s="1643">
        <f t="shared" si="34"/>
        <v>0</v>
      </c>
      <c r="I36" s="1643">
        <f t="shared" si="34"/>
        <v>0</v>
      </c>
      <c r="J36" s="1643">
        <f t="shared" si="34"/>
        <v>0</v>
      </c>
      <c r="K36" s="1643">
        <f t="shared" si="34"/>
        <v>0</v>
      </c>
      <c r="L36" s="1643">
        <f t="shared" si="34"/>
        <v>472930</v>
      </c>
      <c r="M36" s="1643">
        <f t="shared" si="34"/>
        <v>472930</v>
      </c>
      <c r="N36" s="1643">
        <f t="shared" si="34"/>
        <v>150000</v>
      </c>
      <c r="O36" s="1643">
        <f t="shared" si="34"/>
        <v>739200</v>
      </c>
      <c r="P36" s="1643"/>
      <c r="Q36" s="1643"/>
      <c r="R36" s="1643"/>
      <c r="S36" s="1643"/>
      <c r="T36" s="1643"/>
      <c r="U36" s="2438"/>
      <c r="V36" s="2866"/>
    </row>
    <row r="37" spans="1:24" ht="13.5" thickBot="1">
      <c r="A37" s="2857"/>
      <c r="B37" s="1649" t="s">
        <v>33</v>
      </c>
      <c r="C37" s="2863"/>
      <c r="D37" s="510">
        <f>SUM(M37:T37)</f>
        <v>1362130</v>
      </c>
      <c r="E37" s="546"/>
      <c r="F37" s="547"/>
      <c r="G37" s="546"/>
      <c r="H37" s="546"/>
      <c r="I37" s="546"/>
      <c r="J37" s="546"/>
      <c r="K37" s="546"/>
      <c r="L37" s="1650">
        <v>472930</v>
      </c>
      <c r="M37" s="510">
        <f>+E37+I37+J37+K37+L37</f>
        <v>472930</v>
      </c>
      <c r="N37" s="1650">
        <f>563220-413220</f>
        <v>150000</v>
      </c>
      <c r="O37" s="1650">
        <f>325980+413220</f>
        <v>739200</v>
      </c>
      <c r="P37" s="547"/>
      <c r="Q37" s="546"/>
      <c r="R37" s="1829"/>
      <c r="S37" s="1829"/>
      <c r="T37" s="1829"/>
      <c r="U37" s="2439"/>
      <c r="V37" s="2867"/>
    </row>
    <row r="38" spans="1:24" ht="35.25" customHeight="1">
      <c r="A38" s="2855" t="s">
        <v>84</v>
      </c>
      <c r="B38" s="1635" t="s">
        <v>378</v>
      </c>
      <c r="C38" s="1636" t="s">
        <v>102</v>
      </c>
      <c r="D38" s="1637"/>
      <c r="E38" s="1638"/>
      <c r="F38" s="1638"/>
      <c r="G38" s="1638"/>
      <c r="H38" s="1638"/>
      <c r="I38" s="1638"/>
      <c r="J38" s="1638"/>
      <c r="K38" s="1638"/>
      <c r="L38" s="1639"/>
      <c r="M38" s="1639"/>
      <c r="N38" s="1639"/>
      <c r="O38" s="1639"/>
      <c r="P38" s="1640"/>
      <c r="Q38" s="1640"/>
      <c r="R38" s="1640"/>
      <c r="S38" s="1640"/>
      <c r="T38" s="1640"/>
      <c r="U38" s="1641"/>
      <c r="V38" s="2858" t="s">
        <v>302</v>
      </c>
    </row>
    <row r="39" spans="1:24" ht="15.75" customHeight="1">
      <c r="A39" s="2856"/>
      <c r="B39" s="554" t="s">
        <v>22</v>
      </c>
      <c r="C39" s="428"/>
      <c r="D39" s="518">
        <f t="shared" ref="D39:N39" si="35">+D40+D42</f>
        <v>98000</v>
      </c>
      <c r="E39" s="496">
        <f t="shared" si="35"/>
        <v>0</v>
      </c>
      <c r="F39" s="496">
        <f t="shared" si="35"/>
        <v>0</v>
      </c>
      <c r="G39" s="496">
        <f t="shared" si="35"/>
        <v>0</v>
      </c>
      <c r="H39" s="496">
        <f t="shared" si="35"/>
        <v>0</v>
      </c>
      <c r="I39" s="496">
        <f t="shared" si="35"/>
        <v>0</v>
      </c>
      <c r="J39" s="496">
        <f t="shared" si="35"/>
        <v>0</v>
      </c>
      <c r="K39" s="496">
        <f t="shared" si="35"/>
        <v>0</v>
      </c>
      <c r="L39" s="496">
        <f t="shared" si="35"/>
        <v>0</v>
      </c>
      <c r="M39" s="496">
        <f t="shared" ref="M39" si="36">+M40+M42</f>
        <v>0</v>
      </c>
      <c r="N39" s="496">
        <f t="shared" si="35"/>
        <v>78573</v>
      </c>
      <c r="O39" s="496">
        <f>+O40+O42</f>
        <v>19427</v>
      </c>
      <c r="P39" s="496"/>
      <c r="Q39" s="496"/>
      <c r="R39" s="496"/>
      <c r="S39" s="496"/>
      <c r="T39" s="496"/>
      <c r="U39" s="535">
        <f>+U40+U42</f>
        <v>19427</v>
      </c>
      <c r="V39" s="2859"/>
      <c r="X39" s="2037"/>
    </row>
    <row r="40" spans="1:24" ht="12.75" hidden="1">
      <c r="A40" s="2856"/>
      <c r="B40" s="555" t="s">
        <v>36</v>
      </c>
      <c r="C40" s="2433" t="s">
        <v>303</v>
      </c>
      <c r="D40" s="567">
        <f>+D41</f>
        <v>0</v>
      </c>
      <c r="E40" s="567">
        <f t="shared" ref="E40:J40" si="37">+E41</f>
        <v>0</v>
      </c>
      <c r="F40" s="567">
        <f t="shared" si="37"/>
        <v>0</v>
      </c>
      <c r="G40" s="567">
        <f t="shared" si="37"/>
        <v>0</v>
      </c>
      <c r="H40" s="567">
        <f t="shared" si="37"/>
        <v>0</v>
      </c>
      <c r="I40" s="567">
        <f t="shared" si="37"/>
        <v>0</v>
      </c>
      <c r="J40" s="567">
        <f t="shared" si="37"/>
        <v>0</v>
      </c>
      <c r="K40" s="1042">
        <f>+K41</f>
        <v>0</v>
      </c>
      <c r="L40" s="1041">
        <f>+L41</f>
        <v>0</v>
      </c>
      <c r="M40" s="1041">
        <f>+M41</f>
        <v>0</v>
      </c>
      <c r="N40" s="1041">
        <f>+N41</f>
        <v>0</v>
      </c>
      <c r="O40" s="1042">
        <f>+O41</f>
        <v>0</v>
      </c>
      <c r="P40" s="1648"/>
      <c r="Q40" s="1648"/>
      <c r="R40" s="1648"/>
      <c r="S40" s="1648"/>
      <c r="T40" s="1648"/>
      <c r="U40" s="557">
        <f>+U41</f>
        <v>0</v>
      </c>
      <c r="V40" s="2860"/>
    </row>
    <row r="41" spans="1:24" ht="12.75" hidden="1">
      <c r="A41" s="2856"/>
      <c r="B41" s="539" t="s">
        <v>24</v>
      </c>
      <c r="C41" s="2862"/>
      <c r="D41" s="1651">
        <f>L41+N41+O41+P41+Q41</f>
        <v>0</v>
      </c>
      <c r="E41" s="510">
        <v>0</v>
      </c>
      <c r="F41" s="511"/>
      <c r="G41" s="511"/>
      <c r="H41" s="510"/>
      <c r="I41" s="510">
        <v>0</v>
      </c>
      <c r="J41" s="510"/>
      <c r="K41" s="510"/>
      <c r="L41" s="510">
        <v>0</v>
      </c>
      <c r="M41" s="510">
        <v>0</v>
      </c>
      <c r="N41" s="511">
        <v>0</v>
      </c>
      <c r="O41" s="511">
        <v>0</v>
      </c>
      <c r="P41" s="511"/>
      <c r="Q41" s="511"/>
      <c r="R41" s="511"/>
      <c r="S41" s="511"/>
      <c r="T41" s="511"/>
      <c r="U41" s="1648">
        <f>+N41+O41+P41+Q41</f>
        <v>0</v>
      </c>
      <c r="V41" s="2860"/>
    </row>
    <row r="42" spans="1:24" ht="12">
      <c r="A42" s="2856"/>
      <c r="B42" s="605" t="s">
        <v>30</v>
      </c>
      <c r="C42" s="2862"/>
      <c r="D42" s="1652">
        <f t="shared" ref="D42:U42" si="38">+D43</f>
        <v>98000</v>
      </c>
      <c r="E42" s="1643">
        <f t="shared" si="38"/>
        <v>0</v>
      </c>
      <c r="F42" s="1643">
        <f t="shared" si="38"/>
        <v>0</v>
      </c>
      <c r="G42" s="1643">
        <f t="shared" si="38"/>
        <v>0</v>
      </c>
      <c r="H42" s="1643">
        <f t="shared" si="38"/>
        <v>0</v>
      </c>
      <c r="I42" s="635">
        <f t="shared" si="38"/>
        <v>0</v>
      </c>
      <c r="J42" s="635">
        <f t="shared" si="38"/>
        <v>0</v>
      </c>
      <c r="K42" s="1043">
        <f t="shared" si="38"/>
        <v>0</v>
      </c>
      <c r="L42" s="635">
        <f t="shared" si="38"/>
        <v>0</v>
      </c>
      <c r="M42" s="635">
        <f t="shared" si="38"/>
        <v>0</v>
      </c>
      <c r="N42" s="635">
        <f t="shared" si="38"/>
        <v>78573</v>
      </c>
      <c r="O42" s="1043">
        <f t="shared" si="38"/>
        <v>19427</v>
      </c>
      <c r="P42" s="642"/>
      <c r="Q42" s="642"/>
      <c r="R42" s="642"/>
      <c r="S42" s="642"/>
      <c r="T42" s="642"/>
      <c r="U42" s="557">
        <f t="shared" si="38"/>
        <v>19427</v>
      </c>
      <c r="V42" s="2860"/>
    </row>
    <row r="43" spans="1:24" ht="12.75">
      <c r="A43" s="2856"/>
      <c r="B43" s="1648" t="s">
        <v>33</v>
      </c>
      <c r="C43" s="2862"/>
      <c r="D43" s="510">
        <f>SUM(M43:T43)</f>
        <v>98000</v>
      </c>
      <c r="E43" s="508"/>
      <c r="F43" s="516"/>
      <c r="G43" s="516"/>
      <c r="H43" s="508"/>
      <c r="I43" s="508"/>
      <c r="J43" s="508"/>
      <c r="K43" s="508"/>
      <c r="L43" s="508">
        <v>0</v>
      </c>
      <c r="M43" s="508">
        <v>0</v>
      </c>
      <c r="N43" s="516">
        <f>98000-19427</f>
        <v>78573</v>
      </c>
      <c r="O43" s="516">
        <v>19427</v>
      </c>
      <c r="P43" s="516"/>
      <c r="Q43" s="516"/>
      <c r="R43" s="516"/>
      <c r="S43" s="516"/>
      <c r="T43" s="516"/>
      <c r="U43" s="462">
        <f>SUM(O43:T43)</f>
        <v>19427</v>
      </c>
      <c r="V43" s="2860"/>
    </row>
    <row r="44" spans="1:24" ht="15.75" customHeight="1">
      <c r="A44" s="2856"/>
      <c r="B44" s="561" t="s">
        <v>34</v>
      </c>
      <c r="C44" s="428"/>
      <c r="D44" s="604">
        <f>+D45</f>
        <v>98000</v>
      </c>
      <c r="E44" s="518">
        <f t="shared" ref="E44:M45" si="39">+E45</f>
        <v>0</v>
      </c>
      <c r="F44" s="518">
        <f t="shared" si="39"/>
        <v>0</v>
      </c>
      <c r="G44" s="518">
        <f t="shared" si="39"/>
        <v>0</v>
      </c>
      <c r="H44" s="518">
        <f t="shared" si="39"/>
        <v>0</v>
      </c>
      <c r="I44" s="518">
        <f t="shared" si="39"/>
        <v>0</v>
      </c>
      <c r="J44" s="518">
        <f t="shared" si="39"/>
        <v>0</v>
      </c>
      <c r="K44" s="518">
        <f t="shared" si="39"/>
        <v>0</v>
      </c>
      <c r="L44" s="518">
        <f t="shared" si="39"/>
        <v>98000</v>
      </c>
      <c r="M44" s="518">
        <f t="shared" si="39"/>
        <v>98000</v>
      </c>
      <c r="N44" s="518"/>
      <c r="O44" s="518"/>
      <c r="P44" s="518"/>
      <c r="Q44" s="518"/>
      <c r="R44" s="496"/>
      <c r="S44" s="496"/>
      <c r="T44" s="496"/>
      <c r="U44" s="2437" t="s">
        <v>77</v>
      </c>
      <c r="V44" s="2860"/>
    </row>
    <row r="45" spans="1:24" ht="12">
      <c r="A45" s="2856"/>
      <c r="B45" s="605" t="s">
        <v>30</v>
      </c>
      <c r="C45" s="2490" t="s">
        <v>304</v>
      </c>
      <c r="D45" s="1647">
        <f>+D46</f>
        <v>98000</v>
      </c>
      <c r="E45" s="1643">
        <f t="shared" si="39"/>
        <v>0</v>
      </c>
      <c r="F45" s="1643">
        <f t="shared" si="39"/>
        <v>0</v>
      </c>
      <c r="G45" s="1643">
        <f t="shared" si="39"/>
        <v>0</v>
      </c>
      <c r="H45" s="1643">
        <f t="shared" si="39"/>
        <v>0</v>
      </c>
      <c r="I45" s="1643">
        <f t="shared" si="39"/>
        <v>0</v>
      </c>
      <c r="J45" s="1643">
        <f t="shared" si="39"/>
        <v>0</v>
      </c>
      <c r="K45" s="1643">
        <f t="shared" si="39"/>
        <v>0</v>
      </c>
      <c r="L45" s="1643">
        <f t="shared" si="39"/>
        <v>98000</v>
      </c>
      <c r="M45" s="1643">
        <f t="shared" si="39"/>
        <v>98000</v>
      </c>
      <c r="N45" s="1643"/>
      <c r="O45" s="1643"/>
      <c r="P45" s="1643"/>
      <c r="Q45" s="1643"/>
      <c r="R45" s="1643"/>
      <c r="S45" s="1643"/>
      <c r="T45" s="1643"/>
      <c r="U45" s="2438"/>
      <c r="V45" s="2860"/>
    </row>
    <row r="46" spans="1:24" ht="13.5" thickBot="1">
      <c r="A46" s="2857"/>
      <c r="B46" s="1649" t="s">
        <v>33</v>
      </c>
      <c r="C46" s="2863"/>
      <c r="D46" s="546">
        <f>SUM(M46:T46)</f>
        <v>98000</v>
      </c>
      <c r="E46" s="546"/>
      <c r="F46" s="547"/>
      <c r="G46" s="546"/>
      <c r="H46" s="546"/>
      <c r="I46" s="546"/>
      <c r="J46" s="546"/>
      <c r="K46" s="546"/>
      <c r="L46" s="1650">
        <v>98000</v>
      </c>
      <c r="M46" s="546">
        <f>+E46+I46+J46+K46+L46</f>
        <v>98000</v>
      </c>
      <c r="N46" s="1650"/>
      <c r="O46" s="1650"/>
      <c r="P46" s="1650"/>
      <c r="Q46" s="1650"/>
      <c r="R46" s="1650"/>
      <c r="S46" s="1650"/>
      <c r="T46" s="1650"/>
      <c r="U46" s="2439"/>
      <c r="V46" s="2861"/>
    </row>
    <row r="47" spans="1:24">
      <c r="E47" s="1653"/>
      <c r="F47" s="1653"/>
      <c r="G47" s="1653"/>
      <c r="H47" s="1653"/>
      <c r="I47" s="1653"/>
      <c r="J47" s="1653"/>
      <c r="K47" s="1653"/>
      <c r="L47" s="1653"/>
      <c r="M47" s="1653"/>
      <c r="N47" s="1653"/>
      <c r="O47" s="1653"/>
      <c r="P47" s="1653"/>
      <c r="V47" s="1654"/>
    </row>
    <row r="48" spans="1:24">
      <c r="E48" s="1653"/>
      <c r="F48" s="1653"/>
      <c r="G48" s="1653"/>
      <c r="H48" s="1653"/>
      <c r="I48" s="1653"/>
      <c r="J48" s="1653"/>
      <c r="K48" s="1653"/>
      <c r="L48" s="1653"/>
      <c r="M48" s="1653"/>
      <c r="N48" s="1653"/>
      <c r="O48" s="1653"/>
      <c r="P48" s="1653"/>
      <c r="V48" s="1654"/>
    </row>
    <row r="49" spans="5:22">
      <c r="E49" s="1653"/>
      <c r="F49" s="1653"/>
      <c r="G49" s="1653"/>
      <c r="H49" s="1653"/>
      <c r="I49" s="1653"/>
      <c r="J49" s="1653"/>
      <c r="K49" s="1653"/>
      <c r="L49" s="1653"/>
      <c r="M49" s="1653"/>
      <c r="N49" s="1653"/>
      <c r="O49" s="1653"/>
      <c r="P49" s="1653"/>
      <c r="V49" s="1654"/>
    </row>
    <row r="50" spans="5:22">
      <c r="E50" s="1653"/>
      <c r="F50" s="1653"/>
      <c r="G50" s="1653"/>
      <c r="H50" s="1653"/>
      <c r="I50" s="1653"/>
      <c r="J50" s="1653"/>
      <c r="K50" s="1653"/>
      <c r="L50" s="1653"/>
      <c r="M50" s="1653"/>
      <c r="N50" s="1653"/>
      <c r="O50" s="1653"/>
      <c r="P50" s="1653"/>
      <c r="V50" s="1654"/>
    </row>
    <row r="51" spans="5:22">
      <c r="E51" s="1653"/>
      <c r="F51" s="1653"/>
      <c r="G51" s="1653"/>
      <c r="H51" s="1653"/>
      <c r="I51" s="1653"/>
      <c r="J51" s="1653"/>
      <c r="K51" s="1653"/>
      <c r="L51" s="1653"/>
      <c r="M51" s="1653"/>
      <c r="N51" s="1653"/>
      <c r="O51" s="1653"/>
      <c r="P51" s="1653"/>
      <c r="V51" s="1654"/>
    </row>
    <row r="52" spans="5:22">
      <c r="E52" s="1653"/>
      <c r="F52" s="1653"/>
      <c r="G52" s="1653"/>
      <c r="H52" s="1653"/>
      <c r="I52" s="1653"/>
      <c r="J52" s="1653"/>
      <c r="K52" s="1653"/>
      <c r="L52" s="1653"/>
      <c r="M52" s="1653"/>
      <c r="N52" s="1653"/>
      <c r="O52" s="1653"/>
      <c r="P52" s="1653"/>
      <c r="V52" s="1654"/>
    </row>
    <row r="53" spans="5:22">
      <c r="E53" s="1653"/>
      <c r="F53" s="1653"/>
      <c r="G53" s="1653"/>
      <c r="H53" s="1653"/>
      <c r="I53" s="1653"/>
      <c r="J53" s="1653"/>
      <c r="K53" s="1653"/>
      <c r="L53" s="1653"/>
      <c r="M53" s="1653"/>
      <c r="N53" s="1653"/>
      <c r="O53" s="1653"/>
      <c r="P53" s="1653"/>
      <c r="V53" s="1654"/>
    </row>
    <row r="54" spans="5:22"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V54" s="1654"/>
    </row>
    <row r="55" spans="5:22">
      <c r="E55" s="1653"/>
      <c r="F55" s="1653"/>
      <c r="G55" s="1653"/>
      <c r="H55" s="1653"/>
      <c r="I55" s="1653"/>
      <c r="J55" s="1653"/>
      <c r="K55" s="1653"/>
      <c r="L55" s="1653"/>
      <c r="M55" s="1653"/>
      <c r="N55" s="1653"/>
      <c r="O55" s="1653"/>
      <c r="P55" s="1653"/>
      <c r="V55" s="1654"/>
    </row>
    <row r="56" spans="5:22">
      <c r="E56" s="1653"/>
      <c r="F56" s="1653"/>
      <c r="G56" s="1653"/>
      <c r="H56" s="1653"/>
      <c r="I56" s="1653"/>
      <c r="J56" s="1653"/>
      <c r="K56" s="1653"/>
      <c r="L56" s="1653"/>
      <c r="M56" s="1653"/>
      <c r="N56" s="1653"/>
      <c r="O56" s="1653"/>
      <c r="P56" s="1653"/>
      <c r="V56" s="1654"/>
    </row>
    <row r="57" spans="5:22">
      <c r="E57" s="1653"/>
      <c r="F57" s="1653"/>
      <c r="G57" s="1653"/>
      <c r="H57" s="1653"/>
      <c r="I57" s="1653"/>
      <c r="J57" s="1653"/>
      <c r="K57" s="1653"/>
      <c r="L57" s="1653"/>
      <c r="M57" s="1653"/>
      <c r="N57" s="1653"/>
      <c r="O57" s="1653"/>
      <c r="P57" s="1653"/>
      <c r="V57" s="1654"/>
    </row>
    <row r="58" spans="5:22">
      <c r="E58" s="1653"/>
      <c r="F58" s="1653"/>
      <c r="G58" s="1653"/>
      <c r="H58" s="1653"/>
      <c r="I58" s="1653"/>
      <c r="J58" s="1653"/>
      <c r="K58" s="1653"/>
      <c r="L58" s="1653"/>
      <c r="M58" s="1653"/>
      <c r="N58" s="1653"/>
      <c r="O58" s="1653"/>
      <c r="P58" s="1653"/>
      <c r="V58" s="1654"/>
    </row>
    <row r="59" spans="5:22">
      <c r="E59" s="1653"/>
      <c r="F59" s="1653"/>
      <c r="G59" s="1653"/>
      <c r="H59" s="1653"/>
      <c r="I59" s="1653"/>
      <c r="J59" s="1653"/>
      <c r="K59" s="1653"/>
      <c r="L59" s="1653"/>
      <c r="M59" s="1653"/>
      <c r="N59" s="1653"/>
      <c r="O59" s="1653"/>
      <c r="P59" s="1653"/>
      <c r="V59" s="1654"/>
    </row>
    <row r="60" spans="5:22">
      <c r="E60" s="1653"/>
      <c r="F60" s="1653"/>
      <c r="G60" s="1653"/>
      <c r="H60" s="1653"/>
      <c r="I60" s="1653"/>
      <c r="J60" s="1653"/>
      <c r="K60" s="1653"/>
      <c r="L60" s="1653"/>
      <c r="M60" s="1653"/>
      <c r="N60" s="1653"/>
      <c r="O60" s="1653"/>
      <c r="P60" s="1653"/>
      <c r="V60" s="1654"/>
    </row>
    <row r="61" spans="5:22">
      <c r="E61" s="1653"/>
      <c r="F61" s="1653"/>
      <c r="G61" s="1653"/>
      <c r="H61" s="1653"/>
      <c r="I61" s="1653"/>
      <c r="J61" s="1653"/>
      <c r="K61" s="1653"/>
      <c r="L61" s="1653"/>
      <c r="M61" s="1653"/>
      <c r="N61" s="1653"/>
      <c r="O61" s="1653"/>
      <c r="P61" s="1653"/>
      <c r="V61" s="1654"/>
    </row>
    <row r="62" spans="5:22">
      <c r="E62" s="1653"/>
      <c r="F62" s="1653"/>
      <c r="G62" s="1653"/>
      <c r="H62" s="1653"/>
      <c r="I62" s="1653"/>
      <c r="J62" s="1653"/>
      <c r="K62" s="1653"/>
      <c r="L62" s="1653"/>
      <c r="M62" s="1653"/>
      <c r="N62" s="1653"/>
      <c r="O62" s="1653"/>
      <c r="P62" s="1653"/>
      <c r="V62" s="1654"/>
    </row>
    <row r="63" spans="5:22">
      <c r="E63" s="1653"/>
      <c r="F63" s="1653"/>
      <c r="G63" s="1653"/>
      <c r="H63" s="1653"/>
      <c r="I63" s="1653"/>
      <c r="J63" s="1653"/>
      <c r="K63" s="1653"/>
      <c r="L63" s="1653"/>
      <c r="M63" s="1653"/>
      <c r="N63" s="1653"/>
      <c r="O63" s="1653"/>
      <c r="P63" s="1653"/>
      <c r="V63" s="1654"/>
    </row>
    <row r="64" spans="5:22">
      <c r="E64" s="1653"/>
      <c r="F64" s="1653"/>
      <c r="G64" s="1653"/>
      <c r="H64" s="1653"/>
      <c r="I64" s="1653"/>
      <c r="J64" s="1653"/>
      <c r="K64" s="1653"/>
      <c r="L64" s="1653"/>
      <c r="M64" s="1653"/>
      <c r="N64" s="1653"/>
      <c r="O64" s="1653"/>
      <c r="P64" s="1653"/>
      <c r="V64" s="1654"/>
    </row>
    <row r="65" spans="5:22">
      <c r="E65" s="1653"/>
      <c r="F65" s="1653"/>
      <c r="G65" s="1653"/>
      <c r="H65" s="1653"/>
      <c r="I65" s="1653"/>
      <c r="J65" s="1653"/>
      <c r="K65" s="1653"/>
      <c r="L65" s="1653"/>
      <c r="M65" s="1653"/>
      <c r="N65" s="1653"/>
      <c r="O65" s="1653"/>
      <c r="P65" s="1653"/>
      <c r="V65" s="1654"/>
    </row>
    <row r="66" spans="5:22">
      <c r="E66" s="1653"/>
      <c r="F66" s="1653"/>
      <c r="G66" s="1653"/>
      <c r="H66" s="1653"/>
      <c r="I66" s="1653"/>
      <c r="J66" s="1653"/>
      <c r="K66" s="1653"/>
      <c r="L66" s="1653"/>
      <c r="M66" s="1653"/>
      <c r="N66" s="1653"/>
      <c r="O66" s="1653"/>
      <c r="P66" s="1653"/>
      <c r="V66" s="1654"/>
    </row>
    <row r="67" spans="5:22">
      <c r="E67" s="1653"/>
      <c r="F67" s="1653"/>
      <c r="G67" s="1653"/>
      <c r="H67" s="1653"/>
      <c r="I67" s="1653"/>
      <c r="J67" s="1653"/>
      <c r="K67" s="1653"/>
      <c r="L67" s="1653"/>
      <c r="M67" s="1653"/>
      <c r="N67" s="1653"/>
      <c r="O67" s="1653"/>
      <c r="P67" s="1653"/>
      <c r="V67" s="1654"/>
    </row>
    <row r="68" spans="5:22">
      <c r="E68" s="1653"/>
      <c r="F68" s="1653"/>
      <c r="G68" s="1653"/>
      <c r="H68" s="1653"/>
      <c r="I68" s="1653"/>
      <c r="J68" s="1653"/>
      <c r="K68" s="1653"/>
      <c r="L68" s="1653"/>
      <c r="M68" s="1653"/>
      <c r="N68" s="1653"/>
      <c r="O68" s="1653"/>
      <c r="P68" s="1653"/>
      <c r="V68" s="1654"/>
    </row>
    <row r="69" spans="5:22">
      <c r="E69" s="1653"/>
      <c r="F69" s="1653"/>
      <c r="G69" s="1653"/>
      <c r="H69" s="1653"/>
      <c r="I69" s="1653"/>
      <c r="J69" s="1653"/>
      <c r="K69" s="1653"/>
      <c r="L69" s="1653"/>
      <c r="M69" s="1653"/>
      <c r="N69" s="1653"/>
      <c r="O69" s="1653"/>
      <c r="P69" s="1653"/>
      <c r="V69" s="1654"/>
    </row>
    <row r="70" spans="5:22">
      <c r="E70" s="1653"/>
      <c r="F70" s="1653"/>
      <c r="G70" s="1653"/>
      <c r="H70" s="1653"/>
      <c r="I70" s="1653"/>
      <c r="J70" s="1653"/>
      <c r="K70" s="1653"/>
      <c r="L70" s="1653"/>
      <c r="M70" s="1653"/>
      <c r="N70" s="1653"/>
      <c r="O70" s="1653"/>
      <c r="P70" s="1653"/>
      <c r="V70" s="1654"/>
    </row>
    <row r="71" spans="5:22">
      <c r="E71" s="1653"/>
      <c r="F71" s="1653"/>
      <c r="G71" s="1653"/>
      <c r="H71" s="1653"/>
      <c r="I71" s="1653"/>
      <c r="J71" s="1653"/>
      <c r="K71" s="1653"/>
      <c r="L71" s="1653"/>
      <c r="M71" s="1653"/>
      <c r="N71" s="1653"/>
      <c r="O71" s="1653"/>
      <c r="P71" s="1653"/>
      <c r="V71" s="1654"/>
    </row>
    <row r="72" spans="5:22">
      <c r="E72" s="1653"/>
      <c r="F72" s="1653"/>
      <c r="G72" s="1653"/>
      <c r="H72" s="1653"/>
      <c r="I72" s="1653"/>
      <c r="J72" s="1653"/>
      <c r="K72" s="1653"/>
      <c r="L72" s="1653"/>
      <c r="M72" s="1653"/>
      <c r="N72" s="1653"/>
      <c r="O72" s="1653"/>
      <c r="P72" s="1653"/>
      <c r="V72" s="1654"/>
    </row>
    <row r="73" spans="5:22"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3"/>
      <c r="P73" s="1653"/>
      <c r="V73" s="1654"/>
    </row>
    <row r="74" spans="5:22">
      <c r="E74" s="1653"/>
      <c r="F74" s="1653"/>
      <c r="G74" s="1653"/>
      <c r="H74" s="1653"/>
      <c r="I74" s="1653"/>
      <c r="J74" s="1653"/>
      <c r="K74" s="1653"/>
      <c r="L74" s="1653"/>
      <c r="M74" s="1653"/>
      <c r="N74" s="1653"/>
      <c r="O74" s="1653"/>
      <c r="P74" s="1653"/>
      <c r="V74" s="1654"/>
    </row>
    <row r="75" spans="5:22">
      <c r="E75" s="1653"/>
      <c r="F75" s="1653"/>
      <c r="G75" s="1653"/>
      <c r="H75" s="1653"/>
      <c r="I75" s="1653"/>
      <c r="J75" s="1653"/>
      <c r="K75" s="1653"/>
      <c r="L75" s="1653"/>
      <c r="M75" s="1653"/>
      <c r="N75" s="1653"/>
      <c r="O75" s="1653"/>
      <c r="P75" s="1653"/>
      <c r="V75" s="1654"/>
    </row>
    <row r="76" spans="5:22">
      <c r="E76" s="1653"/>
      <c r="F76" s="1653"/>
      <c r="G76" s="1653"/>
      <c r="H76" s="1653"/>
      <c r="I76" s="1653"/>
      <c r="J76" s="1653"/>
      <c r="K76" s="1653"/>
      <c r="L76" s="1653"/>
      <c r="M76" s="1653"/>
      <c r="N76" s="1653"/>
      <c r="O76" s="1653"/>
      <c r="P76" s="1653"/>
      <c r="V76" s="1654"/>
    </row>
    <row r="77" spans="5:22"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3"/>
      <c r="P77" s="1653"/>
      <c r="V77" s="1654"/>
    </row>
    <row r="78" spans="5:22">
      <c r="E78" s="1653"/>
      <c r="F78" s="1653"/>
      <c r="G78" s="1653"/>
      <c r="H78" s="1653"/>
      <c r="I78" s="1653"/>
      <c r="J78" s="1653"/>
      <c r="K78" s="1653"/>
      <c r="L78" s="1653"/>
      <c r="M78" s="1653"/>
      <c r="N78" s="1653"/>
      <c r="O78" s="1653"/>
      <c r="P78" s="1653"/>
      <c r="V78" s="1654"/>
    </row>
    <row r="79" spans="5:22">
      <c r="E79" s="1653"/>
      <c r="F79" s="1653"/>
      <c r="G79" s="1653"/>
      <c r="H79" s="1653"/>
      <c r="I79" s="1653"/>
      <c r="J79" s="1653"/>
      <c r="K79" s="1653"/>
      <c r="L79" s="1653"/>
      <c r="M79" s="1653"/>
      <c r="N79" s="1653"/>
      <c r="O79" s="1653"/>
      <c r="P79" s="1653"/>
      <c r="V79" s="1654"/>
    </row>
    <row r="80" spans="5:22">
      <c r="E80" s="1653"/>
      <c r="F80" s="1653"/>
      <c r="G80" s="1653"/>
      <c r="H80" s="1653"/>
      <c r="I80" s="1653"/>
      <c r="J80" s="1653"/>
      <c r="K80" s="1653"/>
      <c r="L80" s="1653"/>
      <c r="M80" s="1653"/>
      <c r="N80" s="1653"/>
      <c r="O80" s="1653"/>
      <c r="P80" s="1653"/>
      <c r="V80" s="1654"/>
    </row>
    <row r="81" spans="5:22">
      <c r="E81" s="1653"/>
      <c r="F81" s="1653"/>
      <c r="G81" s="1653"/>
      <c r="H81" s="1653"/>
      <c r="I81" s="1653"/>
      <c r="J81" s="1653"/>
      <c r="K81" s="1653"/>
      <c r="L81" s="1653"/>
      <c r="M81" s="1653"/>
      <c r="N81" s="1653"/>
      <c r="O81" s="1653"/>
      <c r="P81" s="1653"/>
      <c r="V81" s="1654"/>
    </row>
    <row r="82" spans="5:22">
      <c r="E82" s="1653"/>
      <c r="F82" s="1653"/>
      <c r="G82" s="1653"/>
      <c r="H82" s="1653"/>
      <c r="I82" s="1653"/>
      <c r="J82" s="1653"/>
      <c r="K82" s="1653"/>
      <c r="L82" s="1653"/>
      <c r="M82" s="1653"/>
      <c r="N82" s="1653"/>
      <c r="O82" s="1653"/>
      <c r="P82" s="1653"/>
      <c r="V82" s="1654"/>
    </row>
    <row r="83" spans="5:22">
      <c r="E83" s="1653"/>
      <c r="F83" s="1653"/>
      <c r="G83" s="1653"/>
      <c r="H83" s="1653"/>
      <c r="I83" s="1653"/>
      <c r="J83" s="1653"/>
      <c r="K83" s="1653"/>
      <c r="L83" s="1653"/>
      <c r="M83" s="1653"/>
      <c r="N83" s="1653"/>
      <c r="O83" s="1653"/>
      <c r="P83" s="1653"/>
      <c r="V83" s="1654"/>
    </row>
    <row r="84" spans="5:22"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V84" s="1654"/>
    </row>
    <row r="85" spans="5:22">
      <c r="E85" s="1653"/>
      <c r="F85" s="1653"/>
      <c r="G85" s="1653"/>
      <c r="H85" s="1653"/>
      <c r="I85" s="1653"/>
      <c r="J85" s="1653"/>
      <c r="K85" s="1653"/>
      <c r="L85" s="1653"/>
      <c r="M85" s="1653"/>
      <c r="N85" s="1653"/>
      <c r="O85" s="1653"/>
      <c r="P85" s="1653"/>
      <c r="V85" s="1654"/>
    </row>
    <row r="86" spans="5:22">
      <c r="E86" s="1653"/>
      <c r="F86" s="1653"/>
      <c r="G86" s="1653"/>
      <c r="H86" s="1653"/>
      <c r="I86" s="1653"/>
      <c r="J86" s="1653"/>
      <c r="K86" s="1653"/>
      <c r="L86" s="1653"/>
      <c r="M86" s="1653"/>
      <c r="N86" s="1653"/>
      <c r="O86" s="1653"/>
      <c r="P86" s="1653"/>
      <c r="V86" s="1654"/>
    </row>
    <row r="87" spans="5:22">
      <c r="E87" s="1653"/>
      <c r="F87" s="1653"/>
      <c r="G87" s="1653"/>
      <c r="H87" s="1653"/>
      <c r="I87" s="1653"/>
      <c r="J87" s="1653"/>
      <c r="K87" s="1653"/>
      <c r="L87" s="1653"/>
      <c r="M87" s="1653"/>
      <c r="N87" s="1653"/>
      <c r="O87" s="1653"/>
      <c r="P87" s="1653"/>
      <c r="V87" s="1654"/>
    </row>
    <row r="88" spans="5:22">
      <c r="E88" s="1653"/>
      <c r="F88" s="1653"/>
      <c r="G88" s="1653"/>
      <c r="H88" s="1653"/>
      <c r="I88" s="1653"/>
      <c r="J88" s="1653"/>
      <c r="K88" s="1653"/>
      <c r="L88" s="1653"/>
      <c r="M88" s="1653"/>
      <c r="N88" s="1653"/>
      <c r="O88" s="1653"/>
      <c r="P88" s="1653"/>
      <c r="V88" s="1654"/>
    </row>
    <row r="89" spans="5:22">
      <c r="E89" s="1653"/>
      <c r="F89" s="1653"/>
      <c r="G89" s="1653"/>
      <c r="H89" s="1653">
        <f>H95+H99</f>
        <v>0</v>
      </c>
      <c r="I89" s="1653"/>
      <c r="J89" s="1653"/>
      <c r="K89" s="1653"/>
      <c r="L89" s="1653"/>
      <c r="M89" s="1653"/>
      <c r="N89" s="1653"/>
      <c r="O89" s="1653"/>
      <c r="P89" s="1653"/>
      <c r="V89" s="1654"/>
    </row>
    <row r="90" spans="5:22">
      <c r="E90" s="1653"/>
      <c r="F90" s="1653"/>
      <c r="G90" s="1653"/>
      <c r="H90" s="1653"/>
      <c r="I90" s="1653"/>
      <c r="J90" s="1653"/>
      <c r="K90" s="1653"/>
      <c r="L90" s="1653"/>
      <c r="M90" s="1653"/>
      <c r="N90" s="1653"/>
      <c r="O90" s="1653"/>
      <c r="P90" s="1653"/>
      <c r="V90" s="1654"/>
    </row>
    <row r="91" spans="5:22">
      <c r="E91" s="1653"/>
      <c r="F91" s="1653"/>
      <c r="G91" s="1653"/>
      <c r="H91" s="1653"/>
      <c r="I91" s="1653"/>
      <c r="J91" s="1653"/>
      <c r="K91" s="1653"/>
      <c r="L91" s="1653"/>
      <c r="M91" s="1653"/>
      <c r="N91" s="1653"/>
      <c r="O91" s="1653"/>
      <c r="P91" s="1653"/>
      <c r="V91" s="1654"/>
    </row>
    <row r="92" spans="5:22">
      <c r="E92" s="1653"/>
      <c r="F92" s="1653"/>
      <c r="G92" s="1653"/>
      <c r="H92" s="1653"/>
      <c r="I92" s="1653"/>
      <c r="J92" s="1653"/>
      <c r="K92" s="1653"/>
      <c r="L92" s="1653"/>
      <c r="M92" s="1653"/>
      <c r="N92" s="1653"/>
      <c r="O92" s="1653"/>
      <c r="P92" s="1653"/>
      <c r="V92" s="1654"/>
    </row>
    <row r="93" spans="5:22">
      <c r="E93" s="1653"/>
      <c r="F93" s="1653"/>
      <c r="G93" s="1653"/>
      <c r="H93" s="1653"/>
      <c r="I93" s="1653"/>
      <c r="J93" s="1653"/>
      <c r="K93" s="1653"/>
      <c r="L93" s="1653"/>
      <c r="M93" s="1653"/>
      <c r="N93" s="1653"/>
      <c r="O93" s="1653"/>
      <c r="P93" s="1653"/>
      <c r="V93" s="1654"/>
    </row>
    <row r="94" spans="5:22">
      <c r="E94" s="1653"/>
      <c r="F94" s="1653"/>
      <c r="G94" s="1653"/>
      <c r="H94" s="1653"/>
      <c r="I94" s="1653"/>
      <c r="J94" s="1653"/>
      <c r="K94" s="1653"/>
      <c r="L94" s="1653"/>
      <c r="M94" s="1653"/>
      <c r="N94" s="1653"/>
      <c r="O94" s="1653"/>
      <c r="P94" s="1653"/>
      <c r="V94" s="1654"/>
    </row>
    <row r="95" spans="5:22">
      <c r="E95" s="1653"/>
      <c r="F95" s="1653"/>
      <c r="G95" s="1653"/>
      <c r="H95" s="1653"/>
      <c r="I95" s="1653"/>
      <c r="J95" s="1653"/>
      <c r="K95" s="1653"/>
      <c r="L95" s="1653"/>
      <c r="M95" s="1653"/>
      <c r="N95" s="1653"/>
      <c r="O95" s="1653"/>
      <c r="P95" s="1653"/>
      <c r="V95" s="1654"/>
    </row>
    <row r="96" spans="5:22">
      <c r="E96" s="1653"/>
      <c r="F96" s="1653"/>
      <c r="G96" s="1653"/>
      <c r="H96" s="1653"/>
      <c r="I96" s="1653"/>
      <c r="J96" s="1653"/>
      <c r="K96" s="1653"/>
      <c r="L96" s="1653"/>
      <c r="M96" s="1653"/>
      <c r="N96" s="1653"/>
      <c r="O96" s="1653"/>
      <c r="P96" s="1653"/>
      <c r="V96" s="1654"/>
    </row>
    <row r="97" spans="5:22">
      <c r="E97" s="1653"/>
      <c r="F97" s="1653"/>
      <c r="G97" s="1653"/>
      <c r="H97" s="1653"/>
      <c r="I97" s="1653"/>
      <c r="J97" s="1653"/>
      <c r="K97" s="1653"/>
      <c r="L97" s="1653"/>
      <c r="M97" s="1653"/>
      <c r="N97" s="1653"/>
      <c r="O97" s="1653"/>
      <c r="P97" s="1653"/>
      <c r="V97" s="1654"/>
    </row>
    <row r="98" spans="5:22">
      <c r="E98" s="1653"/>
      <c r="F98" s="1653"/>
      <c r="G98" s="1653"/>
      <c r="H98" s="1653"/>
      <c r="I98" s="1653"/>
      <c r="J98" s="1653"/>
      <c r="K98" s="1653"/>
      <c r="L98" s="1653"/>
      <c r="M98" s="1653"/>
      <c r="N98" s="1653"/>
      <c r="O98" s="1653"/>
      <c r="P98" s="1653"/>
      <c r="V98" s="1654"/>
    </row>
    <row r="99" spans="5:22">
      <c r="E99" s="1653"/>
      <c r="F99" s="1653"/>
      <c r="G99" s="1653"/>
      <c r="H99" s="1653"/>
      <c r="I99" s="1653"/>
      <c r="J99" s="1653"/>
      <c r="K99" s="1653"/>
      <c r="L99" s="1653"/>
      <c r="M99" s="1653"/>
      <c r="N99" s="1653"/>
      <c r="O99" s="1653"/>
      <c r="P99" s="1653"/>
      <c r="V99" s="1654"/>
    </row>
    <row r="100" spans="5:22">
      <c r="E100" s="1653"/>
      <c r="F100" s="1653"/>
      <c r="G100" s="1653"/>
      <c r="H100" s="1653"/>
      <c r="I100" s="1653"/>
      <c r="J100" s="1653"/>
      <c r="K100" s="1653"/>
      <c r="L100" s="1653"/>
      <c r="M100" s="1653"/>
      <c r="N100" s="1653"/>
      <c r="O100" s="1653"/>
      <c r="P100" s="1653"/>
      <c r="V100" s="1654"/>
    </row>
    <row r="101" spans="5:22">
      <c r="E101" s="1653"/>
      <c r="F101" s="1653"/>
      <c r="G101" s="1653"/>
      <c r="H101" s="1653"/>
      <c r="I101" s="1653"/>
      <c r="J101" s="1653"/>
      <c r="K101" s="1653"/>
      <c r="L101" s="1653"/>
      <c r="M101" s="1653"/>
      <c r="N101" s="1653"/>
      <c r="O101" s="1653"/>
      <c r="P101" s="1653"/>
      <c r="V101" s="1654"/>
    </row>
    <row r="102" spans="5:22">
      <c r="E102" s="1653"/>
      <c r="F102" s="1653"/>
      <c r="G102" s="1653"/>
      <c r="H102" s="1653"/>
      <c r="I102" s="1653"/>
      <c r="J102" s="1653"/>
      <c r="K102" s="1653"/>
      <c r="L102" s="1653"/>
      <c r="M102" s="1653"/>
      <c r="N102" s="1653"/>
      <c r="O102" s="1653"/>
      <c r="P102" s="1653"/>
      <c r="V102" s="1654"/>
    </row>
    <row r="103" spans="5:22">
      <c r="E103" s="1653"/>
      <c r="F103" s="1653"/>
      <c r="G103" s="1653"/>
      <c r="H103" s="1653"/>
      <c r="I103" s="1653"/>
      <c r="J103" s="1653"/>
      <c r="K103" s="1653"/>
      <c r="L103" s="1653"/>
      <c r="M103" s="1653"/>
      <c r="N103" s="1653"/>
      <c r="O103" s="1653"/>
      <c r="P103" s="1653"/>
      <c r="V103" s="1654"/>
    </row>
    <row r="104" spans="5:22">
      <c r="E104" s="1653"/>
      <c r="F104" s="1653"/>
      <c r="G104" s="1653"/>
      <c r="H104" s="1653"/>
      <c r="I104" s="1653"/>
      <c r="J104" s="1653"/>
      <c r="K104" s="1653"/>
      <c r="L104" s="1653"/>
      <c r="M104" s="1653"/>
      <c r="N104" s="1653"/>
      <c r="O104" s="1653"/>
      <c r="P104" s="1653"/>
      <c r="V104" s="1654"/>
    </row>
    <row r="105" spans="5:22">
      <c r="E105" s="1653"/>
      <c r="F105" s="1653"/>
      <c r="G105" s="1653"/>
      <c r="H105" s="1653"/>
      <c r="I105" s="1653"/>
      <c r="J105" s="1653"/>
      <c r="K105" s="1653"/>
      <c r="L105" s="1653"/>
      <c r="M105" s="1653"/>
      <c r="N105" s="1653"/>
      <c r="O105" s="1653"/>
      <c r="P105" s="1653"/>
      <c r="V105" s="1654"/>
    </row>
    <row r="106" spans="5:22">
      <c r="E106" s="1653"/>
      <c r="F106" s="1653"/>
      <c r="G106" s="1653"/>
      <c r="H106" s="1653"/>
      <c r="I106" s="1653"/>
      <c r="J106" s="1653"/>
      <c r="K106" s="1653"/>
      <c r="L106" s="1653"/>
      <c r="M106" s="1653"/>
      <c r="N106" s="1653"/>
      <c r="O106" s="1653"/>
      <c r="P106" s="1653"/>
      <c r="V106" s="1654"/>
    </row>
    <row r="107" spans="5:22">
      <c r="E107" s="1653"/>
      <c r="F107" s="1653"/>
      <c r="G107" s="1653"/>
      <c r="H107" s="1653"/>
      <c r="I107" s="1653"/>
      <c r="J107" s="1653"/>
      <c r="K107" s="1653"/>
      <c r="L107" s="1653"/>
      <c r="M107" s="1653"/>
      <c r="N107" s="1653"/>
      <c r="O107" s="1653"/>
      <c r="P107" s="1653"/>
      <c r="V107" s="1654"/>
    </row>
    <row r="108" spans="5:22">
      <c r="E108" s="1653"/>
      <c r="F108" s="1653"/>
      <c r="G108" s="1653"/>
      <c r="H108" s="1653"/>
      <c r="I108" s="1653"/>
      <c r="J108" s="1653"/>
      <c r="K108" s="1653"/>
      <c r="L108" s="1653"/>
      <c r="M108" s="1653"/>
      <c r="N108" s="1653"/>
      <c r="O108" s="1653"/>
      <c r="P108" s="1653"/>
      <c r="V108" s="1654"/>
    </row>
    <row r="109" spans="5:22">
      <c r="E109" s="1653"/>
      <c r="F109" s="1653"/>
      <c r="G109" s="1653"/>
      <c r="H109" s="1653"/>
      <c r="I109" s="1653"/>
      <c r="J109" s="1653"/>
      <c r="K109" s="1653"/>
      <c r="L109" s="1653"/>
      <c r="M109" s="1653"/>
      <c r="N109" s="1653"/>
      <c r="O109" s="1653"/>
      <c r="P109" s="1653"/>
      <c r="V109" s="1654"/>
    </row>
    <row r="110" spans="5:22">
      <c r="E110" s="1653"/>
      <c r="F110" s="1653"/>
      <c r="G110" s="1653"/>
      <c r="H110" s="1653"/>
      <c r="I110" s="1653"/>
      <c r="J110" s="1653"/>
      <c r="K110" s="1653"/>
      <c r="L110" s="1653"/>
      <c r="M110" s="1653"/>
      <c r="N110" s="1653"/>
      <c r="O110" s="1653"/>
      <c r="P110" s="1653"/>
      <c r="V110" s="1654"/>
    </row>
    <row r="111" spans="5:22">
      <c r="E111" s="1653"/>
      <c r="F111" s="1653"/>
      <c r="G111" s="1653"/>
      <c r="H111" s="1653"/>
      <c r="I111" s="1653"/>
      <c r="J111" s="1653"/>
      <c r="K111" s="1653"/>
      <c r="L111" s="1653"/>
      <c r="M111" s="1653"/>
      <c r="N111" s="1653"/>
      <c r="O111" s="1653"/>
      <c r="P111" s="1653"/>
      <c r="V111" s="1654"/>
    </row>
    <row r="112" spans="5:22">
      <c r="E112" s="1653"/>
      <c r="F112" s="1653"/>
      <c r="G112" s="1653"/>
      <c r="H112" s="1653"/>
      <c r="I112" s="1653"/>
      <c r="J112" s="1653"/>
      <c r="K112" s="1653"/>
      <c r="L112" s="1653"/>
      <c r="M112" s="1653"/>
      <c r="N112" s="1653"/>
      <c r="O112" s="1653"/>
      <c r="P112" s="1653"/>
      <c r="V112" s="1654"/>
    </row>
    <row r="113" spans="5:22">
      <c r="E113" s="1653"/>
      <c r="F113" s="1653"/>
      <c r="G113" s="1653"/>
      <c r="H113" s="1653"/>
      <c r="I113" s="1653"/>
      <c r="J113" s="1653"/>
      <c r="K113" s="1653"/>
      <c r="L113" s="1653"/>
      <c r="M113" s="1653"/>
      <c r="N113" s="1653"/>
      <c r="O113" s="1653"/>
      <c r="P113" s="1653"/>
      <c r="V113" s="1654"/>
    </row>
    <row r="114" spans="5:22">
      <c r="E114" s="1653"/>
      <c r="F114" s="1653"/>
      <c r="G114" s="1653"/>
      <c r="H114" s="1653"/>
      <c r="I114" s="1653"/>
      <c r="J114" s="1653"/>
      <c r="K114" s="1653"/>
      <c r="L114" s="1653"/>
      <c r="M114" s="1653"/>
      <c r="N114" s="1653"/>
      <c r="O114" s="1653"/>
      <c r="P114" s="1653"/>
      <c r="V114" s="1654"/>
    </row>
    <row r="115" spans="5:22">
      <c r="E115" s="1653"/>
      <c r="F115" s="1653"/>
      <c r="G115" s="1653"/>
      <c r="H115" s="1653"/>
      <c r="I115" s="1653"/>
      <c r="J115" s="1653"/>
      <c r="K115" s="1653"/>
      <c r="L115" s="1653"/>
      <c r="M115" s="1653"/>
      <c r="N115" s="1653"/>
      <c r="O115" s="1653"/>
      <c r="P115" s="1653"/>
      <c r="V115" s="1654"/>
    </row>
    <row r="116" spans="5:22">
      <c r="E116" s="1653"/>
      <c r="F116" s="1653"/>
      <c r="G116" s="1653"/>
      <c r="H116" s="1653"/>
      <c r="I116" s="1653"/>
      <c r="J116" s="1653"/>
      <c r="K116" s="1653"/>
      <c r="L116" s="1653"/>
      <c r="M116" s="1653"/>
      <c r="N116" s="1653"/>
      <c r="O116" s="1653"/>
      <c r="P116" s="1653"/>
      <c r="V116" s="1654"/>
    </row>
    <row r="117" spans="5:22">
      <c r="E117" s="1653"/>
      <c r="F117" s="1653"/>
      <c r="G117" s="1653"/>
      <c r="H117" s="1653"/>
      <c r="I117" s="1653"/>
      <c r="J117" s="1653"/>
      <c r="K117" s="1653"/>
      <c r="L117" s="1653"/>
      <c r="M117" s="1653"/>
      <c r="N117" s="1653"/>
      <c r="O117" s="1653"/>
      <c r="P117" s="1653"/>
      <c r="V117" s="1654"/>
    </row>
    <row r="118" spans="5:22">
      <c r="E118" s="1653"/>
      <c r="F118" s="1653"/>
      <c r="G118" s="1653"/>
      <c r="H118" s="1653"/>
      <c r="I118" s="1653"/>
      <c r="J118" s="1653"/>
      <c r="K118" s="1653"/>
      <c r="L118" s="1653"/>
      <c r="M118" s="1653"/>
      <c r="N118" s="1653"/>
      <c r="O118" s="1653"/>
      <c r="P118" s="1653"/>
      <c r="V118" s="1654"/>
    </row>
    <row r="119" spans="5:22">
      <c r="E119" s="1653"/>
      <c r="F119" s="1653"/>
      <c r="G119" s="1653"/>
      <c r="H119" s="1653"/>
      <c r="I119" s="1653"/>
      <c r="J119" s="1653"/>
      <c r="K119" s="1653"/>
      <c r="L119" s="1653"/>
      <c r="M119" s="1653"/>
      <c r="N119" s="1653"/>
      <c r="O119" s="1653"/>
      <c r="P119" s="1653"/>
      <c r="V119" s="1654"/>
    </row>
    <row r="120" spans="5:22">
      <c r="E120" s="1653"/>
      <c r="F120" s="1653"/>
      <c r="G120" s="1653"/>
      <c r="H120" s="1653"/>
      <c r="I120" s="1653"/>
      <c r="J120" s="1653"/>
      <c r="K120" s="1653"/>
      <c r="L120" s="1653"/>
      <c r="M120" s="1653"/>
      <c r="N120" s="1653"/>
      <c r="O120" s="1653"/>
      <c r="P120" s="1653"/>
      <c r="V120" s="1654"/>
    </row>
    <row r="121" spans="5:22">
      <c r="E121" s="1653"/>
      <c r="F121" s="1653"/>
      <c r="G121" s="1653"/>
      <c r="H121" s="1653"/>
      <c r="I121" s="1653"/>
      <c r="J121" s="1653"/>
      <c r="K121" s="1653"/>
      <c r="L121" s="1653"/>
      <c r="M121" s="1653"/>
      <c r="N121" s="1653"/>
      <c r="O121" s="1653"/>
      <c r="P121" s="1653"/>
      <c r="V121" s="1654"/>
    </row>
    <row r="122" spans="5:22">
      <c r="E122" s="1653"/>
      <c r="F122" s="1653"/>
      <c r="G122" s="1653"/>
      <c r="H122" s="1653"/>
      <c r="I122" s="1653"/>
      <c r="J122" s="1653"/>
      <c r="K122" s="1653"/>
      <c r="L122" s="1653"/>
      <c r="M122" s="1653"/>
      <c r="N122" s="1653"/>
      <c r="O122" s="1653"/>
      <c r="P122" s="1653"/>
      <c r="V122" s="1654"/>
    </row>
    <row r="123" spans="5:22">
      <c r="E123" s="1653"/>
      <c r="F123" s="1653"/>
      <c r="G123" s="1653"/>
      <c r="H123" s="1653"/>
      <c r="I123" s="1653"/>
      <c r="J123" s="1653"/>
      <c r="K123" s="1653"/>
      <c r="L123" s="1653"/>
      <c r="M123" s="1653"/>
      <c r="N123" s="1653"/>
      <c r="O123" s="1653"/>
      <c r="P123" s="1653"/>
      <c r="V123" s="1654"/>
    </row>
    <row r="124" spans="5:22">
      <c r="E124" s="1653"/>
      <c r="F124" s="1653"/>
      <c r="G124" s="1653"/>
      <c r="H124" s="1653"/>
      <c r="I124" s="1653"/>
      <c r="J124" s="1653"/>
      <c r="K124" s="1653"/>
      <c r="L124" s="1653"/>
      <c r="M124" s="1653"/>
      <c r="N124" s="1653"/>
      <c r="O124" s="1653"/>
      <c r="P124" s="1653"/>
      <c r="V124" s="1654"/>
    </row>
    <row r="125" spans="5:22">
      <c r="E125" s="1653"/>
      <c r="F125" s="1653"/>
      <c r="G125" s="1653"/>
      <c r="H125" s="1653"/>
      <c r="I125" s="1653"/>
      <c r="J125" s="1653"/>
      <c r="K125" s="1653"/>
      <c r="L125" s="1653"/>
      <c r="M125" s="1653"/>
      <c r="N125" s="1653"/>
      <c r="O125" s="1653"/>
      <c r="P125" s="1653"/>
      <c r="V125" s="1654"/>
    </row>
    <row r="126" spans="5:22">
      <c r="E126" s="1653"/>
      <c r="F126" s="1653"/>
      <c r="G126" s="1653"/>
      <c r="H126" s="1653"/>
      <c r="I126" s="1653"/>
      <c r="J126" s="1653"/>
      <c r="K126" s="1653"/>
      <c r="L126" s="1653"/>
      <c r="M126" s="1653"/>
      <c r="N126" s="1653"/>
      <c r="O126" s="1653"/>
      <c r="P126" s="1653"/>
      <c r="V126" s="1654"/>
    </row>
    <row r="127" spans="5:22">
      <c r="E127" s="1653"/>
      <c r="F127" s="1653"/>
      <c r="G127" s="1653"/>
      <c r="H127" s="1653"/>
      <c r="I127" s="1653"/>
      <c r="J127" s="1653"/>
      <c r="K127" s="1653"/>
      <c r="L127" s="1653"/>
      <c r="M127" s="1653"/>
      <c r="N127" s="1653"/>
      <c r="O127" s="1653"/>
      <c r="P127" s="1653"/>
      <c r="V127" s="1654"/>
    </row>
    <row r="128" spans="5:22">
      <c r="E128" s="1653"/>
      <c r="F128" s="1653"/>
      <c r="G128" s="1653"/>
      <c r="H128" s="1653"/>
      <c r="I128" s="1653"/>
      <c r="J128" s="1653"/>
      <c r="K128" s="1653"/>
      <c r="L128" s="1653"/>
      <c r="M128" s="1653"/>
      <c r="N128" s="1653"/>
      <c r="O128" s="1653"/>
      <c r="P128" s="1653"/>
      <c r="V128" s="1654"/>
    </row>
    <row r="129" spans="5:22">
      <c r="E129" s="1653"/>
      <c r="F129" s="1653"/>
      <c r="G129" s="1653"/>
      <c r="H129" s="1653"/>
      <c r="I129" s="1653"/>
      <c r="J129" s="1653"/>
      <c r="K129" s="1653"/>
      <c r="L129" s="1653"/>
      <c r="M129" s="1653"/>
      <c r="N129" s="1653"/>
      <c r="O129" s="1653"/>
      <c r="P129" s="1653"/>
      <c r="V129" s="1654"/>
    </row>
    <row r="130" spans="5:22">
      <c r="E130" s="1653"/>
      <c r="F130" s="1653"/>
      <c r="G130" s="1653"/>
      <c r="H130" s="1653"/>
      <c r="I130" s="1653"/>
      <c r="J130" s="1653"/>
      <c r="K130" s="1653"/>
      <c r="L130" s="1653"/>
      <c r="M130" s="1653"/>
      <c r="N130" s="1653"/>
      <c r="O130" s="1653"/>
      <c r="P130" s="1653"/>
      <c r="V130" s="1654"/>
    </row>
    <row r="131" spans="5:22">
      <c r="E131" s="1653"/>
      <c r="F131" s="1653"/>
      <c r="G131" s="1653"/>
      <c r="H131" s="1653"/>
      <c r="I131" s="1653"/>
      <c r="J131" s="1653"/>
      <c r="K131" s="1653"/>
      <c r="L131" s="1653"/>
      <c r="M131" s="1653"/>
      <c r="N131" s="1653"/>
      <c r="O131" s="1653"/>
      <c r="P131" s="1653"/>
      <c r="V131" s="1654"/>
    </row>
    <row r="132" spans="5:22">
      <c r="E132" s="1653"/>
      <c r="F132" s="1653"/>
      <c r="G132" s="1653"/>
      <c r="H132" s="1653"/>
      <c r="I132" s="1653"/>
      <c r="J132" s="1653"/>
      <c r="K132" s="1653"/>
      <c r="L132" s="1653"/>
      <c r="M132" s="1653"/>
      <c r="N132" s="1653"/>
      <c r="O132" s="1653"/>
      <c r="P132" s="1653"/>
      <c r="V132" s="1654"/>
    </row>
    <row r="133" spans="5:22">
      <c r="E133" s="1653"/>
      <c r="F133" s="1653"/>
      <c r="G133" s="1653"/>
      <c r="H133" s="1653"/>
      <c r="I133" s="1653"/>
      <c r="J133" s="1653"/>
      <c r="K133" s="1653"/>
      <c r="L133" s="1653"/>
      <c r="M133" s="1653"/>
      <c r="N133" s="1653"/>
      <c r="O133" s="1653"/>
      <c r="P133" s="1653"/>
      <c r="V133" s="1654"/>
    </row>
    <row r="134" spans="5:22">
      <c r="E134" s="1653"/>
      <c r="F134" s="1653"/>
      <c r="G134" s="1653"/>
      <c r="H134" s="1653"/>
      <c r="I134" s="1653"/>
      <c r="J134" s="1653"/>
      <c r="K134" s="1653"/>
      <c r="L134" s="1653"/>
      <c r="M134" s="1653"/>
      <c r="N134" s="1653"/>
      <c r="O134" s="1653"/>
      <c r="P134" s="1653"/>
      <c r="V134" s="1654"/>
    </row>
    <row r="135" spans="5:22">
      <c r="E135" s="1653"/>
      <c r="F135" s="1653"/>
      <c r="G135" s="1653"/>
      <c r="H135" s="1653"/>
      <c r="I135" s="1653"/>
      <c r="J135" s="1653"/>
      <c r="K135" s="1653"/>
      <c r="L135" s="1653"/>
      <c r="M135" s="1653"/>
      <c r="N135" s="1653"/>
      <c r="O135" s="1653"/>
      <c r="P135" s="1653"/>
      <c r="V135" s="1654"/>
    </row>
    <row r="136" spans="5:22">
      <c r="E136" s="1653"/>
      <c r="F136" s="1653"/>
      <c r="G136" s="1653"/>
      <c r="H136" s="1653"/>
      <c r="I136" s="1653"/>
      <c r="J136" s="1653"/>
      <c r="K136" s="1653"/>
      <c r="L136" s="1653"/>
      <c r="M136" s="1653"/>
      <c r="N136" s="1653"/>
      <c r="O136" s="1653"/>
      <c r="P136" s="1653"/>
      <c r="V136" s="1654"/>
    </row>
    <row r="137" spans="5:22">
      <c r="E137" s="1653"/>
      <c r="F137" s="1653"/>
      <c r="G137" s="1653"/>
      <c r="H137" s="1653"/>
      <c r="I137" s="1653"/>
      <c r="J137" s="1653"/>
      <c r="K137" s="1653"/>
      <c r="L137" s="1653"/>
      <c r="M137" s="1653"/>
      <c r="N137" s="1653"/>
      <c r="O137" s="1653"/>
      <c r="P137" s="1653"/>
      <c r="V137" s="1654"/>
    </row>
    <row r="138" spans="5:22">
      <c r="E138" s="1653"/>
      <c r="F138" s="1653"/>
      <c r="G138" s="1653"/>
      <c r="H138" s="1653"/>
      <c r="I138" s="1653"/>
      <c r="J138" s="1653"/>
      <c r="K138" s="1653"/>
      <c r="L138" s="1653"/>
      <c r="M138" s="1653"/>
      <c r="N138" s="1653"/>
      <c r="O138" s="1653"/>
      <c r="P138" s="1653"/>
      <c r="V138" s="1654"/>
    </row>
    <row r="139" spans="5:22">
      <c r="E139" s="1653"/>
      <c r="F139" s="1653"/>
      <c r="G139" s="1653"/>
      <c r="H139" s="1653"/>
      <c r="I139" s="1653"/>
      <c r="J139" s="1653"/>
      <c r="K139" s="1653"/>
      <c r="L139" s="1653"/>
      <c r="M139" s="1653"/>
      <c r="N139" s="1653"/>
      <c r="O139" s="1653"/>
      <c r="P139" s="1653"/>
      <c r="V139" s="1654"/>
    </row>
    <row r="140" spans="5:22">
      <c r="E140" s="1653"/>
      <c r="F140" s="1653"/>
      <c r="G140" s="1653"/>
      <c r="H140" s="1653"/>
      <c r="I140" s="1653"/>
      <c r="J140" s="1653"/>
      <c r="K140" s="1653"/>
      <c r="L140" s="1653"/>
      <c r="M140" s="1653"/>
      <c r="N140" s="1653"/>
      <c r="O140" s="1653"/>
      <c r="P140" s="1653"/>
      <c r="V140" s="1654"/>
    </row>
    <row r="141" spans="5:22">
      <c r="E141" s="1653"/>
      <c r="F141" s="1653"/>
      <c r="G141" s="1653"/>
      <c r="H141" s="1653"/>
      <c r="I141" s="1653"/>
      <c r="J141" s="1653"/>
      <c r="K141" s="1653"/>
      <c r="L141" s="1653"/>
      <c r="M141" s="1653"/>
      <c r="N141" s="1653"/>
      <c r="O141" s="1653"/>
      <c r="P141" s="1653"/>
      <c r="V141" s="1654"/>
    </row>
    <row r="142" spans="5:22">
      <c r="E142" s="1653"/>
      <c r="F142" s="1653"/>
      <c r="G142" s="1653"/>
      <c r="H142" s="1653"/>
      <c r="I142" s="1653"/>
      <c r="J142" s="1653"/>
      <c r="K142" s="1653"/>
      <c r="L142" s="1653"/>
      <c r="M142" s="1653"/>
      <c r="N142" s="1653"/>
      <c r="O142" s="1653"/>
      <c r="P142" s="1653"/>
      <c r="V142" s="1654"/>
    </row>
    <row r="143" spans="5:22">
      <c r="E143" s="1653"/>
      <c r="F143" s="1653"/>
      <c r="G143" s="1653"/>
      <c r="H143" s="1653"/>
      <c r="I143" s="1653"/>
      <c r="J143" s="1653"/>
      <c r="K143" s="1653"/>
      <c r="L143" s="1653"/>
      <c r="M143" s="1653"/>
      <c r="N143" s="1653"/>
      <c r="O143" s="1653"/>
      <c r="P143" s="1653"/>
      <c r="V143" s="1654"/>
    </row>
    <row r="144" spans="5:22">
      <c r="E144" s="1653"/>
      <c r="F144" s="1653"/>
      <c r="G144" s="1653"/>
      <c r="H144" s="1653"/>
      <c r="I144" s="1653"/>
      <c r="J144" s="1653"/>
      <c r="K144" s="1653"/>
      <c r="L144" s="1653"/>
      <c r="M144" s="1653"/>
      <c r="N144" s="1653"/>
      <c r="O144" s="1653"/>
      <c r="P144" s="1653"/>
      <c r="V144" s="1654"/>
    </row>
    <row r="145" spans="5:22">
      <c r="E145" s="1653"/>
      <c r="F145" s="1653"/>
      <c r="G145" s="1653"/>
      <c r="H145" s="1653"/>
      <c r="I145" s="1653"/>
      <c r="J145" s="1653"/>
      <c r="K145" s="1653"/>
      <c r="L145" s="1653"/>
      <c r="M145" s="1653"/>
      <c r="N145" s="1653"/>
      <c r="O145" s="1653"/>
      <c r="P145" s="1653"/>
      <c r="V145" s="1654"/>
    </row>
    <row r="146" spans="5:22">
      <c r="E146" s="1653"/>
      <c r="F146" s="1653"/>
      <c r="G146" s="1653"/>
      <c r="H146" s="1653"/>
      <c r="I146" s="1653"/>
      <c r="J146" s="1653"/>
      <c r="K146" s="1653"/>
      <c r="L146" s="1653"/>
      <c r="M146" s="1653"/>
      <c r="N146" s="1653"/>
      <c r="O146" s="1653"/>
      <c r="P146" s="1653"/>
      <c r="V146" s="1654"/>
    </row>
    <row r="147" spans="5:22">
      <c r="E147" s="1653"/>
      <c r="F147" s="1653"/>
      <c r="G147" s="1653"/>
      <c r="H147" s="1653"/>
      <c r="I147" s="1653"/>
      <c r="J147" s="1653"/>
      <c r="K147" s="1653"/>
      <c r="L147" s="1653"/>
      <c r="M147" s="1653"/>
      <c r="N147" s="1653"/>
      <c r="O147" s="1653"/>
      <c r="P147" s="1653"/>
      <c r="V147" s="1654"/>
    </row>
    <row r="148" spans="5:22">
      <c r="E148" s="1653"/>
      <c r="F148" s="1653"/>
      <c r="G148" s="1653"/>
      <c r="H148" s="1653"/>
      <c r="I148" s="1653"/>
      <c r="J148" s="1653"/>
      <c r="K148" s="1653"/>
      <c r="L148" s="1653"/>
      <c r="M148" s="1653"/>
      <c r="N148" s="1653"/>
      <c r="O148" s="1653"/>
      <c r="P148" s="1653"/>
      <c r="V148" s="1654"/>
    </row>
    <row r="149" spans="5:22">
      <c r="E149" s="1653"/>
      <c r="F149" s="1653"/>
      <c r="G149" s="1653"/>
      <c r="H149" s="1653"/>
      <c r="I149" s="1653"/>
      <c r="J149" s="1653"/>
      <c r="K149" s="1653"/>
      <c r="L149" s="1653"/>
      <c r="M149" s="1653"/>
      <c r="N149" s="1653"/>
      <c r="O149" s="1653"/>
      <c r="P149" s="1653"/>
      <c r="V149" s="1654"/>
    </row>
    <row r="150" spans="5:22">
      <c r="E150" s="1653"/>
      <c r="F150" s="1653"/>
      <c r="G150" s="1653"/>
      <c r="H150" s="1653"/>
      <c r="I150" s="1653"/>
      <c r="J150" s="1653"/>
      <c r="K150" s="1653"/>
      <c r="L150" s="1653"/>
      <c r="M150" s="1653"/>
      <c r="N150" s="1653"/>
      <c r="O150" s="1653"/>
      <c r="P150" s="1653"/>
      <c r="V150" s="1654"/>
    </row>
    <row r="151" spans="5:22">
      <c r="E151" s="1653"/>
      <c r="F151" s="1653"/>
      <c r="G151" s="1653"/>
      <c r="H151" s="1653"/>
      <c r="I151" s="1653"/>
      <c r="J151" s="1653"/>
      <c r="K151" s="1653"/>
      <c r="L151" s="1653"/>
      <c r="M151" s="1653"/>
      <c r="N151" s="1653"/>
      <c r="O151" s="1653"/>
      <c r="P151" s="1653"/>
      <c r="V151" s="1654"/>
    </row>
    <row r="152" spans="5:22">
      <c r="E152" s="1653"/>
      <c r="F152" s="1653"/>
      <c r="G152" s="1653"/>
      <c r="H152" s="1653"/>
      <c r="I152" s="1653"/>
      <c r="J152" s="1653"/>
      <c r="K152" s="1653"/>
      <c r="L152" s="1653"/>
      <c r="M152" s="1653"/>
      <c r="N152" s="1653"/>
      <c r="O152" s="1653"/>
      <c r="P152" s="1653"/>
      <c r="V152" s="1654"/>
    </row>
    <row r="153" spans="5:22">
      <c r="E153" s="1653"/>
      <c r="F153" s="1653"/>
      <c r="G153" s="1653"/>
      <c r="H153" s="1653"/>
      <c r="I153" s="1653"/>
      <c r="J153" s="1653"/>
      <c r="K153" s="1653"/>
      <c r="L153" s="1653"/>
      <c r="M153" s="1653"/>
      <c r="N153" s="1653"/>
      <c r="O153" s="1653"/>
      <c r="P153" s="1653"/>
      <c r="V153" s="1654"/>
    </row>
    <row r="154" spans="5:22">
      <c r="E154" s="1653"/>
      <c r="F154" s="1653"/>
      <c r="G154" s="1653"/>
      <c r="H154" s="1653"/>
      <c r="I154" s="1653"/>
      <c r="J154" s="1653"/>
      <c r="K154" s="1653"/>
      <c r="L154" s="1653"/>
      <c r="M154" s="1653"/>
      <c r="N154" s="1653"/>
      <c r="O154" s="1653"/>
      <c r="P154" s="1653"/>
      <c r="V154" s="1654"/>
    </row>
    <row r="155" spans="5:22">
      <c r="E155" s="1653"/>
      <c r="F155" s="1653"/>
      <c r="G155" s="1653"/>
      <c r="H155" s="1653"/>
      <c r="I155" s="1653"/>
      <c r="J155" s="1653"/>
      <c r="K155" s="1653"/>
      <c r="L155" s="1653"/>
      <c r="M155" s="1653"/>
      <c r="N155" s="1653"/>
      <c r="O155" s="1653"/>
      <c r="P155" s="1653"/>
      <c r="V155" s="1654"/>
    </row>
    <row r="156" spans="5:22">
      <c r="E156" s="1653"/>
      <c r="F156" s="1653"/>
      <c r="G156" s="1653"/>
      <c r="H156" s="1653"/>
      <c r="I156" s="1653"/>
      <c r="J156" s="1653"/>
      <c r="K156" s="1653"/>
      <c r="L156" s="1653"/>
      <c r="M156" s="1653"/>
      <c r="N156" s="1653"/>
      <c r="O156" s="1653"/>
      <c r="P156" s="1653"/>
      <c r="V156" s="1654"/>
    </row>
    <row r="157" spans="5:22">
      <c r="E157" s="1653"/>
      <c r="F157" s="1653"/>
      <c r="G157" s="1653"/>
      <c r="H157" s="1653"/>
      <c r="I157" s="1653"/>
      <c r="J157" s="1653"/>
      <c r="K157" s="1653"/>
      <c r="L157" s="1653"/>
      <c r="M157" s="1653"/>
      <c r="N157" s="1653"/>
      <c r="O157" s="1653"/>
      <c r="P157" s="1653"/>
      <c r="V157" s="1654"/>
    </row>
    <row r="158" spans="5:22">
      <c r="E158" s="1653"/>
      <c r="F158" s="1653"/>
      <c r="G158" s="1653"/>
      <c r="H158" s="1653"/>
      <c r="I158" s="1653"/>
      <c r="J158" s="1653"/>
      <c r="K158" s="1653"/>
      <c r="L158" s="1653"/>
      <c r="M158" s="1653"/>
      <c r="N158" s="1653"/>
      <c r="O158" s="1653"/>
      <c r="P158" s="1653"/>
      <c r="V158" s="1654"/>
    </row>
    <row r="159" spans="5:22">
      <c r="E159" s="1653"/>
      <c r="F159" s="1653"/>
      <c r="G159" s="1653"/>
      <c r="H159" s="1653"/>
      <c r="I159" s="1653"/>
      <c r="J159" s="1653"/>
      <c r="K159" s="1653"/>
      <c r="L159" s="1653"/>
      <c r="M159" s="1653"/>
      <c r="N159" s="1653"/>
      <c r="O159" s="1653"/>
      <c r="P159" s="1653"/>
      <c r="V159" s="1654"/>
    </row>
    <row r="160" spans="5:22">
      <c r="E160" s="1653"/>
      <c r="F160" s="1653"/>
      <c r="G160" s="1653"/>
      <c r="H160" s="1653"/>
      <c r="I160" s="1653"/>
      <c r="J160" s="1653"/>
      <c r="K160" s="1653"/>
      <c r="L160" s="1653"/>
      <c r="M160" s="1653"/>
      <c r="N160" s="1653"/>
      <c r="O160" s="1653"/>
      <c r="P160" s="1653"/>
      <c r="V160" s="1654"/>
    </row>
    <row r="161" spans="5:22">
      <c r="E161" s="1653"/>
      <c r="F161" s="1653"/>
      <c r="G161" s="1653"/>
      <c r="H161" s="1653"/>
      <c r="I161" s="1653"/>
      <c r="J161" s="1653"/>
      <c r="K161" s="1653"/>
      <c r="L161" s="1653"/>
      <c r="M161" s="1653"/>
      <c r="N161" s="1653"/>
      <c r="O161" s="1653"/>
      <c r="P161" s="1653"/>
      <c r="V161" s="1654"/>
    </row>
    <row r="162" spans="5:22">
      <c r="E162" s="1653"/>
      <c r="F162" s="1653"/>
      <c r="G162" s="1653"/>
      <c r="H162" s="1653"/>
      <c r="I162" s="1653"/>
      <c r="J162" s="1653"/>
      <c r="K162" s="1653"/>
      <c r="L162" s="1653"/>
      <c r="M162" s="1653"/>
      <c r="N162" s="1653"/>
      <c r="O162" s="1653"/>
      <c r="P162" s="1653"/>
      <c r="V162" s="1654"/>
    </row>
    <row r="163" spans="5:22">
      <c r="E163" s="1653"/>
      <c r="F163" s="1653"/>
      <c r="G163" s="1653"/>
      <c r="H163" s="1653"/>
      <c r="I163" s="1653"/>
      <c r="J163" s="1653"/>
      <c r="K163" s="1653"/>
      <c r="L163" s="1653"/>
      <c r="M163" s="1653"/>
      <c r="N163" s="1653"/>
      <c r="O163" s="1653"/>
      <c r="P163" s="1653"/>
      <c r="V163" s="1654"/>
    </row>
    <row r="164" spans="5:22">
      <c r="E164" s="1653"/>
      <c r="F164" s="1653"/>
      <c r="G164" s="1653"/>
      <c r="H164" s="1653"/>
      <c r="I164" s="1653"/>
      <c r="J164" s="1653"/>
      <c r="K164" s="1653"/>
      <c r="L164" s="1653"/>
      <c r="M164" s="1653"/>
      <c r="N164" s="1653"/>
      <c r="O164" s="1653"/>
      <c r="P164" s="1653"/>
      <c r="V164" s="1654"/>
    </row>
    <row r="165" spans="5:22">
      <c r="E165" s="1653"/>
      <c r="F165" s="1653"/>
      <c r="G165" s="1653"/>
      <c r="H165" s="1653"/>
      <c r="I165" s="1653"/>
      <c r="J165" s="1653"/>
      <c r="K165" s="1653"/>
      <c r="L165" s="1653"/>
      <c r="M165" s="1653"/>
      <c r="N165" s="1653"/>
      <c r="O165" s="1653"/>
      <c r="P165" s="1653"/>
      <c r="V165" s="1654"/>
    </row>
    <row r="166" spans="5:22">
      <c r="E166" s="1653"/>
      <c r="F166" s="1653"/>
      <c r="G166" s="1653"/>
      <c r="H166" s="1653"/>
      <c r="I166" s="1653"/>
      <c r="J166" s="1653"/>
      <c r="K166" s="1653"/>
      <c r="L166" s="1653"/>
      <c r="M166" s="1653"/>
      <c r="N166" s="1653"/>
      <c r="O166" s="1653"/>
      <c r="P166" s="1653"/>
      <c r="V166" s="1654"/>
    </row>
    <row r="167" spans="5:22">
      <c r="E167" s="1653"/>
      <c r="F167" s="1653"/>
      <c r="G167" s="1653"/>
      <c r="H167" s="1653"/>
      <c r="I167" s="1653"/>
      <c r="J167" s="1653"/>
      <c r="K167" s="1653"/>
      <c r="L167" s="1653"/>
      <c r="M167" s="1653"/>
      <c r="N167" s="1653"/>
      <c r="O167" s="1653"/>
      <c r="P167" s="1653"/>
      <c r="V167" s="1654"/>
    </row>
    <row r="168" spans="5:22">
      <c r="E168" s="1653"/>
      <c r="F168" s="1653"/>
      <c r="G168" s="1653"/>
      <c r="H168" s="1653"/>
      <c r="I168" s="1653"/>
      <c r="J168" s="1653"/>
      <c r="K168" s="1653"/>
      <c r="L168" s="1653"/>
      <c r="M168" s="1653"/>
      <c r="N168" s="1653"/>
      <c r="O168" s="1653"/>
      <c r="P168" s="1653"/>
      <c r="V168" s="1654"/>
    </row>
    <row r="169" spans="5:22">
      <c r="E169" s="1653"/>
      <c r="F169" s="1653"/>
      <c r="G169" s="1653"/>
      <c r="H169" s="1653"/>
      <c r="I169" s="1653"/>
      <c r="J169" s="1653"/>
      <c r="K169" s="1653"/>
      <c r="L169" s="1653"/>
      <c r="M169" s="1653"/>
      <c r="N169" s="1653"/>
      <c r="O169" s="1653"/>
      <c r="P169" s="1653"/>
      <c r="V169" s="1654"/>
    </row>
    <row r="170" spans="5:22">
      <c r="E170" s="1653"/>
      <c r="F170" s="1653"/>
      <c r="G170" s="1653"/>
      <c r="H170" s="1653"/>
      <c r="I170" s="1653"/>
      <c r="J170" s="1653"/>
      <c r="K170" s="1653"/>
      <c r="L170" s="1653"/>
      <c r="M170" s="1653"/>
      <c r="N170" s="1653"/>
      <c r="O170" s="1653"/>
      <c r="P170" s="1653"/>
      <c r="V170" s="1654"/>
    </row>
    <row r="171" spans="5:22">
      <c r="E171" s="1653"/>
      <c r="F171" s="1653"/>
      <c r="G171" s="1653"/>
      <c r="H171" s="1653"/>
      <c r="I171" s="1653"/>
      <c r="J171" s="1653"/>
      <c r="K171" s="1653"/>
      <c r="L171" s="1653"/>
      <c r="M171" s="1653"/>
      <c r="N171" s="1653"/>
      <c r="O171" s="1653"/>
      <c r="P171" s="1653"/>
      <c r="V171" s="1654"/>
    </row>
    <row r="172" spans="5:22">
      <c r="E172" s="1653"/>
      <c r="F172" s="1653"/>
      <c r="G172" s="1653"/>
      <c r="H172" s="1653"/>
      <c r="I172" s="1653"/>
      <c r="J172" s="1653"/>
      <c r="K172" s="1653"/>
      <c r="L172" s="1653"/>
      <c r="M172" s="1653"/>
      <c r="N172" s="1653"/>
      <c r="O172" s="1653"/>
      <c r="P172" s="1653"/>
      <c r="V172" s="1654"/>
    </row>
    <row r="173" spans="5:22">
      <c r="E173" s="1653"/>
      <c r="F173" s="1653"/>
      <c r="G173" s="1653"/>
      <c r="H173" s="1653"/>
      <c r="I173" s="1653"/>
      <c r="J173" s="1653"/>
      <c r="K173" s="1653"/>
      <c r="L173" s="1653"/>
      <c r="M173" s="1653"/>
      <c r="N173" s="1653"/>
      <c r="O173" s="1653"/>
      <c r="P173" s="1653"/>
      <c r="V173" s="1654"/>
    </row>
    <row r="174" spans="5:22">
      <c r="E174" s="1653"/>
      <c r="F174" s="1653"/>
      <c r="G174" s="1653"/>
      <c r="H174" s="1653"/>
      <c r="I174" s="1653"/>
      <c r="J174" s="1653"/>
      <c r="K174" s="1653"/>
      <c r="L174" s="1653"/>
      <c r="M174" s="1653"/>
      <c r="N174" s="1653"/>
      <c r="O174" s="1653"/>
      <c r="P174" s="1653"/>
      <c r="V174" s="1654"/>
    </row>
    <row r="175" spans="5:22">
      <c r="E175" s="1653"/>
      <c r="F175" s="1653"/>
      <c r="G175" s="1653"/>
      <c r="H175" s="1653"/>
      <c r="I175" s="1653"/>
      <c r="J175" s="1653"/>
      <c r="K175" s="1653"/>
      <c r="L175" s="1653"/>
      <c r="M175" s="1653"/>
      <c r="N175" s="1653"/>
      <c r="O175" s="1653"/>
      <c r="P175" s="1653"/>
      <c r="V175" s="1654"/>
    </row>
    <row r="176" spans="5:22">
      <c r="E176" s="1653"/>
      <c r="F176" s="1653"/>
      <c r="G176" s="1653"/>
      <c r="H176" s="1653"/>
      <c r="I176" s="1653"/>
      <c r="J176" s="1653"/>
      <c r="K176" s="1653"/>
      <c r="L176" s="1653"/>
      <c r="M176" s="1653"/>
      <c r="N176" s="1653"/>
      <c r="O176" s="1653"/>
      <c r="P176" s="1653"/>
      <c r="V176" s="1654"/>
    </row>
    <row r="177" spans="5:22">
      <c r="E177" s="1653"/>
      <c r="F177" s="1653"/>
      <c r="G177" s="1653"/>
      <c r="H177" s="1653"/>
      <c r="I177" s="1653"/>
      <c r="J177" s="1653"/>
      <c r="K177" s="1653"/>
      <c r="L177" s="1653"/>
      <c r="M177" s="1653"/>
      <c r="N177" s="1653"/>
      <c r="O177" s="1653"/>
      <c r="P177" s="1653"/>
      <c r="V177" s="1654"/>
    </row>
    <row r="178" spans="5:22">
      <c r="E178" s="1653"/>
      <c r="F178" s="1653"/>
      <c r="G178" s="1653"/>
      <c r="H178" s="1653"/>
      <c r="I178" s="1653"/>
      <c r="J178" s="1653"/>
      <c r="K178" s="1653"/>
      <c r="L178" s="1653"/>
      <c r="M178" s="1653"/>
      <c r="N178" s="1653"/>
      <c r="O178" s="1653"/>
      <c r="P178" s="1653"/>
      <c r="V178" s="1654"/>
    </row>
    <row r="179" spans="5:22">
      <c r="E179" s="1653"/>
      <c r="F179" s="1653"/>
      <c r="G179" s="1653"/>
      <c r="H179" s="1653"/>
      <c r="I179" s="1653"/>
      <c r="J179" s="1653"/>
      <c r="K179" s="1653"/>
      <c r="L179" s="1653"/>
      <c r="M179" s="1653"/>
      <c r="N179" s="1653"/>
      <c r="O179" s="1653"/>
      <c r="P179" s="1653"/>
      <c r="V179" s="1654"/>
    </row>
    <row r="180" spans="5:22">
      <c r="E180" s="1653"/>
      <c r="F180" s="1653"/>
      <c r="G180" s="1653"/>
      <c r="H180" s="1653"/>
      <c r="I180" s="1653"/>
      <c r="J180" s="1653"/>
      <c r="K180" s="1653"/>
      <c r="L180" s="1653"/>
      <c r="M180" s="1653"/>
      <c r="N180" s="1653"/>
      <c r="O180" s="1653"/>
      <c r="P180" s="1653"/>
      <c r="V180" s="1654"/>
    </row>
    <row r="181" spans="5:22">
      <c r="E181" s="1653"/>
      <c r="F181" s="1653"/>
      <c r="G181" s="1653"/>
      <c r="H181" s="1653"/>
      <c r="I181" s="1653"/>
      <c r="J181" s="1653"/>
      <c r="K181" s="1653"/>
      <c r="L181" s="1653"/>
      <c r="M181" s="1653"/>
      <c r="N181" s="1653"/>
      <c r="O181" s="1653"/>
      <c r="P181" s="1653"/>
      <c r="V181" s="1654"/>
    </row>
    <row r="182" spans="5:22">
      <c r="E182" s="1653"/>
      <c r="F182" s="1653"/>
      <c r="G182" s="1653"/>
      <c r="H182" s="1653"/>
      <c r="I182" s="1653"/>
      <c r="J182" s="1653"/>
      <c r="K182" s="1653"/>
      <c r="L182" s="1653"/>
      <c r="M182" s="1653"/>
      <c r="N182" s="1653"/>
      <c r="O182" s="1653"/>
      <c r="P182" s="1653"/>
      <c r="V182" s="1654"/>
    </row>
    <row r="183" spans="5:22">
      <c r="E183" s="1653"/>
      <c r="F183" s="1653"/>
      <c r="G183" s="1653"/>
      <c r="H183" s="1653"/>
      <c r="I183" s="1653"/>
      <c r="J183" s="1653"/>
      <c r="K183" s="1653"/>
      <c r="L183" s="1653"/>
      <c r="M183" s="1653"/>
      <c r="N183" s="1653"/>
      <c r="O183" s="1653"/>
      <c r="P183" s="1653"/>
      <c r="V183" s="1654"/>
    </row>
    <row r="184" spans="5:22">
      <c r="E184" s="1653"/>
      <c r="F184" s="1653"/>
      <c r="G184" s="1653"/>
      <c r="H184" s="1653"/>
      <c r="I184" s="1653"/>
      <c r="J184" s="1653"/>
      <c r="K184" s="1653"/>
      <c r="L184" s="1653"/>
      <c r="M184" s="1653"/>
      <c r="N184" s="1653"/>
      <c r="O184" s="1653"/>
      <c r="P184" s="1653"/>
      <c r="V184" s="1654"/>
    </row>
    <row r="185" spans="5:22">
      <c r="E185" s="1653"/>
      <c r="F185" s="1653"/>
      <c r="G185" s="1653"/>
      <c r="H185" s="1653"/>
      <c r="I185" s="1653"/>
      <c r="J185" s="1653"/>
      <c r="K185" s="1653"/>
      <c r="L185" s="1653"/>
      <c r="M185" s="1653"/>
      <c r="N185" s="1653"/>
      <c r="O185" s="1653"/>
      <c r="P185" s="1653"/>
      <c r="V185" s="1654"/>
    </row>
    <row r="186" spans="5:22">
      <c r="E186" s="1653"/>
      <c r="F186" s="1653"/>
      <c r="G186" s="1653"/>
      <c r="H186" s="1653"/>
      <c r="I186" s="1653"/>
      <c r="J186" s="1653"/>
      <c r="K186" s="1653"/>
      <c r="L186" s="1653"/>
      <c r="M186" s="1653"/>
      <c r="N186" s="1653"/>
      <c r="O186" s="1653"/>
      <c r="P186" s="1653"/>
      <c r="V186" s="1654"/>
    </row>
    <row r="187" spans="5:22">
      <c r="E187" s="1653"/>
      <c r="F187" s="1653"/>
      <c r="G187" s="1653"/>
      <c r="H187" s="1653"/>
      <c r="I187" s="1653"/>
      <c r="J187" s="1653"/>
      <c r="K187" s="1653"/>
      <c r="L187" s="1653"/>
      <c r="M187" s="1653"/>
      <c r="N187" s="1653"/>
      <c r="O187" s="1653"/>
      <c r="P187" s="1653"/>
      <c r="V187" s="1654"/>
    </row>
    <row r="188" spans="5:22">
      <c r="E188" s="1653"/>
      <c r="F188" s="1653"/>
      <c r="G188" s="1653"/>
      <c r="H188" s="1653"/>
      <c r="I188" s="1653"/>
      <c r="J188" s="1653"/>
      <c r="K188" s="1653"/>
      <c r="L188" s="1653"/>
      <c r="M188" s="1653"/>
      <c r="N188" s="1653"/>
      <c r="O188" s="1653"/>
      <c r="P188" s="1653"/>
      <c r="V188" s="1654"/>
    </row>
    <row r="189" spans="5:22">
      <c r="E189" s="1653"/>
      <c r="F189" s="1653"/>
      <c r="G189" s="1653"/>
      <c r="H189" s="1653"/>
      <c r="I189" s="1653"/>
      <c r="J189" s="1653"/>
      <c r="K189" s="1653"/>
      <c r="L189" s="1653"/>
      <c r="M189" s="1653"/>
      <c r="N189" s="1653"/>
      <c r="O189" s="1653"/>
      <c r="P189" s="1653"/>
      <c r="V189" s="1654"/>
    </row>
    <row r="190" spans="5:22">
      <c r="E190" s="1653"/>
      <c r="F190" s="1653"/>
      <c r="G190" s="1653"/>
      <c r="H190" s="1653"/>
      <c r="I190" s="1653"/>
      <c r="J190" s="1653"/>
      <c r="K190" s="1653"/>
      <c r="L190" s="1653"/>
      <c r="M190" s="1653"/>
      <c r="N190" s="1653"/>
      <c r="O190" s="1653"/>
      <c r="P190" s="1653"/>
      <c r="V190" s="1654"/>
    </row>
    <row r="191" spans="5:22">
      <c r="E191" s="1653"/>
      <c r="F191" s="1653"/>
      <c r="G191" s="1653"/>
      <c r="H191" s="1653"/>
      <c r="I191" s="1653"/>
      <c r="J191" s="1653"/>
      <c r="K191" s="1653"/>
      <c r="L191" s="1653"/>
      <c r="M191" s="1653"/>
      <c r="N191" s="1653"/>
      <c r="O191" s="1653"/>
      <c r="P191" s="1653"/>
      <c r="V191" s="1654"/>
    </row>
    <row r="192" spans="5:22">
      <c r="E192" s="1653"/>
      <c r="F192" s="1653"/>
      <c r="G192" s="1653"/>
      <c r="H192" s="1653"/>
      <c r="I192" s="1653"/>
      <c r="J192" s="1653"/>
      <c r="K192" s="1653"/>
      <c r="L192" s="1653"/>
      <c r="M192" s="1653"/>
      <c r="N192" s="1653"/>
      <c r="O192" s="1653"/>
      <c r="P192" s="1653"/>
      <c r="V192" s="1654"/>
    </row>
    <row r="193" spans="5:22">
      <c r="E193" s="1653"/>
      <c r="F193" s="1653"/>
      <c r="G193" s="1653"/>
      <c r="H193" s="1653"/>
      <c r="I193" s="1653"/>
      <c r="J193" s="1653"/>
      <c r="K193" s="1653"/>
      <c r="L193" s="1653"/>
      <c r="M193" s="1653"/>
      <c r="N193" s="1653"/>
      <c r="O193" s="1653"/>
      <c r="P193" s="1653"/>
      <c r="V193" s="1654"/>
    </row>
    <row r="194" spans="5:22">
      <c r="E194" s="1653"/>
      <c r="F194" s="1653"/>
      <c r="G194" s="1653"/>
      <c r="H194" s="1653"/>
      <c r="I194" s="1653"/>
      <c r="J194" s="1653"/>
      <c r="K194" s="1653"/>
      <c r="L194" s="1653"/>
      <c r="M194" s="1653"/>
      <c r="N194" s="1653"/>
      <c r="O194" s="1653"/>
      <c r="P194" s="1653"/>
      <c r="V194" s="1654"/>
    </row>
    <row r="195" spans="5:22">
      <c r="E195" s="1653"/>
      <c r="F195" s="1653"/>
      <c r="G195" s="1653"/>
      <c r="H195" s="1653"/>
      <c r="I195" s="1653"/>
      <c r="J195" s="1653"/>
      <c r="K195" s="1653"/>
      <c r="L195" s="1653"/>
      <c r="M195" s="1653"/>
      <c r="N195" s="1653"/>
      <c r="O195" s="1653"/>
      <c r="P195" s="1653"/>
      <c r="V195" s="1654"/>
    </row>
    <row r="196" spans="5:22">
      <c r="E196" s="1653"/>
      <c r="F196" s="1653"/>
      <c r="G196" s="1653"/>
      <c r="H196" s="1653"/>
      <c r="I196" s="1653"/>
      <c r="J196" s="1653"/>
      <c r="K196" s="1653"/>
      <c r="L196" s="1653"/>
      <c r="M196" s="1653"/>
      <c r="N196" s="1653"/>
      <c r="O196" s="1653"/>
      <c r="P196" s="1653"/>
      <c r="V196" s="1654"/>
    </row>
    <row r="197" spans="5:22">
      <c r="E197" s="1653"/>
      <c r="F197" s="1653"/>
      <c r="G197" s="1653"/>
      <c r="H197" s="1653"/>
      <c r="I197" s="1653"/>
      <c r="J197" s="1653"/>
      <c r="K197" s="1653"/>
      <c r="L197" s="1653"/>
      <c r="M197" s="1653"/>
      <c r="N197" s="1653"/>
      <c r="O197" s="1653"/>
      <c r="P197" s="1653"/>
      <c r="V197" s="1654"/>
    </row>
    <row r="198" spans="5:22">
      <c r="E198" s="1653"/>
      <c r="F198" s="1653"/>
      <c r="G198" s="1653"/>
      <c r="H198" s="1653"/>
      <c r="I198" s="1653"/>
      <c r="J198" s="1653"/>
      <c r="K198" s="1653"/>
      <c r="L198" s="1653"/>
      <c r="M198" s="1653"/>
      <c r="N198" s="1653"/>
      <c r="O198" s="1653"/>
      <c r="P198" s="1653"/>
      <c r="V198" s="1654"/>
    </row>
    <row r="199" spans="5:22">
      <c r="E199" s="1653"/>
      <c r="F199" s="1653"/>
      <c r="G199" s="1653"/>
      <c r="H199" s="1653"/>
      <c r="I199" s="1653"/>
      <c r="J199" s="1653"/>
      <c r="K199" s="1653"/>
      <c r="L199" s="1653"/>
      <c r="M199" s="1653"/>
      <c r="N199" s="1653"/>
      <c r="O199" s="1653"/>
      <c r="P199" s="1653"/>
      <c r="V199" s="1654"/>
    </row>
    <row r="200" spans="5:22">
      <c r="E200" s="1653"/>
      <c r="F200" s="1653"/>
      <c r="G200" s="1653"/>
      <c r="H200" s="1653"/>
      <c r="I200" s="1653"/>
      <c r="J200" s="1653"/>
      <c r="K200" s="1653"/>
      <c r="L200" s="1653"/>
      <c r="M200" s="1653"/>
      <c r="N200" s="1653"/>
      <c r="O200" s="1653"/>
      <c r="P200" s="1653"/>
      <c r="V200" s="1654"/>
    </row>
    <row r="201" spans="5:22">
      <c r="E201" s="1653"/>
      <c r="F201" s="1653"/>
      <c r="G201" s="1653"/>
      <c r="H201" s="1653"/>
      <c r="I201" s="1653"/>
      <c r="J201" s="1653"/>
      <c r="K201" s="1653"/>
      <c r="L201" s="1653"/>
      <c r="M201" s="1653"/>
      <c r="N201" s="1653"/>
      <c r="O201" s="1653"/>
      <c r="P201" s="1653"/>
      <c r="V201" s="1654"/>
    </row>
    <row r="202" spans="5:22">
      <c r="E202" s="1653"/>
      <c r="F202" s="1653"/>
      <c r="G202" s="1653"/>
      <c r="H202" s="1653"/>
      <c r="I202" s="1653"/>
      <c r="J202" s="1653"/>
      <c r="K202" s="1653"/>
      <c r="L202" s="1653"/>
      <c r="M202" s="1653"/>
      <c r="N202" s="1653"/>
      <c r="O202" s="1653"/>
      <c r="P202" s="1653"/>
      <c r="V202" s="1654"/>
    </row>
    <row r="203" spans="5:22">
      <c r="E203" s="1653"/>
      <c r="F203" s="1653"/>
      <c r="G203" s="1653"/>
      <c r="H203" s="1653"/>
      <c r="I203" s="1653"/>
      <c r="J203" s="1653"/>
      <c r="K203" s="1653"/>
      <c r="L203" s="1653"/>
      <c r="M203" s="1653"/>
      <c r="N203" s="1653"/>
      <c r="O203" s="1653"/>
      <c r="P203" s="1653"/>
      <c r="V203" s="1654"/>
    </row>
    <row r="204" spans="5:22">
      <c r="E204" s="1653"/>
      <c r="F204" s="1653"/>
      <c r="G204" s="1653"/>
      <c r="H204" s="1653"/>
      <c r="I204" s="1653"/>
      <c r="J204" s="1653"/>
      <c r="K204" s="1653"/>
      <c r="L204" s="1653"/>
      <c r="M204" s="1653"/>
      <c r="N204" s="1653"/>
      <c r="O204" s="1653"/>
      <c r="P204" s="1653"/>
      <c r="V204" s="1654"/>
    </row>
    <row r="205" spans="5:22">
      <c r="E205" s="1653"/>
      <c r="F205" s="1653"/>
      <c r="G205" s="1653"/>
      <c r="H205" s="1653"/>
      <c r="I205" s="1653"/>
      <c r="J205" s="1653"/>
      <c r="K205" s="1653"/>
      <c r="L205" s="1653"/>
      <c r="M205" s="1653"/>
      <c r="N205" s="1653"/>
      <c r="O205" s="1653"/>
      <c r="P205" s="1653"/>
      <c r="V205" s="1654"/>
    </row>
    <row r="206" spans="5:22">
      <c r="E206" s="1653"/>
      <c r="F206" s="1653"/>
      <c r="G206" s="1653"/>
      <c r="H206" s="1653"/>
      <c r="I206" s="1653"/>
      <c r="J206" s="1653"/>
      <c r="K206" s="1653"/>
      <c r="L206" s="1653"/>
      <c r="M206" s="1653"/>
      <c r="N206" s="1653"/>
      <c r="O206" s="1653"/>
      <c r="P206" s="1653"/>
      <c r="V206" s="1654"/>
    </row>
    <row r="207" spans="5:22">
      <c r="E207" s="1653"/>
      <c r="F207" s="1653"/>
      <c r="G207" s="1653"/>
      <c r="H207" s="1653"/>
      <c r="I207" s="1653"/>
      <c r="J207" s="1653"/>
      <c r="K207" s="1653"/>
      <c r="L207" s="1653"/>
      <c r="M207" s="1653"/>
      <c r="N207" s="1653"/>
      <c r="O207" s="1653"/>
      <c r="P207" s="1653"/>
      <c r="V207" s="1654"/>
    </row>
    <row r="208" spans="5:22">
      <c r="E208" s="1653"/>
      <c r="F208" s="1653"/>
      <c r="G208" s="1653"/>
      <c r="H208" s="1653"/>
      <c r="I208" s="1653"/>
      <c r="J208" s="1653"/>
      <c r="K208" s="1653"/>
      <c r="L208" s="1653"/>
      <c r="M208" s="1653"/>
      <c r="N208" s="1653"/>
      <c r="O208" s="1653"/>
      <c r="P208" s="1653"/>
      <c r="V208" s="1654"/>
    </row>
    <row r="209" spans="5:22">
      <c r="E209" s="1653"/>
      <c r="F209" s="1653"/>
      <c r="G209" s="1653"/>
      <c r="H209" s="1653"/>
      <c r="I209" s="1653"/>
      <c r="J209" s="1653"/>
      <c r="K209" s="1653"/>
      <c r="L209" s="1653"/>
      <c r="M209" s="1653"/>
      <c r="N209" s="1653"/>
      <c r="O209" s="1653"/>
      <c r="P209" s="1653"/>
      <c r="V209" s="1654"/>
    </row>
    <row r="210" spans="5:22">
      <c r="E210" s="1653"/>
      <c r="F210" s="1653"/>
      <c r="G210" s="1653"/>
      <c r="H210" s="1653"/>
      <c r="I210" s="1653"/>
      <c r="J210" s="1653"/>
      <c r="K210" s="1653"/>
      <c r="L210" s="1653"/>
      <c r="M210" s="1653"/>
      <c r="N210" s="1653"/>
      <c r="O210" s="1653"/>
      <c r="P210" s="1653"/>
      <c r="V210" s="1654"/>
    </row>
    <row r="211" spans="5:22">
      <c r="E211" s="1653"/>
      <c r="F211" s="1653"/>
      <c r="G211" s="1653"/>
      <c r="H211" s="1653"/>
      <c r="I211" s="1653"/>
      <c r="J211" s="1653"/>
      <c r="K211" s="1653"/>
      <c r="L211" s="1653"/>
      <c r="M211" s="1653"/>
      <c r="N211" s="1653"/>
      <c r="O211" s="1653"/>
      <c r="P211" s="1653"/>
      <c r="V211" s="1654"/>
    </row>
    <row r="212" spans="5:22">
      <c r="E212" s="1653"/>
      <c r="F212" s="1653"/>
      <c r="G212" s="1653"/>
      <c r="H212" s="1653"/>
      <c r="I212" s="1653"/>
      <c r="J212" s="1653"/>
      <c r="K212" s="1653"/>
      <c r="L212" s="1653"/>
      <c r="M212" s="1653"/>
      <c r="N212" s="1653"/>
      <c r="O212" s="1653"/>
      <c r="P212" s="1653"/>
      <c r="V212" s="1654"/>
    </row>
    <row r="213" spans="5:22">
      <c r="E213" s="1653"/>
      <c r="F213" s="1653"/>
      <c r="G213" s="1653"/>
      <c r="H213" s="1653"/>
      <c r="I213" s="1653"/>
      <c r="J213" s="1653"/>
      <c r="K213" s="1653"/>
      <c r="L213" s="1653"/>
      <c r="M213" s="1653"/>
      <c r="N213" s="1653"/>
      <c r="O213" s="1653"/>
      <c r="P213" s="1653"/>
      <c r="V213" s="1654"/>
    </row>
    <row r="214" spans="5:22">
      <c r="E214" s="1653"/>
      <c r="F214" s="1653"/>
      <c r="G214" s="1653"/>
      <c r="H214" s="1653"/>
      <c r="I214" s="1653"/>
      <c r="J214" s="1653"/>
      <c r="K214" s="1653"/>
      <c r="L214" s="1653"/>
      <c r="M214" s="1653"/>
      <c r="N214" s="1653"/>
      <c r="O214" s="1653"/>
      <c r="P214" s="1653"/>
      <c r="V214" s="1654"/>
    </row>
    <row r="215" spans="5:22">
      <c r="E215" s="1653"/>
      <c r="F215" s="1653"/>
      <c r="G215" s="1653"/>
      <c r="H215" s="1653"/>
      <c r="I215" s="1653"/>
      <c r="J215" s="1653"/>
      <c r="K215" s="1653"/>
      <c r="L215" s="1653"/>
      <c r="M215" s="1653"/>
      <c r="N215" s="1653"/>
      <c r="O215" s="1653"/>
      <c r="P215" s="1653"/>
      <c r="V215" s="1654"/>
    </row>
    <row r="216" spans="5:22">
      <c r="E216" s="1653"/>
      <c r="F216" s="1653"/>
      <c r="G216" s="1653"/>
      <c r="H216" s="1653"/>
      <c r="I216" s="1653"/>
      <c r="J216" s="1653"/>
      <c r="K216" s="1653"/>
      <c r="L216" s="1653"/>
      <c r="M216" s="1653"/>
      <c r="N216" s="1653"/>
      <c r="O216" s="1653"/>
      <c r="P216" s="1653"/>
      <c r="V216" s="1654"/>
    </row>
    <row r="217" spans="5:22">
      <c r="E217" s="1653"/>
      <c r="F217" s="1653"/>
      <c r="G217" s="1653"/>
      <c r="H217" s="1653"/>
      <c r="I217" s="1653"/>
      <c r="J217" s="1653"/>
      <c r="K217" s="1653"/>
      <c r="L217" s="1653"/>
      <c r="M217" s="1653"/>
      <c r="N217" s="1653"/>
      <c r="O217" s="1653"/>
      <c r="P217" s="1653"/>
      <c r="V217" s="1654"/>
    </row>
    <row r="218" spans="5:22">
      <c r="E218" s="1653"/>
      <c r="F218" s="1653"/>
      <c r="G218" s="1653"/>
      <c r="H218" s="1653"/>
      <c r="I218" s="1653"/>
      <c r="J218" s="1653"/>
      <c r="K218" s="1653"/>
      <c r="L218" s="1653"/>
      <c r="M218" s="1653"/>
      <c r="N218" s="1653"/>
      <c r="O218" s="1653"/>
      <c r="P218" s="1653"/>
      <c r="V218" s="1654"/>
    </row>
    <row r="219" spans="5:22">
      <c r="E219" s="1653"/>
      <c r="F219" s="1653"/>
      <c r="G219" s="1653"/>
      <c r="H219" s="1653"/>
      <c r="I219" s="1653"/>
      <c r="J219" s="1653"/>
      <c r="K219" s="1653"/>
      <c r="L219" s="1653"/>
      <c r="M219" s="1653"/>
      <c r="N219" s="1653"/>
      <c r="O219" s="1653"/>
      <c r="P219" s="1653"/>
      <c r="V219" s="1654"/>
    </row>
    <row r="220" spans="5:22">
      <c r="E220" s="1653"/>
      <c r="F220" s="1653"/>
      <c r="G220" s="1653"/>
      <c r="H220" s="1653"/>
      <c r="I220" s="1653"/>
      <c r="J220" s="1653"/>
      <c r="K220" s="1653"/>
      <c r="L220" s="1653"/>
      <c r="M220" s="1653"/>
      <c r="N220" s="1653"/>
      <c r="O220" s="1653"/>
      <c r="P220" s="1653"/>
      <c r="V220" s="1654"/>
    </row>
    <row r="221" spans="5:22">
      <c r="E221" s="1653"/>
      <c r="F221" s="1653"/>
      <c r="G221" s="1653"/>
      <c r="H221" s="1653"/>
      <c r="I221" s="1653"/>
      <c r="J221" s="1653"/>
      <c r="K221" s="1653"/>
      <c r="L221" s="1653"/>
      <c r="M221" s="1653"/>
      <c r="N221" s="1653"/>
      <c r="O221" s="1653"/>
      <c r="P221" s="1653"/>
      <c r="V221" s="1654"/>
    </row>
    <row r="222" spans="5:22">
      <c r="E222" s="1653"/>
      <c r="F222" s="1653"/>
      <c r="G222" s="1653"/>
      <c r="H222" s="1653"/>
      <c r="I222" s="1653"/>
      <c r="J222" s="1653"/>
      <c r="K222" s="1653"/>
      <c r="L222" s="1653"/>
      <c r="M222" s="1653"/>
      <c r="N222" s="1653"/>
      <c r="O222" s="1653"/>
      <c r="P222" s="1653"/>
      <c r="V222" s="1654"/>
    </row>
    <row r="223" spans="5:22">
      <c r="E223" s="1653"/>
      <c r="F223" s="1653"/>
      <c r="G223" s="1653"/>
      <c r="H223" s="1653"/>
      <c r="I223" s="1653"/>
      <c r="J223" s="1653"/>
      <c r="K223" s="1653"/>
      <c r="L223" s="1653"/>
      <c r="M223" s="1653"/>
      <c r="N223" s="1653"/>
      <c r="O223" s="1653"/>
      <c r="P223" s="1653"/>
      <c r="V223" s="1654"/>
    </row>
    <row r="224" spans="5:22">
      <c r="E224" s="1653"/>
      <c r="F224" s="1653"/>
      <c r="G224" s="1653"/>
      <c r="H224" s="1653"/>
      <c r="I224" s="1653"/>
      <c r="J224" s="1653"/>
      <c r="K224" s="1653"/>
      <c r="L224" s="1653"/>
      <c r="M224" s="1653"/>
      <c r="N224" s="1653"/>
      <c r="O224" s="1653"/>
      <c r="P224" s="1653"/>
      <c r="V224" s="1654"/>
    </row>
    <row r="225" spans="5:22">
      <c r="E225" s="1653"/>
      <c r="F225" s="1653"/>
      <c r="G225" s="1653"/>
      <c r="H225" s="1653"/>
      <c r="I225" s="1653"/>
      <c r="J225" s="1653"/>
      <c r="K225" s="1653"/>
      <c r="L225" s="1653"/>
      <c r="M225" s="1653"/>
      <c r="N225" s="1653"/>
      <c r="O225" s="1653"/>
      <c r="P225" s="1653"/>
      <c r="V225" s="1654"/>
    </row>
    <row r="226" spans="5:22">
      <c r="E226" s="1653"/>
      <c r="F226" s="1653"/>
      <c r="G226" s="1653"/>
      <c r="H226" s="1653"/>
      <c r="I226" s="1653"/>
      <c r="J226" s="1653"/>
      <c r="K226" s="1653"/>
      <c r="L226" s="1653"/>
      <c r="M226" s="1653"/>
      <c r="N226" s="1653"/>
      <c r="O226" s="1653"/>
      <c r="P226" s="1653"/>
      <c r="V226" s="1654"/>
    </row>
    <row r="227" spans="5:22">
      <c r="E227" s="1653"/>
      <c r="F227" s="1653"/>
      <c r="G227" s="1653"/>
      <c r="H227" s="1653"/>
      <c r="I227" s="1653"/>
      <c r="J227" s="1653"/>
      <c r="K227" s="1653"/>
      <c r="L227" s="1653"/>
      <c r="M227" s="1653"/>
      <c r="N227" s="1653"/>
      <c r="O227" s="1653"/>
      <c r="P227" s="1653"/>
      <c r="V227" s="1654"/>
    </row>
    <row r="228" spans="5:22">
      <c r="E228" s="1653"/>
      <c r="F228" s="1653"/>
      <c r="G228" s="1653"/>
      <c r="H228" s="1653"/>
      <c r="I228" s="1653"/>
      <c r="J228" s="1653"/>
      <c r="K228" s="1653"/>
      <c r="L228" s="1653"/>
      <c r="M228" s="1653"/>
      <c r="N228" s="1653"/>
      <c r="O228" s="1653"/>
      <c r="P228" s="1653"/>
      <c r="V228" s="1654"/>
    </row>
    <row r="229" spans="5:22">
      <c r="E229" s="1653"/>
      <c r="F229" s="1653"/>
      <c r="G229" s="1653"/>
      <c r="H229" s="1653"/>
      <c r="I229" s="1653"/>
      <c r="J229" s="1653"/>
      <c r="K229" s="1653"/>
      <c r="L229" s="1653"/>
      <c r="M229" s="1653"/>
      <c r="N229" s="1653"/>
      <c r="O229" s="1653"/>
      <c r="P229" s="1653"/>
      <c r="V229" s="1654"/>
    </row>
    <row r="230" spans="5:22">
      <c r="E230" s="1653"/>
      <c r="F230" s="1653"/>
      <c r="G230" s="1653"/>
      <c r="H230" s="1653"/>
      <c r="I230" s="1653"/>
      <c r="J230" s="1653"/>
      <c r="K230" s="1653"/>
      <c r="L230" s="1653"/>
      <c r="M230" s="1653"/>
      <c r="N230" s="1653"/>
      <c r="O230" s="1653"/>
      <c r="P230" s="1653"/>
      <c r="V230" s="1654"/>
    </row>
    <row r="231" spans="5:22">
      <c r="E231" s="1653"/>
      <c r="F231" s="1653"/>
      <c r="G231" s="1653"/>
      <c r="H231" s="1653"/>
      <c r="I231" s="1653"/>
      <c r="J231" s="1653"/>
      <c r="K231" s="1653"/>
      <c r="L231" s="1653"/>
      <c r="M231" s="1653"/>
      <c r="N231" s="1653"/>
      <c r="O231" s="1653"/>
      <c r="P231" s="1653"/>
      <c r="V231" s="1654"/>
    </row>
    <row r="232" spans="5:22">
      <c r="E232" s="1653"/>
      <c r="F232" s="1653"/>
      <c r="G232" s="1653"/>
      <c r="H232" s="1653"/>
      <c r="I232" s="1653"/>
      <c r="J232" s="1653"/>
      <c r="K232" s="1653"/>
      <c r="L232" s="1653"/>
      <c r="M232" s="1653"/>
      <c r="N232" s="1653"/>
      <c r="O232" s="1653"/>
      <c r="P232" s="1653"/>
      <c r="V232" s="1654"/>
    </row>
    <row r="233" spans="5:22">
      <c r="E233" s="1653"/>
      <c r="F233" s="1653"/>
      <c r="G233" s="1653"/>
      <c r="H233" s="1653"/>
      <c r="I233" s="1653"/>
      <c r="J233" s="1653"/>
      <c r="K233" s="1653"/>
      <c r="L233" s="1653"/>
      <c r="M233" s="1653"/>
      <c r="N233" s="1653"/>
      <c r="O233" s="1653"/>
      <c r="P233" s="1653"/>
      <c r="V233" s="1654"/>
    </row>
    <row r="234" spans="5:22">
      <c r="E234" s="1653"/>
      <c r="F234" s="1653"/>
      <c r="G234" s="1653"/>
      <c r="H234" s="1653"/>
      <c r="I234" s="1653"/>
      <c r="J234" s="1653"/>
      <c r="K234" s="1653"/>
      <c r="L234" s="1653"/>
      <c r="M234" s="1653"/>
      <c r="N234" s="1653"/>
      <c r="O234" s="1653"/>
      <c r="P234" s="1653"/>
      <c r="V234" s="1654"/>
    </row>
    <row r="235" spans="5:22">
      <c r="E235" s="1653"/>
      <c r="F235" s="1653"/>
      <c r="G235" s="1653"/>
      <c r="H235" s="1653"/>
      <c r="I235" s="1653"/>
      <c r="J235" s="1653"/>
      <c r="K235" s="1653"/>
      <c r="L235" s="1653"/>
      <c r="M235" s="1653"/>
      <c r="N235" s="1653"/>
      <c r="O235" s="1653"/>
      <c r="P235" s="1653"/>
      <c r="V235" s="1654"/>
    </row>
    <row r="236" spans="5:22">
      <c r="E236" s="1653"/>
      <c r="F236" s="1653"/>
      <c r="G236" s="1653"/>
      <c r="H236" s="1653"/>
      <c r="I236" s="1653"/>
      <c r="J236" s="1653"/>
      <c r="K236" s="1653"/>
      <c r="L236" s="1653"/>
      <c r="M236" s="1653"/>
      <c r="N236" s="1653"/>
      <c r="O236" s="1653"/>
      <c r="P236" s="1653"/>
      <c r="V236" s="1654"/>
    </row>
    <row r="237" spans="5:22">
      <c r="E237" s="1653"/>
      <c r="F237" s="1653"/>
      <c r="G237" s="1653"/>
      <c r="H237" s="1653"/>
      <c r="I237" s="1653"/>
      <c r="J237" s="1653"/>
      <c r="K237" s="1653"/>
      <c r="L237" s="1653"/>
      <c r="M237" s="1653"/>
      <c r="N237" s="1653"/>
      <c r="O237" s="1653"/>
      <c r="P237" s="1653"/>
      <c r="V237" s="1654"/>
    </row>
    <row r="238" spans="5:22">
      <c r="E238" s="1653"/>
      <c r="F238" s="1653"/>
      <c r="G238" s="1653"/>
      <c r="H238" s="1653"/>
      <c r="I238" s="1653"/>
      <c r="J238" s="1653"/>
      <c r="K238" s="1653"/>
      <c r="L238" s="1653"/>
      <c r="M238" s="1653"/>
      <c r="N238" s="1653"/>
      <c r="O238" s="1653"/>
      <c r="P238" s="1653"/>
      <c r="V238" s="1654"/>
    </row>
    <row r="239" spans="5:22">
      <c r="E239" s="1653"/>
      <c r="F239" s="1653"/>
      <c r="G239" s="1653"/>
      <c r="H239" s="1653"/>
      <c r="I239" s="1653"/>
      <c r="J239" s="1653"/>
      <c r="K239" s="1653"/>
      <c r="L239" s="1653"/>
      <c r="M239" s="1653"/>
      <c r="N239" s="1653"/>
      <c r="O239" s="1653"/>
      <c r="P239" s="1653"/>
      <c r="V239" s="1654"/>
    </row>
    <row r="240" spans="5:22">
      <c r="E240" s="1653"/>
      <c r="F240" s="1653"/>
      <c r="G240" s="1653"/>
      <c r="H240" s="1653"/>
      <c r="I240" s="1653"/>
      <c r="J240" s="1653"/>
      <c r="K240" s="1653"/>
      <c r="L240" s="1653"/>
      <c r="M240" s="1653"/>
      <c r="N240" s="1653"/>
      <c r="O240" s="1653"/>
      <c r="P240" s="1653"/>
      <c r="V240" s="1654"/>
    </row>
    <row r="241" spans="5:22">
      <c r="E241" s="1653"/>
      <c r="F241" s="1653"/>
      <c r="G241" s="1653"/>
      <c r="H241" s="1653"/>
      <c r="I241" s="1653"/>
      <c r="J241" s="1653"/>
      <c r="K241" s="1653"/>
      <c r="L241" s="1653"/>
      <c r="M241" s="1653"/>
      <c r="N241" s="1653"/>
      <c r="O241" s="1653"/>
      <c r="P241" s="1653"/>
      <c r="V241" s="1654"/>
    </row>
    <row r="242" spans="5:22">
      <c r="E242" s="1653"/>
      <c r="F242" s="1653"/>
      <c r="G242" s="1653"/>
      <c r="H242" s="1653"/>
      <c r="I242" s="1653"/>
      <c r="J242" s="1653"/>
      <c r="K242" s="1653"/>
      <c r="L242" s="1653"/>
      <c r="M242" s="1653"/>
      <c r="N242" s="1653"/>
      <c r="O242" s="1653"/>
      <c r="P242" s="1653"/>
      <c r="V242" s="1654"/>
    </row>
    <row r="243" spans="5:22">
      <c r="E243" s="1653"/>
      <c r="F243" s="1653"/>
      <c r="G243" s="1653"/>
      <c r="H243" s="1653"/>
      <c r="I243" s="1653"/>
      <c r="J243" s="1653"/>
      <c r="K243" s="1653"/>
      <c r="L243" s="1653"/>
      <c r="M243" s="1653"/>
      <c r="N243" s="1653"/>
      <c r="O243" s="1653"/>
      <c r="P243" s="1653"/>
      <c r="V243" s="1654"/>
    </row>
    <row r="244" spans="5:22">
      <c r="E244" s="1653"/>
      <c r="F244" s="1653"/>
      <c r="G244" s="1653"/>
      <c r="H244" s="1653"/>
      <c r="I244" s="1653"/>
      <c r="J244" s="1653"/>
      <c r="K244" s="1653"/>
      <c r="L244" s="1653"/>
      <c r="M244" s="1653"/>
      <c r="N244" s="1653"/>
      <c r="O244" s="1653"/>
      <c r="P244" s="1653"/>
      <c r="V244" s="1654"/>
    </row>
    <row r="245" spans="5:22">
      <c r="E245" s="1653"/>
      <c r="F245" s="1653"/>
      <c r="G245" s="1653"/>
      <c r="H245" s="1653"/>
      <c r="I245" s="1653"/>
      <c r="J245" s="1653"/>
      <c r="K245" s="1653"/>
      <c r="L245" s="1653"/>
      <c r="M245" s="1653"/>
      <c r="N245" s="1653"/>
      <c r="O245" s="1653"/>
      <c r="P245" s="1653"/>
      <c r="V245" s="1654"/>
    </row>
    <row r="246" spans="5:22">
      <c r="E246" s="1653"/>
      <c r="F246" s="1653"/>
      <c r="G246" s="1653"/>
      <c r="H246" s="1653"/>
      <c r="I246" s="1653"/>
      <c r="J246" s="1653"/>
      <c r="K246" s="1653"/>
      <c r="L246" s="1653"/>
      <c r="M246" s="1653"/>
      <c r="N246" s="1653"/>
      <c r="O246" s="1653"/>
      <c r="P246" s="1653"/>
      <c r="V246" s="1654"/>
    </row>
    <row r="247" spans="5:22">
      <c r="E247" s="1653"/>
      <c r="F247" s="1653"/>
      <c r="G247" s="1653"/>
      <c r="H247" s="1653"/>
      <c r="I247" s="1653"/>
      <c r="J247" s="1653"/>
      <c r="K247" s="1653"/>
      <c r="L247" s="1653"/>
      <c r="M247" s="1653"/>
      <c r="N247" s="1653"/>
      <c r="O247" s="1653"/>
      <c r="P247" s="1653"/>
      <c r="V247" s="1654"/>
    </row>
    <row r="248" spans="5:22">
      <c r="E248" s="1653"/>
      <c r="F248" s="1653"/>
      <c r="G248" s="1653"/>
      <c r="H248" s="1653"/>
      <c r="I248" s="1653"/>
      <c r="J248" s="1653"/>
      <c r="K248" s="1653"/>
      <c r="L248" s="1653"/>
      <c r="M248" s="1653"/>
      <c r="N248" s="1653"/>
      <c r="O248" s="1653"/>
      <c r="P248" s="1653"/>
      <c r="V248" s="1654"/>
    </row>
    <row r="249" spans="5:22">
      <c r="E249" s="1653"/>
      <c r="F249" s="1653"/>
      <c r="G249" s="1653"/>
      <c r="H249" s="1653"/>
      <c r="I249" s="1653"/>
      <c r="J249" s="1653"/>
      <c r="K249" s="1653"/>
      <c r="L249" s="1653"/>
      <c r="M249" s="1653"/>
      <c r="N249" s="1653"/>
      <c r="O249" s="1653"/>
      <c r="P249" s="1653"/>
      <c r="V249" s="1654"/>
    </row>
    <row r="250" spans="5:22">
      <c r="E250" s="1653"/>
      <c r="F250" s="1653"/>
      <c r="G250" s="1653"/>
      <c r="H250" s="1653"/>
      <c r="I250" s="1653"/>
      <c r="J250" s="1653"/>
      <c r="K250" s="1653"/>
      <c r="L250" s="1653"/>
      <c r="M250" s="1653"/>
      <c r="N250" s="1653"/>
      <c r="O250" s="1653"/>
      <c r="P250" s="1653"/>
      <c r="V250" s="1654"/>
    </row>
    <row r="251" spans="5:22">
      <c r="E251" s="1653"/>
      <c r="F251" s="1653"/>
      <c r="G251" s="1653"/>
      <c r="H251" s="1653"/>
      <c r="I251" s="1653"/>
      <c r="J251" s="1653"/>
      <c r="K251" s="1653"/>
      <c r="L251" s="1653"/>
      <c r="M251" s="1653"/>
      <c r="N251" s="1653"/>
      <c r="O251" s="1653"/>
      <c r="P251" s="1653"/>
      <c r="V251" s="1654"/>
    </row>
    <row r="252" spans="5:22">
      <c r="E252" s="1653"/>
      <c r="F252" s="1653"/>
      <c r="G252" s="1653"/>
      <c r="H252" s="1653"/>
      <c r="I252" s="1653"/>
      <c r="J252" s="1653"/>
      <c r="K252" s="1653"/>
      <c r="L252" s="1653"/>
      <c r="M252" s="1653"/>
      <c r="N252" s="1653"/>
      <c r="O252" s="1653"/>
      <c r="P252" s="1653"/>
      <c r="V252" s="1654"/>
    </row>
    <row r="253" spans="5:22">
      <c r="E253" s="1653"/>
      <c r="F253" s="1653"/>
      <c r="G253" s="1653"/>
      <c r="H253" s="1653"/>
      <c r="I253" s="1653"/>
      <c r="J253" s="1653"/>
      <c r="K253" s="1653"/>
      <c r="L253" s="1653"/>
      <c r="M253" s="1653"/>
      <c r="N253" s="1653"/>
      <c r="O253" s="1653"/>
      <c r="P253" s="1653"/>
      <c r="V253" s="1654"/>
    </row>
    <row r="254" spans="5:22">
      <c r="E254" s="1653"/>
      <c r="F254" s="1653"/>
      <c r="G254" s="1653"/>
      <c r="H254" s="1653"/>
      <c r="I254" s="1653"/>
      <c r="J254" s="1653"/>
      <c r="K254" s="1653"/>
      <c r="L254" s="1653"/>
      <c r="M254" s="1653"/>
      <c r="N254" s="1653"/>
      <c r="O254" s="1653"/>
      <c r="P254" s="1653"/>
      <c r="V254" s="1654"/>
    </row>
    <row r="255" spans="5:22">
      <c r="E255" s="1653"/>
      <c r="F255" s="1653"/>
      <c r="G255" s="1653"/>
      <c r="H255" s="1653"/>
      <c r="I255" s="1653"/>
      <c r="J255" s="1653"/>
      <c r="K255" s="1653"/>
      <c r="L255" s="1653"/>
      <c r="M255" s="1653"/>
      <c r="N255" s="1653"/>
      <c r="O255" s="1653"/>
      <c r="P255" s="1653"/>
      <c r="V255" s="1654"/>
    </row>
    <row r="256" spans="5:22">
      <c r="E256" s="1653"/>
      <c r="F256" s="1653"/>
      <c r="G256" s="1653"/>
      <c r="H256" s="1653"/>
      <c r="I256" s="1653"/>
      <c r="J256" s="1653"/>
      <c r="K256" s="1653"/>
      <c r="L256" s="1653"/>
      <c r="M256" s="1653"/>
      <c r="N256" s="1653"/>
      <c r="O256" s="1653"/>
      <c r="P256" s="1653"/>
      <c r="V256" s="1654"/>
    </row>
    <row r="257" spans="5:22">
      <c r="E257" s="1653"/>
      <c r="F257" s="1653"/>
      <c r="G257" s="1653"/>
      <c r="H257" s="1653"/>
      <c r="I257" s="1653"/>
      <c r="J257" s="1653"/>
      <c r="K257" s="1653"/>
      <c r="L257" s="1653"/>
      <c r="M257" s="1653"/>
      <c r="N257" s="1653"/>
      <c r="O257" s="1653"/>
      <c r="P257" s="1653"/>
      <c r="V257" s="1654"/>
    </row>
    <row r="258" spans="5:22">
      <c r="E258" s="1653"/>
      <c r="F258" s="1653"/>
      <c r="G258" s="1653"/>
      <c r="H258" s="1653"/>
      <c r="I258" s="1653"/>
      <c r="J258" s="1653"/>
      <c r="K258" s="1653"/>
      <c r="L258" s="1653"/>
      <c r="M258" s="1653"/>
      <c r="N258" s="1653"/>
      <c r="O258" s="1653"/>
      <c r="P258" s="1653"/>
      <c r="V258" s="1654"/>
    </row>
    <row r="259" spans="5:22">
      <c r="E259" s="1653"/>
      <c r="F259" s="1653"/>
      <c r="G259" s="1653"/>
      <c r="H259" s="1653"/>
      <c r="I259" s="1653"/>
      <c r="J259" s="1653"/>
      <c r="K259" s="1653"/>
      <c r="L259" s="1653"/>
      <c r="M259" s="1653"/>
      <c r="N259" s="1653"/>
      <c r="O259" s="1653"/>
      <c r="P259" s="1653"/>
      <c r="V259" s="1654"/>
    </row>
    <row r="260" spans="5:22">
      <c r="E260" s="1653"/>
      <c r="F260" s="1653"/>
      <c r="G260" s="1653"/>
      <c r="H260" s="1653"/>
      <c r="I260" s="1653"/>
      <c r="J260" s="1653"/>
      <c r="K260" s="1653"/>
      <c r="L260" s="1653"/>
      <c r="M260" s="1653"/>
      <c r="N260" s="1653"/>
      <c r="O260" s="1653"/>
      <c r="P260" s="1653"/>
      <c r="V260" s="1654"/>
    </row>
    <row r="261" spans="5:22">
      <c r="E261" s="1653"/>
      <c r="F261" s="1653"/>
      <c r="G261" s="1653"/>
      <c r="H261" s="1653"/>
      <c r="I261" s="1653"/>
      <c r="J261" s="1653"/>
      <c r="K261" s="1653"/>
      <c r="L261" s="1653"/>
      <c r="M261" s="1653"/>
      <c r="N261" s="1653"/>
      <c r="O261" s="1653"/>
      <c r="P261" s="1653"/>
      <c r="V261" s="1654"/>
    </row>
    <row r="262" spans="5:22">
      <c r="E262" s="1653"/>
      <c r="F262" s="1653"/>
      <c r="G262" s="1653"/>
      <c r="H262" s="1653"/>
      <c r="I262" s="1653"/>
      <c r="J262" s="1653"/>
      <c r="K262" s="1653"/>
      <c r="L262" s="1653"/>
      <c r="M262" s="1653"/>
      <c r="N262" s="1653"/>
      <c r="O262" s="1653"/>
      <c r="P262" s="1653"/>
      <c r="V262" s="1654"/>
    </row>
    <row r="263" spans="5:22">
      <c r="E263" s="1653"/>
      <c r="F263" s="1653"/>
      <c r="G263" s="1653"/>
      <c r="H263" s="1653"/>
      <c r="I263" s="1653"/>
      <c r="J263" s="1653"/>
      <c r="K263" s="1653"/>
      <c r="L263" s="1653"/>
      <c r="M263" s="1653"/>
      <c r="N263" s="1653"/>
      <c r="O263" s="1653"/>
      <c r="P263" s="1653"/>
      <c r="V263" s="1654"/>
    </row>
    <row r="264" spans="5:22">
      <c r="E264" s="1653"/>
      <c r="F264" s="1653"/>
      <c r="G264" s="1653"/>
      <c r="H264" s="1653"/>
      <c r="I264" s="1653"/>
      <c r="J264" s="1653"/>
      <c r="K264" s="1653"/>
      <c r="L264" s="1653"/>
      <c r="M264" s="1653"/>
      <c r="N264" s="1653"/>
      <c r="O264" s="1653"/>
      <c r="P264" s="1653"/>
      <c r="V264" s="1654"/>
    </row>
    <row r="265" spans="5:22">
      <c r="E265" s="1653"/>
      <c r="F265" s="1653"/>
      <c r="G265" s="1653"/>
      <c r="H265" s="1653"/>
      <c r="I265" s="1653"/>
      <c r="J265" s="1653"/>
      <c r="K265" s="1653"/>
      <c r="L265" s="1653"/>
      <c r="M265" s="1653"/>
      <c r="N265" s="1653"/>
      <c r="O265" s="1653"/>
      <c r="P265" s="1653"/>
      <c r="V265" s="1654"/>
    </row>
    <row r="266" spans="5:22">
      <c r="E266" s="1653"/>
      <c r="F266" s="1653"/>
      <c r="G266" s="1653"/>
      <c r="H266" s="1653"/>
      <c r="I266" s="1653"/>
      <c r="J266" s="1653"/>
      <c r="K266" s="1653"/>
      <c r="L266" s="1653"/>
      <c r="M266" s="1653"/>
      <c r="N266" s="1653"/>
      <c r="O266" s="1653"/>
      <c r="P266" s="1653"/>
      <c r="V266" s="1654"/>
    </row>
    <row r="267" spans="5:22">
      <c r="E267" s="1653"/>
      <c r="F267" s="1653"/>
      <c r="G267" s="1653"/>
      <c r="H267" s="1653"/>
      <c r="I267" s="1653"/>
      <c r="J267" s="1653"/>
      <c r="K267" s="1653"/>
      <c r="L267" s="1653"/>
      <c r="M267" s="1653"/>
      <c r="N267" s="1653"/>
      <c r="O267" s="1653"/>
      <c r="P267" s="1653"/>
      <c r="V267" s="1654"/>
    </row>
    <row r="268" spans="5:22">
      <c r="E268" s="1653"/>
      <c r="F268" s="1653"/>
      <c r="G268" s="1653"/>
      <c r="H268" s="1653"/>
      <c r="I268" s="1653"/>
      <c r="J268" s="1653"/>
      <c r="K268" s="1653"/>
      <c r="L268" s="1653"/>
      <c r="M268" s="1653"/>
      <c r="N268" s="1653"/>
      <c r="O268" s="1653"/>
      <c r="P268" s="1653"/>
      <c r="V268" s="1654"/>
    </row>
    <row r="269" spans="5:22">
      <c r="E269" s="1653"/>
      <c r="F269" s="1653"/>
      <c r="G269" s="1653"/>
      <c r="H269" s="1653"/>
      <c r="I269" s="1653"/>
      <c r="J269" s="1653"/>
      <c r="K269" s="1653"/>
      <c r="L269" s="1653"/>
      <c r="M269" s="1653"/>
      <c r="N269" s="1653"/>
      <c r="O269" s="1653"/>
      <c r="P269" s="1653"/>
      <c r="V269" s="1654"/>
    </row>
    <row r="270" spans="5:22">
      <c r="E270" s="1653"/>
      <c r="F270" s="1653"/>
      <c r="G270" s="1653"/>
      <c r="H270" s="1653"/>
      <c r="I270" s="1653"/>
      <c r="J270" s="1653"/>
      <c r="K270" s="1653"/>
      <c r="L270" s="1653"/>
      <c r="M270" s="1653"/>
      <c r="N270" s="1653"/>
      <c r="O270" s="1653"/>
      <c r="P270" s="1653"/>
      <c r="V270" s="1654"/>
    </row>
    <row r="271" spans="5:22">
      <c r="E271" s="1653"/>
      <c r="F271" s="1653"/>
      <c r="G271" s="1653"/>
      <c r="H271" s="1653"/>
      <c r="I271" s="1653"/>
      <c r="J271" s="1653"/>
      <c r="K271" s="1653"/>
      <c r="L271" s="1653"/>
      <c r="M271" s="1653"/>
      <c r="N271" s="1653"/>
      <c r="O271" s="1653"/>
      <c r="P271" s="1653"/>
      <c r="V271" s="1654"/>
    </row>
    <row r="272" spans="5:22">
      <c r="E272" s="1653"/>
      <c r="F272" s="1653"/>
      <c r="G272" s="1653"/>
      <c r="H272" s="1653"/>
      <c r="I272" s="1653"/>
      <c r="J272" s="1653"/>
      <c r="K272" s="1653"/>
      <c r="L272" s="1653"/>
      <c r="M272" s="1653"/>
      <c r="N272" s="1653"/>
      <c r="O272" s="1653"/>
      <c r="P272" s="1653"/>
      <c r="V272" s="1654"/>
    </row>
    <row r="273" spans="5:22">
      <c r="E273" s="1653"/>
      <c r="F273" s="1653"/>
      <c r="G273" s="1653"/>
      <c r="H273" s="1653"/>
      <c r="I273" s="1653"/>
      <c r="J273" s="1653"/>
      <c r="K273" s="1653"/>
      <c r="L273" s="1653"/>
      <c r="M273" s="1653"/>
      <c r="N273" s="1653"/>
      <c r="O273" s="1653"/>
      <c r="P273" s="1653"/>
      <c r="V273" s="1654"/>
    </row>
    <row r="274" spans="5:22">
      <c r="E274" s="1653"/>
      <c r="F274" s="1653"/>
      <c r="G274" s="1653"/>
      <c r="H274" s="1653"/>
      <c r="I274" s="1653"/>
      <c r="J274" s="1653"/>
      <c r="K274" s="1653"/>
      <c r="L274" s="1653"/>
      <c r="M274" s="1653"/>
      <c r="N274" s="1653"/>
      <c r="O274" s="1653"/>
      <c r="P274" s="1653"/>
      <c r="V274" s="1654"/>
    </row>
    <row r="275" spans="5:22">
      <c r="E275" s="1653"/>
      <c r="F275" s="1653"/>
      <c r="G275" s="1653"/>
      <c r="H275" s="1653"/>
      <c r="I275" s="1653"/>
      <c r="J275" s="1653"/>
      <c r="K275" s="1653"/>
      <c r="L275" s="1653"/>
      <c r="M275" s="1653"/>
      <c r="N275" s="1653"/>
      <c r="O275" s="1653"/>
      <c r="P275" s="1653"/>
      <c r="V275" s="1654"/>
    </row>
    <row r="276" spans="5:22">
      <c r="E276" s="1653"/>
      <c r="F276" s="1653"/>
      <c r="G276" s="1653"/>
      <c r="H276" s="1653"/>
      <c r="I276" s="1653"/>
      <c r="J276" s="1653"/>
      <c r="K276" s="1653"/>
      <c r="L276" s="1653"/>
      <c r="M276" s="1653"/>
      <c r="N276" s="1653"/>
      <c r="O276" s="1653"/>
      <c r="P276" s="1653"/>
      <c r="V276" s="1654"/>
    </row>
    <row r="277" spans="5:22">
      <c r="E277" s="1653"/>
      <c r="F277" s="1653"/>
      <c r="G277" s="1653"/>
      <c r="H277" s="1653"/>
      <c r="I277" s="1653"/>
      <c r="J277" s="1653"/>
      <c r="K277" s="1653"/>
      <c r="L277" s="1653"/>
      <c r="M277" s="1653"/>
      <c r="N277" s="1653"/>
      <c r="O277" s="1653"/>
      <c r="P277" s="1653"/>
      <c r="V277" s="1654"/>
    </row>
    <row r="278" spans="5:22">
      <c r="E278" s="1653"/>
      <c r="F278" s="1653"/>
      <c r="G278" s="1653"/>
      <c r="H278" s="1653"/>
      <c r="I278" s="1653"/>
      <c r="J278" s="1653"/>
      <c r="K278" s="1653"/>
      <c r="L278" s="1653"/>
      <c r="M278" s="1653"/>
      <c r="N278" s="1653"/>
      <c r="O278" s="1653"/>
      <c r="P278" s="1653"/>
      <c r="V278" s="1654"/>
    </row>
    <row r="279" spans="5:22">
      <c r="E279" s="1653"/>
      <c r="F279" s="1653"/>
      <c r="G279" s="1653"/>
      <c r="H279" s="1653"/>
      <c r="I279" s="1653"/>
      <c r="J279" s="1653"/>
      <c r="K279" s="1653"/>
      <c r="L279" s="1653"/>
      <c r="M279" s="1653"/>
      <c r="N279" s="1653"/>
      <c r="O279" s="1653"/>
      <c r="P279" s="1653"/>
      <c r="V279" s="1654"/>
    </row>
    <row r="280" spans="5:22">
      <c r="E280" s="1653"/>
      <c r="F280" s="1653"/>
      <c r="G280" s="1653"/>
      <c r="H280" s="1653"/>
      <c r="I280" s="1653"/>
      <c r="J280" s="1653"/>
      <c r="K280" s="1653"/>
      <c r="L280" s="1653"/>
      <c r="M280" s="1653"/>
      <c r="N280" s="1653"/>
      <c r="O280" s="1653"/>
      <c r="P280" s="1653"/>
      <c r="V280" s="1654"/>
    </row>
    <row r="281" spans="5:22">
      <c r="E281" s="1653"/>
      <c r="F281" s="1653"/>
      <c r="G281" s="1653"/>
      <c r="H281" s="1653"/>
      <c r="I281" s="1653"/>
      <c r="J281" s="1653"/>
      <c r="K281" s="1653"/>
      <c r="L281" s="1653"/>
      <c r="M281" s="1653"/>
      <c r="N281" s="1653"/>
      <c r="O281" s="1653"/>
      <c r="P281" s="1653"/>
      <c r="V281" s="1654"/>
    </row>
    <row r="282" spans="5:22">
      <c r="E282" s="1653"/>
      <c r="F282" s="1653"/>
      <c r="G282" s="1653"/>
      <c r="H282" s="1653"/>
      <c r="I282" s="1653"/>
      <c r="J282" s="1653"/>
      <c r="K282" s="1653"/>
      <c r="L282" s="1653"/>
      <c r="M282" s="1653"/>
      <c r="N282" s="1653"/>
      <c r="O282" s="1653"/>
      <c r="P282" s="1653"/>
      <c r="V282" s="1654"/>
    </row>
    <row r="283" spans="5:22">
      <c r="E283" s="1653"/>
      <c r="F283" s="1653"/>
      <c r="G283" s="1653"/>
      <c r="H283" s="1653"/>
      <c r="I283" s="1653"/>
      <c r="J283" s="1653"/>
      <c r="K283" s="1653"/>
      <c r="L283" s="1653"/>
      <c r="M283" s="1653"/>
      <c r="N283" s="1653"/>
      <c r="O283" s="1653"/>
      <c r="P283" s="1653"/>
      <c r="V283" s="1654"/>
    </row>
    <row r="284" spans="5:22">
      <c r="E284" s="1653"/>
      <c r="F284" s="1653"/>
      <c r="G284" s="1653"/>
      <c r="H284" s="1653"/>
      <c r="I284" s="1653"/>
      <c r="J284" s="1653"/>
      <c r="K284" s="1653"/>
      <c r="L284" s="1653"/>
      <c r="M284" s="1653"/>
      <c r="N284" s="1653"/>
      <c r="O284" s="1653"/>
      <c r="P284" s="1653"/>
      <c r="V284" s="1654"/>
    </row>
    <row r="285" spans="5:22">
      <c r="E285" s="1653"/>
      <c r="F285" s="1653"/>
      <c r="G285" s="1653"/>
      <c r="H285" s="1653"/>
      <c r="I285" s="1653"/>
      <c r="J285" s="1653"/>
      <c r="K285" s="1653"/>
      <c r="L285" s="1653"/>
      <c r="M285" s="1653"/>
      <c r="N285" s="1653"/>
      <c r="O285" s="1653"/>
      <c r="P285" s="1653"/>
      <c r="V285" s="1654"/>
    </row>
    <row r="286" spans="5:22">
      <c r="E286" s="1653"/>
      <c r="F286" s="1653"/>
      <c r="G286" s="1653"/>
      <c r="H286" s="1653"/>
      <c r="I286" s="1653"/>
      <c r="J286" s="1653"/>
      <c r="K286" s="1653"/>
      <c r="L286" s="1653"/>
      <c r="M286" s="1653"/>
      <c r="N286" s="1653"/>
      <c r="O286" s="1653"/>
      <c r="P286" s="1653"/>
      <c r="V286" s="1654"/>
    </row>
    <row r="287" spans="5:22">
      <c r="E287" s="1653"/>
      <c r="F287" s="1653"/>
      <c r="G287" s="1653"/>
      <c r="H287" s="1653"/>
      <c r="I287" s="1653"/>
      <c r="J287" s="1653"/>
      <c r="K287" s="1653"/>
      <c r="L287" s="1653"/>
      <c r="M287" s="1653"/>
      <c r="N287" s="1653"/>
      <c r="O287" s="1653"/>
      <c r="P287" s="1653"/>
      <c r="V287" s="1654"/>
    </row>
    <row r="288" spans="5:22">
      <c r="E288" s="1653"/>
      <c r="F288" s="1653"/>
      <c r="G288" s="1653"/>
      <c r="H288" s="1653"/>
      <c r="I288" s="1653"/>
      <c r="J288" s="1653"/>
      <c r="K288" s="1653"/>
      <c r="L288" s="1653"/>
      <c r="M288" s="1653"/>
      <c r="N288" s="1653"/>
      <c r="O288" s="1653"/>
      <c r="P288" s="1653"/>
      <c r="V288" s="1654"/>
    </row>
    <row r="289" spans="5:22">
      <c r="E289" s="1653"/>
      <c r="F289" s="1653"/>
      <c r="G289" s="1653"/>
      <c r="H289" s="1653"/>
      <c r="I289" s="1653"/>
      <c r="J289" s="1653"/>
      <c r="K289" s="1653"/>
      <c r="L289" s="1653"/>
      <c r="M289" s="1653"/>
      <c r="N289" s="1653"/>
      <c r="O289" s="1653"/>
      <c r="P289" s="1653"/>
      <c r="V289" s="1654"/>
    </row>
    <row r="290" spans="5:22">
      <c r="E290" s="1653"/>
      <c r="F290" s="1653"/>
      <c r="G290" s="1653"/>
      <c r="H290" s="1653"/>
      <c r="I290" s="1653"/>
      <c r="J290" s="1653"/>
      <c r="K290" s="1653"/>
      <c r="L290" s="1653"/>
      <c r="M290" s="1653"/>
      <c r="N290" s="1653"/>
      <c r="O290" s="1653"/>
      <c r="P290" s="1653"/>
      <c r="V290" s="1654"/>
    </row>
    <row r="291" spans="5:22">
      <c r="E291" s="1653"/>
      <c r="F291" s="1653"/>
      <c r="G291" s="1653"/>
      <c r="H291" s="1653"/>
      <c r="I291" s="1653"/>
      <c r="J291" s="1653"/>
      <c r="K291" s="1653"/>
      <c r="L291" s="1653"/>
      <c r="M291" s="1653"/>
      <c r="N291" s="1653"/>
      <c r="O291" s="1653"/>
      <c r="P291" s="1653"/>
      <c r="V291" s="1654"/>
    </row>
    <row r="292" spans="5:22">
      <c r="E292" s="1653"/>
      <c r="F292" s="1653"/>
      <c r="G292" s="1653"/>
      <c r="H292" s="1653"/>
      <c r="I292" s="1653"/>
      <c r="J292" s="1653"/>
      <c r="K292" s="1653"/>
      <c r="L292" s="1653"/>
      <c r="M292" s="1653"/>
      <c r="N292" s="1653"/>
      <c r="O292" s="1653"/>
      <c r="P292" s="1653"/>
      <c r="V292" s="1654"/>
    </row>
    <row r="293" spans="5:22">
      <c r="E293" s="1653"/>
      <c r="F293" s="1653"/>
      <c r="G293" s="1653"/>
      <c r="H293" s="1653"/>
      <c r="I293" s="1653"/>
      <c r="J293" s="1653"/>
      <c r="K293" s="1653"/>
      <c r="L293" s="1653"/>
      <c r="M293" s="1653"/>
      <c r="N293" s="1653"/>
      <c r="O293" s="1653"/>
      <c r="P293" s="1653"/>
      <c r="V293" s="1654"/>
    </row>
    <row r="294" spans="5:22">
      <c r="E294" s="1653"/>
      <c r="F294" s="1653"/>
      <c r="G294" s="1653"/>
      <c r="H294" s="1653"/>
      <c r="I294" s="1653"/>
      <c r="J294" s="1653"/>
      <c r="K294" s="1653"/>
      <c r="L294" s="1653"/>
      <c r="M294" s="1653"/>
      <c r="N294" s="1653"/>
      <c r="O294" s="1653"/>
      <c r="P294" s="1653"/>
      <c r="V294" s="1654"/>
    </row>
    <row r="295" spans="5:22">
      <c r="E295" s="1653"/>
      <c r="F295" s="1653"/>
      <c r="G295" s="1653"/>
      <c r="H295" s="1653"/>
      <c r="I295" s="1653"/>
      <c r="J295" s="1653"/>
      <c r="K295" s="1653"/>
      <c r="L295" s="1653"/>
      <c r="M295" s="1653"/>
      <c r="N295" s="1653"/>
      <c r="O295" s="1653"/>
      <c r="P295" s="1653"/>
      <c r="V295" s="1654"/>
    </row>
    <row r="296" spans="5:22">
      <c r="E296" s="1653"/>
      <c r="F296" s="1653"/>
      <c r="G296" s="1653"/>
      <c r="H296" s="1653"/>
      <c r="I296" s="1653"/>
      <c r="J296" s="1653"/>
      <c r="K296" s="1653"/>
      <c r="L296" s="1653"/>
      <c r="M296" s="1653"/>
      <c r="N296" s="1653"/>
      <c r="O296" s="1653"/>
      <c r="P296" s="1653"/>
      <c r="V296" s="1654"/>
    </row>
    <row r="297" spans="5:22">
      <c r="E297" s="1653"/>
      <c r="F297" s="1653"/>
      <c r="G297" s="1653"/>
      <c r="H297" s="1653"/>
      <c r="I297" s="1653"/>
      <c r="J297" s="1653"/>
      <c r="K297" s="1653"/>
      <c r="L297" s="1653"/>
      <c r="M297" s="1653"/>
      <c r="N297" s="1653"/>
      <c r="O297" s="1653"/>
      <c r="P297" s="1653"/>
      <c r="V297" s="1654"/>
    </row>
    <row r="298" spans="5:22">
      <c r="E298" s="1653"/>
      <c r="F298" s="1653"/>
      <c r="G298" s="1653"/>
      <c r="H298" s="1653"/>
      <c r="I298" s="1653"/>
      <c r="J298" s="1653"/>
      <c r="K298" s="1653"/>
      <c r="L298" s="1653"/>
      <c r="M298" s="1653"/>
      <c r="N298" s="1653"/>
      <c r="O298" s="1653"/>
      <c r="P298" s="1653"/>
      <c r="V298" s="1654"/>
    </row>
    <row r="299" spans="5:22">
      <c r="E299" s="1653"/>
      <c r="F299" s="1653"/>
      <c r="G299" s="1653"/>
      <c r="H299" s="1653"/>
      <c r="I299" s="1653"/>
      <c r="J299" s="1653"/>
      <c r="K299" s="1653"/>
      <c r="L299" s="1653"/>
      <c r="M299" s="1653"/>
      <c r="N299" s="1653"/>
      <c r="O299" s="1653"/>
      <c r="P299" s="1653"/>
      <c r="V299" s="1654"/>
    </row>
    <row r="300" spans="5:22">
      <c r="E300" s="1653"/>
      <c r="F300" s="1653"/>
      <c r="G300" s="1653"/>
      <c r="H300" s="1653"/>
      <c r="I300" s="1653"/>
      <c r="J300" s="1653"/>
      <c r="K300" s="1653"/>
      <c r="L300" s="1653"/>
      <c r="M300" s="1653"/>
      <c r="N300" s="1653"/>
      <c r="O300" s="1653"/>
      <c r="P300" s="1653"/>
      <c r="V300" s="1654"/>
    </row>
    <row r="301" spans="5:22">
      <c r="E301" s="1653"/>
      <c r="F301" s="1653"/>
      <c r="G301" s="1653"/>
      <c r="H301" s="1653"/>
      <c r="I301" s="1653"/>
      <c r="J301" s="1653"/>
      <c r="K301" s="1653"/>
      <c r="L301" s="1653"/>
      <c r="M301" s="1653"/>
      <c r="N301" s="1653"/>
      <c r="O301" s="1653"/>
      <c r="P301" s="1653"/>
      <c r="V301" s="1654"/>
    </row>
    <row r="302" spans="5:22">
      <c r="E302" s="1653"/>
      <c r="F302" s="1653"/>
      <c r="G302" s="1653"/>
      <c r="H302" s="1653"/>
      <c r="I302" s="1653"/>
      <c r="J302" s="1653"/>
      <c r="K302" s="1653"/>
      <c r="L302" s="1653"/>
      <c r="M302" s="1653"/>
      <c r="N302" s="1653"/>
      <c r="O302" s="1653"/>
      <c r="P302" s="1653"/>
      <c r="V302" s="1654"/>
    </row>
    <row r="303" spans="5:22">
      <c r="E303" s="1653"/>
      <c r="F303" s="1653"/>
      <c r="G303" s="1653"/>
      <c r="H303" s="1653"/>
      <c r="I303" s="1653"/>
      <c r="J303" s="1653"/>
      <c r="K303" s="1653"/>
      <c r="L303" s="1653"/>
      <c r="M303" s="1653"/>
      <c r="N303" s="1653"/>
      <c r="O303" s="1653"/>
      <c r="P303" s="1653"/>
      <c r="V303" s="1654"/>
    </row>
    <row r="304" spans="5:22">
      <c r="E304" s="1653"/>
      <c r="F304" s="1653"/>
      <c r="G304" s="1653"/>
      <c r="H304" s="1653"/>
      <c r="I304" s="1653"/>
      <c r="J304" s="1653"/>
      <c r="K304" s="1653"/>
      <c r="L304" s="1653"/>
      <c r="M304" s="1653"/>
      <c r="N304" s="1653"/>
      <c r="O304" s="1653"/>
      <c r="P304" s="1653"/>
      <c r="V304" s="1654"/>
    </row>
    <row r="305" spans="5:22">
      <c r="E305" s="1653"/>
      <c r="F305" s="1653"/>
      <c r="G305" s="1653"/>
      <c r="H305" s="1653"/>
      <c r="I305" s="1653"/>
      <c r="J305" s="1653"/>
      <c r="K305" s="1653"/>
      <c r="L305" s="1653"/>
      <c r="M305" s="1653"/>
      <c r="N305" s="1653"/>
      <c r="O305" s="1653"/>
      <c r="P305" s="1653"/>
      <c r="V305" s="1654"/>
    </row>
    <row r="306" spans="5:22">
      <c r="E306" s="1653"/>
      <c r="F306" s="1653"/>
      <c r="G306" s="1653"/>
      <c r="H306" s="1653"/>
      <c r="I306" s="1653"/>
      <c r="J306" s="1653"/>
      <c r="K306" s="1653"/>
      <c r="L306" s="1653"/>
      <c r="M306" s="1653"/>
      <c r="N306" s="1653"/>
      <c r="O306" s="1653"/>
      <c r="P306" s="1653"/>
      <c r="V306" s="1654"/>
    </row>
    <row r="307" spans="5:22">
      <c r="E307" s="1653"/>
      <c r="F307" s="1653"/>
      <c r="G307" s="1653"/>
      <c r="H307" s="1653"/>
      <c r="I307" s="1653"/>
      <c r="J307" s="1653"/>
      <c r="K307" s="1653"/>
      <c r="L307" s="1653"/>
      <c r="M307" s="1653"/>
      <c r="N307" s="1653"/>
      <c r="O307" s="1653"/>
      <c r="P307" s="1653"/>
      <c r="V307" s="1654"/>
    </row>
    <row r="308" spans="5:22">
      <c r="E308" s="1653"/>
      <c r="F308" s="1653"/>
      <c r="G308" s="1653"/>
      <c r="H308" s="1653"/>
      <c r="I308" s="1653"/>
      <c r="J308" s="1653"/>
      <c r="K308" s="1653"/>
      <c r="L308" s="1653"/>
      <c r="M308" s="1653"/>
      <c r="N308" s="1653"/>
      <c r="O308" s="1653"/>
      <c r="P308" s="1653"/>
      <c r="V308" s="1654"/>
    </row>
    <row r="309" spans="5:22">
      <c r="E309" s="1653"/>
      <c r="F309" s="1653"/>
      <c r="G309" s="1653"/>
      <c r="H309" s="1653"/>
      <c r="I309" s="1653"/>
      <c r="J309" s="1653"/>
      <c r="K309" s="1653"/>
      <c r="L309" s="1653"/>
      <c r="M309" s="1653"/>
      <c r="N309" s="1653"/>
      <c r="O309" s="1653"/>
      <c r="P309" s="1653"/>
      <c r="V309" s="1654"/>
    </row>
    <row r="310" spans="5:22">
      <c r="E310" s="1653"/>
      <c r="F310" s="1653"/>
      <c r="G310" s="1653"/>
      <c r="H310" s="1653"/>
      <c r="I310" s="1653"/>
      <c r="J310" s="1653"/>
      <c r="K310" s="1653"/>
      <c r="L310" s="1653"/>
      <c r="M310" s="1653"/>
      <c r="N310" s="1653"/>
      <c r="O310" s="1653"/>
      <c r="P310" s="1653"/>
      <c r="V310" s="1654"/>
    </row>
    <row r="311" spans="5:22">
      <c r="E311" s="1653"/>
      <c r="F311" s="1653"/>
      <c r="G311" s="1653"/>
      <c r="H311" s="1653"/>
      <c r="I311" s="1653"/>
      <c r="J311" s="1653"/>
      <c r="K311" s="1653"/>
      <c r="L311" s="1653"/>
      <c r="M311" s="1653"/>
      <c r="N311" s="1653"/>
      <c r="O311" s="1653"/>
      <c r="P311" s="1653"/>
      <c r="V311" s="1654"/>
    </row>
    <row r="312" spans="5:22">
      <c r="E312" s="1653"/>
      <c r="F312" s="1653"/>
      <c r="G312" s="1653"/>
      <c r="H312" s="1653"/>
      <c r="I312" s="1653"/>
      <c r="J312" s="1653"/>
      <c r="K312" s="1653"/>
      <c r="L312" s="1653"/>
      <c r="M312" s="1653"/>
      <c r="N312" s="1653"/>
      <c r="O312" s="1653"/>
      <c r="P312" s="1653"/>
      <c r="V312" s="1654"/>
    </row>
    <row r="313" spans="5:22">
      <c r="E313" s="1653"/>
      <c r="F313" s="1653"/>
      <c r="G313" s="1653"/>
      <c r="H313" s="1653"/>
      <c r="I313" s="1653"/>
      <c r="J313" s="1653"/>
      <c r="K313" s="1653"/>
      <c r="L313" s="1653"/>
      <c r="M313" s="1653"/>
      <c r="N313" s="1653"/>
      <c r="O313" s="1653"/>
      <c r="P313" s="1653"/>
      <c r="V313" s="1654"/>
    </row>
    <row r="314" spans="5:22">
      <c r="E314" s="1653"/>
      <c r="F314" s="1653"/>
      <c r="G314" s="1653"/>
      <c r="H314" s="1653"/>
      <c r="I314" s="1653"/>
      <c r="J314" s="1653"/>
      <c r="K314" s="1653"/>
      <c r="L314" s="1653"/>
      <c r="M314" s="1653"/>
      <c r="N314" s="1653"/>
      <c r="O314" s="1653"/>
      <c r="P314" s="1653"/>
      <c r="V314" s="1654"/>
    </row>
    <row r="315" spans="5:22">
      <c r="E315" s="1653"/>
      <c r="F315" s="1653"/>
      <c r="G315" s="1653"/>
      <c r="H315" s="1653"/>
      <c r="I315" s="1653"/>
      <c r="J315" s="1653"/>
      <c r="K315" s="1653"/>
      <c r="L315" s="1653"/>
      <c r="M315" s="1653"/>
      <c r="N315" s="1653"/>
      <c r="O315" s="1653"/>
      <c r="P315" s="1653"/>
      <c r="V315" s="1654"/>
    </row>
    <row r="316" spans="5:22">
      <c r="E316" s="1653"/>
      <c r="F316" s="1653"/>
      <c r="G316" s="1653"/>
      <c r="H316" s="1653"/>
      <c r="I316" s="1653"/>
      <c r="J316" s="1653"/>
      <c r="K316" s="1653"/>
      <c r="L316" s="1653"/>
      <c r="M316" s="1653"/>
      <c r="N316" s="1653"/>
      <c r="O316" s="1653"/>
      <c r="P316" s="1653"/>
      <c r="V316" s="1654"/>
    </row>
    <row r="317" spans="5:22">
      <c r="E317" s="1653"/>
      <c r="F317" s="1653"/>
      <c r="G317" s="1653"/>
      <c r="H317" s="1653"/>
      <c r="I317" s="1653"/>
      <c r="J317" s="1653"/>
      <c r="K317" s="1653"/>
      <c r="L317" s="1653"/>
      <c r="M317" s="1653"/>
      <c r="N317" s="1653"/>
      <c r="O317" s="1653"/>
      <c r="P317" s="1653"/>
      <c r="V317" s="1654"/>
    </row>
    <row r="318" spans="5:22">
      <c r="E318" s="1653"/>
      <c r="F318" s="1653"/>
      <c r="G318" s="1653"/>
      <c r="H318" s="1653"/>
      <c r="I318" s="1653"/>
      <c r="J318" s="1653"/>
      <c r="K318" s="1653"/>
      <c r="L318" s="1653"/>
      <c r="M318" s="1653"/>
      <c r="N318" s="1653"/>
      <c r="O318" s="1653"/>
      <c r="P318" s="1653"/>
      <c r="V318" s="1654"/>
    </row>
    <row r="319" spans="5:22">
      <c r="E319" s="1653"/>
      <c r="F319" s="1653"/>
      <c r="G319" s="1653"/>
      <c r="H319" s="1653"/>
      <c r="I319" s="1653"/>
      <c r="J319" s="1653"/>
      <c r="K319" s="1653"/>
      <c r="L319" s="1653"/>
      <c r="M319" s="1653"/>
      <c r="N319" s="1653"/>
      <c r="O319" s="1653"/>
      <c r="P319" s="1653"/>
      <c r="V319" s="1654"/>
    </row>
    <row r="320" spans="5:22">
      <c r="E320" s="1653"/>
      <c r="F320" s="1653"/>
      <c r="G320" s="1653"/>
      <c r="H320" s="1653"/>
      <c r="I320" s="1653"/>
      <c r="J320" s="1653"/>
      <c r="K320" s="1653"/>
      <c r="L320" s="1653"/>
      <c r="M320" s="1653"/>
      <c r="N320" s="1653"/>
      <c r="O320" s="1653"/>
      <c r="P320" s="1653"/>
      <c r="V320" s="1654"/>
    </row>
    <row r="321" spans="5:22">
      <c r="E321" s="1653"/>
      <c r="F321" s="1653"/>
      <c r="G321" s="1653"/>
      <c r="H321" s="1653"/>
      <c r="I321" s="1653"/>
      <c r="J321" s="1653"/>
      <c r="K321" s="1653"/>
      <c r="L321" s="1653"/>
      <c r="M321" s="1653"/>
      <c r="N321" s="1653"/>
      <c r="O321" s="1653"/>
      <c r="P321" s="1653"/>
      <c r="V321" s="1654"/>
    </row>
    <row r="322" spans="5:22">
      <c r="E322" s="1653"/>
      <c r="F322" s="1653"/>
      <c r="G322" s="1653"/>
      <c r="H322" s="1653"/>
      <c r="I322" s="1653"/>
      <c r="J322" s="1653"/>
      <c r="K322" s="1653"/>
      <c r="L322" s="1653"/>
      <c r="M322" s="1653"/>
      <c r="N322" s="1653"/>
      <c r="O322" s="1653"/>
      <c r="P322" s="1653"/>
      <c r="V322" s="1654"/>
    </row>
    <row r="323" spans="5:22">
      <c r="E323" s="1653"/>
      <c r="F323" s="1653"/>
      <c r="G323" s="1653"/>
      <c r="H323" s="1653"/>
      <c r="I323" s="1653"/>
      <c r="J323" s="1653"/>
      <c r="K323" s="1653"/>
      <c r="L323" s="1653"/>
      <c r="M323" s="1653"/>
      <c r="N323" s="1653"/>
      <c r="O323" s="1653"/>
      <c r="P323" s="1653"/>
      <c r="V323" s="1654"/>
    </row>
    <row r="324" spans="5:22">
      <c r="E324" s="1653"/>
      <c r="F324" s="1653"/>
      <c r="G324" s="1653"/>
      <c r="H324" s="1653"/>
      <c r="I324" s="1653"/>
      <c r="J324" s="1653"/>
      <c r="K324" s="1653"/>
      <c r="L324" s="1653"/>
      <c r="M324" s="1653"/>
      <c r="N324" s="1653"/>
      <c r="O324" s="1653"/>
      <c r="P324" s="1653"/>
      <c r="V324" s="1654"/>
    </row>
    <row r="325" spans="5:22">
      <c r="E325" s="1653"/>
      <c r="F325" s="1653"/>
      <c r="G325" s="1653"/>
      <c r="H325" s="1653"/>
      <c r="I325" s="1653"/>
      <c r="J325" s="1653"/>
      <c r="K325" s="1653"/>
      <c r="L325" s="1653"/>
      <c r="M325" s="1653"/>
      <c r="N325" s="1653"/>
      <c r="O325" s="1653"/>
      <c r="P325" s="1653"/>
      <c r="V325" s="1654"/>
    </row>
    <row r="326" spans="5:22">
      <c r="E326" s="1653"/>
      <c r="F326" s="1653"/>
      <c r="G326" s="1653"/>
      <c r="H326" s="1653"/>
      <c r="I326" s="1653"/>
      <c r="J326" s="1653"/>
      <c r="K326" s="1653"/>
      <c r="L326" s="1653"/>
      <c r="M326" s="1653"/>
      <c r="N326" s="1653"/>
      <c r="O326" s="1653"/>
      <c r="P326" s="1653"/>
      <c r="V326" s="1654"/>
    </row>
    <row r="327" spans="5:22">
      <c r="E327" s="1653"/>
      <c r="F327" s="1653"/>
      <c r="G327" s="1653"/>
      <c r="H327" s="1653"/>
      <c r="I327" s="1653"/>
      <c r="J327" s="1653"/>
      <c r="K327" s="1653"/>
      <c r="L327" s="1653"/>
      <c r="M327" s="1653"/>
      <c r="N327" s="1653"/>
      <c r="O327" s="1653"/>
      <c r="P327" s="1653"/>
      <c r="V327" s="1654"/>
    </row>
    <row r="328" spans="5:22">
      <c r="E328" s="1653"/>
      <c r="F328" s="1653"/>
      <c r="G328" s="1653"/>
      <c r="H328" s="1653"/>
      <c r="I328" s="1653"/>
      <c r="J328" s="1653"/>
      <c r="K328" s="1653"/>
      <c r="L328" s="1653"/>
      <c r="M328" s="1653"/>
      <c r="N328" s="1653"/>
      <c r="O328" s="1653"/>
      <c r="P328" s="1653"/>
      <c r="V328" s="1654"/>
    </row>
    <row r="329" spans="5:22">
      <c r="E329" s="1653"/>
      <c r="F329" s="1653"/>
      <c r="G329" s="1653"/>
      <c r="H329" s="1653"/>
      <c r="I329" s="1653"/>
      <c r="J329" s="1653"/>
      <c r="K329" s="1653"/>
      <c r="L329" s="1653"/>
      <c r="M329" s="1653"/>
      <c r="N329" s="1653"/>
      <c r="O329" s="1653"/>
      <c r="P329" s="1653"/>
      <c r="V329" s="1654"/>
    </row>
    <row r="330" spans="5:22">
      <c r="E330" s="1653"/>
      <c r="F330" s="1653"/>
      <c r="G330" s="1653"/>
      <c r="H330" s="1653"/>
      <c r="I330" s="1653"/>
      <c r="J330" s="1653"/>
      <c r="K330" s="1653"/>
      <c r="L330" s="1653"/>
      <c r="M330" s="1653"/>
      <c r="N330" s="1653"/>
      <c r="O330" s="1653"/>
      <c r="P330" s="1653"/>
      <c r="V330" s="1654"/>
    </row>
    <row r="331" spans="5:22">
      <c r="E331" s="1653"/>
      <c r="F331" s="1653"/>
      <c r="G331" s="1653"/>
      <c r="H331" s="1653"/>
      <c r="I331" s="1653"/>
      <c r="J331" s="1653"/>
      <c r="K331" s="1653"/>
      <c r="L331" s="1653"/>
      <c r="M331" s="1653"/>
      <c r="N331" s="1653"/>
      <c r="O331" s="1653"/>
      <c r="P331" s="1653"/>
      <c r="V331" s="1654"/>
    </row>
    <row r="332" spans="5:22">
      <c r="E332" s="1653"/>
      <c r="F332" s="1653"/>
      <c r="G332" s="1653"/>
      <c r="H332" s="1653"/>
      <c r="I332" s="1653"/>
      <c r="J332" s="1653"/>
      <c r="K332" s="1653"/>
      <c r="L332" s="1653"/>
      <c r="M332" s="1653"/>
      <c r="N332" s="1653"/>
      <c r="O332" s="1653"/>
      <c r="P332" s="1653"/>
      <c r="V332" s="1654"/>
    </row>
    <row r="333" spans="5:22">
      <c r="E333" s="1653"/>
      <c r="F333" s="1653"/>
      <c r="G333" s="1653"/>
      <c r="H333" s="1653"/>
      <c r="I333" s="1653"/>
      <c r="J333" s="1653"/>
      <c r="K333" s="1653"/>
      <c r="L333" s="1653"/>
      <c r="M333" s="1653"/>
      <c r="N333" s="1653"/>
      <c r="O333" s="1653"/>
      <c r="P333" s="1653"/>
      <c r="V333" s="1654"/>
    </row>
    <row r="334" spans="5:22">
      <c r="E334" s="1653"/>
      <c r="F334" s="1653"/>
      <c r="G334" s="1653"/>
      <c r="H334" s="1653"/>
      <c r="I334" s="1653"/>
      <c r="J334" s="1653"/>
      <c r="K334" s="1653"/>
      <c r="L334" s="1653"/>
      <c r="M334" s="1653"/>
      <c r="N334" s="1653"/>
      <c r="O334" s="1653"/>
      <c r="P334" s="1653"/>
      <c r="V334" s="1654"/>
    </row>
    <row r="335" spans="5:22">
      <c r="E335" s="1653"/>
      <c r="F335" s="1653"/>
      <c r="G335" s="1653"/>
      <c r="H335" s="1653"/>
      <c r="I335" s="1653"/>
      <c r="J335" s="1653"/>
      <c r="K335" s="1653"/>
      <c r="L335" s="1653"/>
      <c r="M335" s="1653"/>
      <c r="N335" s="1653"/>
      <c r="O335" s="1653"/>
      <c r="P335" s="1653"/>
      <c r="V335" s="1654"/>
    </row>
    <row r="336" spans="5:22">
      <c r="E336" s="1653"/>
      <c r="F336" s="1653"/>
      <c r="G336" s="1653"/>
      <c r="H336" s="1653"/>
      <c r="I336" s="1653"/>
      <c r="J336" s="1653"/>
      <c r="K336" s="1653"/>
      <c r="L336" s="1653"/>
      <c r="M336" s="1653"/>
      <c r="N336" s="1653"/>
      <c r="O336" s="1653"/>
      <c r="P336" s="1653"/>
      <c r="V336" s="1654"/>
    </row>
    <row r="337" spans="5:22">
      <c r="E337" s="1653"/>
      <c r="F337" s="1653"/>
      <c r="G337" s="1653"/>
      <c r="H337" s="1653"/>
      <c r="I337" s="1653"/>
      <c r="J337" s="1653"/>
      <c r="K337" s="1653"/>
      <c r="L337" s="1653"/>
      <c r="M337" s="1653"/>
      <c r="N337" s="1653"/>
      <c r="O337" s="1653"/>
      <c r="P337" s="1653"/>
      <c r="V337" s="1654"/>
    </row>
    <row r="338" spans="5:22">
      <c r="E338" s="1653"/>
      <c r="F338" s="1653"/>
      <c r="G338" s="1653"/>
      <c r="H338" s="1653"/>
      <c r="I338" s="1653"/>
      <c r="J338" s="1653"/>
      <c r="K338" s="1653"/>
      <c r="L338" s="1653"/>
      <c r="M338" s="1653"/>
      <c r="N338" s="1653"/>
      <c r="O338" s="1653"/>
      <c r="P338" s="1653"/>
      <c r="V338" s="1654"/>
    </row>
    <row r="339" spans="5:22">
      <c r="E339" s="1653"/>
      <c r="F339" s="1653"/>
      <c r="G339" s="1653"/>
      <c r="H339" s="1653"/>
      <c r="I339" s="1653"/>
      <c r="J339" s="1653"/>
      <c r="K339" s="1653"/>
      <c r="L339" s="1653"/>
      <c r="M339" s="1653"/>
      <c r="N339" s="1653"/>
      <c r="O339" s="1653"/>
      <c r="P339" s="1653"/>
      <c r="V339" s="1654"/>
    </row>
    <row r="340" spans="5:22">
      <c r="E340" s="1653"/>
      <c r="F340" s="1653"/>
      <c r="G340" s="1653"/>
      <c r="H340" s="1653"/>
      <c r="I340" s="1653"/>
      <c r="J340" s="1653"/>
      <c r="K340" s="1653"/>
      <c r="L340" s="1653"/>
      <c r="M340" s="1653"/>
      <c r="N340" s="1653"/>
      <c r="O340" s="1653"/>
      <c r="P340" s="1653"/>
      <c r="V340" s="1654"/>
    </row>
    <row r="341" spans="5:22">
      <c r="E341" s="1653"/>
      <c r="F341" s="1653"/>
      <c r="G341" s="1653"/>
      <c r="H341" s="1653"/>
      <c r="I341" s="1653"/>
      <c r="J341" s="1653"/>
      <c r="K341" s="1653"/>
      <c r="L341" s="1653"/>
      <c r="M341" s="1653"/>
      <c r="N341" s="1653"/>
      <c r="O341" s="1653"/>
      <c r="P341" s="1653"/>
      <c r="V341" s="1654"/>
    </row>
    <row r="342" spans="5:22">
      <c r="E342" s="1653"/>
      <c r="F342" s="1653"/>
      <c r="G342" s="1653"/>
      <c r="H342" s="1653"/>
      <c r="I342" s="1653"/>
      <c r="J342" s="1653"/>
      <c r="K342" s="1653"/>
      <c r="L342" s="1653"/>
      <c r="M342" s="1653"/>
      <c r="N342" s="1653"/>
      <c r="O342" s="1653"/>
      <c r="P342" s="1653"/>
      <c r="V342" s="1654"/>
    </row>
    <row r="343" spans="5:22">
      <c r="E343" s="1653"/>
      <c r="F343" s="1653"/>
      <c r="G343" s="1653"/>
      <c r="H343" s="1653"/>
      <c r="I343" s="1653"/>
      <c r="J343" s="1653"/>
      <c r="K343" s="1653"/>
      <c r="L343" s="1653"/>
      <c r="M343" s="1653"/>
      <c r="N343" s="1653"/>
      <c r="O343" s="1653"/>
      <c r="P343" s="1653"/>
      <c r="V343" s="1654"/>
    </row>
    <row r="344" spans="5:22">
      <c r="E344" s="1653"/>
      <c r="F344" s="1653"/>
      <c r="G344" s="1653"/>
      <c r="H344" s="1653"/>
      <c r="I344" s="1653"/>
      <c r="J344" s="1653"/>
      <c r="K344" s="1653"/>
      <c r="L344" s="1653"/>
      <c r="M344" s="1653"/>
      <c r="N344" s="1653"/>
      <c r="O344" s="1653"/>
      <c r="P344" s="1653"/>
      <c r="V344" s="1654"/>
    </row>
    <row r="345" spans="5:22">
      <c r="E345" s="1653"/>
      <c r="F345" s="1653"/>
      <c r="G345" s="1653"/>
      <c r="H345" s="1653"/>
      <c r="I345" s="1653"/>
      <c r="J345" s="1653"/>
      <c r="K345" s="1653"/>
      <c r="L345" s="1653"/>
      <c r="M345" s="1653"/>
      <c r="N345" s="1653"/>
      <c r="O345" s="1653"/>
      <c r="P345" s="1653"/>
      <c r="V345" s="1654"/>
    </row>
    <row r="346" spans="5:22">
      <c r="E346" s="1653"/>
      <c r="F346" s="1653"/>
      <c r="G346" s="1653"/>
      <c r="H346" s="1653"/>
      <c r="I346" s="1653"/>
      <c r="J346" s="1653"/>
      <c r="K346" s="1653"/>
      <c r="L346" s="1653"/>
      <c r="M346" s="1653"/>
      <c r="N346" s="1653"/>
      <c r="O346" s="1653"/>
      <c r="P346" s="1653"/>
      <c r="V346" s="1654"/>
    </row>
    <row r="347" spans="5:22">
      <c r="E347" s="1653"/>
      <c r="F347" s="1653"/>
      <c r="G347" s="1653"/>
      <c r="H347" s="1653"/>
      <c r="I347" s="1653"/>
      <c r="J347" s="1653"/>
      <c r="K347" s="1653"/>
      <c r="L347" s="1653"/>
      <c r="M347" s="1653"/>
      <c r="N347" s="1653"/>
      <c r="O347" s="1653"/>
      <c r="P347" s="1653"/>
      <c r="V347" s="1654"/>
    </row>
    <row r="348" spans="5:22">
      <c r="E348" s="1653"/>
      <c r="F348" s="1653"/>
      <c r="G348" s="1653"/>
      <c r="H348" s="1653"/>
      <c r="I348" s="1653"/>
      <c r="J348" s="1653"/>
      <c r="K348" s="1653"/>
      <c r="L348" s="1653"/>
      <c r="M348" s="1653"/>
      <c r="N348" s="1653"/>
      <c r="O348" s="1653"/>
      <c r="P348" s="1653"/>
      <c r="V348" s="1654"/>
    </row>
    <row r="349" spans="5:22">
      <c r="E349" s="1653"/>
      <c r="F349" s="1653"/>
      <c r="G349" s="1653"/>
      <c r="H349" s="1653"/>
      <c r="I349" s="1653"/>
      <c r="J349" s="1653"/>
      <c r="K349" s="1653"/>
      <c r="L349" s="1653"/>
      <c r="M349" s="1653"/>
      <c r="N349" s="1653"/>
      <c r="O349" s="1653"/>
      <c r="P349" s="1653"/>
      <c r="V349" s="1654"/>
    </row>
    <row r="350" spans="5:22">
      <c r="E350" s="1653"/>
      <c r="F350" s="1653"/>
      <c r="G350" s="1653"/>
      <c r="H350" s="1653"/>
      <c r="I350" s="1653"/>
      <c r="J350" s="1653"/>
      <c r="K350" s="1653"/>
      <c r="L350" s="1653"/>
      <c r="M350" s="1653"/>
      <c r="N350" s="1653"/>
      <c r="O350" s="1653"/>
      <c r="P350" s="1653"/>
      <c r="V350" s="1654"/>
    </row>
    <row r="351" spans="5:22">
      <c r="E351" s="1653"/>
      <c r="F351" s="1653"/>
      <c r="G351" s="1653"/>
      <c r="H351" s="1653"/>
      <c r="I351" s="1653"/>
      <c r="J351" s="1653"/>
      <c r="K351" s="1653"/>
      <c r="L351" s="1653"/>
      <c r="M351" s="1653"/>
      <c r="N351" s="1653"/>
      <c r="O351" s="1653"/>
      <c r="P351" s="1653"/>
      <c r="V351" s="1654"/>
    </row>
    <row r="352" spans="5:22">
      <c r="E352" s="1653"/>
      <c r="F352" s="1653"/>
      <c r="G352" s="1653"/>
      <c r="H352" s="1653"/>
      <c r="I352" s="1653"/>
      <c r="J352" s="1653"/>
      <c r="K352" s="1653"/>
      <c r="L352" s="1653"/>
      <c r="M352" s="1653"/>
      <c r="N352" s="1653"/>
      <c r="O352" s="1653"/>
      <c r="P352" s="1653"/>
      <c r="V352" s="1654"/>
    </row>
    <row r="353" spans="5:22">
      <c r="E353" s="1653"/>
      <c r="F353" s="1653"/>
      <c r="G353" s="1653"/>
      <c r="H353" s="1653"/>
      <c r="I353" s="1653"/>
      <c r="J353" s="1653"/>
      <c r="K353" s="1653"/>
      <c r="L353" s="1653"/>
      <c r="M353" s="1653"/>
      <c r="N353" s="1653"/>
      <c r="O353" s="1653"/>
      <c r="P353" s="1653"/>
      <c r="V353" s="1654"/>
    </row>
    <row r="354" spans="5:22">
      <c r="E354" s="1653"/>
      <c r="F354" s="1653"/>
      <c r="G354" s="1653"/>
      <c r="H354" s="1653"/>
      <c r="I354" s="1653"/>
      <c r="J354" s="1653"/>
      <c r="K354" s="1653"/>
      <c r="L354" s="1653"/>
      <c r="M354" s="1653"/>
      <c r="N354" s="1653"/>
      <c r="O354" s="1653"/>
      <c r="P354" s="1653"/>
      <c r="V354" s="1654"/>
    </row>
    <row r="355" spans="5:22">
      <c r="E355" s="1653"/>
      <c r="F355" s="1653"/>
      <c r="G355" s="1653"/>
      <c r="H355" s="1653"/>
      <c r="I355" s="1653"/>
      <c r="J355" s="1653"/>
      <c r="K355" s="1653"/>
      <c r="L355" s="1653"/>
      <c r="M355" s="1653"/>
      <c r="N355" s="1653"/>
      <c r="O355" s="1653"/>
      <c r="P355" s="1653"/>
      <c r="V355" s="1654"/>
    </row>
    <row r="356" spans="5:22">
      <c r="E356" s="1653"/>
      <c r="F356" s="1653"/>
      <c r="G356" s="1653"/>
      <c r="H356" s="1653"/>
      <c r="I356" s="1653"/>
      <c r="J356" s="1653"/>
      <c r="K356" s="1653"/>
      <c r="L356" s="1653"/>
      <c r="M356" s="1653"/>
      <c r="N356" s="1653"/>
      <c r="O356" s="1653"/>
      <c r="P356" s="1653"/>
      <c r="V356" s="1654"/>
    </row>
    <row r="357" spans="5:22">
      <c r="E357" s="1653"/>
      <c r="F357" s="1653"/>
      <c r="G357" s="1653"/>
      <c r="H357" s="1653"/>
      <c r="I357" s="1653"/>
      <c r="J357" s="1653"/>
      <c r="K357" s="1653"/>
      <c r="L357" s="1653"/>
      <c r="M357" s="1653"/>
      <c r="N357" s="1653"/>
      <c r="O357" s="1653"/>
      <c r="P357" s="1653"/>
      <c r="V357" s="1654"/>
    </row>
    <row r="358" spans="5:22">
      <c r="E358" s="1653"/>
      <c r="F358" s="1653"/>
      <c r="G358" s="1653"/>
      <c r="H358" s="1653"/>
      <c r="I358" s="1653"/>
      <c r="J358" s="1653"/>
      <c r="K358" s="1653"/>
      <c r="L358" s="1653"/>
      <c r="M358" s="1653"/>
      <c r="N358" s="1653"/>
      <c r="O358" s="1653"/>
      <c r="P358" s="1653"/>
      <c r="V358" s="1654"/>
    </row>
    <row r="359" spans="5:22">
      <c r="E359" s="1653"/>
      <c r="F359" s="1653"/>
      <c r="G359" s="1653"/>
      <c r="H359" s="1653"/>
      <c r="I359" s="1653"/>
      <c r="J359" s="1653"/>
      <c r="K359" s="1653"/>
      <c r="L359" s="1653"/>
      <c r="M359" s="1653"/>
      <c r="N359" s="1653"/>
      <c r="O359" s="1653"/>
      <c r="P359" s="1653"/>
      <c r="V359" s="1654"/>
    </row>
    <row r="360" spans="5:22">
      <c r="E360" s="1653"/>
      <c r="F360" s="1653"/>
      <c r="G360" s="1653"/>
      <c r="H360" s="1653"/>
      <c r="I360" s="1653"/>
      <c r="J360" s="1653"/>
      <c r="K360" s="1653"/>
      <c r="L360" s="1653"/>
      <c r="M360" s="1653"/>
      <c r="N360" s="1653"/>
      <c r="O360" s="1653"/>
      <c r="P360" s="1653"/>
      <c r="V360" s="1654"/>
    </row>
    <row r="361" spans="5:22">
      <c r="E361" s="1653"/>
      <c r="F361" s="1653"/>
      <c r="G361" s="1653"/>
      <c r="H361" s="1653"/>
      <c r="I361" s="1653"/>
      <c r="J361" s="1653"/>
      <c r="K361" s="1653"/>
      <c r="L361" s="1653"/>
      <c r="M361" s="1653"/>
      <c r="N361" s="1653"/>
      <c r="O361" s="1653"/>
      <c r="P361" s="1653"/>
      <c r="V361" s="1654"/>
    </row>
    <row r="362" spans="5:22">
      <c r="E362" s="1653"/>
      <c r="F362" s="1653"/>
      <c r="G362" s="1653"/>
      <c r="H362" s="1653"/>
      <c r="I362" s="1653"/>
      <c r="J362" s="1653"/>
      <c r="K362" s="1653"/>
      <c r="L362" s="1653"/>
      <c r="M362" s="1653"/>
      <c r="N362" s="1653"/>
      <c r="O362" s="1653"/>
      <c r="P362" s="1653"/>
      <c r="V362" s="1654"/>
    </row>
    <row r="363" spans="5:22">
      <c r="E363" s="1653"/>
      <c r="F363" s="1653"/>
      <c r="G363" s="1653"/>
      <c r="H363" s="1653"/>
      <c r="I363" s="1653"/>
      <c r="J363" s="1653"/>
      <c r="K363" s="1653"/>
      <c r="L363" s="1653"/>
      <c r="M363" s="1653"/>
      <c r="N363" s="1653"/>
      <c r="O363" s="1653"/>
      <c r="P363" s="1653"/>
      <c r="V363" s="1654"/>
    </row>
    <row r="364" spans="5:22">
      <c r="E364" s="1653"/>
      <c r="F364" s="1653"/>
      <c r="G364" s="1653"/>
      <c r="H364" s="1653"/>
      <c r="I364" s="1653"/>
      <c r="J364" s="1653"/>
      <c r="K364" s="1653"/>
      <c r="L364" s="1653"/>
      <c r="M364" s="1653"/>
      <c r="N364" s="1653"/>
      <c r="O364" s="1653"/>
      <c r="P364" s="1653"/>
      <c r="V364" s="1654"/>
    </row>
    <row r="365" spans="5:22">
      <c r="E365" s="1653"/>
      <c r="F365" s="1653"/>
      <c r="G365" s="1653"/>
      <c r="H365" s="1653"/>
      <c r="I365" s="1653"/>
      <c r="J365" s="1653"/>
      <c r="K365" s="1653"/>
      <c r="L365" s="1653"/>
      <c r="M365" s="1653"/>
      <c r="N365" s="1653"/>
      <c r="O365" s="1653"/>
      <c r="P365" s="1653"/>
      <c r="V365" s="1654"/>
    </row>
    <row r="366" spans="5:22">
      <c r="E366" s="1653"/>
      <c r="F366" s="1653"/>
      <c r="G366" s="1653"/>
      <c r="H366" s="1653"/>
      <c r="I366" s="1653"/>
      <c r="J366" s="1653"/>
      <c r="K366" s="1653"/>
      <c r="L366" s="1653"/>
      <c r="M366" s="1653"/>
      <c r="N366" s="1653"/>
      <c r="O366" s="1653"/>
      <c r="P366" s="1653"/>
      <c r="V366" s="1654"/>
    </row>
    <row r="367" spans="5:22">
      <c r="E367" s="1653"/>
      <c r="F367" s="1653"/>
      <c r="G367" s="1653"/>
      <c r="H367" s="1653"/>
      <c r="I367" s="1653"/>
      <c r="J367" s="1653"/>
      <c r="K367" s="1653"/>
      <c r="L367" s="1653"/>
      <c r="M367" s="1653"/>
      <c r="N367" s="1653"/>
      <c r="O367" s="1653"/>
      <c r="P367" s="1653"/>
      <c r="V367" s="1654"/>
    </row>
    <row r="368" spans="5:22">
      <c r="E368" s="1653"/>
      <c r="F368" s="1653"/>
      <c r="G368" s="1653"/>
      <c r="H368" s="1653"/>
      <c r="I368" s="1653"/>
      <c r="J368" s="1653"/>
      <c r="K368" s="1653"/>
      <c r="L368" s="1653"/>
      <c r="M368" s="1653"/>
      <c r="N368" s="1653"/>
      <c r="O368" s="1653"/>
      <c r="P368" s="1653"/>
      <c r="V368" s="1654"/>
    </row>
    <row r="369" spans="5:22">
      <c r="E369" s="1653"/>
      <c r="F369" s="1653"/>
      <c r="G369" s="1653"/>
      <c r="H369" s="1653"/>
      <c r="I369" s="1653"/>
      <c r="J369" s="1653"/>
      <c r="K369" s="1653"/>
      <c r="L369" s="1653"/>
      <c r="M369" s="1653"/>
      <c r="N369" s="1653"/>
      <c r="O369" s="1653"/>
      <c r="P369" s="1653"/>
      <c r="V369" s="1654"/>
    </row>
    <row r="370" spans="5:22">
      <c r="E370" s="1653"/>
      <c r="F370" s="1653"/>
      <c r="G370" s="1653"/>
      <c r="H370" s="1653"/>
      <c r="I370" s="1653"/>
      <c r="J370" s="1653"/>
      <c r="K370" s="1653"/>
      <c r="L370" s="1653"/>
      <c r="M370" s="1653"/>
      <c r="N370" s="1653"/>
      <c r="O370" s="1653"/>
      <c r="P370" s="1653"/>
      <c r="V370" s="1654"/>
    </row>
    <row r="371" spans="5:22">
      <c r="E371" s="1653"/>
      <c r="F371" s="1653"/>
      <c r="G371" s="1653"/>
      <c r="H371" s="1653"/>
      <c r="I371" s="1653"/>
      <c r="J371" s="1653"/>
      <c r="K371" s="1653"/>
      <c r="L371" s="1653"/>
      <c r="M371" s="1653"/>
      <c r="N371" s="1653"/>
      <c r="O371" s="1653"/>
      <c r="P371" s="1653"/>
      <c r="V371" s="1654"/>
    </row>
    <row r="372" spans="5:22">
      <c r="E372" s="1653"/>
      <c r="F372" s="1653"/>
      <c r="G372" s="1653"/>
      <c r="H372" s="1653"/>
      <c r="I372" s="1653"/>
      <c r="J372" s="1653"/>
      <c r="K372" s="1653"/>
      <c r="L372" s="1653"/>
      <c r="M372" s="1653"/>
      <c r="N372" s="1653"/>
      <c r="O372" s="1653"/>
      <c r="P372" s="1653"/>
      <c r="V372" s="1654"/>
    </row>
    <row r="373" spans="5:22">
      <c r="E373" s="1653"/>
      <c r="F373" s="1653"/>
      <c r="G373" s="1653"/>
      <c r="H373" s="1653"/>
      <c r="I373" s="1653"/>
      <c r="J373" s="1653"/>
      <c r="K373" s="1653"/>
      <c r="L373" s="1653"/>
      <c r="M373" s="1653"/>
      <c r="N373" s="1653"/>
      <c r="O373" s="1653"/>
      <c r="P373" s="1653"/>
      <c r="V373" s="1654"/>
    </row>
    <row r="374" spans="5:22">
      <c r="E374" s="1653"/>
      <c r="F374" s="1653"/>
      <c r="G374" s="1653"/>
      <c r="H374" s="1653"/>
      <c r="I374" s="1653"/>
      <c r="J374" s="1653"/>
      <c r="K374" s="1653"/>
      <c r="L374" s="1653"/>
      <c r="M374" s="1653"/>
      <c r="N374" s="1653"/>
      <c r="O374" s="1653"/>
      <c r="P374" s="1653"/>
      <c r="V374" s="1654"/>
    </row>
    <row r="375" spans="5:22">
      <c r="E375" s="1653"/>
      <c r="F375" s="1653"/>
      <c r="G375" s="1653"/>
      <c r="H375" s="1653"/>
      <c r="I375" s="1653"/>
      <c r="J375" s="1653"/>
      <c r="K375" s="1653"/>
      <c r="L375" s="1653"/>
      <c r="M375" s="1653"/>
      <c r="N375" s="1653"/>
      <c r="O375" s="1653"/>
      <c r="P375" s="1653"/>
      <c r="V375" s="1654"/>
    </row>
    <row r="376" spans="5:22">
      <c r="E376" s="1653"/>
      <c r="F376" s="1653"/>
      <c r="G376" s="1653"/>
      <c r="H376" s="1653"/>
      <c r="I376" s="1653"/>
      <c r="J376" s="1653"/>
      <c r="K376" s="1653"/>
      <c r="L376" s="1653"/>
      <c r="M376" s="1653"/>
      <c r="N376" s="1653"/>
      <c r="O376" s="1653"/>
      <c r="P376" s="1653"/>
      <c r="V376" s="1654"/>
    </row>
    <row r="377" spans="5:22">
      <c r="E377" s="1653"/>
      <c r="F377" s="1653"/>
      <c r="G377" s="1653"/>
      <c r="H377" s="1653"/>
      <c r="I377" s="1653"/>
      <c r="J377" s="1653"/>
      <c r="K377" s="1653"/>
      <c r="L377" s="1653"/>
      <c r="M377" s="1653"/>
      <c r="N377" s="1653"/>
      <c r="O377" s="1653"/>
      <c r="P377" s="1653"/>
      <c r="V377" s="1654"/>
    </row>
    <row r="378" spans="5:22">
      <c r="E378" s="1653"/>
      <c r="F378" s="1653"/>
      <c r="G378" s="1653"/>
      <c r="H378" s="1653"/>
      <c r="I378" s="1653"/>
      <c r="J378" s="1653"/>
      <c r="K378" s="1653"/>
      <c r="L378" s="1653"/>
      <c r="M378" s="1653"/>
      <c r="N378" s="1653"/>
      <c r="O378" s="1653"/>
      <c r="P378" s="1653"/>
      <c r="V378" s="1654"/>
    </row>
    <row r="379" spans="5:22">
      <c r="E379" s="1653"/>
      <c r="F379" s="1653"/>
      <c r="G379" s="1653"/>
      <c r="H379" s="1653"/>
      <c r="I379" s="1653"/>
      <c r="J379" s="1653"/>
      <c r="K379" s="1653"/>
      <c r="L379" s="1653"/>
      <c r="M379" s="1653"/>
      <c r="N379" s="1653"/>
      <c r="O379" s="1653"/>
      <c r="P379" s="1653"/>
      <c r="V379" s="1654"/>
    </row>
    <row r="380" spans="5:22">
      <c r="E380" s="1653"/>
      <c r="F380" s="1653"/>
      <c r="G380" s="1653"/>
      <c r="H380" s="1653"/>
      <c r="I380" s="1653"/>
      <c r="J380" s="1653"/>
      <c r="K380" s="1653"/>
      <c r="L380" s="1653"/>
      <c r="M380" s="1653"/>
      <c r="N380" s="1653"/>
      <c r="O380" s="1653"/>
      <c r="P380" s="1653"/>
      <c r="V380" s="1654"/>
    </row>
    <row r="381" spans="5:22">
      <c r="E381" s="1653"/>
      <c r="F381" s="1653"/>
      <c r="G381" s="1653"/>
      <c r="H381" s="1653"/>
      <c r="I381" s="1653"/>
      <c r="J381" s="1653"/>
      <c r="K381" s="1653"/>
      <c r="L381" s="1653"/>
      <c r="M381" s="1653"/>
      <c r="N381" s="1653"/>
      <c r="O381" s="1653"/>
      <c r="P381" s="1653"/>
      <c r="V381" s="1654"/>
    </row>
    <row r="382" spans="5:22">
      <c r="E382" s="1653"/>
      <c r="F382" s="1653"/>
      <c r="G382" s="1653"/>
      <c r="H382" s="1653"/>
      <c r="I382" s="1653"/>
      <c r="J382" s="1653"/>
      <c r="K382" s="1653"/>
      <c r="L382" s="1653"/>
      <c r="M382" s="1653"/>
      <c r="N382" s="1653"/>
      <c r="O382" s="1653"/>
      <c r="P382" s="1653"/>
      <c r="V382" s="1654"/>
    </row>
    <row r="383" spans="5:22">
      <c r="E383" s="1653"/>
      <c r="F383" s="1653"/>
      <c r="G383" s="1653"/>
      <c r="H383" s="1653"/>
      <c r="I383" s="1653"/>
      <c r="J383" s="1653"/>
      <c r="K383" s="1653"/>
      <c r="L383" s="1653"/>
      <c r="M383" s="1653"/>
      <c r="N383" s="1653"/>
      <c r="O383" s="1653"/>
      <c r="P383" s="1653"/>
      <c r="V383" s="1654"/>
    </row>
    <row r="384" spans="5:22">
      <c r="E384" s="1653"/>
      <c r="F384" s="1653"/>
      <c r="G384" s="1653"/>
      <c r="H384" s="1653"/>
      <c r="I384" s="1653"/>
      <c r="J384" s="1653"/>
      <c r="K384" s="1653"/>
      <c r="L384" s="1653"/>
      <c r="M384" s="1653"/>
      <c r="N384" s="1653"/>
      <c r="O384" s="1653"/>
      <c r="P384" s="1653"/>
      <c r="V384" s="1654"/>
    </row>
    <row r="385" spans="5:22">
      <c r="E385" s="1653"/>
      <c r="F385" s="1653"/>
      <c r="G385" s="1653"/>
      <c r="H385" s="1653"/>
      <c r="I385" s="1653"/>
      <c r="J385" s="1653"/>
      <c r="K385" s="1653"/>
      <c r="L385" s="1653"/>
      <c r="M385" s="1653"/>
      <c r="N385" s="1653"/>
      <c r="O385" s="1653"/>
      <c r="P385" s="1653"/>
      <c r="V385" s="1654"/>
    </row>
    <row r="386" spans="5:22">
      <c r="E386" s="1653"/>
      <c r="F386" s="1653"/>
      <c r="G386" s="1653"/>
      <c r="H386" s="1653"/>
      <c r="I386" s="1653"/>
      <c r="J386" s="1653"/>
      <c r="K386" s="1653"/>
      <c r="L386" s="1653"/>
      <c r="M386" s="1653"/>
      <c r="N386" s="1653"/>
      <c r="O386" s="1653"/>
      <c r="P386" s="1653"/>
      <c r="V386" s="1654"/>
    </row>
    <row r="387" spans="5:22">
      <c r="E387" s="1653"/>
      <c r="F387" s="1653"/>
      <c r="G387" s="1653"/>
      <c r="H387" s="1653"/>
      <c r="I387" s="1653"/>
      <c r="J387" s="1653"/>
      <c r="K387" s="1653"/>
      <c r="L387" s="1653"/>
      <c r="M387" s="1653"/>
      <c r="N387" s="1653"/>
      <c r="O387" s="1653"/>
      <c r="P387" s="1653"/>
      <c r="V387" s="1654"/>
    </row>
    <row r="388" spans="5:22">
      <c r="E388" s="1653"/>
      <c r="F388" s="1653"/>
      <c r="G388" s="1653"/>
      <c r="H388" s="1653"/>
      <c r="I388" s="1653"/>
      <c r="J388" s="1653"/>
      <c r="K388" s="1653"/>
      <c r="L388" s="1653"/>
      <c r="M388" s="1653"/>
      <c r="N388" s="1653"/>
      <c r="O388" s="1653"/>
      <c r="P388" s="1653"/>
      <c r="V388" s="1654"/>
    </row>
    <row r="389" spans="5:22">
      <c r="E389" s="1653"/>
      <c r="F389" s="1653"/>
      <c r="G389" s="1653"/>
      <c r="H389" s="1653"/>
      <c r="I389" s="1653"/>
      <c r="J389" s="1653"/>
      <c r="K389" s="1653"/>
      <c r="L389" s="1653"/>
      <c r="M389" s="1653"/>
      <c r="N389" s="1653"/>
      <c r="O389" s="1653"/>
      <c r="P389" s="1653"/>
      <c r="V389" s="1654"/>
    </row>
    <row r="390" spans="5:22">
      <c r="E390" s="1653"/>
      <c r="F390" s="1653"/>
      <c r="G390" s="1653"/>
      <c r="H390" s="1653"/>
      <c r="I390" s="1653"/>
      <c r="J390" s="1653"/>
      <c r="K390" s="1653"/>
      <c r="L390" s="1653"/>
      <c r="M390" s="1653"/>
      <c r="N390" s="1653"/>
      <c r="O390" s="1653"/>
      <c r="P390" s="1653"/>
      <c r="V390" s="1654"/>
    </row>
    <row r="391" spans="5:22">
      <c r="E391" s="1653"/>
      <c r="F391" s="1653"/>
      <c r="G391" s="1653"/>
      <c r="H391" s="1653"/>
      <c r="I391" s="1653"/>
      <c r="J391" s="1653"/>
      <c r="K391" s="1653"/>
      <c r="L391" s="1653"/>
      <c r="M391" s="1653"/>
      <c r="N391" s="1653"/>
      <c r="O391" s="1653"/>
      <c r="P391" s="1653"/>
      <c r="V391" s="1654"/>
    </row>
    <row r="392" spans="5:22">
      <c r="E392" s="1653"/>
      <c r="F392" s="1653"/>
      <c r="G392" s="1653"/>
      <c r="H392" s="1653"/>
      <c r="I392" s="1653"/>
      <c r="J392" s="1653"/>
      <c r="K392" s="1653"/>
      <c r="L392" s="1653"/>
      <c r="M392" s="1653"/>
      <c r="N392" s="1653"/>
      <c r="O392" s="1653"/>
      <c r="P392" s="1653"/>
      <c r="V392" s="1654"/>
    </row>
    <row r="393" spans="5:22">
      <c r="E393" s="1653"/>
      <c r="F393" s="1653"/>
      <c r="G393" s="1653"/>
      <c r="H393" s="1653"/>
      <c r="I393" s="1653"/>
      <c r="J393" s="1653"/>
      <c r="K393" s="1653"/>
      <c r="L393" s="1653"/>
      <c r="M393" s="1653"/>
      <c r="N393" s="1653"/>
      <c r="O393" s="1653"/>
      <c r="P393" s="1653"/>
      <c r="V393" s="1654"/>
    </row>
    <row r="394" spans="5:22">
      <c r="E394" s="1653"/>
      <c r="F394" s="1653"/>
      <c r="G394" s="1653"/>
      <c r="H394" s="1653"/>
      <c r="I394" s="1653"/>
      <c r="J394" s="1653"/>
      <c r="K394" s="1653"/>
      <c r="L394" s="1653"/>
      <c r="M394" s="1653"/>
      <c r="N394" s="1653"/>
      <c r="O394" s="1653"/>
      <c r="P394" s="1653"/>
      <c r="V394" s="1654"/>
    </row>
    <row r="395" spans="5:22">
      <c r="E395" s="1653"/>
      <c r="F395" s="1653"/>
      <c r="G395" s="1653"/>
      <c r="H395" s="1653"/>
      <c r="I395" s="1653"/>
      <c r="J395" s="1653"/>
      <c r="K395" s="1653"/>
      <c r="L395" s="1653"/>
      <c r="M395" s="1653"/>
      <c r="N395" s="1653"/>
      <c r="O395" s="1653"/>
      <c r="P395" s="1653"/>
      <c r="V395" s="1654"/>
    </row>
    <row r="396" spans="5:22">
      <c r="E396" s="1653"/>
      <c r="F396" s="1653"/>
      <c r="G396" s="1653"/>
      <c r="H396" s="1653"/>
      <c r="I396" s="1653"/>
      <c r="J396" s="1653"/>
      <c r="K396" s="1653"/>
      <c r="L396" s="1653"/>
      <c r="M396" s="1653"/>
      <c r="N396" s="1653"/>
      <c r="O396" s="1653"/>
      <c r="P396" s="1653"/>
      <c r="V396" s="1654"/>
    </row>
    <row r="397" spans="5:22">
      <c r="E397" s="1653"/>
      <c r="F397" s="1653"/>
      <c r="G397" s="1653"/>
      <c r="H397" s="1653"/>
      <c r="I397" s="1653"/>
      <c r="J397" s="1653"/>
      <c r="K397" s="1653"/>
      <c r="L397" s="1653"/>
      <c r="M397" s="1653"/>
      <c r="N397" s="1653"/>
      <c r="O397" s="1653"/>
      <c r="P397" s="1653"/>
      <c r="V397" s="1654"/>
    </row>
    <row r="398" spans="5:22">
      <c r="E398" s="1653"/>
      <c r="F398" s="1653"/>
      <c r="G398" s="1653"/>
      <c r="H398" s="1653"/>
      <c r="I398" s="1653"/>
      <c r="J398" s="1653"/>
      <c r="K398" s="1653"/>
      <c r="L398" s="1653"/>
      <c r="M398" s="1653"/>
      <c r="N398" s="1653"/>
      <c r="O398" s="1653"/>
      <c r="P398" s="1653"/>
      <c r="V398" s="1654"/>
    </row>
    <row r="399" spans="5:22">
      <c r="E399" s="1653"/>
      <c r="F399" s="1653"/>
      <c r="G399" s="1653"/>
      <c r="H399" s="1653"/>
      <c r="I399" s="1653"/>
      <c r="J399" s="1653"/>
      <c r="K399" s="1653"/>
      <c r="L399" s="1653"/>
      <c r="M399" s="1653"/>
      <c r="N399" s="1653"/>
      <c r="O399" s="1653"/>
      <c r="P399" s="1653"/>
      <c r="V399" s="1654"/>
    </row>
    <row r="400" spans="5:22">
      <c r="E400" s="1653"/>
      <c r="F400" s="1653"/>
      <c r="G400" s="1653"/>
      <c r="H400" s="1653"/>
      <c r="I400" s="1653"/>
      <c r="J400" s="1653"/>
      <c r="K400" s="1653"/>
      <c r="L400" s="1653"/>
      <c r="M400" s="1653"/>
      <c r="N400" s="1653"/>
      <c r="O400" s="1653"/>
      <c r="P400" s="1653"/>
      <c r="V400" s="1654"/>
    </row>
    <row r="401" spans="5:22">
      <c r="E401" s="1653"/>
      <c r="F401" s="1653"/>
      <c r="G401" s="1653"/>
      <c r="H401" s="1653"/>
      <c r="I401" s="1653"/>
      <c r="J401" s="1653"/>
      <c r="K401" s="1653"/>
      <c r="L401" s="1653"/>
      <c r="M401" s="1653"/>
      <c r="N401" s="1653"/>
      <c r="O401" s="1653"/>
      <c r="P401" s="1653"/>
      <c r="V401" s="1654"/>
    </row>
    <row r="402" spans="5:22">
      <c r="E402" s="1653"/>
      <c r="F402" s="1653"/>
      <c r="G402" s="1653"/>
      <c r="H402" s="1653"/>
      <c r="I402" s="1653"/>
      <c r="J402" s="1653"/>
      <c r="K402" s="1653"/>
      <c r="L402" s="1653"/>
      <c r="M402" s="1653"/>
      <c r="N402" s="1653"/>
      <c r="O402" s="1653"/>
      <c r="P402" s="1653"/>
      <c r="V402" s="1654"/>
    </row>
    <row r="403" spans="5:22">
      <c r="E403" s="1653"/>
      <c r="F403" s="1653"/>
      <c r="G403" s="1653"/>
      <c r="H403" s="1653"/>
      <c r="I403" s="1653"/>
      <c r="J403" s="1653"/>
      <c r="K403" s="1653"/>
      <c r="L403" s="1653"/>
      <c r="M403" s="1653"/>
      <c r="N403" s="1653"/>
      <c r="O403" s="1653"/>
      <c r="P403" s="1653"/>
      <c r="V403" s="1654"/>
    </row>
    <row r="404" spans="5:22">
      <c r="E404" s="1653"/>
      <c r="F404" s="1653"/>
      <c r="G404" s="1653"/>
      <c r="H404" s="1653"/>
      <c r="I404" s="1653"/>
      <c r="J404" s="1653"/>
      <c r="K404" s="1653"/>
      <c r="L404" s="1653"/>
      <c r="M404" s="1653"/>
      <c r="N404" s="1653"/>
      <c r="O404" s="1653"/>
      <c r="P404" s="1653"/>
      <c r="V404" s="1654"/>
    </row>
    <row r="405" spans="5:22">
      <c r="E405" s="1653"/>
      <c r="F405" s="1653"/>
      <c r="G405" s="1653"/>
      <c r="H405" s="1653"/>
      <c r="I405" s="1653"/>
      <c r="J405" s="1653"/>
      <c r="K405" s="1653"/>
      <c r="L405" s="1653"/>
      <c r="M405" s="1653"/>
      <c r="N405" s="1653"/>
      <c r="O405" s="1653"/>
      <c r="P405" s="1653"/>
      <c r="V405" s="1654"/>
    </row>
    <row r="406" spans="5:22">
      <c r="E406" s="1653"/>
      <c r="F406" s="1653"/>
      <c r="G406" s="1653"/>
      <c r="H406" s="1653"/>
      <c r="I406" s="1653"/>
      <c r="J406" s="1653"/>
      <c r="K406" s="1653"/>
      <c r="L406" s="1653"/>
      <c r="M406" s="1653"/>
      <c r="N406" s="1653"/>
      <c r="O406" s="1653"/>
      <c r="P406" s="1653"/>
      <c r="V406" s="1654"/>
    </row>
    <row r="407" spans="5:22">
      <c r="E407" s="1653"/>
      <c r="F407" s="1653"/>
      <c r="G407" s="1653"/>
      <c r="H407" s="1653"/>
      <c r="I407" s="1653"/>
      <c r="J407" s="1653"/>
      <c r="K407" s="1653"/>
      <c r="L407" s="1653"/>
      <c r="M407" s="1653"/>
      <c r="N407" s="1653"/>
      <c r="O407" s="1653"/>
      <c r="P407" s="1653"/>
      <c r="V407" s="1654"/>
    </row>
    <row r="408" spans="5:22">
      <c r="E408" s="1653"/>
      <c r="F408" s="1653"/>
      <c r="G408" s="1653"/>
      <c r="H408" s="1653"/>
      <c r="I408" s="1653"/>
      <c r="J408" s="1653"/>
      <c r="K408" s="1653"/>
      <c r="L408" s="1653"/>
      <c r="M408" s="1653"/>
      <c r="N408" s="1653"/>
      <c r="O408" s="1653"/>
      <c r="P408" s="1653"/>
      <c r="V408" s="1654"/>
    </row>
    <row r="409" spans="5:22">
      <c r="E409" s="1653"/>
      <c r="F409" s="1653"/>
      <c r="G409" s="1653"/>
      <c r="H409" s="1653"/>
      <c r="I409" s="1653"/>
      <c r="J409" s="1653"/>
      <c r="K409" s="1653"/>
      <c r="L409" s="1653"/>
      <c r="M409" s="1653"/>
      <c r="N409" s="1653"/>
      <c r="O409" s="1653"/>
      <c r="P409" s="1653"/>
      <c r="V409" s="1654"/>
    </row>
    <row r="410" spans="5:22">
      <c r="E410" s="1653"/>
      <c r="F410" s="1653"/>
      <c r="G410" s="1653"/>
      <c r="H410" s="1653"/>
      <c r="I410" s="1653"/>
      <c r="J410" s="1653"/>
      <c r="K410" s="1653"/>
      <c r="L410" s="1653"/>
      <c r="M410" s="1653"/>
      <c r="N410" s="1653"/>
      <c r="O410" s="1653"/>
      <c r="P410" s="1653"/>
      <c r="V410" s="1654"/>
    </row>
    <row r="411" spans="5:22">
      <c r="E411" s="1653"/>
      <c r="F411" s="1653"/>
      <c r="G411" s="1653"/>
      <c r="H411" s="1653"/>
      <c r="I411" s="1653"/>
      <c r="J411" s="1653"/>
      <c r="K411" s="1653"/>
      <c r="L411" s="1653"/>
      <c r="M411" s="1653"/>
      <c r="N411" s="1653"/>
      <c r="O411" s="1653"/>
      <c r="P411" s="1653"/>
      <c r="V411" s="1654"/>
    </row>
    <row r="412" spans="5:22">
      <c r="E412" s="1653"/>
      <c r="F412" s="1653"/>
      <c r="G412" s="1653"/>
      <c r="H412" s="1653"/>
      <c r="I412" s="1653"/>
      <c r="J412" s="1653"/>
      <c r="K412" s="1653"/>
      <c r="L412" s="1653"/>
      <c r="M412" s="1653"/>
      <c r="N412" s="1653"/>
      <c r="O412" s="1653"/>
      <c r="P412" s="1653"/>
      <c r="V412" s="1654"/>
    </row>
    <row r="413" spans="5:22">
      <c r="E413" s="1653"/>
      <c r="F413" s="1653"/>
      <c r="G413" s="1653"/>
      <c r="H413" s="1653"/>
      <c r="I413" s="1653"/>
      <c r="J413" s="1653"/>
      <c r="K413" s="1653"/>
      <c r="L413" s="1653"/>
      <c r="M413" s="1653"/>
      <c r="N413" s="1653"/>
      <c r="O413" s="1653"/>
      <c r="P413" s="1653"/>
      <c r="V413" s="1654"/>
    </row>
    <row r="414" spans="5:22">
      <c r="E414" s="1653"/>
      <c r="F414" s="1653"/>
      <c r="G414" s="1653"/>
      <c r="H414" s="1653"/>
      <c r="I414" s="1653"/>
      <c r="J414" s="1653"/>
      <c r="K414" s="1653"/>
      <c r="L414" s="1653"/>
      <c r="M414" s="1653"/>
      <c r="N414" s="1653"/>
      <c r="O414" s="1653"/>
      <c r="P414" s="1653"/>
      <c r="V414" s="1654"/>
    </row>
    <row r="415" spans="5:22">
      <c r="E415" s="1653"/>
      <c r="F415" s="1653"/>
      <c r="G415" s="1653"/>
      <c r="H415" s="1653"/>
      <c r="I415" s="1653"/>
      <c r="J415" s="1653"/>
      <c r="K415" s="1653"/>
      <c r="L415" s="1653"/>
      <c r="M415" s="1653"/>
      <c r="N415" s="1653"/>
      <c r="O415" s="1653"/>
      <c r="P415" s="1653"/>
      <c r="V415" s="1654"/>
    </row>
    <row r="416" spans="5:22">
      <c r="E416" s="1653"/>
      <c r="F416" s="1653"/>
      <c r="G416" s="1653"/>
      <c r="H416" s="1653"/>
      <c r="I416" s="1653"/>
      <c r="J416" s="1653"/>
      <c r="K416" s="1653"/>
      <c r="L416" s="1653"/>
      <c r="M416" s="1653"/>
      <c r="N416" s="1653"/>
      <c r="O416" s="1653"/>
      <c r="P416" s="1653"/>
      <c r="V416" s="1654"/>
    </row>
    <row r="417" spans="5:22">
      <c r="E417" s="1653"/>
      <c r="F417" s="1653"/>
      <c r="G417" s="1653"/>
      <c r="H417" s="1653"/>
      <c r="I417" s="1653"/>
      <c r="J417" s="1653"/>
      <c r="K417" s="1653"/>
      <c r="L417" s="1653"/>
      <c r="M417" s="1653"/>
      <c r="N417" s="1653"/>
      <c r="O417" s="1653"/>
      <c r="P417" s="1653"/>
      <c r="V417" s="1654"/>
    </row>
    <row r="418" spans="5:22">
      <c r="E418" s="1653"/>
      <c r="F418" s="1653"/>
      <c r="G418" s="1653"/>
      <c r="H418" s="1653"/>
      <c r="I418" s="1653"/>
      <c r="J418" s="1653"/>
      <c r="K418" s="1653"/>
      <c r="L418" s="1653"/>
      <c r="M418" s="1653"/>
      <c r="N418" s="1653"/>
      <c r="O418" s="1653"/>
      <c r="P418" s="1653"/>
      <c r="V418" s="1654"/>
    </row>
    <row r="419" spans="5:22">
      <c r="E419" s="1653"/>
      <c r="F419" s="1653"/>
      <c r="G419" s="1653"/>
      <c r="H419" s="1653"/>
      <c r="I419" s="1653"/>
      <c r="J419" s="1653"/>
      <c r="K419" s="1653"/>
      <c r="L419" s="1653"/>
      <c r="M419" s="1653"/>
      <c r="N419" s="1653"/>
      <c r="O419" s="1653"/>
      <c r="P419" s="1653"/>
      <c r="V419" s="1654"/>
    </row>
    <row r="420" spans="5:22">
      <c r="E420" s="1653"/>
      <c r="F420" s="1653"/>
      <c r="G420" s="1653"/>
      <c r="H420" s="1653"/>
      <c r="I420" s="1653"/>
      <c r="J420" s="1653"/>
      <c r="K420" s="1653"/>
      <c r="L420" s="1653"/>
      <c r="M420" s="1653"/>
      <c r="N420" s="1653"/>
      <c r="O420" s="1653"/>
      <c r="P420" s="1653"/>
      <c r="V420" s="1654"/>
    </row>
    <row r="421" spans="5:22">
      <c r="E421" s="1653"/>
      <c r="F421" s="1653"/>
      <c r="G421" s="1653"/>
      <c r="H421" s="1653"/>
      <c r="I421" s="1653"/>
      <c r="J421" s="1653"/>
      <c r="K421" s="1653"/>
      <c r="L421" s="1653"/>
      <c r="M421" s="1653"/>
      <c r="N421" s="1653"/>
      <c r="O421" s="1653"/>
      <c r="P421" s="1653"/>
      <c r="V421" s="1654"/>
    </row>
    <row r="422" spans="5:22">
      <c r="E422" s="1653"/>
      <c r="F422" s="1653"/>
      <c r="G422" s="1653"/>
      <c r="H422" s="1653"/>
      <c r="I422" s="1653"/>
      <c r="J422" s="1653"/>
      <c r="K422" s="1653"/>
      <c r="L422" s="1653"/>
      <c r="M422" s="1653"/>
      <c r="N422" s="1653"/>
      <c r="O422" s="1653"/>
      <c r="P422" s="1653"/>
      <c r="V422" s="1654"/>
    </row>
    <row r="423" spans="5:22">
      <c r="E423" s="1653"/>
      <c r="F423" s="1653"/>
      <c r="G423" s="1653"/>
      <c r="H423" s="1653"/>
      <c r="I423" s="1653"/>
      <c r="J423" s="1653"/>
      <c r="K423" s="1653"/>
      <c r="L423" s="1653"/>
      <c r="M423" s="1653"/>
      <c r="N423" s="1653"/>
      <c r="O423" s="1653"/>
      <c r="P423" s="1653"/>
      <c r="V423" s="1654"/>
    </row>
    <row r="424" spans="5:22">
      <c r="E424" s="1653"/>
      <c r="F424" s="1653"/>
      <c r="G424" s="1653"/>
      <c r="H424" s="1653"/>
      <c r="I424" s="1653"/>
      <c r="J424" s="1653"/>
      <c r="K424" s="1653"/>
      <c r="L424" s="1653"/>
      <c r="M424" s="1653"/>
      <c r="N424" s="1653"/>
      <c r="O424" s="1653"/>
      <c r="P424" s="1653"/>
      <c r="V424" s="1654"/>
    </row>
    <row r="425" spans="5:22">
      <c r="E425" s="1653"/>
      <c r="F425" s="1653"/>
      <c r="G425" s="1653"/>
      <c r="H425" s="1653"/>
      <c r="I425" s="1653"/>
      <c r="J425" s="1653"/>
      <c r="K425" s="1653"/>
      <c r="L425" s="1653"/>
      <c r="M425" s="1653"/>
      <c r="N425" s="1653"/>
      <c r="O425" s="1653"/>
      <c r="P425" s="1653"/>
      <c r="V425" s="1654"/>
    </row>
    <row r="426" spans="5:22">
      <c r="E426" s="1653"/>
      <c r="F426" s="1653"/>
      <c r="G426" s="1653"/>
      <c r="H426" s="1653"/>
      <c r="I426" s="1653"/>
      <c r="J426" s="1653"/>
      <c r="K426" s="1653"/>
      <c r="L426" s="1653"/>
      <c r="M426" s="1653"/>
      <c r="N426" s="1653"/>
      <c r="O426" s="1653"/>
      <c r="P426" s="1653"/>
      <c r="V426" s="1654"/>
    </row>
    <row r="427" spans="5:22">
      <c r="E427" s="1653"/>
      <c r="F427" s="1653"/>
      <c r="G427" s="1653"/>
      <c r="H427" s="1653"/>
      <c r="I427" s="1653"/>
      <c r="J427" s="1653"/>
      <c r="K427" s="1653"/>
      <c r="L427" s="1653"/>
      <c r="M427" s="1653"/>
      <c r="N427" s="1653"/>
      <c r="O427" s="1653"/>
      <c r="P427" s="1653"/>
      <c r="V427" s="1654"/>
    </row>
    <row r="428" spans="5:22">
      <c r="E428" s="1653"/>
      <c r="F428" s="1653"/>
      <c r="G428" s="1653"/>
      <c r="H428" s="1653"/>
      <c r="I428" s="1653"/>
      <c r="J428" s="1653"/>
      <c r="K428" s="1653"/>
      <c r="L428" s="1653"/>
      <c r="M428" s="1653"/>
      <c r="N428" s="1653"/>
      <c r="O428" s="1653"/>
      <c r="P428" s="1653"/>
      <c r="V428" s="1654"/>
    </row>
    <row r="429" spans="5:22">
      <c r="E429" s="1653"/>
      <c r="F429" s="1653"/>
      <c r="G429" s="1653"/>
      <c r="H429" s="1653"/>
      <c r="I429" s="1653"/>
      <c r="J429" s="1653"/>
      <c r="K429" s="1653"/>
      <c r="L429" s="1653"/>
      <c r="M429" s="1653"/>
      <c r="N429" s="1653"/>
      <c r="O429" s="1653"/>
      <c r="P429" s="1653"/>
      <c r="V429" s="1654"/>
    </row>
    <row r="430" spans="5:22">
      <c r="E430" s="1653"/>
      <c r="F430" s="1653"/>
      <c r="G430" s="1653"/>
      <c r="H430" s="1653"/>
      <c r="I430" s="1653"/>
      <c r="J430" s="1653"/>
      <c r="K430" s="1653"/>
      <c r="L430" s="1653"/>
      <c r="M430" s="1653"/>
      <c r="N430" s="1653"/>
      <c r="O430" s="1653"/>
      <c r="P430" s="1653"/>
      <c r="V430" s="1654"/>
    </row>
    <row r="431" spans="5:22">
      <c r="E431" s="1653"/>
      <c r="F431" s="1653"/>
      <c r="G431" s="1653"/>
      <c r="H431" s="1653"/>
      <c r="I431" s="1653"/>
      <c r="J431" s="1653"/>
      <c r="K431" s="1653"/>
      <c r="L431" s="1653"/>
      <c r="M431" s="1653"/>
      <c r="N431" s="1653"/>
      <c r="O431" s="1653"/>
      <c r="P431" s="1653"/>
      <c r="V431" s="1654"/>
    </row>
    <row r="432" spans="5:22">
      <c r="E432" s="1653"/>
      <c r="F432" s="1653"/>
      <c r="G432" s="1653"/>
      <c r="H432" s="1653"/>
      <c r="I432" s="1653"/>
      <c r="J432" s="1653"/>
      <c r="K432" s="1653"/>
      <c r="L432" s="1653"/>
      <c r="M432" s="1653"/>
      <c r="N432" s="1653"/>
      <c r="O432" s="1653"/>
      <c r="P432" s="1653"/>
      <c r="V432" s="1654"/>
    </row>
    <row r="433" spans="5:22">
      <c r="E433" s="1653"/>
      <c r="F433" s="1653"/>
      <c r="G433" s="1653"/>
      <c r="H433" s="1653"/>
      <c r="I433" s="1653"/>
      <c r="J433" s="1653"/>
      <c r="K433" s="1653"/>
      <c r="L433" s="1653"/>
      <c r="M433" s="1653"/>
      <c r="N433" s="1653"/>
      <c r="O433" s="1653"/>
      <c r="P433" s="1653"/>
      <c r="V433" s="1654"/>
    </row>
    <row r="434" spans="5:22">
      <c r="E434" s="1653"/>
      <c r="F434" s="1653"/>
      <c r="G434" s="1653"/>
      <c r="H434" s="1653"/>
      <c r="I434" s="1653"/>
      <c r="J434" s="1653"/>
      <c r="K434" s="1653"/>
      <c r="L434" s="1653"/>
      <c r="M434" s="1653"/>
      <c r="N434" s="1653"/>
      <c r="O434" s="1653"/>
      <c r="P434" s="1653"/>
      <c r="V434" s="1654"/>
    </row>
    <row r="435" spans="5:22">
      <c r="E435" s="1653"/>
      <c r="F435" s="1653"/>
      <c r="G435" s="1653"/>
      <c r="H435" s="1653"/>
      <c r="I435" s="1653"/>
      <c r="J435" s="1653"/>
      <c r="K435" s="1653"/>
      <c r="L435" s="1653"/>
      <c r="M435" s="1653"/>
      <c r="N435" s="1653"/>
      <c r="O435" s="1653"/>
      <c r="P435" s="1653"/>
      <c r="V435" s="1654"/>
    </row>
    <row r="436" spans="5:22">
      <c r="E436" s="1653"/>
      <c r="F436" s="1653"/>
      <c r="G436" s="1653"/>
      <c r="H436" s="1653"/>
      <c r="I436" s="1653"/>
      <c r="J436" s="1653"/>
      <c r="K436" s="1653"/>
      <c r="L436" s="1653"/>
      <c r="M436" s="1653"/>
      <c r="N436" s="1653"/>
      <c r="O436" s="1653"/>
      <c r="P436" s="1653"/>
      <c r="V436" s="1654"/>
    </row>
    <row r="437" spans="5:22">
      <c r="E437" s="1653"/>
      <c r="F437" s="1653"/>
      <c r="G437" s="1653"/>
      <c r="H437" s="1653"/>
      <c r="I437" s="1653"/>
      <c r="J437" s="1653"/>
      <c r="K437" s="1653"/>
      <c r="L437" s="1653"/>
      <c r="M437" s="1653"/>
      <c r="N437" s="1653"/>
      <c r="O437" s="1653"/>
      <c r="P437" s="1653"/>
      <c r="V437" s="1654"/>
    </row>
    <row r="438" spans="5:22">
      <c r="E438" s="1653"/>
      <c r="F438" s="1653"/>
      <c r="G438" s="1653"/>
      <c r="H438" s="1653"/>
      <c r="I438" s="1653"/>
      <c r="J438" s="1653"/>
      <c r="K438" s="1653"/>
      <c r="L438" s="1653"/>
      <c r="M438" s="1653"/>
      <c r="N438" s="1653"/>
      <c r="O438" s="1653"/>
      <c r="P438" s="1653"/>
      <c r="V438" s="1654"/>
    </row>
    <row r="439" spans="5:22">
      <c r="E439" s="1653"/>
      <c r="F439" s="1653"/>
      <c r="G439" s="1653"/>
      <c r="H439" s="1653"/>
      <c r="I439" s="1653"/>
      <c r="J439" s="1653"/>
      <c r="K439" s="1653"/>
      <c r="L439" s="1653"/>
      <c r="M439" s="1653"/>
      <c r="N439" s="1653"/>
      <c r="O439" s="1653"/>
      <c r="P439" s="1653"/>
      <c r="V439" s="1654"/>
    </row>
    <row r="440" spans="5:22">
      <c r="E440" s="1653"/>
      <c r="F440" s="1653"/>
      <c r="G440" s="1653"/>
      <c r="H440" s="1653"/>
      <c r="I440" s="1653"/>
      <c r="J440" s="1653"/>
      <c r="K440" s="1653"/>
      <c r="L440" s="1653"/>
      <c r="M440" s="1653"/>
      <c r="N440" s="1653"/>
      <c r="O440" s="1653"/>
      <c r="P440" s="1653"/>
      <c r="V440" s="1654"/>
    </row>
    <row r="441" spans="5:22">
      <c r="E441" s="1653"/>
      <c r="F441" s="1653"/>
      <c r="G441" s="1653"/>
      <c r="H441" s="1653"/>
      <c r="I441" s="1653"/>
      <c r="J441" s="1653"/>
      <c r="K441" s="1653"/>
      <c r="L441" s="1653"/>
      <c r="M441" s="1653"/>
      <c r="N441" s="1653"/>
      <c r="O441" s="1653"/>
      <c r="P441" s="1653"/>
      <c r="V441" s="1654"/>
    </row>
    <row r="442" spans="5:22">
      <c r="E442" s="1653"/>
      <c r="F442" s="1653"/>
      <c r="G442" s="1653"/>
      <c r="H442" s="1653"/>
      <c r="I442" s="1653"/>
      <c r="J442" s="1653"/>
      <c r="K442" s="1653"/>
      <c r="L442" s="1653"/>
      <c r="M442" s="1653"/>
      <c r="N442" s="1653"/>
      <c r="O442" s="1653"/>
      <c r="P442" s="1653"/>
      <c r="V442" s="1654"/>
    </row>
    <row r="443" spans="5:22">
      <c r="E443" s="1653"/>
      <c r="F443" s="1653"/>
      <c r="G443" s="1653"/>
      <c r="H443" s="1653"/>
      <c r="I443" s="1653"/>
      <c r="J443" s="1653"/>
      <c r="K443" s="1653"/>
      <c r="L443" s="1653"/>
      <c r="M443" s="1653"/>
      <c r="N443" s="1653"/>
      <c r="O443" s="1653"/>
      <c r="P443" s="1653"/>
      <c r="V443" s="1654"/>
    </row>
    <row r="444" spans="5:22">
      <c r="E444" s="1653"/>
      <c r="F444" s="1653"/>
      <c r="G444" s="1653"/>
      <c r="H444" s="1653"/>
      <c r="I444" s="1653"/>
      <c r="J444" s="1653"/>
      <c r="K444" s="1653"/>
      <c r="L444" s="1653"/>
      <c r="M444" s="1653"/>
      <c r="N444" s="1653"/>
      <c r="O444" s="1653"/>
      <c r="P444" s="1653"/>
      <c r="V444" s="1654"/>
    </row>
    <row r="445" spans="5:22">
      <c r="E445" s="1653"/>
      <c r="F445" s="1653"/>
      <c r="G445" s="1653"/>
      <c r="H445" s="1653"/>
      <c r="I445" s="1653"/>
      <c r="J445" s="1653"/>
      <c r="K445" s="1653"/>
      <c r="L445" s="1653"/>
      <c r="M445" s="1653"/>
      <c r="N445" s="1653"/>
      <c r="O445" s="1653"/>
      <c r="P445" s="1653"/>
      <c r="V445" s="1654"/>
    </row>
    <row r="446" spans="5:22">
      <c r="E446" s="1653"/>
      <c r="F446" s="1653"/>
      <c r="G446" s="1653"/>
      <c r="H446" s="1653"/>
      <c r="I446" s="1653"/>
      <c r="J446" s="1653"/>
      <c r="K446" s="1653"/>
      <c r="L446" s="1653"/>
      <c r="M446" s="1653"/>
      <c r="N446" s="1653"/>
      <c r="O446" s="1653"/>
      <c r="P446" s="1653"/>
      <c r="V446" s="1654"/>
    </row>
    <row r="447" spans="5:22">
      <c r="E447" s="1653"/>
      <c r="F447" s="1653"/>
      <c r="G447" s="1653"/>
      <c r="H447" s="1653"/>
      <c r="I447" s="1653"/>
      <c r="J447" s="1653"/>
      <c r="K447" s="1653"/>
      <c r="L447" s="1653"/>
      <c r="M447" s="1653"/>
      <c r="N447" s="1653"/>
      <c r="O447" s="1653"/>
      <c r="P447" s="1653"/>
      <c r="V447" s="1654"/>
    </row>
    <row r="448" spans="5:22">
      <c r="E448" s="1653"/>
      <c r="F448" s="1653"/>
      <c r="G448" s="1653"/>
      <c r="H448" s="1653"/>
      <c r="I448" s="1653"/>
      <c r="J448" s="1653"/>
      <c r="K448" s="1653"/>
      <c r="L448" s="1653"/>
      <c r="M448" s="1653"/>
      <c r="N448" s="1653"/>
      <c r="O448" s="1653"/>
      <c r="P448" s="1653"/>
      <c r="V448" s="1654"/>
    </row>
    <row r="449" spans="5:22">
      <c r="E449" s="1653"/>
      <c r="F449" s="1653"/>
      <c r="G449" s="1653"/>
      <c r="H449" s="1653"/>
      <c r="I449" s="1653"/>
      <c r="J449" s="1653"/>
      <c r="K449" s="1653"/>
      <c r="L449" s="1653"/>
      <c r="M449" s="1653"/>
      <c r="N449" s="1653"/>
      <c r="O449" s="1653"/>
      <c r="P449" s="1653"/>
      <c r="V449" s="1654"/>
    </row>
  </sheetData>
  <mergeCells count="25">
    <mergeCell ref="A4:V4"/>
    <mergeCell ref="B5:B7"/>
    <mergeCell ref="C5:C7"/>
    <mergeCell ref="D5:D7"/>
    <mergeCell ref="E5:L6"/>
    <mergeCell ref="U5:U7"/>
    <mergeCell ref="V5:V7"/>
    <mergeCell ref="M5:N6"/>
    <mergeCell ref="O5:T6"/>
    <mergeCell ref="U17:U19"/>
    <mergeCell ref="A20:A28"/>
    <mergeCell ref="V20:V28"/>
    <mergeCell ref="C22:C25"/>
    <mergeCell ref="U26:U28"/>
    <mergeCell ref="C27:C28"/>
    <mergeCell ref="A29:A37"/>
    <mergeCell ref="V29:V37"/>
    <mergeCell ref="C31:C34"/>
    <mergeCell ref="U35:U37"/>
    <mergeCell ref="C36:C37"/>
    <mergeCell ref="A38:A46"/>
    <mergeCell ref="V38:V46"/>
    <mergeCell ref="C40:C43"/>
    <mergeCell ref="U44:U46"/>
    <mergeCell ref="C45:C46"/>
  </mergeCells>
  <pageMargins left="0.51181102362204722" right="0.51181102362204722" top="0.74803149606299213" bottom="0.55118110236220474" header="0.31496062992125984" footer="0.11811023622047245"/>
  <pageSetup paperSize="9" scale="70" firstPageNumber="50" orientation="landscape" useFirstPageNumber="1" r:id="rId1"/>
  <headerFooter>
    <oddHeader>&amp;C&amp;"Arial,Kursywa"Wieloletnia prognoza finansowa Województwa Zachodniopomorskiego na lata 2015-2038&amp;"Arial,Normalny"
____________________________________________________________________________________________________________________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H512"/>
  <sheetViews>
    <sheetView showGridLines="0" view="pageBreakPreview" zoomScale="110" zoomScaleNormal="100" zoomScaleSheetLayoutView="110" workbookViewId="0">
      <pane xSplit="4" ySplit="8" topLeftCell="M9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2.75"/>
  <cols>
    <col min="1" max="1" width="3.42578125" style="2211" customWidth="1"/>
    <col min="2" max="2" width="58.85546875" style="2211" customWidth="1"/>
    <col min="3" max="3" width="10.28515625" style="2211" customWidth="1"/>
    <col min="4" max="4" width="15.28515625" style="2211" customWidth="1"/>
    <col min="5" max="5" width="11.85546875" style="2211" hidden="1" customWidth="1"/>
    <col min="6" max="8" width="11.7109375" style="2211" hidden="1" customWidth="1"/>
    <col min="9" max="9" width="11.140625" style="2211" hidden="1" customWidth="1"/>
    <col min="10" max="10" width="11.42578125" style="2211" hidden="1" customWidth="1"/>
    <col min="11" max="11" width="11" style="2211" hidden="1" customWidth="1"/>
    <col min="12" max="12" width="12.28515625" style="2211" hidden="1" customWidth="1"/>
    <col min="13" max="13" width="12.28515625" style="2211" customWidth="1"/>
    <col min="14" max="14" width="12" style="2211" customWidth="1"/>
    <col min="15" max="15" width="11.42578125" style="2211" customWidth="1"/>
    <col min="16" max="16" width="13.7109375" style="2211" bestFit="1" customWidth="1"/>
    <col min="17" max="20" width="11.42578125" style="2211" customWidth="1"/>
    <col min="21" max="21" width="12" style="2211" customWidth="1"/>
    <col min="22" max="22" width="13.140625" style="2211" customWidth="1"/>
    <col min="23" max="23" width="12.42578125" style="1898" hidden="1" customWidth="1"/>
    <col min="24" max="24" width="16" style="1898" hidden="1" customWidth="1"/>
    <col min="25" max="25" width="10" style="1898" customWidth="1"/>
    <col min="26" max="26" width="16.42578125" style="1898" customWidth="1"/>
    <col min="27" max="16384" width="9.140625" style="1898"/>
  </cols>
  <sheetData>
    <row r="1" spans="1:26" ht="15.75" customHeight="1">
      <c r="O1" s="376"/>
      <c r="P1" s="376"/>
      <c r="Q1" s="376"/>
      <c r="R1" s="376"/>
      <c r="S1" s="376"/>
      <c r="T1" s="375" t="s">
        <v>90</v>
      </c>
      <c r="U1" s="377"/>
      <c r="V1" s="378"/>
    </row>
    <row r="2" spans="1:26" ht="15" customHeight="1">
      <c r="D2" s="1258"/>
      <c r="M2" s="1258"/>
      <c r="N2" s="1258"/>
      <c r="O2" s="1258"/>
      <c r="P2" s="1258"/>
      <c r="Q2" s="1258"/>
      <c r="R2" s="1258"/>
      <c r="S2" s="1258"/>
      <c r="T2" s="1258"/>
      <c r="U2" s="1258"/>
      <c r="V2" s="378"/>
    </row>
    <row r="3" spans="1:26" ht="9" customHeight="1">
      <c r="N3" s="379"/>
      <c r="O3" s="379"/>
      <c r="P3" s="379"/>
      <c r="Q3" s="379"/>
      <c r="R3" s="379"/>
      <c r="S3" s="379"/>
      <c r="T3" s="379"/>
      <c r="U3" s="377"/>
      <c r="V3" s="378"/>
    </row>
    <row r="4" spans="1:26" ht="40.5" customHeight="1" thickBot="1">
      <c r="A4" s="2444" t="s">
        <v>363</v>
      </c>
      <c r="B4" s="2444"/>
      <c r="C4" s="2444"/>
      <c r="D4" s="2444"/>
      <c r="E4" s="2444"/>
      <c r="F4" s="2444"/>
      <c r="G4" s="2444"/>
      <c r="H4" s="2444"/>
      <c r="I4" s="2444"/>
      <c r="J4" s="2444"/>
      <c r="K4" s="2444"/>
      <c r="L4" s="2444"/>
      <c r="M4" s="2444"/>
      <c r="N4" s="2444"/>
      <c r="O4" s="2444"/>
      <c r="P4" s="2444"/>
      <c r="Q4" s="2444"/>
      <c r="R4" s="2444"/>
      <c r="S4" s="2444"/>
      <c r="T4" s="2444"/>
      <c r="U4" s="2444"/>
      <c r="V4" s="2444"/>
    </row>
    <row r="5" spans="1:26" ht="17.25" customHeight="1">
      <c r="A5" s="380"/>
      <c r="B5" s="381"/>
      <c r="C5" s="2445" t="s">
        <v>91</v>
      </c>
      <c r="D5" s="2448" t="s">
        <v>92</v>
      </c>
      <c r="E5" s="2463" t="s">
        <v>3</v>
      </c>
      <c r="F5" s="2464"/>
      <c r="G5" s="2464"/>
      <c r="H5" s="2464"/>
      <c r="I5" s="2464"/>
      <c r="J5" s="2464"/>
      <c r="K5" s="2464"/>
      <c r="L5" s="2464"/>
      <c r="M5" s="2464"/>
      <c r="N5" s="2465"/>
      <c r="O5" s="2457" t="s">
        <v>317</v>
      </c>
      <c r="P5" s="2458"/>
      <c r="Q5" s="2458"/>
      <c r="R5" s="2458"/>
      <c r="S5" s="2458"/>
      <c r="T5" s="2459"/>
      <c r="U5" s="2451" t="s">
        <v>318</v>
      </c>
      <c r="V5" s="2454" t="s">
        <v>94</v>
      </c>
    </row>
    <row r="6" spans="1:26" ht="32.25" customHeight="1">
      <c r="A6" s="2183" t="s">
        <v>95</v>
      </c>
      <c r="B6" s="2207" t="s">
        <v>96</v>
      </c>
      <c r="C6" s="2446"/>
      <c r="D6" s="2449"/>
      <c r="E6" s="2466"/>
      <c r="F6" s="2467"/>
      <c r="G6" s="2467"/>
      <c r="H6" s="2467"/>
      <c r="I6" s="2467"/>
      <c r="J6" s="2467"/>
      <c r="K6" s="2467"/>
      <c r="L6" s="2467"/>
      <c r="M6" s="2467"/>
      <c r="N6" s="2468"/>
      <c r="O6" s="2460"/>
      <c r="P6" s="2461"/>
      <c r="Q6" s="2461"/>
      <c r="R6" s="2461"/>
      <c r="S6" s="2461"/>
      <c r="T6" s="2462"/>
      <c r="U6" s="2452"/>
      <c r="V6" s="2455"/>
      <c r="W6" s="1258"/>
    </row>
    <row r="7" spans="1:26" ht="24" customHeight="1" thickBot="1">
      <c r="A7" s="382"/>
      <c r="B7" s="383"/>
      <c r="C7" s="2447"/>
      <c r="D7" s="2450"/>
      <c r="E7" s="2208" t="s">
        <v>6</v>
      </c>
      <c r="F7" s="384" t="s">
        <v>7</v>
      </c>
      <c r="G7" s="384" t="s">
        <v>8</v>
      </c>
      <c r="H7" s="384" t="s">
        <v>9</v>
      </c>
      <c r="I7" s="2185" t="s">
        <v>10</v>
      </c>
      <c r="J7" s="2185" t="s">
        <v>11</v>
      </c>
      <c r="K7" s="2185">
        <v>2012</v>
      </c>
      <c r="L7" s="2185">
        <v>2013</v>
      </c>
      <c r="M7" s="2185" t="s">
        <v>321</v>
      </c>
      <c r="N7" s="1791" t="s">
        <v>14</v>
      </c>
      <c r="O7" s="1791" t="s">
        <v>15</v>
      </c>
      <c r="P7" s="1791" t="s">
        <v>16</v>
      </c>
      <c r="Q7" s="1791" t="s">
        <v>17</v>
      </c>
      <c r="R7" s="1791" t="s">
        <v>18</v>
      </c>
      <c r="S7" s="1791" t="s">
        <v>315</v>
      </c>
      <c r="T7" s="1791" t="s">
        <v>322</v>
      </c>
      <c r="U7" s="2453"/>
      <c r="V7" s="2456"/>
      <c r="W7" s="1258"/>
      <c r="X7" s="1258"/>
    </row>
    <row r="8" spans="1:26" s="1900" customFormat="1" ht="12.75" customHeight="1" thickBot="1">
      <c r="A8" s="385">
        <v>1</v>
      </c>
      <c r="B8" s="386">
        <v>2</v>
      </c>
      <c r="C8" s="387">
        <v>3</v>
      </c>
      <c r="D8" s="388">
        <v>4</v>
      </c>
      <c r="E8" s="389"/>
      <c r="F8" s="390"/>
      <c r="G8" s="390"/>
      <c r="H8" s="390"/>
      <c r="I8" s="391"/>
      <c r="J8" s="391"/>
      <c r="K8" s="391"/>
      <c r="L8" s="392"/>
      <c r="M8" s="392">
        <v>5</v>
      </c>
      <c r="N8" s="392">
        <v>6</v>
      </c>
      <c r="O8" s="392">
        <v>7</v>
      </c>
      <c r="P8" s="392">
        <v>8</v>
      </c>
      <c r="Q8" s="392">
        <v>9</v>
      </c>
      <c r="R8" s="393">
        <v>10</v>
      </c>
      <c r="S8" s="393">
        <v>11</v>
      </c>
      <c r="T8" s="393">
        <v>12</v>
      </c>
      <c r="U8" s="394">
        <v>13</v>
      </c>
      <c r="V8" s="395">
        <v>14</v>
      </c>
      <c r="W8" s="1899"/>
      <c r="X8" s="1899"/>
    </row>
    <row r="9" spans="1:26" ht="14.25" customHeight="1">
      <c r="A9" s="2470" t="s">
        <v>87</v>
      </c>
      <c r="B9" s="1090" t="s">
        <v>97</v>
      </c>
      <c r="C9" s="1091"/>
      <c r="D9" s="1092">
        <f>+D10+D11</f>
        <v>820568851</v>
      </c>
      <c r="E9" s="1092">
        <f t="shared" ref="E9:R9" si="0">+E10+E11</f>
        <v>4641611</v>
      </c>
      <c r="F9" s="1092">
        <f t="shared" si="0"/>
        <v>49287</v>
      </c>
      <c r="G9" s="1092">
        <f t="shared" si="0"/>
        <v>306971</v>
      </c>
      <c r="H9" s="1092">
        <f t="shared" si="0"/>
        <v>4029833</v>
      </c>
      <c r="I9" s="1092">
        <f t="shared" si="0"/>
        <v>27357571</v>
      </c>
      <c r="J9" s="1092">
        <f t="shared" si="0"/>
        <v>79092117</v>
      </c>
      <c r="K9" s="1092">
        <f t="shared" si="0"/>
        <v>86746845</v>
      </c>
      <c r="L9" s="1092">
        <f t="shared" si="0"/>
        <v>146322268</v>
      </c>
      <c r="M9" s="1092">
        <f t="shared" ref="M9" si="1">+M10+M11</f>
        <v>344650313</v>
      </c>
      <c r="N9" s="1092">
        <f t="shared" si="0"/>
        <v>198104773</v>
      </c>
      <c r="O9" s="1092">
        <f t="shared" si="0"/>
        <v>143698588</v>
      </c>
      <c r="P9" s="1092">
        <f t="shared" si="0"/>
        <v>114926151</v>
      </c>
      <c r="Q9" s="1092">
        <f t="shared" si="0"/>
        <v>19189026</v>
      </c>
      <c r="R9" s="1092">
        <f t="shared" si="0"/>
        <v>0</v>
      </c>
      <c r="S9" s="1092">
        <f t="shared" ref="S9:T9" si="2">+S10+S11</f>
        <v>0</v>
      </c>
      <c r="T9" s="1092">
        <f t="shared" si="2"/>
        <v>0</v>
      </c>
      <c r="U9" s="396">
        <f>+U10+U11</f>
        <v>277813765</v>
      </c>
      <c r="V9" s="1901"/>
      <c r="W9" s="1258">
        <f>+O9+P9</f>
        <v>258624739</v>
      </c>
    </row>
    <row r="10" spans="1:26" ht="14.25" customHeight="1">
      <c r="A10" s="2471"/>
      <c r="B10" s="1093" t="s">
        <v>98</v>
      </c>
      <c r="C10" s="1094"/>
      <c r="D10" s="1095">
        <f>+D378+D396</f>
        <v>226408</v>
      </c>
      <c r="E10" s="1095">
        <f t="shared" ref="E10:L10" si="3">+E378</f>
        <v>0</v>
      </c>
      <c r="F10" s="1095">
        <f t="shared" si="3"/>
        <v>0</v>
      </c>
      <c r="G10" s="1095">
        <f t="shared" si="3"/>
        <v>0</v>
      </c>
      <c r="H10" s="1095">
        <f t="shared" si="3"/>
        <v>0</v>
      </c>
      <c r="I10" s="1095">
        <f t="shared" si="3"/>
        <v>0</v>
      </c>
      <c r="J10" s="1095">
        <f t="shared" si="3"/>
        <v>0</v>
      </c>
      <c r="K10" s="1095">
        <f t="shared" si="3"/>
        <v>0</v>
      </c>
      <c r="L10" s="1095">
        <f t="shared" si="3"/>
        <v>0</v>
      </c>
      <c r="M10" s="1095">
        <f t="shared" ref="M10" si="4">+M378</f>
        <v>0</v>
      </c>
      <c r="N10" s="1095">
        <f>+N378+N396</f>
        <v>22046</v>
      </c>
      <c r="O10" s="1095">
        <f>+O378+O396</f>
        <v>204362</v>
      </c>
      <c r="P10" s="1095">
        <f>+P378+P396</f>
        <v>0</v>
      </c>
      <c r="Q10" s="1095">
        <f>+Q378+Q396</f>
        <v>0</v>
      </c>
      <c r="R10" s="1095">
        <f>+R378+R396</f>
        <v>0</v>
      </c>
      <c r="S10" s="1095">
        <f t="shared" ref="S10:T10" si="5">+S378+S396</f>
        <v>0</v>
      </c>
      <c r="T10" s="1095">
        <f t="shared" si="5"/>
        <v>0</v>
      </c>
      <c r="U10" s="398">
        <f>SUM(O10:T10)</f>
        <v>204362</v>
      </c>
      <c r="V10" s="399"/>
    </row>
    <row r="11" spans="1:26" ht="14.25" customHeight="1" thickBot="1">
      <c r="A11" s="2471"/>
      <c r="B11" s="1096" t="s">
        <v>21</v>
      </c>
      <c r="C11" s="1097"/>
      <c r="D11" s="1098">
        <f>+D52+D252+D66+D80+D276+D96+D110+D292+D131+D304+D143+D152+D164+D173+D185+D196+D205+D217+D226+D267+D235+D325+D360+D122+D242+D335</f>
        <v>820342443</v>
      </c>
      <c r="E11" s="1098">
        <f t="shared" ref="E11:T11" si="6">+E52+E252+E66+E80+E276+E96+E110+E292+E131+E304+E143+E152+E164+E173+E185+E196+E205+E217+E226+E267+E235+E325+E360+E122+E242+E335</f>
        <v>4641611</v>
      </c>
      <c r="F11" s="1098">
        <f t="shared" si="6"/>
        <v>49287</v>
      </c>
      <c r="G11" s="1098">
        <f t="shared" si="6"/>
        <v>306971</v>
      </c>
      <c r="H11" s="1098">
        <f t="shared" si="6"/>
        <v>4029833</v>
      </c>
      <c r="I11" s="1098">
        <f t="shared" si="6"/>
        <v>27357571</v>
      </c>
      <c r="J11" s="1098">
        <f t="shared" si="6"/>
        <v>79092117</v>
      </c>
      <c r="K11" s="1098">
        <f t="shared" si="6"/>
        <v>86746845</v>
      </c>
      <c r="L11" s="1098">
        <f t="shared" si="6"/>
        <v>146322268</v>
      </c>
      <c r="M11" s="1098">
        <f t="shared" si="6"/>
        <v>344650313</v>
      </c>
      <c r="N11" s="1098">
        <f t="shared" si="6"/>
        <v>198082727</v>
      </c>
      <c r="O11" s="1098">
        <f t="shared" si="6"/>
        <v>143494226</v>
      </c>
      <c r="P11" s="1098">
        <f t="shared" si="6"/>
        <v>114926151</v>
      </c>
      <c r="Q11" s="1098">
        <f t="shared" si="6"/>
        <v>19189026</v>
      </c>
      <c r="R11" s="1098">
        <f t="shared" si="6"/>
        <v>0</v>
      </c>
      <c r="S11" s="1098">
        <f t="shared" si="6"/>
        <v>0</v>
      </c>
      <c r="T11" s="1098">
        <f t="shared" si="6"/>
        <v>0</v>
      </c>
      <c r="U11" s="400">
        <f>SUM(O11:T11)</f>
        <v>277609403</v>
      </c>
      <c r="V11" s="399"/>
    </row>
    <row r="12" spans="1:26" ht="13.5" customHeight="1">
      <c r="A12" s="2471"/>
      <c r="B12" s="401" t="s">
        <v>22</v>
      </c>
      <c r="C12" s="402"/>
      <c r="D12" s="403">
        <f>+D13+D19</f>
        <v>820568851</v>
      </c>
      <c r="E12" s="403">
        <f t="shared" ref="E12:P12" si="7">+E13+E19</f>
        <v>4641611</v>
      </c>
      <c r="F12" s="403">
        <f t="shared" si="7"/>
        <v>49287</v>
      </c>
      <c r="G12" s="403">
        <f t="shared" si="7"/>
        <v>306971</v>
      </c>
      <c r="H12" s="403">
        <f t="shared" si="7"/>
        <v>4029833</v>
      </c>
      <c r="I12" s="403">
        <f t="shared" si="7"/>
        <v>27357571</v>
      </c>
      <c r="J12" s="403">
        <f t="shared" si="7"/>
        <v>79092117</v>
      </c>
      <c r="K12" s="403">
        <f t="shared" si="7"/>
        <v>86746845</v>
      </c>
      <c r="L12" s="403">
        <f t="shared" si="7"/>
        <v>146322268</v>
      </c>
      <c r="M12" s="403">
        <f t="shared" ref="M12" si="8">+M13+M19</f>
        <v>344650313</v>
      </c>
      <c r="N12" s="403">
        <f t="shared" si="7"/>
        <v>198104773</v>
      </c>
      <c r="O12" s="403">
        <f>+O13+O19</f>
        <v>143698588</v>
      </c>
      <c r="P12" s="403">
        <f t="shared" si="7"/>
        <v>114926151</v>
      </c>
      <c r="Q12" s="403">
        <f>+Q13+Q19</f>
        <v>19189026</v>
      </c>
      <c r="R12" s="403">
        <f>+R13+R19</f>
        <v>0</v>
      </c>
      <c r="S12" s="403">
        <f t="shared" ref="S12:T12" si="9">+S13+S19</f>
        <v>0</v>
      </c>
      <c r="T12" s="403">
        <f t="shared" si="9"/>
        <v>0</v>
      </c>
      <c r="U12" s="404">
        <f>+U13+U19</f>
        <v>277813765</v>
      </c>
      <c r="V12" s="399"/>
      <c r="W12" s="1063"/>
      <c r="X12" s="1258" t="e">
        <f>+#REF!-W12</f>
        <v>#REF!</v>
      </c>
      <c r="Z12" s="1258"/>
    </row>
    <row r="13" spans="1:26" s="1064" customFormat="1" ht="13.5" customHeight="1">
      <c r="A13" s="2471"/>
      <c r="B13" s="405" t="s">
        <v>23</v>
      </c>
      <c r="C13" s="406"/>
      <c r="D13" s="407">
        <f>+D14+D15+D16+D17+D18</f>
        <v>177098041</v>
      </c>
      <c r="E13" s="407">
        <f t="shared" ref="E13:P13" si="10">+E14+E15+E16+E17+E18</f>
        <v>4194223</v>
      </c>
      <c r="F13" s="407">
        <f t="shared" si="10"/>
        <v>49287</v>
      </c>
      <c r="G13" s="407">
        <f t="shared" si="10"/>
        <v>155285</v>
      </c>
      <c r="H13" s="407">
        <f t="shared" si="10"/>
        <v>3933542</v>
      </c>
      <c r="I13" s="407">
        <f t="shared" si="10"/>
        <v>8867436</v>
      </c>
      <c r="J13" s="407">
        <f t="shared" si="10"/>
        <v>41250657</v>
      </c>
      <c r="K13" s="407">
        <f t="shared" si="10"/>
        <v>20318813</v>
      </c>
      <c r="L13" s="407">
        <f t="shared" si="10"/>
        <v>22097089</v>
      </c>
      <c r="M13" s="407">
        <f t="shared" ref="M13" si="11">+M14+M15+M16+M17+M18</f>
        <v>97218119</v>
      </c>
      <c r="N13" s="407">
        <f t="shared" si="10"/>
        <v>30964419</v>
      </c>
      <c r="O13" s="407">
        <f>+O14+O15+O16+O17+O18</f>
        <v>18680976</v>
      </c>
      <c r="P13" s="407">
        <f t="shared" si="10"/>
        <v>24636173</v>
      </c>
      <c r="Q13" s="407">
        <f>+Q14+Q15+Q16+Q17+Q18</f>
        <v>5598354</v>
      </c>
      <c r="R13" s="407">
        <f>+R14+R15+R16+R17+R18</f>
        <v>0</v>
      </c>
      <c r="S13" s="407">
        <f t="shared" ref="S13:T13" si="12">+S14+S15+S16+S17+S18</f>
        <v>0</v>
      </c>
      <c r="T13" s="407">
        <f t="shared" si="12"/>
        <v>0</v>
      </c>
      <c r="U13" s="408">
        <f>SUM(U14:U18)</f>
        <v>48915503</v>
      </c>
      <c r="V13" s="409"/>
      <c r="W13" s="1902"/>
      <c r="X13" s="1063"/>
    </row>
    <row r="14" spans="1:26">
      <c r="A14" s="2471"/>
      <c r="B14" s="410" t="s">
        <v>24</v>
      </c>
      <c r="C14" s="411"/>
      <c r="D14" s="412">
        <f>+D38+D318+D346+D389</f>
        <v>76369895</v>
      </c>
      <c r="E14" s="412">
        <f>+E38+E318+E346+E389</f>
        <v>260308</v>
      </c>
      <c r="F14" s="412">
        <f>+F38+F318+F346</f>
        <v>49287</v>
      </c>
      <c r="G14" s="412">
        <f>+G38+G318+G346</f>
        <v>112274</v>
      </c>
      <c r="H14" s="412">
        <f>+H38+H318+H346</f>
        <v>58749</v>
      </c>
      <c r="I14" s="412">
        <f>+I38+I318+I346+I389</f>
        <v>6756183</v>
      </c>
      <c r="J14" s="412">
        <f>+J38+J318+J346</f>
        <v>9287083</v>
      </c>
      <c r="K14" s="412">
        <f>+K38+K318+K346</f>
        <v>7398515</v>
      </c>
      <c r="L14" s="412">
        <f>+L38+L318+L346</f>
        <v>9695183</v>
      </c>
      <c r="M14" s="412">
        <f>+M38+M318+M346</f>
        <v>33887173</v>
      </c>
      <c r="N14" s="412">
        <f t="shared" ref="N14:T14" si="13">+N38+N318+N346+N389</f>
        <v>7490250</v>
      </c>
      <c r="O14" s="412">
        <f t="shared" si="13"/>
        <v>4757945</v>
      </c>
      <c r="P14" s="412">
        <f t="shared" si="13"/>
        <v>24636173</v>
      </c>
      <c r="Q14" s="412">
        <f t="shared" si="13"/>
        <v>5598354</v>
      </c>
      <c r="R14" s="412">
        <f t="shared" si="13"/>
        <v>0</v>
      </c>
      <c r="S14" s="412">
        <f t="shared" si="13"/>
        <v>0</v>
      </c>
      <c r="T14" s="412">
        <f t="shared" si="13"/>
        <v>0</v>
      </c>
      <c r="U14" s="413">
        <f t="shared" ref="U14" si="14">SUM(O14:T14)</f>
        <v>34992472</v>
      </c>
      <c r="V14" s="399"/>
      <c r="W14" s="1258"/>
      <c r="X14" s="1258"/>
      <c r="Z14" s="1258"/>
    </row>
    <row r="15" spans="1:26" ht="12" customHeight="1">
      <c r="A15" s="2471"/>
      <c r="B15" s="414" t="s">
        <v>99</v>
      </c>
      <c r="C15" s="415"/>
      <c r="D15" s="412">
        <f>+D347</f>
        <v>14575000</v>
      </c>
      <c r="E15" s="412">
        <f t="shared" ref="E15:P15" si="15">+E347</f>
        <v>0</v>
      </c>
      <c r="F15" s="412">
        <f t="shared" si="15"/>
        <v>0</v>
      </c>
      <c r="G15" s="412">
        <f t="shared" si="15"/>
        <v>0</v>
      </c>
      <c r="H15" s="412">
        <f t="shared" si="15"/>
        <v>0</v>
      </c>
      <c r="I15" s="412">
        <f t="shared" si="15"/>
        <v>0</v>
      </c>
      <c r="J15" s="412">
        <f t="shared" si="15"/>
        <v>0</v>
      </c>
      <c r="K15" s="412">
        <f t="shared" si="15"/>
        <v>0</v>
      </c>
      <c r="L15" s="412">
        <f t="shared" si="15"/>
        <v>0</v>
      </c>
      <c r="M15" s="412">
        <f t="shared" ref="M15" si="16">+M347</f>
        <v>0</v>
      </c>
      <c r="N15" s="412">
        <f t="shared" si="15"/>
        <v>7293750</v>
      </c>
      <c r="O15" s="412">
        <f>+O347</f>
        <v>7281250</v>
      </c>
      <c r="P15" s="412">
        <f t="shared" si="15"/>
        <v>0</v>
      </c>
      <c r="Q15" s="412">
        <f>+Q347</f>
        <v>0</v>
      </c>
      <c r="R15" s="412">
        <f>+R347</f>
        <v>0</v>
      </c>
      <c r="S15" s="412">
        <f t="shared" ref="S15:T15" si="17">+S347</f>
        <v>0</v>
      </c>
      <c r="T15" s="412">
        <f t="shared" si="17"/>
        <v>0</v>
      </c>
      <c r="U15" s="413">
        <f>SUM(O15:T15)</f>
        <v>7281250</v>
      </c>
      <c r="V15" s="416"/>
      <c r="W15" s="1258"/>
    </row>
    <row r="16" spans="1:26" ht="13.5" customHeight="1">
      <c r="A16" s="2471"/>
      <c r="B16" s="410" t="s">
        <v>27</v>
      </c>
      <c r="C16" s="411"/>
      <c r="D16" s="412">
        <f>+D39</f>
        <v>13481845</v>
      </c>
      <c r="E16" s="412">
        <f t="shared" ref="E16:P16" si="18">+E39</f>
        <v>3643961</v>
      </c>
      <c r="F16" s="412">
        <f t="shared" si="18"/>
        <v>0</v>
      </c>
      <c r="G16" s="412">
        <f t="shared" si="18"/>
        <v>0</v>
      </c>
      <c r="H16" s="412">
        <f t="shared" si="18"/>
        <v>3643961</v>
      </c>
      <c r="I16" s="412">
        <f t="shared" si="18"/>
        <v>1323420</v>
      </c>
      <c r="J16" s="412">
        <f t="shared" si="18"/>
        <v>2000000</v>
      </c>
      <c r="K16" s="412">
        <f t="shared" si="18"/>
        <v>5514464</v>
      </c>
      <c r="L16" s="412">
        <f t="shared" si="18"/>
        <v>0</v>
      </c>
      <c r="M16" s="412">
        <f t="shared" ref="M16" si="19">+M39</f>
        <v>12481845</v>
      </c>
      <c r="N16" s="412">
        <f t="shared" si="18"/>
        <v>1000000</v>
      </c>
      <c r="O16" s="412">
        <f t="shared" si="18"/>
        <v>0</v>
      </c>
      <c r="P16" s="412">
        <f t="shared" si="18"/>
        <v>0</v>
      </c>
      <c r="Q16" s="412">
        <f>+Q39</f>
        <v>0</v>
      </c>
      <c r="R16" s="412">
        <f>+R39</f>
        <v>0</v>
      </c>
      <c r="S16" s="412">
        <f t="shared" ref="S16:T16" si="20">+S39</f>
        <v>0</v>
      </c>
      <c r="T16" s="412">
        <f t="shared" si="20"/>
        <v>0</v>
      </c>
      <c r="U16" s="413">
        <f t="shared" ref="U16:U18" si="21">SUM(O16:T16)</f>
        <v>0</v>
      </c>
      <c r="V16" s="416"/>
      <c r="W16" s="1258"/>
    </row>
    <row r="17" spans="1:26" ht="13.5" customHeight="1">
      <c r="A17" s="2471"/>
      <c r="B17" s="410" t="s">
        <v>68</v>
      </c>
      <c r="C17" s="411"/>
      <c r="D17" s="412">
        <f>+D348</f>
        <v>30665000</v>
      </c>
      <c r="E17" s="412">
        <f t="shared" ref="E17:P17" si="22">+E348</f>
        <v>0</v>
      </c>
      <c r="F17" s="412">
        <f t="shared" si="22"/>
        <v>0</v>
      </c>
      <c r="G17" s="412">
        <f t="shared" si="22"/>
        <v>0</v>
      </c>
      <c r="H17" s="412">
        <f t="shared" si="22"/>
        <v>0</v>
      </c>
      <c r="I17" s="412">
        <f t="shared" si="22"/>
        <v>0</v>
      </c>
      <c r="J17" s="412">
        <f t="shared" si="22"/>
        <v>0</v>
      </c>
      <c r="K17" s="412">
        <f t="shared" si="22"/>
        <v>0</v>
      </c>
      <c r="L17" s="412">
        <f t="shared" si="22"/>
        <v>10440000</v>
      </c>
      <c r="M17" s="412">
        <f t="shared" ref="M17" si="23">+M348</f>
        <v>10440000</v>
      </c>
      <c r="N17" s="412">
        <f t="shared" si="22"/>
        <v>13586250</v>
      </c>
      <c r="O17" s="412">
        <f t="shared" si="22"/>
        <v>6638750</v>
      </c>
      <c r="P17" s="412">
        <f t="shared" si="22"/>
        <v>0</v>
      </c>
      <c r="Q17" s="412">
        <f>+Q348</f>
        <v>0</v>
      </c>
      <c r="R17" s="412">
        <f>+R348</f>
        <v>0</v>
      </c>
      <c r="S17" s="412">
        <f t="shared" ref="S17:T17" si="24">+S348</f>
        <v>0</v>
      </c>
      <c r="T17" s="412">
        <f t="shared" si="24"/>
        <v>0</v>
      </c>
      <c r="U17" s="413">
        <f t="shared" si="21"/>
        <v>6638750</v>
      </c>
      <c r="V17" s="416"/>
      <c r="W17" s="1258"/>
    </row>
    <row r="18" spans="1:26" ht="12" customHeight="1">
      <c r="A18" s="2471"/>
      <c r="B18" s="410" t="s">
        <v>29</v>
      </c>
      <c r="C18" s="411"/>
      <c r="D18" s="412">
        <f>+D40</f>
        <v>42006301</v>
      </c>
      <c r="E18" s="412">
        <f t="shared" ref="E18:P18" si="25">+E40</f>
        <v>289954</v>
      </c>
      <c r="F18" s="412">
        <f t="shared" si="25"/>
        <v>0</v>
      </c>
      <c r="G18" s="412">
        <f t="shared" si="25"/>
        <v>43011</v>
      </c>
      <c r="H18" s="412">
        <f t="shared" si="25"/>
        <v>230832</v>
      </c>
      <c r="I18" s="412">
        <f t="shared" si="25"/>
        <v>787833</v>
      </c>
      <c r="J18" s="412">
        <f t="shared" si="25"/>
        <v>29963574</v>
      </c>
      <c r="K18" s="412">
        <f t="shared" si="25"/>
        <v>7405834</v>
      </c>
      <c r="L18" s="412">
        <f t="shared" si="25"/>
        <v>1961906</v>
      </c>
      <c r="M18" s="412">
        <f t="shared" ref="M18" si="26">+M40</f>
        <v>40409101</v>
      </c>
      <c r="N18" s="412">
        <f t="shared" si="25"/>
        <v>1594169</v>
      </c>
      <c r="O18" s="412">
        <f t="shared" si="25"/>
        <v>3031</v>
      </c>
      <c r="P18" s="412">
        <f t="shared" si="25"/>
        <v>0</v>
      </c>
      <c r="Q18" s="412">
        <f>+Q40</f>
        <v>0</v>
      </c>
      <c r="R18" s="412">
        <f>+R40</f>
        <v>0</v>
      </c>
      <c r="S18" s="412">
        <f t="shared" ref="S18:T18" si="27">+S40</f>
        <v>0</v>
      </c>
      <c r="T18" s="412">
        <f t="shared" si="27"/>
        <v>0</v>
      </c>
      <c r="U18" s="413">
        <f t="shared" si="21"/>
        <v>3031</v>
      </c>
      <c r="V18" s="416"/>
      <c r="W18" s="1258"/>
    </row>
    <row r="19" spans="1:26" s="1064" customFormat="1" ht="13.5" customHeight="1">
      <c r="A19" s="2471"/>
      <c r="B19" s="405" t="s">
        <v>30</v>
      </c>
      <c r="C19" s="417"/>
      <c r="D19" s="407">
        <f>+D20+D21+D22</f>
        <v>643470810</v>
      </c>
      <c r="E19" s="407">
        <f t="shared" ref="E19:T19" si="28">+E20+E21+E22</f>
        <v>447388</v>
      </c>
      <c r="F19" s="407">
        <f t="shared" si="28"/>
        <v>0</v>
      </c>
      <c r="G19" s="407">
        <f t="shared" si="28"/>
        <v>151686</v>
      </c>
      <c r="H19" s="407">
        <f t="shared" si="28"/>
        <v>96291</v>
      </c>
      <c r="I19" s="407">
        <f t="shared" si="28"/>
        <v>18490135</v>
      </c>
      <c r="J19" s="407">
        <f t="shared" si="28"/>
        <v>37841460</v>
      </c>
      <c r="K19" s="407">
        <f t="shared" si="28"/>
        <v>66428032</v>
      </c>
      <c r="L19" s="407">
        <f t="shared" si="28"/>
        <v>124225179</v>
      </c>
      <c r="M19" s="407">
        <f t="shared" si="28"/>
        <v>247432194</v>
      </c>
      <c r="N19" s="407">
        <f t="shared" si="28"/>
        <v>167140354</v>
      </c>
      <c r="O19" s="407">
        <f t="shared" si="28"/>
        <v>125017612</v>
      </c>
      <c r="P19" s="407">
        <f t="shared" si="28"/>
        <v>90289978</v>
      </c>
      <c r="Q19" s="407">
        <f t="shared" si="28"/>
        <v>13590672</v>
      </c>
      <c r="R19" s="407">
        <f t="shared" si="28"/>
        <v>0</v>
      </c>
      <c r="S19" s="407">
        <f t="shared" si="28"/>
        <v>0</v>
      </c>
      <c r="T19" s="407">
        <f t="shared" si="28"/>
        <v>0</v>
      </c>
      <c r="U19" s="418">
        <f>+U20+U21+U22</f>
        <v>228898262</v>
      </c>
      <c r="V19" s="419"/>
      <c r="W19" s="1902"/>
      <c r="X19" s="1063"/>
    </row>
    <row r="20" spans="1:26" ht="13.5" customHeight="1">
      <c r="A20" s="2471"/>
      <c r="B20" s="424" t="s">
        <v>32</v>
      </c>
      <c r="C20" s="425"/>
      <c r="D20" s="412">
        <f t="shared" ref="D20:T20" si="29">+D320+D391</f>
        <v>4990241</v>
      </c>
      <c r="E20" s="412">
        <f t="shared" si="29"/>
        <v>0</v>
      </c>
      <c r="F20" s="412">
        <f t="shared" si="29"/>
        <v>0</v>
      </c>
      <c r="G20" s="412">
        <f t="shared" si="29"/>
        <v>0</v>
      </c>
      <c r="H20" s="412">
        <f t="shared" si="29"/>
        <v>0</v>
      </c>
      <c r="I20" s="412">
        <f t="shared" si="29"/>
        <v>829536</v>
      </c>
      <c r="J20" s="412">
        <f t="shared" si="29"/>
        <v>4078292</v>
      </c>
      <c r="K20" s="412">
        <f t="shared" si="29"/>
        <v>0</v>
      </c>
      <c r="L20" s="412">
        <f t="shared" si="29"/>
        <v>0</v>
      </c>
      <c r="M20" s="412">
        <f t="shared" si="29"/>
        <v>4907828</v>
      </c>
      <c r="N20" s="412">
        <f t="shared" si="29"/>
        <v>15720</v>
      </c>
      <c r="O20" s="412">
        <f t="shared" si="29"/>
        <v>66693</v>
      </c>
      <c r="P20" s="412">
        <f t="shared" si="29"/>
        <v>0</v>
      </c>
      <c r="Q20" s="412">
        <f t="shared" si="29"/>
        <v>0</v>
      </c>
      <c r="R20" s="412">
        <f t="shared" si="29"/>
        <v>0</v>
      </c>
      <c r="S20" s="412">
        <f t="shared" si="29"/>
        <v>0</v>
      </c>
      <c r="T20" s="412">
        <f t="shared" si="29"/>
        <v>0</v>
      </c>
      <c r="U20" s="413">
        <f>SUM(O20:T20)</f>
        <v>66693</v>
      </c>
      <c r="V20" s="416"/>
      <c r="W20" s="1258"/>
    </row>
    <row r="21" spans="1:26" ht="13.5" customHeight="1">
      <c r="A21" s="2471"/>
      <c r="B21" s="426" t="s">
        <v>33</v>
      </c>
      <c r="C21" s="425"/>
      <c r="D21" s="412">
        <f t="shared" ref="D21:T21" si="30">+D42+D350</f>
        <v>638480569</v>
      </c>
      <c r="E21" s="412">
        <f t="shared" si="30"/>
        <v>447388</v>
      </c>
      <c r="F21" s="412">
        <f t="shared" si="30"/>
        <v>0</v>
      </c>
      <c r="G21" s="412">
        <f t="shared" si="30"/>
        <v>151686</v>
      </c>
      <c r="H21" s="412">
        <f t="shared" si="30"/>
        <v>96291</v>
      </c>
      <c r="I21" s="412">
        <f t="shared" si="30"/>
        <v>17660599</v>
      </c>
      <c r="J21" s="412">
        <f t="shared" si="30"/>
        <v>33763168</v>
      </c>
      <c r="K21" s="412">
        <f t="shared" si="30"/>
        <v>66428032</v>
      </c>
      <c r="L21" s="412">
        <f t="shared" si="30"/>
        <v>124225179</v>
      </c>
      <c r="M21" s="412">
        <f t="shared" si="30"/>
        <v>242524366</v>
      </c>
      <c r="N21" s="412">
        <f t="shared" si="30"/>
        <v>167124634</v>
      </c>
      <c r="O21" s="412">
        <f t="shared" si="30"/>
        <v>124950919</v>
      </c>
      <c r="P21" s="412">
        <f t="shared" si="30"/>
        <v>90289978</v>
      </c>
      <c r="Q21" s="412">
        <f t="shared" si="30"/>
        <v>13590672</v>
      </c>
      <c r="R21" s="412">
        <f t="shared" si="30"/>
        <v>0</v>
      </c>
      <c r="S21" s="412">
        <f t="shared" si="30"/>
        <v>0</v>
      </c>
      <c r="T21" s="412">
        <f t="shared" si="30"/>
        <v>0</v>
      </c>
      <c r="U21" s="413">
        <f>SUM(O21:T21)</f>
        <v>228831569</v>
      </c>
      <c r="V21" s="399"/>
      <c r="W21" s="1258"/>
      <c r="X21" s="1258">
        <f>+N21+O21+P21+Q21</f>
        <v>395956203</v>
      </c>
    </row>
    <row r="22" spans="1:26">
      <c r="A22" s="2471"/>
      <c r="B22" s="426" t="s">
        <v>100</v>
      </c>
      <c r="C22" s="425"/>
      <c r="D22" s="412">
        <f>+D351</f>
        <v>0</v>
      </c>
      <c r="E22" s="412">
        <f t="shared" ref="E22:P22" si="31">+E351</f>
        <v>0</v>
      </c>
      <c r="F22" s="412">
        <f t="shared" si="31"/>
        <v>0</v>
      </c>
      <c r="G22" s="412">
        <f t="shared" si="31"/>
        <v>0</v>
      </c>
      <c r="H22" s="412">
        <f t="shared" si="31"/>
        <v>0</v>
      </c>
      <c r="I22" s="412">
        <f t="shared" si="31"/>
        <v>0</v>
      </c>
      <c r="J22" s="412">
        <f t="shared" si="31"/>
        <v>0</v>
      </c>
      <c r="K22" s="412">
        <f t="shared" si="31"/>
        <v>0</v>
      </c>
      <c r="L22" s="412">
        <f t="shared" si="31"/>
        <v>0</v>
      </c>
      <c r="M22" s="412">
        <f t="shared" ref="M22" si="32">+M351</f>
        <v>0</v>
      </c>
      <c r="N22" s="412">
        <f t="shared" si="31"/>
        <v>0</v>
      </c>
      <c r="O22" s="412">
        <f t="shared" si="31"/>
        <v>0</v>
      </c>
      <c r="P22" s="412">
        <f t="shared" si="31"/>
        <v>0</v>
      </c>
      <c r="Q22" s="412">
        <f>+Q351</f>
        <v>0</v>
      </c>
      <c r="R22" s="412">
        <f>+R351</f>
        <v>0</v>
      </c>
      <c r="S22" s="412">
        <f t="shared" ref="S22:T22" si="33">+S351</f>
        <v>0</v>
      </c>
      <c r="T22" s="412">
        <f t="shared" si="33"/>
        <v>0</v>
      </c>
      <c r="U22" s="413">
        <f>+U43+U351</f>
        <v>0</v>
      </c>
      <c r="V22" s="399"/>
      <c r="W22" s="1258"/>
      <c r="X22" s="1258"/>
    </row>
    <row r="23" spans="1:26" ht="13.5" customHeight="1">
      <c r="A23" s="2471"/>
      <c r="B23" s="427" t="s">
        <v>34</v>
      </c>
      <c r="C23" s="428"/>
      <c r="D23" s="429">
        <f>+D24+D30</f>
        <v>752690437</v>
      </c>
      <c r="E23" s="429">
        <f t="shared" ref="E23:P23" si="34">+E24+E30</f>
        <v>0</v>
      </c>
      <c r="F23" s="429">
        <f t="shared" si="34"/>
        <v>0</v>
      </c>
      <c r="G23" s="429">
        <f t="shared" si="34"/>
        <v>0</v>
      </c>
      <c r="H23" s="429">
        <f t="shared" si="34"/>
        <v>0</v>
      </c>
      <c r="I23" s="429">
        <f t="shared" si="34"/>
        <v>10418487</v>
      </c>
      <c r="J23" s="429">
        <f>+J24+J30</f>
        <v>59318789</v>
      </c>
      <c r="K23" s="429">
        <f t="shared" si="34"/>
        <v>87770215</v>
      </c>
      <c r="L23" s="429">
        <f t="shared" si="34"/>
        <v>121182292</v>
      </c>
      <c r="M23" s="429">
        <f t="shared" ref="M23" si="35">+M24+M30</f>
        <v>278689783</v>
      </c>
      <c r="N23" s="429">
        <f t="shared" si="34"/>
        <v>189956719</v>
      </c>
      <c r="O23" s="429">
        <f t="shared" si="34"/>
        <v>140985310</v>
      </c>
      <c r="P23" s="429">
        <f t="shared" si="34"/>
        <v>119967863</v>
      </c>
      <c r="Q23" s="429">
        <f>+Q24+Q30</f>
        <v>23090762</v>
      </c>
      <c r="R23" s="429">
        <f>+R24+R30</f>
        <v>0</v>
      </c>
      <c r="S23" s="429">
        <f t="shared" ref="S23:T23" si="36">+S24+S30</f>
        <v>0</v>
      </c>
      <c r="T23" s="429">
        <f t="shared" si="36"/>
        <v>0</v>
      </c>
      <c r="U23" s="2473" t="s">
        <v>35</v>
      </c>
      <c r="V23" s="399"/>
      <c r="Z23" s="1063"/>
    </row>
    <row r="24" spans="1:26" ht="12" customHeight="1">
      <c r="A24" s="2471"/>
      <c r="B24" s="430" t="s">
        <v>36</v>
      </c>
      <c r="C24" s="431"/>
      <c r="D24" s="432">
        <f>+D25+D26+D27+D28+D29</f>
        <v>101569627</v>
      </c>
      <c r="E24" s="432">
        <f t="shared" ref="E24:P24" si="37">+E25+E26+E27+E28+E29</f>
        <v>0</v>
      </c>
      <c r="F24" s="432">
        <f t="shared" si="37"/>
        <v>0</v>
      </c>
      <c r="G24" s="432">
        <f t="shared" si="37"/>
        <v>0</v>
      </c>
      <c r="H24" s="432">
        <f t="shared" si="37"/>
        <v>0</v>
      </c>
      <c r="I24" s="432">
        <f t="shared" si="37"/>
        <v>4967381</v>
      </c>
      <c r="J24" s="432">
        <f t="shared" si="37"/>
        <v>26383271</v>
      </c>
      <c r="K24" s="432">
        <f t="shared" si="37"/>
        <v>25777636</v>
      </c>
      <c r="L24" s="432">
        <f>+L25+L26+L27+L28+L29</f>
        <v>12787301</v>
      </c>
      <c r="M24" s="432">
        <f>+M25+M26+M27+M28+M29</f>
        <v>69915589</v>
      </c>
      <c r="N24" s="432">
        <f t="shared" si="37"/>
        <v>17418794</v>
      </c>
      <c r="O24" s="432">
        <f t="shared" si="37"/>
        <v>14235244</v>
      </c>
      <c r="P24" s="432">
        <f t="shared" si="37"/>
        <v>0</v>
      </c>
      <c r="Q24" s="432">
        <f>+Q25+Q26+Q27+Q28+Q29</f>
        <v>0</v>
      </c>
      <c r="R24" s="432">
        <f>+R25+R26+R27+R28+R29</f>
        <v>0</v>
      </c>
      <c r="S24" s="432">
        <f t="shared" ref="S24:T24" si="38">+S25+S26+S27+S28+S29</f>
        <v>0</v>
      </c>
      <c r="T24" s="432">
        <f t="shared" si="38"/>
        <v>0</v>
      </c>
      <c r="U24" s="2474"/>
      <c r="V24" s="399"/>
    </row>
    <row r="25" spans="1:26">
      <c r="A25" s="2471"/>
      <c r="B25" s="414" t="s">
        <v>99</v>
      </c>
      <c r="C25" s="433"/>
      <c r="D25" s="422">
        <f>+D354</f>
        <v>14575000</v>
      </c>
      <c r="E25" s="422">
        <f t="shared" ref="E25:P25" si="39">+E354</f>
        <v>0</v>
      </c>
      <c r="F25" s="422">
        <f t="shared" si="39"/>
        <v>0</v>
      </c>
      <c r="G25" s="422">
        <f t="shared" si="39"/>
        <v>0</v>
      </c>
      <c r="H25" s="422">
        <f t="shared" si="39"/>
        <v>0</v>
      </c>
      <c r="I25" s="422">
        <f t="shared" si="39"/>
        <v>0</v>
      </c>
      <c r="J25" s="422">
        <f t="shared" si="39"/>
        <v>0</v>
      </c>
      <c r="K25" s="422">
        <f t="shared" si="39"/>
        <v>0</v>
      </c>
      <c r="L25" s="422">
        <f t="shared" si="39"/>
        <v>0</v>
      </c>
      <c r="M25" s="422">
        <f t="shared" ref="M25" si="40">+M354</f>
        <v>0</v>
      </c>
      <c r="N25" s="422">
        <f t="shared" si="39"/>
        <v>7293750</v>
      </c>
      <c r="O25" s="422">
        <f t="shared" si="39"/>
        <v>7281250</v>
      </c>
      <c r="P25" s="422">
        <f t="shared" si="39"/>
        <v>0</v>
      </c>
      <c r="Q25" s="422">
        <f>+Q354</f>
        <v>0</v>
      </c>
      <c r="R25" s="422">
        <f>+R354</f>
        <v>0</v>
      </c>
      <c r="S25" s="422">
        <f t="shared" ref="S25:T25" si="41">+S354</f>
        <v>0</v>
      </c>
      <c r="T25" s="422">
        <f t="shared" si="41"/>
        <v>0</v>
      </c>
      <c r="U25" s="2474"/>
      <c r="V25" s="416"/>
    </row>
    <row r="26" spans="1:26">
      <c r="A26" s="2471"/>
      <c r="B26" s="434" t="s">
        <v>27</v>
      </c>
      <c r="C26" s="435"/>
      <c r="D26" s="412">
        <f>+D45</f>
        <v>13481845</v>
      </c>
      <c r="E26" s="412">
        <f t="shared" ref="E26:P26" si="42">+E45</f>
        <v>0</v>
      </c>
      <c r="F26" s="412">
        <f t="shared" si="42"/>
        <v>0</v>
      </c>
      <c r="G26" s="412">
        <f t="shared" si="42"/>
        <v>0</v>
      </c>
      <c r="H26" s="412">
        <f t="shared" si="42"/>
        <v>0</v>
      </c>
      <c r="I26" s="412">
        <f t="shared" si="42"/>
        <v>4967381</v>
      </c>
      <c r="J26" s="412">
        <f t="shared" si="42"/>
        <v>2000000</v>
      </c>
      <c r="K26" s="412">
        <f t="shared" si="42"/>
        <v>3524600</v>
      </c>
      <c r="L26" s="412">
        <f t="shared" si="42"/>
        <v>1989864</v>
      </c>
      <c r="M26" s="412">
        <f t="shared" ref="M26" si="43">+M45</f>
        <v>12481845</v>
      </c>
      <c r="N26" s="412">
        <f t="shared" si="42"/>
        <v>1000000</v>
      </c>
      <c r="O26" s="412">
        <f t="shared" si="42"/>
        <v>0</v>
      </c>
      <c r="P26" s="412">
        <f t="shared" si="42"/>
        <v>0</v>
      </c>
      <c r="Q26" s="412">
        <f>+Q45</f>
        <v>0</v>
      </c>
      <c r="R26" s="412">
        <f>+R45</f>
        <v>0</v>
      </c>
      <c r="S26" s="412">
        <f t="shared" ref="S26:T26" si="44">+S45</f>
        <v>0</v>
      </c>
      <c r="T26" s="412">
        <f t="shared" si="44"/>
        <v>0</v>
      </c>
      <c r="U26" s="2474"/>
      <c r="V26" s="416"/>
    </row>
    <row r="27" spans="1:26" ht="12" customHeight="1">
      <c r="A27" s="2471"/>
      <c r="B27" s="434" t="s">
        <v>68</v>
      </c>
      <c r="C27" s="435"/>
      <c r="D27" s="412">
        <f>+D355</f>
        <v>30665000</v>
      </c>
      <c r="E27" s="412">
        <f t="shared" ref="E27:P27" si="45">+E355</f>
        <v>0</v>
      </c>
      <c r="F27" s="412">
        <f t="shared" si="45"/>
        <v>0</v>
      </c>
      <c r="G27" s="412">
        <f t="shared" si="45"/>
        <v>0</v>
      </c>
      <c r="H27" s="412">
        <f t="shared" si="45"/>
        <v>0</v>
      </c>
      <c r="I27" s="412">
        <f t="shared" si="45"/>
        <v>0</v>
      </c>
      <c r="J27" s="412">
        <f t="shared" si="45"/>
        <v>5665000</v>
      </c>
      <c r="K27" s="412">
        <f t="shared" si="45"/>
        <v>6250000</v>
      </c>
      <c r="L27" s="412">
        <f t="shared" si="45"/>
        <v>6250000</v>
      </c>
      <c r="M27" s="412">
        <f t="shared" ref="M27" si="46">+M355</f>
        <v>18165000</v>
      </c>
      <c r="N27" s="412">
        <f t="shared" si="45"/>
        <v>6250000</v>
      </c>
      <c r="O27" s="412">
        <f t="shared" si="45"/>
        <v>6250000</v>
      </c>
      <c r="P27" s="412">
        <f t="shared" si="45"/>
        <v>0</v>
      </c>
      <c r="Q27" s="412">
        <f>+Q355</f>
        <v>0</v>
      </c>
      <c r="R27" s="412">
        <f>+R355</f>
        <v>0</v>
      </c>
      <c r="S27" s="412">
        <f t="shared" ref="S27:T27" si="47">+S355</f>
        <v>0</v>
      </c>
      <c r="T27" s="412">
        <f t="shared" si="47"/>
        <v>0</v>
      </c>
      <c r="U27" s="2474"/>
      <c r="V27" s="416"/>
    </row>
    <row r="28" spans="1:26" ht="12" customHeight="1">
      <c r="A28" s="2471"/>
      <c r="B28" s="410" t="s">
        <v>29</v>
      </c>
      <c r="C28" s="436"/>
      <c r="D28" s="412">
        <f>+D46</f>
        <v>42006301</v>
      </c>
      <c r="E28" s="412">
        <f t="shared" ref="E28:P29" si="48">+E46</f>
        <v>0</v>
      </c>
      <c r="F28" s="412">
        <f t="shared" si="48"/>
        <v>0</v>
      </c>
      <c r="G28" s="412">
        <f t="shared" si="48"/>
        <v>0</v>
      </c>
      <c r="H28" s="412">
        <f t="shared" si="48"/>
        <v>0</v>
      </c>
      <c r="I28" s="412">
        <f t="shared" si="48"/>
        <v>0</v>
      </c>
      <c r="J28" s="412">
        <f t="shared" si="48"/>
        <v>18718271</v>
      </c>
      <c r="K28" s="412">
        <f t="shared" si="48"/>
        <v>16003036</v>
      </c>
      <c r="L28" s="412">
        <f t="shared" si="48"/>
        <v>3705956</v>
      </c>
      <c r="M28" s="412">
        <f t="shared" ref="M28" si="49">+M46</f>
        <v>38427263</v>
      </c>
      <c r="N28" s="412">
        <f t="shared" si="48"/>
        <v>2875044</v>
      </c>
      <c r="O28" s="412">
        <f t="shared" si="48"/>
        <v>703994</v>
      </c>
      <c r="P28" s="412">
        <f t="shared" si="48"/>
        <v>0</v>
      </c>
      <c r="Q28" s="412">
        <f>+Q46</f>
        <v>0</v>
      </c>
      <c r="R28" s="412">
        <f>+R46</f>
        <v>0</v>
      </c>
      <c r="S28" s="412">
        <f t="shared" ref="S28:T28" si="50">+S46</f>
        <v>0</v>
      </c>
      <c r="T28" s="412">
        <f t="shared" si="50"/>
        <v>0</v>
      </c>
      <c r="U28" s="2474"/>
      <c r="V28" s="416"/>
    </row>
    <row r="29" spans="1:26" ht="12" customHeight="1">
      <c r="A29" s="2471"/>
      <c r="B29" s="410" t="s">
        <v>101</v>
      </c>
      <c r="C29" s="436"/>
      <c r="D29" s="412">
        <f>+D47</f>
        <v>841481</v>
      </c>
      <c r="E29" s="412">
        <f t="shared" si="48"/>
        <v>0</v>
      </c>
      <c r="F29" s="412">
        <f t="shared" si="48"/>
        <v>0</v>
      </c>
      <c r="G29" s="412">
        <f t="shared" si="48"/>
        <v>0</v>
      </c>
      <c r="H29" s="412">
        <f t="shared" si="48"/>
        <v>0</v>
      </c>
      <c r="I29" s="412">
        <f t="shared" si="48"/>
        <v>0</v>
      </c>
      <c r="J29" s="412">
        <f t="shared" si="48"/>
        <v>0</v>
      </c>
      <c r="K29" s="412">
        <f t="shared" si="48"/>
        <v>0</v>
      </c>
      <c r="L29" s="412">
        <f t="shared" si="48"/>
        <v>841481</v>
      </c>
      <c r="M29" s="412">
        <f t="shared" ref="M29" si="51">+M47</f>
        <v>841481</v>
      </c>
      <c r="N29" s="412">
        <f t="shared" si="48"/>
        <v>0</v>
      </c>
      <c r="O29" s="412">
        <f t="shared" si="48"/>
        <v>0</v>
      </c>
      <c r="P29" s="412">
        <f t="shared" si="48"/>
        <v>0</v>
      </c>
      <c r="Q29" s="412">
        <f>+Q47</f>
        <v>0</v>
      </c>
      <c r="R29" s="412">
        <f>+R47</f>
        <v>0</v>
      </c>
      <c r="S29" s="412">
        <f t="shared" ref="S29:T29" si="52">+S47</f>
        <v>0</v>
      </c>
      <c r="T29" s="412">
        <f t="shared" si="52"/>
        <v>0</v>
      </c>
      <c r="U29" s="2474"/>
      <c r="V29" s="416"/>
    </row>
    <row r="30" spans="1:26" ht="12.75" customHeight="1">
      <c r="A30" s="2471"/>
      <c r="B30" s="437" t="s">
        <v>30</v>
      </c>
      <c r="C30" s="438"/>
      <c r="D30" s="432">
        <f>+D31+D32+D33+D34</f>
        <v>651120810</v>
      </c>
      <c r="E30" s="432">
        <f t="shared" ref="E30:P30" si="53">+E31+E32+E33+E34</f>
        <v>0</v>
      </c>
      <c r="F30" s="432">
        <f t="shared" si="53"/>
        <v>0</v>
      </c>
      <c r="G30" s="432">
        <f t="shared" si="53"/>
        <v>0</v>
      </c>
      <c r="H30" s="432">
        <f t="shared" si="53"/>
        <v>0</v>
      </c>
      <c r="I30" s="432">
        <f t="shared" si="53"/>
        <v>5451106</v>
      </c>
      <c r="J30" s="432">
        <f t="shared" si="53"/>
        <v>32935518</v>
      </c>
      <c r="K30" s="432">
        <f t="shared" si="53"/>
        <v>61992579</v>
      </c>
      <c r="L30" s="432">
        <f t="shared" si="53"/>
        <v>108394991</v>
      </c>
      <c r="M30" s="432">
        <f t="shared" ref="M30" si="54">+M31+M32+M33+M34</f>
        <v>208774194</v>
      </c>
      <c r="N30" s="432">
        <f>+N31+N32+N33+N34</f>
        <v>172537925</v>
      </c>
      <c r="O30" s="432">
        <f t="shared" si="53"/>
        <v>126750066</v>
      </c>
      <c r="P30" s="432">
        <f t="shared" si="53"/>
        <v>119967863</v>
      </c>
      <c r="Q30" s="432">
        <f>+Q31+Q32+Q33+Q34</f>
        <v>23090762</v>
      </c>
      <c r="R30" s="432">
        <f>+R31+R32+R33+R34</f>
        <v>0</v>
      </c>
      <c r="S30" s="432">
        <f t="shared" ref="S30:T30" si="55">+S31+S32+S33+S34</f>
        <v>0</v>
      </c>
      <c r="T30" s="432">
        <f t="shared" si="55"/>
        <v>0</v>
      </c>
      <c r="U30" s="2474"/>
      <c r="V30" s="416"/>
    </row>
    <row r="31" spans="1:26" ht="3" hidden="1" customHeight="1">
      <c r="A31" s="2471"/>
      <c r="B31" s="420" t="s">
        <v>29</v>
      </c>
      <c r="C31" s="421"/>
      <c r="D31" s="412">
        <f>+D49</f>
        <v>0</v>
      </c>
      <c r="E31" s="412">
        <f t="shared" ref="E31:R31" si="56">+E49</f>
        <v>0</v>
      </c>
      <c r="F31" s="412">
        <f t="shared" si="56"/>
        <v>0</v>
      </c>
      <c r="G31" s="412">
        <f t="shared" si="56"/>
        <v>0</v>
      </c>
      <c r="H31" s="412">
        <f t="shared" si="56"/>
        <v>0</v>
      </c>
      <c r="I31" s="412">
        <f t="shared" si="56"/>
        <v>0</v>
      </c>
      <c r="J31" s="412">
        <f t="shared" si="56"/>
        <v>0</v>
      </c>
      <c r="K31" s="412">
        <f t="shared" si="56"/>
        <v>0</v>
      </c>
      <c r="L31" s="412">
        <f t="shared" si="56"/>
        <v>0</v>
      </c>
      <c r="M31" s="412">
        <f t="shared" ref="M31" si="57">+M49</f>
        <v>0</v>
      </c>
      <c r="N31" s="412">
        <f t="shared" si="56"/>
        <v>0</v>
      </c>
      <c r="O31" s="412">
        <f t="shared" si="56"/>
        <v>0</v>
      </c>
      <c r="P31" s="412">
        <f t="shared" si="56"/>
        <v>0</v>
      </c>
      <c r="Q31" s="412">
        <f t="shared" si="56"/>
        <v>0</v>
      </c>
      <c r="R31" s="412">
        <f t="shared" si="56"/>
        <v>0</v>
      </c>
      <c r="S31" s="412">
        <f t="shared" ref="S31:T31" si="58">+S49</f>
        <v>0</v>
      </c>
      <c r="T31" s="412">
        <f t="shared" si="58"/>
        <v>0</v>
      </c>
      <c r="U31" s="2474"/>
      <c r="V31" s="416"/>
    </row>
    <row r="32" spans="1:26" ht="11.25" customHeight="1">
      <c r="A32" s="2471"/>
      <c r="B32" s="424" t="s">
        <v>32</v>
      </c>
      <c r="C32" s="415"/>
      <c r="D32" s="439">
        <f t="shared" ref="D32:Q32" si="59">+D323+D394</f>
        <v>12640241</v>
      </c>
      <c r="E32" s="439">
        <f t="shared" si="59"/>
        <v>0</v>
      </c>
      <c r="F32" s="439">
        <f t="shared" si="59"/>
        <v>0</v>
      </c>
      <c r="G32" s="439">
        <f t="shared" si="59"/>
        <v>0</v>
      </c>
      <c r="H32" s="439">
        <f t="shared" si="59"/>
        <v>0</v>
      </c>
      <c r="I32" s="439">
        <f t="shared" si="59"/>
        <v>0</v>
      </c>
      <c r="J32" s="439">
        <f t="shared" si="59"/>
        <v>842747</v>
      </c>
      <c r="K32" s="439">
        <f t="shared" si="59"/>
        <v>0</v>
      </c>
      <c r="L32" s="439">
        <f t="shared" si="59"/>
        <v>4065081</v>
      </c>
      <c r="M32" s="439">
        <f t="shared" si="59"/>
        <v>4907828</v>
      </c>
      <c r="N32" s="439">
        <f t="shared" si="59"/>
        <v>82413</v>
      </c>
      <c r="O32" s="439">
        <f t="shared" si="59"/>
        <v>0</v>
      </c>
      <c r="P32" s="439">
        <f t="shared" si="59"/>
        <v>2550000</v>
      </c>
      <c r="Q32" s="439">
        <f t="shared" si="59"/>
        <v>5100000</v>
      </c>
      <c r="R32" s="439">
        <f>+R323</f>
        <v>0</v>
      </c>
      <c r="S32" s="439">
        <f t="shared" ref="S32:T32" si="60">+S323</f>
        <v>0</v>
      </c>
      <c r="T32" s="439">
        <f t="shared" si="60"/>
        <v>0</v>
      </c>
      <c r="U32" s="2474"/>
      <c r="V32" s="416"/>
      <c r="W32" s="1258">
        <f>D33-D21</f>
        <v>0</v>
      </c>
    </row>
    <row r="33" spans="1:24">
      <c r="A33" s="2471"/>
      <c r="B33" s="424" t="s">
        <v>33</v>
      </c>
      <c r="C33" s="440"/>
      <c r="D33" s="439">
        <f t="shared" ref="D33:T33" si="61">+D50+D357</f>
        <v>638480569</v>
      </c>
      <c r="E33" s="439">
        <f t="shared" si="61"/>
        <v>0</v>
      </c>
      <c r="F33" s="439">
        <f t="shared" si="61"/>
        <v>0</v>
      </c>
      <c r="G33" s="439">
        <f t="shared" si="61"/>
        <v>0</v>
      </c>
      <c r="H33" s="439">
        <f t="shared" si="61"/>
        <v>0</v>
      </c>
      <c r="I33" s="439">
        <f t="shared" si="61"/>
        <v>5451106</v>
      </c>
      <c r="J33" s="439">
        <f t="shared" si="61"/>
        <v>32092771</v>
      </c>
      <c r="K33" s="439">
        <f t="shared" si="61"/>
        <v>61992579</v>
      </c>
      <c r="L33" s="439">
        <f t="shared" si="61"/>
        <v>104329910</v>
      </c>
      <c r="M33" s="439">
        <f t="shared" si="61"/>
        <v>203866366</v>
      </c>
      <c r="N33" s="439">
        <f t="shared" si="61"/>
        <v>172455512</v>
      </c>
      <c r="O33" s="439">
        <f t="shared" si="61"/>
        <v>126750066</v>
      </c>
      <c r="P33" s="439">
        <f t="shared" si="61"/>
        <v>117417863</v>
      </c>
      <c r="Q33" s="439">
        <f t="shared" si="61"/>
        <v>17990762</v>
      </c>
      <c r="R33" s="439">
        <f t="shared" si="61"/>
        <v>0</v>
      </c>
      <c r="S33" s="439">
        <f t="shared" si="61"/>
        <v>0</v>
      </c>
      <c r="T33" s="439">
        <f t="shared" si="61"/>
        <v>0</v>
      </c>
      <c r="U33" s="2474"/>
      <c r="V33" s="416"/>
    </row>
    <row r="34" spans="1:24" s="1313" customFormat="1" ht="13.5" thickBot="1">
      <c r="A34" s="2472"/>
      <c r="B34" s="441" t="s">
        <v>100</v>
      </c>
      <c r="C34" s="442"/>
      <c r="D34" s="443">
        <f>+D358</f>
        <v>0</v>
      </c>
      <c r="E34" s="443">
        <f t="shared" ref="E34:P34" si="62">+E358</f>
        <v>0</v>
      </c>
      <c r="F34" s="443">
        <f t="shared" si="62"/>
        <v>0</v>
      </c>
      <c r="G34" s="443">
        <f t="shared" si="62"/>
        <v>0</v>
      </c>
      <c r="H34" s="443">
        <f t="shared" si="62"/>
        <v>0</v>
      </c>
      <c r="I34" s="443">
        <f t="shared" si="62"/>
        <v>0</v>
      </c>
      <c r="J34" s="443">
        <f t="shared" si="62"/>
        <v>0</v>
      </c>
      <c r="K34" s="443">
        <f t="shared" si="62"/>
        <v>0</v>
      </c>
      <c r="L34" s="443">
        <f t="shared" si="62"/>
        <v>0</v>
      </c>
      <c r="M34" s="443">
        <f t="shared" ref="M34" si="63">+M358</f>
        <v>0</v>
      </c>
      <c r="N34" s="443">
        <f t="shared" si="62"/>
        <v>0</v>
      </c>
      <c r="O34" s="443">
        <f t="shared" si="62"/>
        <v>0</v>
      </c>
      <c r="P34" s="443">
        <f t="shared" si="62"/>
        <v>0</v>
      </c>
      <c r="Q34" s="443">
        <f>+Q358</f>
        <v>0</v>
      </c>
      <c r="R34" s="443">
        <f>+R358</f>
        <v>0</v>
      </c>
      <c r="S34" s="443">
        <f t="shared" ref="S34:T34" si="64">+S358</f>
        <v>0</v>
      </c>
      <c r="T34" s="443">
        <f t="shared" si="64"/>
        <v>0</v>
      </c>
      <c r="U34" s="2475"/>
      <c r="V34" s="416"/>
    </row>
    <row r="35" spans="1:24" ht="15" customHeight="1">
      <c r="A35" s="2192" t="s">
        <v>358</v>
      </c>
      <c r="B35" s="2062" t="s">
        <v>387</v>
      </c>
      <c r="C35" s="444"/>
      <c r="D35" s="445"/>
      <c r="E35" s="446"/>
      <c r="F35" s="446"/>
      <c r="G35" s="446"/>
      <c r="H35" s="447"/>
      <c r="I35" s="446"/>
      <c r="J35" s="448"/>
      <c r="K35" s="448"/>
      <c r="L35" s="448"/>
      <c r="M35" s="449"/>
      <c r="N35" s="449"/>
      <c r="O35" s="449"/>
      <c r="P35" s="449"/>
      <c r="Q35" s="449"/>
      <c r="R35" s="449"/>
      <c r="S35" s="449"/>
      <c r="T35" s="449"/>
      <c r="U35" s="450"/>
      <c r="V35" s="451"/>
    </row>
    <row r="36" spans="1:24" ht="13.5" customHeight="1">
      <c r="A36" s="2192"/>
      <c r="B36" s="452" t="s">
        <v>22</v>
      </c>
      <c r="C36" s="428"/>
      <c r="D36" s="453">
        <f>+D37+D41</f>
        <v>579189778</v>
      </c>
      <c r="E36" s="453">
        <f t="shared" ref="E36:P36" si="65">+E37+E41</f>
        <v>4641611</v>
      </c>
      <c r="F36" s="453">
        <f t="shared" si="65"/>
        <v>49287</v>
      </c>
      <c r="G36" s="453">
        <f t="shared" si="65"/>
        <v>306971</v>
      </c>
      <c r="H36" s="453">
        <f t="shared" si="65"/>
        <v>4029833</v>
      </c>
      <c r="I36" s="453">
        <f t="shared" si="65"/>
        <v>26381646</v>
      </c>
      <c r="J36" s="453">
        <f t="shared" si="65"/>
        <v>74118948</v>
      </c>
      <c r="K36" s="453">
        <f t="shared" si="65"/>
        <v>86743484</v>
      </c>
      <c r="L36" s="453">
        <f t="shared" si="65"/>
        <v>94122268</v>
      </c>
      <c r="M36" s="453">
        <f t="shared" ref="M36" si="66">+M37+M41</f>
        <v>286497858</v>
      </c>
      <c r="N36" s="453">
        <f t="shared" si="65"/>
        <v>93682727</v>
      </c>
      <c r="O36" s="453">
        <f t="shared" si="65"/>
        <v>73894016</v>
      </c>
      <c r="P36" s="453">
        <f t="shared" si="65"/>
        <v>105926151</v>
      </c>
      <c r="Q36" s="453">
        <f>+Q37+Q41</f>
        <v>19189026</v>
      </c>
      <c r="R36" s="453">
        <f>+R37+R41</f>
        <v>0</v>
      </c>
      <c r="S36" s="453">
        <f t="shared" ref="S36:T36" si="67">+S37+S41</f>
        <v>0</v>
      </c>
      <c r="T36" s="453">
        <f t="shared" si="67"/>
        <v>0</v>
      </c>
      <c r="U36" s="454">
        <f>+U37+U41</f>
        <v>199009193</v>
      </c>
      <c r="V36" s="451"/>
      <c r="W36" s="1903">
        <f>+O36+P36</f>
        <v>179820167</v>
      </c>
    </row>
    <row r="37" spans="1:24" s="1064" customFormat="1" ht="13.5" customHeight="1">
      <c r="A37" s="2192"/>
      <c r="B37" s="455" t="s">
        <v>36</v>
      </c>
      <c r="C37" s="456"/>
      <c r="D37" s="457">
        <f>+D38+D39+D40</f>
        <v>120576871</v>
      </c>
      <c r="E37" s="457">
        <f>+E38+E39+E40</f>
        <v>4194223</v>
      </c>
      <c r="F37" s="457">
        <f t="shared" ref="F37:P37" si="68">+F38+F39+F40</f>
        <v>49287</v>
      </c>
      <c r="G37" s="457">
        <f t="shared" si="68"/>
        <v>155285</v>
      </c>
      <c r="H37" s="457">
        <f t="shared" si="68"/>
        <v>3933542</v>
      </c>
      <c r="I37" s="457">
        <f t="shared" ref="I37:N37" si="69">+I38+I39+I40</f>
        <v>8721047</v>
      </c>
      <c r="J37" s="457">
        <f t="shared" si="69"/>
        <v>40355780</v>
      </c>
      <c r="K37" s="457">
        <f t="shared" si="69"/>
        <v>20315452</v>
      </c>
      <c r="L37" s="457">
        <f t="shared" si="69"/>
        <v>10487809</v>
      </c>
      <c r="M37" s="457">
        <f t="shared" si="69"/>
        <v>84564212</v>
      </c>
      <c r="N37" s="457">
        <f t="shared" si="69"/>
        <v>10081693</v>
      </c>
      <c r="O37" s="457">
        <f t="shared" si="68"/>
        <v>4696439</v>
      </c>
      <c r="P37" s="457">
        <f t="shared" si="68"/>
        <v>15636173</v>
      </c>
      <c r="Q37" s="457">
        <f>+Q38+Q39+Q40</f>
        <v>5598354</v>
      </c>
      <c r="R37" s="457">
        <f>+R38+R39+R40</f>
        <v>0</v>
      </c>
      <c r="S37" s="457">
        <f t="shared" ref="S37:T37" si="70">+S38+S39+S40</f>
        <v>0</v>
      </c>
      <c r="T37" s="457">
        <f t="shared" si="70"/>
        <v>0</v>
      </c>
      <c r="U37" s="458">
        <f>+U38+U39+U40</f>
        <v>25930966</v>
      </c>
      <c r="V37" s="451"/>
      <c r="X37" s="1063"/>
    </row>
    <row r="38" spans="1:24" ht="13.5" customHeight="1">
      <c r="A38" s="2192"/>
      <c r="B38" s="459" t="s">
        <v>24</v>
      </c>
      <c r="C38" s="460"/>
      <c r="D38" s="461">
        <f t="shared" ref="D38:T38" si="71">+D124+D294+D133+D306+D145+D82+D154+D166+D175+D187++D198+D278+D98+D207+D112+D219+D228+D269++D54+D254+D68+D244</f>
        <v>65088725</v>
      </c>
      <c r="E38" s="461">
        <f t="shared" si="71"/>
        <v>260308</v>
      </c>
      <c r="F38" s="461">
        <f t="shared" si="71"/>
        <v>49287</v>
      </c>
      <c r="G38" s="461">
        <f t="shared" si="71"/>
        <v>112274</v>
      </c>
      <c r="H38" s="461">
        <f t="shared" si="71"/>
        <v>58749</v>
      </c>
      <c r="I38" s="461">
        <f t="shared" si="71"/>
        <v>6609794</v>
      </c>
      <c r="J38" s="461">
        <f t="shared" si="71"/>
        <v>8392206</v>
      </c>
      <c r="K38" s="461">
        <f t="shared" si="71"/>
        <v>7395154</v>
      </c>
      <c r="L38" s="461">
        <f t="shared" si="71"/>
        <v>8525903</v>
      </c>
      <c r="M38" s="461">
        <f t="shared" si="71"/>
        <v>31673266</v>
      </c>
      <c r="N38" s="461">
        <f t="shared" si="71"/>
        <v>7487524</v>
      </c>
      <c r="O38" s="461">
        <f t="shared" si="71"/>
        <v>4693408</v>
      </c>
      <c r="P38" s="461">
        <f t="shared" si="71"/>
        <v>15636173</v>
      </c>
      <c r="Q38" s="461">
        <f t="shared" si="71"/>
        <v>5598354</v>
      </c>
      <c r="R38" s="461">
        <f t="shared" si="71"/>
        <v>0</v>
      </c>
      <c r="S38" s="461">
        <f t="shared" si="71"/>
        <v>0</v>
      </c>
      <c r="T38" s="461">
        <f t="shared" si="71"/>
        <v>0</v>
      </c>
      <c r="U38" s="462">
        <f>SUM(O38:T38)</f>
        <v>25927935</v>
      </c>
      <c r="V38" s="463"/>
      <c r="W38" s="1258"/>
      <c r="X38" s="1063"/>
    </row>
    <row r="39" spans="1:24" ht="12" customHeight="1">
      <c r="A39" s="2192"/>
      <c r="B39" s="464" t="s">
        <v>27</v>
      </c>
      <c r="C39" s="465"/>
      <c r="D39" s="461">
        <f t="shared" ref="D39:T39" si="72">+D295+D134+D307+D155+D176+D256+D280+D84+D208</f>
        <v>13481845</v>
      </c>
      <c r="E39" s="461">
        <f t="shared" si="72"/>
        <v>3643961</v>
      </c>
      <c r="F39" s="461">
        <f t="shared" si="72"/>
        <v>0</v>
      </c>
      <c r="G39" s="461">
        <f t="shared" si="72"/>
        <v>0</v>
      </c>
      <c r="H39" s="461">
        <f t="shared" si="72"/>
        <v>3643961</v>
      </c>
      <c r="I39" s="461">
        <f t="shared" si="72"/>
        <v>1323420</v>
      </c>
      <c r="J39" s="461">
        <f t="shared" si="72"/>
        <v>2000000</v>
      </c>
      <c r="K39" s="461">
        <f t="shared" si="72"/>
        <v>5514464</v>
      </c>
      <c r="L39" s="461">
        <f t="shared" si="72"/>
        <v>0</v>
      </c>
      <c r="M39" s="461">
        <f t="shared" si="72"/>
        <v>12481845</v>
      </c>
      <c r="N39" s="461">
        <f t="shared" si="72"/>
        <v>1000000</v>
      </c>
      <c r="O39" s="461">
        <f t="shared" si="72"/>
        <v>0</v>
      </c>
      <c r="P39" s="461">
        <f t="shared" si="72"/>
        <v>0</v>
      </c>
      <c r="Q39" s="461">
        <f t="shared" si="72"/>
        <v>0</v>
      </c>
      <c r="R39" s="461">
        <f t="shared" si="72"/>
        <v>0</v>
      </c>
      <c r="S39" s="461">
        <f t="shared" si="72"/>
        <v>0</v>
      </c>
      <c r="T39" s="461">
        <f t="shared" si="72"/>
        <v>0</v>
      </c>
      <c r="U39" s="462">
        <f>SUM(O39:T39)</f>
        <v>0</v>
      </c>
      <c r="V39" s="463"/>
      <c r="W39" s="1258">
        <f>D39-D45</f>
        <v>0</v>
      </c>
      <c r="X39" s="1063"/>
    </row>
    <row r="40" spans="1:24" ht="12" customHeight="1">
      <c r="A40" s="2192"/>
      <c r="B40" s="464" t="s">
        <v>29</v>
      </c>
      <c r="C40" s="465"/>
      <c r="D40" s="461">
        <f t="shared" ref="D40:T40" si="73">+D55+D255+D69+D279+D99+D83+D113</f>
        <v>42006301</v>
      </c>
      <c r="E40" s="461">
        <f t="shared" si="73"/>
        <v>289954</v>
      </c>
      <c r="F40" s="461">
        <f t="shared" si="73"/>
        <v>0</v>
      </c>
      <c r="G40" s="461">
        <f t="shared" si="73"/>
        <v>43011</v>
      </c>
      <c r="H40" s="461">
        <f t="shared" si="73"/>
        <v>230832</v>
      </c>
      <c r="I40" s="461">
        <f t="shared" si="73"/>
        <v>787833</v>
      </c>
      <c r="J40" s="461">
        <f t="shared" si="73"/>
        <v>29963574</v>
      </c>
      <c r="K40" s="461">
        <f t="shared" si="73"/>
        <v>7405834</v>
      </c>
      <c r="L40" s="461">
        <f t="shared" si="73"/>
        <v>1961906</v>
      </c>
      <c r="M40" s="461">
        <f t="shared" si="73"/>
        <v>40409101</v>
      </c>
      <c r="N40" s="461">
        <f t="shared" si="73"/>
        <v>1594169</v>
      </c>
      <c r="O40" s="461">
        <f t="shared" si="73"/>
        <v>3031</v>
      </c>
      <c r="P40" s="461">
        <f t="shared" si="73"/>
        <v>0</v>
      </c>
      <c r="Q40" s="461">
        <f t="shared" si="73"/>
        <v>0</v>
      </c>
      <c r="R40" s="461">
        <f t="shared" si="73"/>
        <v>0</v>
      </c>
      <c r="S40" s="461">
        <f t="shared" si="73"/>
        <v>0</v>
      </c>
      <c r="T40" s="461">
        <f t="shared" si="73"/>
        <v>0</v>
      </c>
      <c r="U40" s="462">
        <f>SUM(O40:T40)</f>
        <v>3031</v>
      </c>
      <c r="V40" s="463"/>
      <c r="W40" s="1258">
        <f>D40-D46</f>
        <v>0</v>
      </c>
      <c r="X40" s="1063"/>
    </row>
    <row r="41" spans="1:24" s="1064" customFormat="1" ht="14.25" customHeight="1">
      <c r="A41" s="2192"/>
      <c r="B41" s="466" t="s">
        <v>30</v>
      </c>
      <c r="C41" s="467"/>
      <c r="D41" s="457">
        <f>+D42</f>
        <v>458612907</v>
      </c>
      <c r="E41" s="457">
        <f t="shared" ref="E41:T41" si="74">+E42</f>
        <v>447388</v>
      </c>
      <c r="F41" s="457">
        <f t="shared" si="74"/>
        <v>0</v>
      </c>
      <c r="G41" s="457">
        <f t="shared" si="74"/>
        <v>151686</v>
      </c>
      <c r="H41" s="457">
        <f t="shared" si="74"/>
        <v>96291</v>
      </c>
      <c r="I41" s="457">
        <f t="shared" si="74"/>
        <v>17660599</v>
      </c>
      <c r="J41" s="457">
        <f t="shared" si="74"/>
        <v>33763168</v>
      </c>
      <c r="K41" s="457">
        <f t="shared" si="74"/>
        <v>66428032</v>
      </c>
      <c r="L41" s="457">
        <f t="shared" si="74"/>
        <v>83634459</v>
      </c>
      <c r="M41" s="457">
        <f t="shared" si="74"/>
        <v>201933646</v>
      </c>
      <c r="N41" s="457">
        <f t="shared" si="74"/>
        <v>83601034</v>
      </c>
      <c r="O41" s="457">
        <f t="shared" si="74"/>
        <v>69197577</v>
      </c>
      <c r="P41" s="457">
        <f t="shared" si="74"/>
        <v>90289978</v>
      </c>
      <c r="Q41" s="457">
        <f t="shared" si="74"/>
        <v>13590672</v>
      </c>
      <c r="R41" s="457">
        <f t="shared" si="74"/>
        <v>0</v>
      </c>
      <c r="S41" s="457">
        <f t="shared" si="74"/>
        <v>0</v>
      </c>
      <c r="T41" s="457">
        <f t="shared" si="74"/>
        <v>0</v>
      </c>
      <c r="U41" s="468">
        <f>+U42</f>
        <v>173078227</v>
      </c>
      <c r="V41" s="463"/>
      <c r="X41" s="1063"/>
    </row>
    <row r="42" spans="1:24" ht="11.25" customHeight="1">
      <c r="A42" s="2192"/>
      <c r="B42" s="470" t="s">
        <v>33</v>
      </c>
      <c r="C42" s="471"/>
      <c r="D42" s="472">
        <f t="shared" ref="D42:T42" si="75">+D126+D297+D58+D258+D72+D136+D309+D147+D87+D157+D168+D178+D189+D200+D283+D102+D210+D115+D221+D230+D271+D237+D246</f>
        <v>458612907</v>
      </c>
      <c r="E42" s="472">
        <f t="shared" si="75"/>
        <v>447388</v>
      </c>
      <c r="F42" s="472">
        <f t="shared" si="75"/>
        <v>0</v>
      </c>
      <c r="G42" s="472">
        <f t="shared" si="75"/>
        <v>151686</v>
      </c>
      <c r="H42" s="472">
        <f t="shared" si="75"/>
        <v>96291</v>
      </c>
      <c r="I42" s="472">
        <f t="shared" si="75"/>
        <v>17660599</v>
      </c>
      <c r="J42" s="472">
        <f t="shared" si="75"/>
        <v>33763168</v>
      </c>
      <c r="K42" s="472">
        <f t="shared" si="75"/>
        <v>66428032</v>
      </c>
      <c r="L42" s="472">
        <f t="shared" si="75"/>
        <v>83634459</v>
      </c>
      <c r="M42" s="472">
        <f t="shared" si="75"/>
        <v>201933646</v>
      </c>
      <c r="N42" s="472">
        <f t="shared" si="75"/>
        <v>83601034</v>
      </c>
      <c r="O42" s="472">
        <f t="shared" si="75"/>
        <v>69197577</v>
      </c>
      <c r="P42" s="472">
        <f t="shared" si="75"/>
        <v>90289978</v>
      </c>
      <c r="Q42" s="472">
        <f t="shared" si="75"/>
        <v>13590672</v>
      </c>
      <c r="R42" s="472">
        <f t="shared" si="75"/>
        <v>0</v>
      </c>
      <c r="S42" s="472">
        <f t="shared" si="75"/>
        <v>0</v>
      </c>
      <c r="T42" s="472">
        <f t="shared" si="75"/>
        <v>0</v>
      </c>
      <c r="U42" s="462">
        <f>SUM(O42:T42)</f>
        <v>173078227</v>
      </c>
      <c r="V42" s="451"/>
      <c r="W42" s="1258">
        <f>D42-D50</f>
        <v>0</v>
      </c>
      <c r="X42" s="1063"/>
    </row>
    <row r="43" spans="1:24" ht="14.25" customHeight="1">
      <c r="A43" s="2192"/>
      <c r="B43" s="427" t="s">
        <v>34</v>
      </c>
      <c r="C43" s="428"/>
      <c r="D43" s="453">
        <f>+D44+D48</f>
        <v>514942534</v>
      </c>
      <c r="E43" s="453">
        <f t="shared" ref="E43:P43" si="76">+E44+E48</f>
        <v>0</v>
      </c>
      <c r="F43" s="453">
        <f t="shared" si="76"/>
        <v>0</v>
      </c>
      <c r="G43" s="453">
        <f t="shared" si="76"/>
        <v>0</v>
      </c>
      <c r="H43" s="453">
        <f t="shared" si="76"/>
        <v>0</v>
      </c>
      <c r="I43" s="453">
        <f t="shared" si="76"/>
        <v>10418487</v>
      </c>
      <c r="J43" s="453">
        <f t="shared" si="76"/>
        <v>52811042</v>
      </c>
      <c r="K43" s="453">
        <f t="shared" si="76"/>
        <v>81520215</v>
      </c>
      <c r="L43" s="453">
        <f t="shared" si="76"/>
        <v>75350331</v>
      </c>
      <c r="M43" s="453">
        <f t="shared" ref="M43" si="77">+M44+M48</f>
        <v>220100075</v>
      </c>
      <c r="N43" s="453">
        <f t="shared" si="76"/>
        <v>103246956</v>
      </c>
      <c r="O43" s="453">
        <f t="shared" si="76"/>
        <v>77374877</v>
      </c>
      <c r="P43" s="453">
        <f t="shared" si="76"/>
        <v>96229864</v>
      </c>
      <c r="Q43" s="453">
        <f>+Q44+Q48</f>
        <v>17990762</v>
      </c>
      <c r="R43" s="453">
        <f>+R44+R48</f>
        <v>0</v>
      </c>
      <c r="S43" s="453">
        <f t="shared" ref="S43:T43" si="78">+S44+S48</f>
        <v>0</v>
      </c>
      <c r="T43" s="453">
        <f t="shared" si="78"/>
        <v>0</v>
      </c>
      <c r="U43" s="473"/>
      <c r="V43" s="463"/>
    </row>
    <row r="44" spans="1:24" ht="12.75" customHeight="1">
      <c r="A44" s="2192"/>
      <c r="B44" s="474" t="s">
        <v>36</v>
      </c>
      <c r="C44" s="475"/>
      <c r="D44" s="476">
        <f>+D45+D46+D47</f>
        <v>56329627</v>
      </c>
      <c r="E44" s="476">
        <f t="shared" ref="E44:P44" si="79">+E45+E46+E47</f>
        <v>0</v>
      </c>
      <c r="F44" s="476">
        <f t="shared" si="79"/>
        <v>0</v>
      </c>
      <c r="G44" s="476">
        <f t="shared" si="79"/>
        <v>0</v>
      </c>
      <c r="H44" s="476">
        <f t="shared" si="79"/>
        <v>0</v>
      </c>
      <c r="I44" s="476">
        <f t="shared" si="79"/>
        <v>4967381</v>
      </c>
      <c r="J44" s="476">
        <f t="shared" si="79"/>
        <v>20718271</v>
      </c>
      <c r="K44" s="476">
        <f t="shared" si="79"/>
        <v>19527636</v>
      </c>
      <c r="L44" s="476">
        <f t="shared" si="79"/>
        <v>6537301</v>
      </c>
      <c r="M44" s="476">
        <f t="shared" ref="M44" si="80">+M45+M46+M47</f>
        <v>51750589</v>
      </c>
      <c r="N44" s="476">
        <f t="shared" si="79"/>
        <v>3875044</v>
      </c>
      <c r="O44" s="476">
        <f t="shared" si="79"/>
        <v>703994</v>
      </c>
      <c r="P44" s="476">
        <f t="shared" si="79"/>
        <v>0</v>
      </c>
      <c r="Q44" s="476">
        <f>+Q45+Q46+Q47</f>
        <v>0</v>
      </c>
      <c r="R44" s="476">
        <f>+R45+R46+R47</f>
        <v>0</v>
      </c>
      <c r="S44" s="476">
        <f t="shared" ref="S44:T44" si="81">+S45+S46+S47</f>
        <v>0</v>
      </c>
      <c r="T44" s="476">
        <f t="shared" si="81"/>
        <v>0</v>
      </c>
      <c r="U44" s="2476" t="s">
        <v>35</v>
      </c>
      <c r="V44" s="463"/>
      <c r="W44" s="1258"/>
    </row>
    <row r="45" spans="1:24" ht="11.25" customHeight="1">
      <c r="A45" s="2192"/>
      <c r="B45" s="477" t="s">
        <v>27</v>
      </c>
      <c r="C45" s="478"/>
      <c r="D45" s="469">
        <f t="shared" ref="D45:T45" si="82">+D300+D139+D312+D160+D181+D262+D287+D91+D213</f>
        <v>13481845</v>
      </c>
      <c r="E45" s="469">
        <f t="shared" si="82"/>
        <v>0</v>
      </c>
      <c r="F45" s="469">
        <f t="shared" si="82"/>
        <v>0</v>
      </c>
      <c r="G45" s="469">
        <f t="shared" si="82"/>
        <v>0</v>
      </c>
      <c r="H45" s="469">
        <f t="shared" si="82"/>
        <v>0</v>
      </c>
      <c r="I45" s="469">
        <f t="shared" si="82"/>
        <v>4967381</v>
      </c>
      <c r="J45" s="469">
        <f t="shared" si="82"/>
        <v>2000000</v>
      </c>
      <c r="K45" s="469">
        <f t="shared" si="82"/>
        <v>3524600</v>
      </c>
      <c r="L45" s="469">
        <f t="shared" si="82"/>
        <v>1989864</v>
      </c>
      <c r="M45" s="469">
        <f t="shared" si="82"/>
        <v>12481845</v>
      </c>
      <c r="N45" s="469">
        <f t="shared" si="82"/>
        <v>1000000</v>
      </c>
      <c r="O45" s="469">
        <f t="shared" si="82"/>
        <v>0</v>
      </c>
      <c r="P45" s="469">
        <f t="shared" si="82"/>
        <v>0</v>
      </c>
      <c r="Q45" s="469">
        <f t="shared" si="82"/>
        <v>0</v>
      </c>
      <c r="R45" s="469">
        <f t="shared" si="82"/>
        <v>0</v>
      </c>
      <c r="S45" s="469">
        <f t="shared" si="82"/>
        <v>0</v>
      </c>
      <c r="T45" s="469">
        <f t="shared" si="82"/>
        <v>0</v>
      </c>
      <c r="U45" s="2477"/>
      <c r="V45" s="463"/>
    </row>
    <row r="46" spans="1:24">
      <c r="A46" s="2192"/>
      <c r="B46" s="464" t="s">
        <v>29</v>
      </c>
      <c r="C46" s="478"/>
      <c r="D46" s="469">
        <f t="shared" ref="D46:T46" si="83">+D61+D261+D75+D286+D105+D90+D118</f>
        <v>42006301</v>
      </c>
      <c r="E46" s="469">
        <f t="shared" si="83"/>
        <v>0</v>
      </c>
      <c r="F46" s="469">
        <f t="shared" si="83"/>
        <v>0</v>
      </c>
      <c r="G46" s="469">
        <f t="shared" si="83"/>
        <v>0</v>
      </c>
      <c r="H46" s="469">
        <f t="shared" si="83"/>
        <v>0</v>
      </c>
      <c r="I46" s="469">
        <f t="shared" si="83"/>
        <v>0</v>
      </c>
      <c r="J46" s="469">
        <f t="shared" si="83"/>
        <v>18718271</v>
      </c>
      <c r="K46" s="469">
        <f t="shared" si="83"/>
        <v>16003036</v>
      </c>
      <c r="L46" s="469">
        <f t="shared" si="83"/>
        <v>3705956</v>
      </c>
      <c r="M46" s="469">
        <f t="shared" si="83"/>
        <v>38427263</v>
      </c>
      <c r="N46" s="469">
        <f t="shared" si="83"/>
        <v>2875044</v>
      </c>
      <c r="O46" s="469">
        <f t="shared" si="83"/>
        <v>703994</v>
      </c>
      <c r="P46" s="469">
        <f t="shared" si="83"/>
        <v>0</v>
      </c>
      <c r="Q46" s="469">
        <f t="shared" si="83"/>
        <v>0</v>
      </c>
      <c r="R46" s="469">
        <f t="shared" si="83"/>
        <v>0</v>
      </c>
      <c r="S46" s="469">
        <f t="shared" si="83"/>
        <v>0</v>
      </c>
      <c r="T46" s="469">
        <f t="shared" si="83"/>
        <v>0</v>
      </c>
      <c r="U46" s="2477"/>
      <c r="V46" s="463"/>
    </row>
    <row r="47" spans="1:24">
      <c r="A47" s="2192"/>
      <c r="B47" s="464" t="s">
        <v>38</v>
      </c>
      <c r="C47" s="478"/>
      <c r="D47" s="469">
        <f>+D192</f>
        <v>841481</v>
      </c>
      <c r="E47" s="469">
        <f t="shared" ref="E47:P47" si="84">+E192</f>
        <v>0</v>
      </c>
      <c r="F47" s="469">
        <f t="shared" si="84"/>
        <v>0</v>
      </c>
      <c r="G47" s="469">
        <f t="shared" si="84"/>
        <v>0</v>
      </c>
      <c r="H47" s="469">
        <f t="shared" si="84"/>
        <v>0</v>
      </c>
      <c r="I47" s="469">
        <f t="shared" si="84"/>
        <v>0</v>
      </c>
      <c r="J47" s="469">
        <f t="shared" si="84"/>
        <v>0</v>
      </c>
      <c r="K47" s="469">
        <f t="shared" si="84"/>
        <v>0</v>
      </c>
      <c r="L47" s="469">
        <f>+L192</f>
        <v>841481</v>
      </c>
      <c r="M47" s="469">
        <f>+M192</f>
        <v>841481</v>
      </c>
      <c r="N47" s="469">
        <f t="shared" si="84"/>
        <v>0</v>
      </c>
      <c r="O47" s="469">
        <f t="shared" si="84"/>
        <v>0</v>
      </c>
      <c r="P47" s="469">
        <f t="shared" si="84"/>
        <v>0</v>
      </c>
      <c r="Q47" s="469">
        <f>+Q192</f>
        <v>0</v>
      </c>
      <c r="R47" s="469">
        <f>+R192</f>
        <v>0</v>
      </c>
      <c r="S47" s="469">
        <f t="shared" ref="S47:T47" si="85">+S192</f>
        <v>0</v>
      </c>
      <c r="T47" s="469">
        <f t="shared" si="85"/>
        <v>0</v>
      </c>
      <c r="U47" s="2477"/>
      <c r="V47" s="463"/>
    </row>
    <row r="48" spans="1:24" ht="12" customHeight="1">
      <c r="A48" s="2192"/>
      <c r="B48" s="479" t="s">
        <v>30</v>
      </c>
      <c r="C48" s="480"/>
      <c r="D48" s="481">
        <f>+D49+D50</f>
        <v>458612907</v>
      </c>
      <c r="E48" s="481">
        <f t="shared" ref="E48:P48" si="86">+E49+E50</f>
        <v>0</v>
      </c>
      <c r="F48" s="481">
        <f t="shared" si="86"/>
        <v>0</v>
      </c>
      <c r="G48" s="481">
        <f t="shared" si="86"/>
        <v>0</v>
      </c>
      <c r="H48" s="481">
        <f t="shared" si="86"/>
        <v>0</v>
      </c>
      <c r="I48" s="481">
        <f t="shared" si="86"/>
        <v>5451106</v>
      </c>
      <c r="J48" s="481">
        <f t="shared" si="86"/>
        <v>32092771</v>
      </c>
      <c r="K48" s="481">
        <f t="shared" si="86"/>
        <v>61992579</v>
      </c>
      <c r="L48" s="481">
        <f t="shared" si="86"/>
        <v>68813030</v>
      </c>
      <c r="M48" s="481">
        <f t="shared" ref="M48" si="87">+M49+M50</f>
        <v>168349486</v>
      </c>
      <c r="N48" s="481">
        <f t="shared" si="86"/>
        <v>99371912</v>
      </c>
      <c r="O48" s="481">
        <f t="shared" si="86"/>
        <v>76670883</v>
      </c>
      <c r="P48" s="481">
        <f t="shared" si="86"/>
        <v>96229864</v>
      </c>
      <c r="Q48" s="481">
        <f>+Q49+Q50</f>
        <v>17990762</v>
      </c>
      <c r="R48" s="481">
        <f>+R49+R50</f>
        <v>0</v>
      </c>
      <c r="S48" s="481">
        <f t="shared" ref="S48:T48" si="88">+S49+S50</f>
        <v>0</v>
      </c>
      <c r="T48" s="481">
        <f t="shared" si="88"/>
        <v>0</v>
      </c>
      <c r="U48" s="2477"/>
      <c r="V48" s="463"/>
    </row>
    <row r="49" spans="1:23" ht="12" hidden="1" customHeight="1">
      <c r="A49" s="2192"/>
      <c r="B49" s="464" t="s">
        <v>29</v>
      </c>
      <c r="C49" s="465"/>
      <c r="D49" s="469">
        <f t="shared" ref="D49:T49" si="89">+D63+D264+D77+D93+D289+D107</f>
        <v>0</v>
      </c>
      <c r="E49" s="469">
        <f t="shared" si="89"/>
        <v>0</v>
      </c>
      <c r="F49" s="469">
        <f t="shared" si="89"/>
        <v>0</v>
      </c>
      <c r="G49" s="469">
        <f t="shared" si="89"/>
        <v>0</v>
      </c>
      <c r="H49" s="469">
        <f t="shared" si="89"/>
        <v>0</v>
      </c>
      <c r="I49" s="469">
        <f t="shared" si="89"/>
        <v>0</v>
      </c>
      <c r="J49" s="469">
        <f t="shared" si="89"/>
        <v>0</v>
      </c>
      <c r="K49" s="469">
        <f t="shared" si="89"/>
        <v>0</v>
      </c>
      <c r="L49" s="469">
        <f t="shared" si="89"/>
        <v>0</v>
      </c>
      <c r="M49" s="469">
        <f t="shared" si="89"/>
        <v>0</v>
      </c>
      <c r="N49" s="469">
        <f t="shared" si="89"/>
        <v>0</v>
      </c>
      <c r="O49" s="469">
        <f t="shared" si="89"/>
        <v>0</v>
      </c>
      <c r="P49" s="469">
        <f t="shared" si="89"/>
        <v>0</v>
      </c>
      <c r="Q49" s="469">
        <f t="shared" si="89"/>
        <v>0</v>
      </c>
      <c r="R49" s="469">
        <f t="shared" si="89"/>
        <v>0</v>
      </c>
      <c r="S49" s="469">
        <f t="shared" si="89"/>
        <v>0</v>
      </c>
      <c r="T49" s="469">
        <f t="shared" si="89"/>
        <v>0</v>
      </c>
      <c r="U49" s="2477"/>
      <c r="V49" s="463"/>
      <c r="W49" s="1258"/>
    </row>
    <row r="50" spans="1:23" ht="12.75" customHeight="1" thickBot="1">
      <c r="A50" s="2174"/>
      <c r="B50" s="482" t="s">
        <v>33</v>
      </c>
      <c r="C50" s="483"/>
      <c r="D50" s="484">
        <f t="shared" ref="D50:T50" si="90">+D129+D302+D64+D265+D78+D141+D314+D150+D94+D162+D171++D183+D194+D203+D290+D108+D215+D120+D224+D233+D274+D240+D249</f>
        <v>458612907</v>
      </c>
      <c r="E50" s="484">
        <f t="shared" si="90"/>
        <v>0</v>
      </c>
      <c r="F50" s="484">
        <f t="shared" si="90"/>
        <v>0</v>
      </c>
      <c r="G50" s="484">
        <f t="shared" si="90"/>
        <v>0</v>
      </c>
      <c r="H50" s="484">
        <f t="shared" si="90"/>
        <v>0</v>
      </c>
      <c r="I50" s="484">
        <f t="shared" si="90"/>
        <v>5451106</v>
      </c>
      <c r="J50" s="484">
        <f t="shared" si="90"/>
        <v>32092771</v>
      </c>
      <c r="K50" s="484">
        <f t="shared" si="90"/>
        <v>61992579</v>
      </c>
      <c r="L50" s="484">
        <f t="shared" si="90"/>
        <v>68813030</v>
      </c>
      <c r="M50" s="484">
        <f t="shared" si="90"/>
        <v>168349486</v>
      </c>
      <c r="N50" s="484">
        <f t="shared" si="90"/>
        <v>99371912</v>
      </c>
      <c r="O50" s="484">
        <f t="shared" si="90"/>
        <v>76670883</v>
      </c>
      <c r="P50" s="484">
        <f t="shared" si="90"/>
        <v>96229864</v>
      </c>
      <c r="Q50" s="484">
        <f t="shared" si="90"/>
        <v>17990762</v>
      </c>
      <c r="R50" s="484">
        <f t="shared" si="90"/>
        <v>0</v>
      </c>
      <c r="S50" s="484">
        <f t="shared" si="90"/>
        <v>0</v>
      </c>
      <c r="T50" s="484">
        <f t="shared" si="90"/>
        <v>0</v>
      </c>
      <c r="U50" s="2478"/>
      <c r="V50" s="485"/>
      <c r="W50" s="1258"/>
    </row>
    <row r="51" spans="1:23" s="1904" customFormat="1" ht="29.25" customHeight="1">
      <c r="A51" s="2428" t="s">
        <v>82</v>
      </c>
      <c r="B51" s="486" t="s">
        <v>390</v>
      </c>
      <c r="C51" s="528" t="s">
        <v>102</v>
      </c>
      <c r="D51" s="488"/>
      <c r="E51" s="489"/>
      <c r="F51" s="490"/>
      <c r="G51" s="489"/>
      <c r="H51" s="489"/>
      <c r="I51" s="489"/>
      <c r="J51" s="489"/>
      <c r="K51" s="489"/>
      <c r="L51" s="489"/>
      <c r="M51" s="491"/>
      <c r="N51" s="491"/>
      <c r="O51" s="491"/>
      <c r="P51" s="491"/>
      <c r="Q51" s="491"/>
      <c r="R51" s="491"/>
      <c r="S51" s="491"/>
      <c r="T51" s="491"/>
      <c r="U51" s="492"/>
      <c r="V51" s="493" t="s">
        <v>103</v>
      </c>
    </row>
    <row r="52" spans="1:23" s="1904" customFormat="1" ht="12" customHeight="1">
      <c r="A52" s="2429"/>
      <c r="B52" s="452" t="s">
        <v>22</v>
      </c>
      <c r="C52" s="428"/>
      <c r="D52" s="494">
        <f t="shared" ref="D52:P52" si="91">+D53+D56</f>
        <v>24354250</v>
      </c>
      <c r="E52" s="495">
        <f t="shared" si="91"/>
        <v>186148</v>
      </c>
      <c r="F52" s="495">
        <f t="shared" si="91"/>
        <v>0</v>
      </c>
      <c r="G52" s="495">
        <f t="shared" si="91"/>
        <v>30153</v>
      </c>
      <c r="H52" s="495">
        <f t="shared" si="91"/>
        <v>155995</v>
      </c>
      <c r="I52" s="495">
        <f t="shared" si="91"/>
        <v>298000</v>
      </c>
      <c r="J52" s="495">
        <f t="shared" si="91"/>
        <v>9153555</v>
      </c>
      <c r="K52" s="495">
        <f t="shared" si="91"/>
        <v>14695972</v>
      </c>
      <c r="L52" s="495">
        <f t="shared" si="91"/>
        <v>575</v>
      </c>
      <c r="M52" s="495">
        <f t="shared" ref="M52" si="92">+M53+M56</f>
        <v>24334250</v>
      </c>
      <c r="N52" s="495">
        <f t="shared" si="91"/>
        <v>9741</v>
      </c>
      <c r="O52" s="496">
        <f t="shared" si="91"/>
        <v>10259</v>
      </c>
      <c r="P52" s="496">
        <f t="shared" si="91"/>
        <v>0</v>
      </c>
      <c r="Q52" s="496"/>
      <c r="R52" s="496"/>
      <c r="S52" s="496"/>
      <c r="T52" s="496"/>
      <c r="U52" s="497">
        <f>+U53+U56</f>
        <v>10259</v>
      </c>
      <c r="V52" s="2384" t="s">
        <v>104</v>
      </c>
      <c r="W52" s="1903">
        <f>+O52+P52</f>
        <v>10259</v>
      </c>
    </row>
    <row r="53" spans="1:23" s="1904" customFormat="1" ht="12" customHeight="1">
      <c r="A53" s="2429"/>
      <c r="B53" s="498" t="s">
        <v>36</v>
      </c>
      <c r="C53" s="2433" t="s">
        <v>105</v>
      </c>
      <c r="D53" s="499">
        <f>+D54+D55</f>
        <v>12800692</v>
      </c>
      <c r="E53" s="499">
        <f t="shared" ref="E53:P53" si="93">+E54+E55</f>
        <v>186148</v>
      </c>
      <c r="F53" s="499">
        <f t="shared" si="93"/>
        <v>0</v>
      </c>
      <c r="G53" s="499">
        <f t="shared" si="93"/>
        <v>30153</v>
      </c>
      <c r="H53" s="499">
        <f t="shared" si="93"/>
        <v>155995</v>
      </c>
      <c r="I53" s="499">
        <f t="shared" si="93"/>
        <v>298000</v>
      </c>
      <c r="J53" s="499">
        <f t="shared" si="93"/>
        <v>8789410</v>
      </c>
      <c r="K53" s="499">
        <f t="shared" si="93"/>
        <v>3506559</v>
      </c>
      <c r="L53" s="499">
        <f t="shared" si="93"/>
        <v>575</v>
      </c>
      <c r="M53" s="499">
        <f t="shared" ref="M53" si="94">+M54+M55</f>
        <v>12780692</v>
      </c>
      <c r="N53" s="499">
        <f t="shared" si="93"/>
        <v>9741</v>
      </c>
      <c r="O53" s="500">
        <f t="shared" si="93"/>
        <v>10259</v>
      </c>
      <c r="P53" s="499">
        <f t="shared" si="93"/>
        <v>0</v>
      </c>
      <c r="Q53" s="499"/>
      <c r="R53" s="499"/>
      <c r="S53" s="499"/>
      <c r="T53" s="499"/>
      <c r="U53" s="501">
        <f>+U54+U55</f>
        <v>10259</v>
      </c>
      <c r="V53" s="2384"/>
    </row>
    <row r="54" spans="1:23" s="1904" customFormat="1" ht="12" customHeight="1">
      <c r="A54" s="2429"/>
      <c r="B54" s="502" t="s">
        <v>24</v>
      </c>
      <c r="C54" s="2434"/>
      <c r="D54" s="503">
        <f>SUM(M54:T54)</f>
        <v>1247134</v>
      </c>
      <c r="E54" s="503">
        <v>0</v>
      </c>
      <c r="F54" s="503"/>
      <c r="G54" s="503"/>
      <c r="H54" s="503"/>
      <c r="I54" s="503">
        <v>0</v>
      </c>
      <c r="J54" s="503">
        <v>6548</v>
      </c>
      <c r="K54" s="503">
        <v>1220011</v>
      </c>
      <c r="L54" s="504">
        <f>45000-44000-425</f>
        <v>575</v>
      </c>
      <c r="M54" s="504">
        <f>+E54+I54+J54+K54+L54</f>
        <v>1227134</v>
      </c>
      <c r="N54" s="504">
        <f>60000-40000-10259</f>
        <v>9741</v>
      </c>
      <c r="O54" s="505">
        <v>10259</v>
      </c>
      <c r="P54" s="504">
        <v>0</v>
      </c>
      <c r="Q54" s="504"/>
      <c r="R54" s="504"/>
      <c r="S54" s="504"/>
      <c r="T54" s="504"/>
      <c r="U54" s="462">
        <f>SUM(O54:T54)</f>
        <v>10259</v>
      </c>
      <c r="V54" s="2384"/>
    </row>
    <row r="55" spans="1:23" s="1904" customFormat="1" ht="12" customHeight="1">
      <c r="A55" s="2429"/>
      <c r="B55" s="502" t="s">
        <v>29</v>
      </c>
      <c r="C55" s="2434"/>
      <c r="D55" s="503">
        <f>SUM(M55:T55)</f>
        <v>11553558</v>
      </c>
      <c r="E55" s="508">
        <f>+F55+G55+H55</f>
        <v>186148</v>
      </c>
      <c r="F55" s="509">
        <v>0</v>
      </c>
      <c r="G55" s="508">
        <f>15076.5+15076.5</f>
        <v>30153</v>
      </c>
      <c r="H55" s="508">
        <f>77997.5+77997.5</f>
        <v>155995</v>
      </c>
      <c r="I55" s="508">
        <f>149000+149000</f>
        <v>298000</v>
      </c>
      <c r="J55" s="508">
        <v>8782862</v>
      </c>
      <c r="K55" s="508">
        <v>2286548</v>
      </c>
      <c r="L55" s="510">
        <v>0</v>
      </c>
      <c r="M55" s="504">
        <f>+E55+I55+J55+K55+L55</f>
        <v>11553558</v>
      </c>
      <c r="N55" s="510">
        <v>0</v>
      </c>
      <c r="O55" s="510">
        <v>0</v>
      </c>
      <c r="P55" s="510">
        <v>0</v>
      </c>
      <c r="Q55" s="511"/>
      <c r="R55" s="511"/>
      <c r="S55" s="511"/>
      <c r="T55" s="511"/>
      <c r="U55" s="462">
        <f>SUM(O55:T55)</f>
        <v>0</v>
      </c>
      <c r="V55" s="2384"/>
    </row>
    <row r="56" spans="1:23" s="1904" customFormat="1" ht="12" customHeight="1">
      <c r="A56" s="2429"/>
      <c r="B56" s="512" t="s">
        <v>30</v>
      </c>
      <c r="C56" s="2434"/>
      <c r="D56" s="513">
        <f>+D58+D57</f>
        <v>11553558</v>
      </c>
      <c r="E56" s="514">
        <f>+E58+E57</f>
        <v>0</v>
      </c>
      <c r="F56" s="514">
        <f>+F58+F57</f>
        <v>0</v>
      </c>
      <c r="G56" s="514">
        <f>+G57+G58</f>
        <v>0</v>
      </c>
      <c r="H56" s="514">
        <f>+H57+H58</f>
        <v>0</v>
      </c>
      <c r="I56" s="514">
        <f t="shared" ref="I56:P56" si="95">+I57+I58</f>
        <v>0</v>
      </c>
      <c r="J56" s="514">
        <f t="shared" si="95"/>
        <v>364145</v>
      </c>
      <c r="K56" s="514">
        <f t="shared" si="95"/>
        <v>11189413</v>
      </c>
      <c r="L56" s="514">
        <f t="shared" si="95"/>
        <v>0</v>
      </c>
      <c r="M56" s="514">
        <f t="shared" si="95"/>
        <v>11553558</v>
      </c>
      <c r="N56" s="514">
        <f t="shared" si="95"/>
        <v>0</v>
      </c>
      <c r="O56" s="514">
        <f t="shared" si="95"/>
        <v>0</v>
      </c>
      <c r="P56" s="514">
        <f t="shared" si="95"/>
        <v>0</v>
      </c>
      <c r="Q56" s="514"/>
      <c r="R56" s="514"/>
      <c r="S56" s="514"/>
      <c r="T56" s="514"/>
      <c r="U56" s="515">
        <f>+U58+U57</f>
        <v>0</v>
      </c>
      <c r="V56" s="2384"/>
    </row>
    <row r="57" spans="1:23" s="1904" customFormat="1" ht="12" hidden="1" customHeight="1">
      <c r="A57" s="2429"/>
      <c r="B57" s="502" t="s">
        <v>29</v>
      </c>
      <c r="C57" s="1507"/>
      <c r="D57" s="507">
        <f>+E57+I57+J57+K57+L57</f>
        <v>0</v>
      </c>
      <c r="E57" s="508">
        <f>+F57+G57+H57</f>
        <v>0</v>
      </c>
      <c r="F57" s="509">
        <v>0</v>
      </c>
      <c r="G57" s="508"/>
      <c r="H57" s="508"/>
      <c r="I57" s="508">
        <v>0</v>
      </c>
      <c r="J57" s="508">
        <v>0</v>
      </c>
      <c r="K57" s="508">
        <v>0</v>
      </c>
      <c r="L57" s="508"/>
      <c r="M57" s="508"/>
      <c r="N57" s="508">
        <v>0</v>
      </c>
      <c r="O57" s="508">
        <v>0</v>
      </c>
      <c r="P57" s="508">
        <v>0</v>
      </c>
      <c r="Q57" s="516"/>
      <c r="R57" s="516"/>
      <c r="S57" s="516"/>
      <c r="T57" s="516"/>
      <c r="U57" s="506">
        <f>+K57+L57+N57+O57+P57+Q57</f>
        <v>0</v>
      </c>
      <c r="V57" s="2384"/>
    </row>
    <row r="58" spans="1:23" s="1904" customFormat="1" ht="12" customHeight="1">
      <c r="A58" s="2429"/>
      <c r="B58" s="585" t="s">
        <v>33</v>
      </c>
      <c r="C58" s="2063"/>
      <c r="D58" s="504">
        <f>SUM(M58:T58)</f>
        <v>11553558</v>
      </c>
      <c r="E58" s="510">
        <f>+F58+G58+H58</f>
        <v>0</v>
      </c>
      <c r="F58" s="511">
        <v>0</v>
      </c>
      <c r="G58" s="510">
        <f>15076.5-15076.5</f>
        <v>0</v>
      </c>
      <c r="H58" s="510">
        <f>77997.5-77997.5</f>
        <v>0</v>
      </c>
      <c r="I58" s="510">
        <f>149000-149000</f>
        <v>0</v>
      </c>
      <c r="J58" s="510">
        <v>364145</v>
      </c>
      <c r="K58" s="510">
        <v>11189413</v>
      </c>
      <c r="L58" s="510"/>
      <c r="M58" s="504">
        <f>+E58+I58+J58+K58+L58</f>
        <v>11553558</v>
      </c>
      <c r="N58" s="510">
        <v>0</v>
      </c>
      <c r="O58" s="510">
        <v>0</v>
      </c>
      <c r="P58" s="510">
        <v>0</v>
      </c>
      <c r="Q58" s="511"/>
      <c r="R58" s="511"/>
      <c r="S58" s="511"/>
      <c r="T58" s="511"/>
      <c r="U58" s="506">
        <f>SUM(O58:T58)</f>
        <v>0</v>
      </c>
      <c r="V58" s="2432"/>
    </row>
    <row r="59" spans="1:23" s="1904" customFormat="1" ht="12" customHeight="1">
      <c r="A59" s="2429"/>
      <c r="B59" s="573" t="s">
        <v>34</v>
      </c>
      <c r="C59" s="603"/>
      <c r="D59" s="604">
        <f t="shared" ref="D59:P59" si="96">+D62+D60</f>
        <v>23107116</v>
      </c>
      <c r="E59" s="604">
        <f t="shared" si="96"/>
        <v>0</v>
      </c>
      <c r="F59" s="604">
        <f t="shared" si="96"/>
        <v>0</v>
      </c>
      <c r="G59" s="604">
        <f t="shared" si="96"/>
        <v>0</v>
      </c>
      <c r="H59" s="604">
        <f t="shared" si="96"/>
        <v>0</v>
      </c>
      <c r="I59" s="604">
        <f t="shared" si="96"/>
        <v>0</v>
      </c>
      <c r="J59" s="604">
        <f t="shared" si="96"/>
        <v>6768575</v>
      </c>
      <c r="K59" s="604">
        <f t="shared" si="96"/>
        <v>11377726</v>
      </c>
      <c r="L59" s="604">
        <f t="shared" si="96"/>
        <v>4960815</v>
      </c>
      <c r="M59" s="604">
        <f t="shared" ref="M59" si="97">+M62+M60</f>
        <v>23107116</v>
      </c>
      <c r="N59" s="604">
        <f t="shared" si="96"/>
        <v>0</v>
      </c>
      <c r="O59" s="604">
        <f t="shared" si="96"/>
        <v>0</v>
      </c>
      <c r="P59" s="604">
        <f t="shared" si="96"/>
        <v>0</v>
      </c>
      <c r="Q59" s="604"/>
      <c r="R59" s="604"/>
      <c r="S59" s="604"/>
      <c r="T59" s="604"/>
      <c r="U59" s="2438" t="s">
        <v>35</v>
      </c>
      <c r="V59" s="2440" t="s">
        <v>365</v>
      </c>
    </row>
    <row r="60" spans="1:23" s="1904" customFormat="1" ht="12" customHeight="1">
      <c r="A60" s="2429"/>
      <c r="B60" s="498" t="s">
        <v>36</v>
      </c>
      <c r="C60" s="2433" t="s">
        <v>106</v>
      </c>
      <c r="D60" s="519">
        <f>+D61</f>
        <v>11553558</v>
      </c>
      <c r="E60" s="519">
        <f t="shared" ref="E60:P60" si="98">+E61</f>
        <v>0</v>
      </c>
      <c r="F60" s="519">
        <f t="shared" si="98"/>
        <v>0</v>
      </c>
      <c r="G60" s="519">
        <f t="shared" si="98"/>
        <v>0</v>
      </c>
      <c r="H60" s="519">
        <f t="shared" si="98"/>
        <v>0</v>
      </c>
      <c r="I60" s="519">
        <f t="shared" si="98"/>
        <v>0</v>
      </c>
      <c r="J60" s="519">
        <f t="shared" si="98"/>
        <v>6768575</v>
      </c>
      <c r="K60" s="519">
        <f t="shared" si="98"/>
        <v>2504336</v>
      </c>
      <c r="L60" s="519">
        <f t="shared" si="98"/>
        <v>2280647</v>
      </c>
      <c r="M60" s="519">
        <f t="shared" si="98"/>
        <v>11553558</v>
      </c>
      <c r="N60" s="519">
        <f t="shared" si="98"/>
        <v>0</v>
      </c>
      <c r="O60" s="519">
        <f t="shared" si="98"/>
        <v>0</v>
      </c>
      <c r="P60" s="519">
        <f t="shared" si="98"/>
        <v>0</v>
      </c>
      <c r="Q60" s="519"/>
      <c r="R60" s="519"/>
      <c r="S60" s="519"/>
      <c r="T60" s="519"/>
      <c r="U60" s="2438"/>
      <c r="V60" s="2441"/>
    </row>
    <row r="61" spans="1:23" s="1904" customFormat="1" ht="12" customHeight="1">
      <c r="A61" s="2429"/>
      <c r="B61" s="502" t="s">
        <v>29</v>
      </c>
      <c r="C61" s="2434"/>
      <c r="D61" s="503">
        <f>SUM(M61:T61)</f>
        <v>11553558</v>
      </c>
      <c r="E61" s="521"/>
      <c r="F61" s="521"/>
      <c r="G61" s="521"/>
      <c r="H61" s="521"/>
      <c r="I61" s="521"/>
      <c r="J61" s="510">
        <v>6768575</v>
      </c>
      <c r="K61" s="510">
        <v>2504336</v>
      </c>
      <c r="L61" s="521">
        <f>2288218-461-7110</f>
        <v>2280647</v>
      </c>
      <c r="M61" s="504">
        <f>+E61+I61+J61+K61+L61</f>
        <v>11553558</v>
      </c>
      <c r="N61" s="521"/>
      <c r="O61" s="521"/>
      <c r="P61" s="521"/>
      <c r="Q61" s="521"/>
      <c r="R61" s="521"/>
      <c r="S61" s="521"/>
      <c r="T61" s="521"/>
      <c r="U61" s="2438"/>
      <c r="V61" s="2441"/>
    </row>
    <row r="62" spans="1:23" s="1904" customFormat="1" ht="12" customHeight="1">
      <c r="A62" s="2429"/>
      <c r="B62" s="512" t="s">
        <v>30</v>
      </c>
      <c r="C62" s="2434"/>
      <c r="D62" s="513">
        <f>+D64+D63</f>
        <v>11553558</v>
      </c>
      <c r="E62" s="513">
        <f t="shared" ref="E62:P62" si="99">+E64+E63</f>
        <v>0</v>
      </c>
      <c r="F62" s="513">
        <f t="shared" si="99"/>
        <v>0</v>
      </c>
      <c r="G62" s="513">
        <f t="shared" si="99"/>
        <v>0</v>
      </c>
      <c r="H62" s="513">
        <f t="shared" si="99"/>
        <v>0</v>
      </c>
      <c r="I62" s="513">
        <f t="shared" si="99"/>
        <v>0</v>
      </c>
      <c r="J62" s="513">
        <f t="shared" si="99"/>
        <v>0</v>
      </c>
      <c r="K62" s="513">
        <f t="shared" si="99"/>
        <v>8873390</v>
      </c>
      <c r="L62" s="513">
        <f t="shared" si="99"/>
        <v>2680168</v>
      </c>
      <c r="M62" s="513">
        <f t="shared" si="99"/>
        <v>11553558</v>
      </c>
      <c r="N62" s="513">
        <f t="shared" si="99"/>
        <v>0</v>
      </c>
      <c r="O62" s="513">
        <f t="shared" si="99"/>
        <v>0</v>
      </c>
      <c r="P62" s="513">
        <f t="shared" si="99"/>
        <v>0</v>
      </c>
      <c r="Q62" s="513"/>
      <c r="R62" s="513"/>
      <c r="S62" s="513"/>
      <c r="T62" s="513"/>
      <c r="U62" s="2438"/>
      <c r="V62" s="2441"/>
    </row>
    <row r="63" spans="1:23" s="1904" customFormat="1" ht="15" hidden="1" customHeight="1">
      <c r="A63" s="2429"/>
      <c r="B63" s="502" t="s">
        <v>29</v>
      </c>
      <c r="C63" s="2434"/>
      <c r="D63" s="521">
        <f>+E63+I63+J63+K63+L63</f>
        <v>0</v>
      </c>
      <c r="E63" s="510">
        <v>0</v>
      </c>
      <c r="F63" s="511"/>
      <c r="G63" s="510"/>
      <c r="H63" s="510"/>
      <c r="I63" s="510">
        <v>0</v>
      </c>
      <c r="J63" s="510">
        <v>0</v>
      </c>
      <c r="K63" s="510">
        <v>0</v>
      </c>
      <c r="L63" s="510">
        <v>0</v>
      </c>
      <c r="M63" s="510"/>
      <c r="N63" s="510">
        <v>0</v>
      </c>
      <c r="O63" s="510">
        <v>0</v>
      </c>
      <c r="P63" s="510">
        <v>0</v>
      </c>
      <c r="Q63" s="510"/>
      <c r="R63" s="510"/>
      <c r="S63" s="510"/>
      <c r="T63" s="510"/>
      <c r="U63" s="2438"/>
      <c r="V63" s="2441"/>
    </row>
    <row r="64" spans="1:23" s="1904" customFormat="1" ht="12" customHeight="1" thickBot="1">
      <c r="A64" s="2469"/>
      <c r="B64" s="522" t="s">
        <v>33</v>
      </c>
      <c r="C64" s="2443"/>
      <c r="D64" s="503">
        <f>SUM(M64:T64)</f>
        <v>11553558</v>
      </c>
      <c r="E64" s="524">
        <f>+F64+G64+H64</f>
        <v>0</v>
      </c>
      <c r="F64" s="525">
        <v>0</v>
      </c>
      <c r="G64" s="524">
        <v>0</v>
      </c>
      <c r="H64" s="524">
        <v>0</v>
      </c>
      <c r="I64" s="524">
        <v>0</v>
      </c>
      <c r="J64" s="524">
        <v>0</v>
      </c>
      <c r="K64" s="524">
        <v>8873390</v>
      </c>
      <c r="L64" s="524">
        <f>2687739-462-7109</f>
        <v>2680168</v>
      </c>
      <c r="M64" s="524">
        <f>L64+E64+I64+J64+K64</f>
        <v>11553558</v>
      </c>
      <c r="N64" s="524">
        <v>0</v>
      </c>
      <c r="O64" s="524">
        <v>0</v>
      </c>
      <c r="P64" s="526">
        <v>0</v>
      </c>
      <c r="Q64" s="526"/>
      <c r="R64" s="526"/>
      <c r="S64" s="526"/>
      <c r="T64" s="526"/>
      <c r="U64" s="2439"/>
      <c r="V64" s="2442"/>
    </row>
    <row r="65" spans="1:23" s="1904" customFormat="1" ht="28.5" customHeight="1">
      <c r="A65" s="2428">
        <v>2</v>
      </c>
      <c r="B65" s="548" t="s">
        <v>391</v>
      </c>
      <c r="C65" s="528" t="s">
        <v>102</v>
      </c>
      <c r="D65" s="529"/>
      <c r="E65" s="531"/>
      <c r="F65" s="530"/>
      <c r="G65" s="531"/>
      <c r="H65" s="531"/>
      <c r="I65" s="489"/>
      <c r="J65" s="489"/>
      <c r="K65" s="489"/>
      <c r="L65" s="489"/>
      <c r="M65" s="491"/>
      <c r="N65" s="491"/>
      <c r="O65" s="491"/>
      <c r="P65" s="491"/>
      <c r="Q65" s="491"/>
      <c r="R65" s="489"/>
      <c r="S65" s="489"/>
      <c r="T65" s="490"/>
      <c r="U65" s="532"/>
      <c r="V65" s="493" t="s">
        <v>103</v>
      </c>
    </row>
    <row r="66" spans="1:23" s="1904" customFormat="1" ht="12" customHeight="1">
      <c r="A66" s="2429"/>
      <c r="B66" s="554" t="s">
        <v>22</v>
      </c>
      <c r="C66" s="428"/>
      <c r="D66" s="533">
        <f>+D67+D70</f>
        <v>25419976</v>
      </c>
      <c r="E66" s="533">
        <f t="shared" ref="E66:O66" si="100">+E67+E70</f>
        <v>166409</v>
      </c>
      <c r="F66" s="533">
        <f t="shared" si="100"/>
        <v>0</v>
      </c>
      <c r="G66" s="533">
        <f t="shared" si="100"/>
        <v>16901</v>
      </c>
      <c r="H66" s="533">
        <f t="shared" si="100"/>
        <v>149508</v>
      </c>
      <c r="I66" s="533">
        <f t="shared" si="100"/>
        <v>581750</v>
      </c>
      <c r="J66" s="533">
        <f t="shared" si="100"/>
        <v>13927671</v>
      </c>
      <c r="K66" s="533">
        <f t="shared" si="100"/>
        <v>10732096</v>
      </c>
      <c r="L66" s="533">
        <f t="shared" si="100"/>
        <v>2032</v>
      </c>
      <c r="M66" s="533">
        <f t="shared" ref="M66" si="101">+M67+M70</f>
        <v>25409958</v>
      </c>
      <c r="N66" s="533">
        <f t="shared" si="100"/>
        <v>10018</v>
      </c>
      <c r="O66" s="533">
        <f t="shared" si="100"/>
        <v>0</v>
      </c>
      <c r="P66" s="533">
        <f>+P67+P70</f>
        <v>0</v>
      </c>
      <c r="Q66" s="533"/>
      <c r="R66" s="533"/>
      <c r="S66" s="533"/>
      <c r="T66" s="533"/>
      <c r="U66" s="535">
        <f>+U67+U70</f>
        <v>0</v>
      </c>
      <c r="V66" s="2384" t="s">
        <v>104</v>
      </c>
      <c r="W66" s="1903">
        <f>+O66+P66</f>
        <v>0</v>
      </c>
    </row>
    <row r="67" spans="1:23" s="1904" customFormat="1" ht="12" customHeight="1">
      <c r="A67" s="2429"/>
      <c r="B67" s="555" t="s">
        <v>36</v>
      </c>
      <c r="C67" s="2433" t="s">
        <v>105</v>
      </c>
      <c r="D67" s="536">
        <f>+D68+D69</f>
        <v>13107361</v>
      </c>
      <c r="E67" s="536">
        <f t="shared" ref="E67:P67" si="102">+E68+E69</f>
        <v>83204</v>
      </c>
      <c r="F67" s="536">
        <f t="shared" si="102"/>
        <v>0</v>
      </c>
      <c r="G67" s="536">
        <f t="shared" si="102"/>
        <v>8450</v>
      </c>
      <c r="H67" s="536">
        <f t="shared" si="102"/>
        <v>74754</v>
      </c>
      <c r="I67" s="536">
        <f t="shared" si="102"/>
        <v>290875</v>
      </c>
      <c r="J67" s="536">
        <f t="shared" si="102"/>
        <v>9548813</v>
      </c>
      <c r="K67" s="536">
        <f t="shared" si="102"/>
        <v>3172419</v>
      </c>
      <c r="L67" s="536">
        <f t="shared" si="102"/>
        <v>2032</v>
      </c>
      <c r="M67" s="536">
        <f t="shared" ref="M67" si="103">+M68+M69</f>
        <v>13097343</v>
      </c>
      <c r="N67" s="536">
        <f t="shared" si="102"/>
        <v>10018</v>
      </c>
      <c r="O67" s="536">
        <f t="shared" si="102"/>
        <v>0</v>
      </c>
      <c r="P67" s="536">
        <f t="shared" si="102"/>
        <v>0</v>
      </c>
      <c r="Q67" s="536"/>
      <c r="R67" s="536"/>
      <c r="S67" s="536"/>
      <c r="T67" s="536"/>
      <c r="U67" s="537">
        <f>+U68+U69</f>
        <v>0</v>
      </c>
      <c r="V67" s="2384"/>
    </row>
    <row r="68" spans="1:23" s="1904" customFormat="1" ht="12" customHeight="1">
      <c r="A68" s="2429"/>
      <c r="B68" s="539" t="s">
        <v>24</v>
      </c>
      <c r="C68" s="2434"/>
      <c r="D68" s="503">
        <f t="shared" ref="D68:D69" si="104">SUM(M68:T68)</f>
        <v>794747</v>
      </c>
      <c r="E68" s="540">
        <v>0</v>
      </c>
      <c r="F68" s="540"/>
      <c r="G68" s="540"/>
      <c r="H68" s="540"/>
      <c r="I68" s="540">
        <v>0</v>
      </c>
      <c r="J68" s="540">
        <f>13346+8502+9464</f>
        <v>31312</v>
      </c>
      <c r="K68" s="540">
        <v>751385</v>
      </c>
      <c r="L68" s="540">
        <f>20000-17968</f>
        <v>2032</v>
      </c>
      <c r="M68" s="504">
        <f>+E68+I68+J68+K68+L68</f>
        <v>784729</v>
      </c>
      <c r="N68" s="540">
        <f>17000-6982</f>
        <v>10018</v>
      </c>
      <c r="O68" s="540">
        <f>10018-10018</f>
        <v>0</v>
      </c>
      <c r="P68" s="540">
        <v>0</v>
      </c>
      <c r="Q68" s="540"/>
      <c r="R68" s="540"/>
      <c r="S68" s="540"/>
      <c r="T68" s="540"/>
      <c r="U68" s="462">
        <f>SUM(O68:T68)</f>
        <v>0</v>
      </c>
      <c r="V68" s="2384"/>
    </row>
    <row r="69" spans="1:23" s="1904" customFormat="1" ht="12.75" customHeight="1">
      <c r="A69" s="2429"/>
      <c r="B69" s="539" t="s">
        <v>29</v>
      </c>
      <c r="C69" s="2435"/>
      <c r="D69" s="503">
        <f t="shared" si="104"/>
        <v>12312614</v>
      </c>
      <c r="E69" s="508">
        <f>+F69+G69+H69</f>
        <v>83204</v>
      </c>
      <c r="F69" s="511"/>
      <c r="G69" s="549">
        <v>8450</v>
      </c>
      <c r="H69" s="549">
        <v>74754</v>
      </c>
      <c r="I69" s="549">
        <v>290875</v>
      </c>
      <c r="J69" s="549">
        <f>9526484-4251-4732</f>
        <v>9517501</v>
      </c>
      <c r="K69" s="549">
        <v>2421034</v>
      </c>
      <c r="L69" s="510">
        <v>0</v>
      </c>
      <c r="M69" s="504">
        <f>+E69+I69+J69+K69+L69</f>
        <v>12312614</v>
      </c>
      <c r="N69" s="511">
        <v>0</v>
      </c>
      <c r="O69" s="588">
        <v>0</v>
      </c>
      <c r="P69" s="511">
        <v>0</v>
      </c>
      <c r="Q69" s="511"/>
      <c r="R69" s="511"/>
      <c r="S69" s="511"/>
      <c r="T69" s="511"/>
      <c r="U69" s="462">
        <f>+O69+P69+Q69</f>
        <v>0</v>
      </c>
      <c r="V69" s="2384"/>
    </row>
    <row r="70" spans="1:23" s="1904" customFormat="1" ht="12" customHeight="1">
      <c r="A70" s="2429"/>
      <c r="B70" s="605" t="s">
        <v>30</v>
      </c>
      <c r="C70" s="2435"/>
      <c r="D70" s="513">
        <f>+D72+D71</f>
        <v>12312615</v>
      </c>
      <c r="E70" s="513">
        <f t="shared" ref="E70:P70" si="105">+E72+E71</f>
        <v>83205</v>
      </c>
      <c r="F70" s="513">
        <f t="shared" si="105"/>
        <v>0</v>
      </c>
      <c r="G70" s="513">
        <f t="shared" si="105"/>
        <v>8451</v>
      </c>
      <c r="H70" s="513">
        <f t="shared" si="105"/>
        <v>74754</v>
      </c>
      <c r="I70" s="513">
        <f t="shared" si="105"/>
        <v>290875</v>
      </c>
      <c r="J70" s="513">
        <f t="shared" si="105"/>
        <v>4378858</v>
      </c>
      <c r="K70" s="513">
        <f t="shared" si="105"/>
        <v>7559677</v>
      </c>
      <c r="L70" s="513">
        <f t="shared" si="105"/>
        <v>0</v>
      </c>
      <c r="M70" s="513">
        <f t="shared" si="105"/>
        <v>12312615</v>
      </c>
      <c r="N70" s="513">
        <f t="shared" si="105"/>
        <v>0</v>
      </c>
      <c r="O70" s="513">
        <f t="shared" si="105"/>
        <v>0</v>
      </c>
      <c r="P70" s="513">
        <f t="shared" si="105"/>
        <v>0</v>
      </c>
      <c r="Q70" s="513"/>
      <c r="R70" s="513"/>
      <c r="S70" s="513"/>
      <c r="T70" s="513"/>
      <c r="U70" s="515">
        <f>+U72+U71</f>
        <v>0</v>
      </c>
      <c r="V70" s="2384"/>
    </row>
    <row r="71" spans="1:23" s="1904" customFormat="1" ht="12" hidden="1" customHeight="1">
      <c r="A71" s="2429"/>
      <c r="B71" s="539" t="s">
        <v>29</v>
      </c>
      <c r="C71" s="2435"/>
      <c r="D71" s="507">
        <f>+E71+I71+J71+K71+L71</f>
        <v>0</v>
      </c>
      <c r="E71" s="508">
        <f>+F71+G71+H71</f>
        <v>0</v>
      </c>
      <c r="F71" s="511">
        <v>0</v>
      </c>
      <c r="G71" s="549">
        <v>0</v>
      </c>
      <c r="H71" s="549">
        <v>0</v>
      </c>
      <c r="I71" s="549">
        <v>0</v>
      </c>
      <c r="J71" s="549">
        <v>0</v>
      </c>
      <c r="K71" s="549">
        <v>0</v>
      </c>
      <c r="L71" s="510">
        <v>0</v>
      </c>
      <c r="M71" s="511"/>
      <c r="N71" s="511">
        <v>0</v>
      </c>
      <c r="O71" s="511">
        <v>0</v>
      </c>
      <c r="P71" s="511">
        <v>0</v>
      </c>
      <c r="Q71" s="511"/>
      <c r="R71" s="511"/>
      <c r="S71" s="511"/>
      <c r="T71" s="511"/>
      <c r="U71" s="506">
        <f>+K71+L71+N71+O71+P71+Q71</f>
        <v>0</v>
      </c>
      <c r="V71" s="2384"/>
    </row>
    <row r="72" spans="1:23" s="1904" customFormat="1" ht="12" customHeight="1">
      <c r="A72" s="2429"/>
      <c r="B72" s="544" t="s">
        <v>33</v>
      </c>
      <c r="C72" s="2436"/>
      <c r="D72" s="503">
        <f>SUM(M72:T72)</f>
        <v>12312615</v>
      </c>
      <c r="E72" s="508">
        <f>+F72+G72+H72</f>
        <v>83205</v>
      </c>
      <c r="F72" s="516">
        <v>0</v>
      </c>
      <c r="G72" s="542">
        <v>8451</v>
      </c>
      <c r="H72" s="542">
        <v>74754</v>
      </c>
      <c r="I72" s="542">
        <v>290875</v>
      </c>
      <c r="J72" s="542">
        <f>4387841-4251-4732</f>
        <v>4378858</v>
      </c>
      <c r="K72" s="542">
        <v>7559677</v>
      </c>
      <c r="L72" s="508">
        <v>0</v>
      </c>
      <c r="M72" s="504">
        <f>+E72+I72+J72+K72+L72</f>
        <v>12312615</v>
      </c>
      <c r="N72" s="508">
        <v>0</v>
      </c>
      <c r="O72" s="508">
        <v>0</v>
      </c>
      <c r="P72" s="508">
        <v>0</v>
      </c>
      <c r="Q72" s="508"/>
      <c r="R72" s="508"/>
      <c r="S72" s="516"/>
      <c r="T72" s="516"/>
      <c r="U72" s="462">
        <f>SUM(O72:T72)</f>
        <v>0</v>
      </c>
      <c r="V72" s="2432"/>
    </row>
    <row r="73" spans="1:23" s="1904" customFormat="1" ht="12" customHeight="1">
      <c r="A73" s="2430"/>
      <c r="B73" s="554" t="s">
        <v>34</v>
      </c>
      <c r="C73" s="428"/>
      <c r="D73" s="518">
        <f>+D74+D76</f>
        <v>24625229</v>
      </c>
      <c r="E73" s="518">
        <f t="shared" ref="E73:P73" si="106">+E74+E76</f>
        <v>0</v>
      </c>
      <c r="F73" s="518">
        <f t="shared" si="106"/>
        <v>0</v>
      </c>
      <c r="G73" s="518">
        <f t="shared" si="106"/>
        <v>0</v>
      </c>
      <c r="H73" s="518">
        <f t="shared" si="106"/>
        <v>0</v>
      </c>
      <c r="I73" s="518">
        <f t="shared" si="106"/>
        <v>0</v>
      </c>
      <c r="J73" s="518">
        <f t="shared" si="106"/>
        <v>8011895</v>
      </c>
      <c r="K73" s="518">
        <f t="shared" si="106"/>
        <v>15384264</v>
      </c>
      <c r="L73" s="518">
        <f t="shared" si="106"/>
        <v>1229070</v>
      </c>
      <c r="M73" s="518">
        <f t="shared" ref="M73" si="107">+M74+M76</f>
        <v>24625229</v>
      </c>
      <c r="N73" s="518">
        <f t="shared" si="106"/>
        <v>0</v>
      </c>
      <c r="O73" s="518">
        <f t="shared" si="106"/>
        <v>0</v>
      </c>
      <c r="P73" s="518">
        <f t="shared" si="106"/>
        <v>0</v>
      </c>
      <c r="Q73" s="518"/>
      <c r="R73" s="518"/>
      <c r="S73" s="518"/>
      <c r="T73" s="518"/>
      <c r="U73" s="2437" t="s">
        <v>35</v>
      </c>
      <c r="V73" s="2440" t="s">
        <v>365</v>
      </c>
    </row>
    <row r="74" spans="1:23" s="1904" customFormat="1" ht="12" customHeight="1">
      <c r="A74" s="2430"/>
      <c r="B74" s="555" t="s">
        <v>36</v>
      </c>
      <c r="C74" s="2433" t="s">
        <v>106</v>
      </c>
      <c r="D74" s="519">
        <f>+D75</f>
        <v>12312614</v>
      </c>
      <c r="E74" s="519">
        <f t="shared" ref="E74:P74" si="108">+E75</f>
        <v>0</v>
      </c>
      <c r="F74" s="519">
        <f t="shared" si="108"/>
        <v>0</v>
      </c>
      <c r="G74" s="519">
        <f t="shared" si="108"/>
        <v>0</v>
      </c>
      <c r="H74" s="519">
        <f t="shared" si="108"/>
        <v>0</v>
      </c>
      <c r="I74" s="519">
        <f t="shared" si="108"/>
        <v>0</v>
      </c>
      <c r="J74" s="519">
        <f t="shared" si="108"/>
        <v>4709509</v>
      </c>
      <c r="K74" s="519">
        <f t="shared" si="108"/>
        <v>6988570</v>
      </c>
      <c r="L74" s="519">
        <f t="shared" si="108"/>
        <v>614535</v>
      </c>
      <c r="M74" s="519">
        <f t="shared" si="108"/>
        <v>12312614</v>
      </c>
      <c r="N74" s="519">
        <f t="shared" si="108"/>
        <v>0</v>
      </c>
      <c r="O74" s="519">
        <f t="shared" si="108"/>
        <v>0</v>
      </c>
      <c r="P74" s="519">
        <f t="shared" si="108"/>
        <v>0</v>
      </c>
      <c r="Q74" s="519"/>
      <c r="R74" s="519"/>
      <c r="S74" s="519"/>
      <c r="T74" s="519"/>
      <c r="U74" s="2438"/>
      <c r="V74" s="2441"/>
    </row>
    <row r="75" spans="1:23" s="1904" customFormat="1" ht="12" customHeight="1">
      <c r="A75" s="2430"/>
      <c r="B75" s="539" t="s">
        <v>29</v>
      </c>
      <c r="C75" s="2434"/>
      <c r="D75" s="503">
        <f>SUM(M75:T75)</f>
        <v>12312614</v>
      </c>
      <c r="E75" s="521">
        <v>0</v>
      </c>
      <c r="F75" s="521">
        <v>0</v>
      </c>
      <c r="G75" s="521">
        <v>0</v>
      </c>
      <c r="H75" s="521">
        <v>0</v>
      </c>
      <c r="I75" s="521">
        <v>0</v>
      </c>
      <c r="J75" s="549">
        <f>4714241-4732</f>
        <v>4709509</v>
      </c>
      <c r="K75" s="549">
        <v>6988570</v>
      </c>
      <c r="L75" s="521">
        <f>618786-4251</f>
        <v>614535</v>
      </c>
      <c r="M75" s="504">
        <f>+E75+I75+J75+K75+L75</f>
        <v>12312614</v>
      </c>
      <c r="N75" s="521">
        <v>0</v>
      </c>
      <c r="O75" s="521">
        <v>0</v>
      </c>
      <c r="P75" s="521">
        <v>0</v>
      </c>
      <c r="Q75" s="521"/>
      <c r="R75" s="521"/>
      <c r="S75" s="521"/>
      <c r="T75" s="521"/>
      <c r="U75" s="2438"/>
      <c r="V75" s="2441"/>
    </row>
    <row r="76" spans="1:23" s="1904" customFormat="1" ht="12" customHeight="1">
      <c r="A76" s="2430"/>
      <c r="B76" s="605" t="s">
        <v>30</v>
      </c>
      <c r="C76" s="2434"/>
      <c r="D76" s="513">
        <f>+D78+D77</f>
        <v>12312615</v>
      </c>
      <c r="E76" s="513">
        <f t="shared" ref="E76:P76" si="109">+E78+E77</f>
        <v>0</v>
      </c>
      <c r="F76" s="513">
        <f t="shared" si="109"/>
        <v>0</v>
      </c>
      <c r="G76" s="513">
        <f t="shared" si="109"/>
        <v>0</v>
      </c>
      <c r="H76" s="513">
        <f t="shared" si="109"/>
        <v>0</v>
      </c>
      <c r="I76" s="513">
        <f t="shared" si="109"/>
        <v>0</v>
      </c>
      <c r="J76" s="513">
        <f t="shared" si="109"/>
        <v>3302386</v>
      </c>
      <c r="K76" s="513">
        <f t="shared" si="109"/>
        <v>8395694</v>
      </c>
      <c r="L76" s="513">
        <f t="shared" si="109"/>
        <v>614535</v>
      </c>
      <c r="M76" s="513">
        <f t="shared" si="109"/>
        <v>12312615</v>
      </c>
      <c r="N76" s="513">
        <f t="shared" si="109"/>
        <v>0</v>
      </c>
      <c r="O76" s="513">
        <f t="shared" si="109"/>
        <v>0</v>
      </c>
      <c r="P76" s="513">
        <f t="shared" si="109"/>
        <v>0</v>
      </c>
      <c r="Q76" s="513"/>
      <c r="R76" s="513"/>
      <c r="S76" s="513"/>
      <c r="T76" s="513"/>
      <c r="U76" s="2438"/>
      <c r="V76" s="2441"/>
    </row>
    <row r="77" spans="1:23" s="1904" customFormat="1" ht="12" customHeight="1">
      <c r="A77" s="2430"/>
      <c r="B77" s="539" t="s">
        <v>29</v>
      </c>
      <c r="C77" s="2434"/>
      <c r="D77" s="503">
        <f t="shared" ref="D77:D78" si="110">SUM(M77:T77)</f>
        <v>0</v>
      </c>
      <c r="E77" s="510">
        <v>0</v>
      </c>
      <c r="F77" s="511"/>
      <c r="G77" s="549"/>
      <c r="H77" s="549"/>
      <c r="I77" s="549">
        <v>0</v>
      </c>
      <c r="J77" s="549">
        <v>0</v>
      </c>
      <c r="K77" s="549">
        <v>0</v>
      </c>
      <c r="L77" s="510">
        <v>0</v>
      </c>
      <c r="M77" s="504">
        <f>+E77+I77+J77+K77+L77</f>
        <v>0</v>
      </c>
      <c r="N77" s="511">
        <v>0</v>
      </c>
      <c r="O77" s="511">
        <v>0</v>
      </c>
      <c r="P77" s="511">
        <v>0</v>
      </c>
      <c r="Q77" s="511"/>
      <c r="R77" s="511"/>
      <c r="S77" s="511"/>
      <c r="T77" s="511"/>
      <c r="U77" s="2438"/>
      <c r="V77" s="2441"/>
    </row>
    <row r="78" spans="1:23" s="1904" customFormat="1" ht="12" customHeight="1" thickBot="1">
      <c r="A78" s="2431"/>
      <c r="B78" s="550" t="s">
        <v>33</v>
      </c>
      <c r="C78" s="2443"/>
      <c r="D78" s="503">
        <f t="shared" si="110"/>
        <v>12312615</v>
      </c>
      <c r="E78" s="546">
        <f>+F78+G78+H78</f>
        <v>0</v>
      </c>
      <c r="F78" s="547">
        <v>0</v>
      </c>
      <c r="G78" s="552">
        <v>0</v>
      </c>
      <c r="H78" s="546">
        <v>0</v>
      </c>
      <c r="I78" s="546">
        <v>0</v>
      </c>
      <c r="J78" s="546">
        <f>3307118-4732</f>
        <v>3302386</v>
      </c>
      <c r="K78" s="546">
        <v>8395694</v>
      </c>
      <c r="L78" s="546">
        <f>618786-4251</f>
        <v>614535</v>
      </c>
      <c r="M78" s="524">
        <f>L78+E78+I78+J78+K78</f>
        <v>12312615</v>
      </c>
      <c r="N78" s="546">
        <v>0</v>
      </c>
      <c r="O78" s="546">
        <v>0</v>
      </c>
      <c r="P78" s="546">
        <v>0</v>
      </c>
      <c r="Q78" s="546"/>
      <c r="R78" s="546"/>
      <c r="S78" s="546"/>
      <c r="T78" s="546"/>
      <c r="U78" s="2439"/>
      <c r="V78" s="2442"/>
    </row>
    <row r="79" spans="1:23" s="1904" customFormat="1" ht="27.75" customHeight="1">
      <c r="A79" s="2428">
        <v>3</v>
      </c>
      <c r="B79" s="486" t="s">
        <v>392</v>
      </c>
      <c r="C79" s="528" t="s">
        <v>102</v>
      </c>
      <c r="D79" s="529"/>
      <c r="E79" s="553"/>
      <c r="F79" s="530"/>
      <c r="G79" s="531"/>
      <c r="H79" s="531"/>
      <c r="I79" s="489"/>
      <c r="J79" s="489"/>
      <c r="K79" s="489"/>
      <c r="L79" s="489"/>
      <c r="M79" s="489"/>
      <c r="N79" s="489"/>
      <c r="O79" s="489"/>
      <c r="P79" s="491"/>
      <c r="Q79" s="491"/>
      <c r="R79" s="491"/>
      <c r="S79" s="491"/>
      <c r="T79" s="491"/>
      <c r="U79" s="492"/>
      <c r="V79" s="493" t="s">
        <v>103</v>
      </c>
    </row>
    <row r="80" spans="1:23" s="1904" customFormat="1" ht="12" customHeight="1">
      <c r="A80" s="2429"/>
      <c r="B80" s="554" t="s">
        <v>22</v>
      </c>
      <c r="C80" s="428"/>
      <c r="D80" s="533">
        <f t="shared" ref="D80:P80" si="111">+D81+D85</f>
        <v>39393906</v>
      </c>
      <c r="E80" s="534">
        <f t="shared" si="111"/>
        <v>106483</v>
      </c>
      <c r="F80" s="533">
        <f t="shared" si="111"/>
        <v>16483</v>
      </c>
      <c r="G80" s="533">
        <f t="shared" si="111"/>
        <v>6633</v>
      </c>
      <c r="H80" s="534">
        <f t="shared" si="111"/>
        <v>0</v>
      </c>
      <c r="I80" s="533">
        <f t="shared" si="111"/>
        <v>561530</v>
      </c>
      <c r="J80" s="533">
        <f t="shared" si="111"/>
        <v>13168067</v>
      </c>
      <c r="K80" s="534">
        <f t="shared" si="111"/>
        <v>25505841</v>
      </c>
      <c r="L80" s="533">
        <f t="shared" si="111"/>
        <v>16985</v>
      </c>
      <c r="M80" s="533">
        <f t="shared" ref="M80" si="112">+M81+M85</f>
        <v>39358906</v>
      </c>
      <c r="N80" s="533">
        <f t="shared" si="111"/>
        <v>2079</v>
      </c>
      <c r="O80" s="533">
        <f t="shared" si="111"/>
        <v>32921</v>
      </c>
      <c r="P80" s="533">
        <f t="shared" si="111"/>
        <v>0</v>
      </c>
      <c r="Q80" s="533">
        <f t="shared" ref="Q80:T80" si="113">+Q81+Q85</f>
        <v>0</v>
      </c>
      <c r="R80" s="533">
        <f t="shared" si="113"/>
        <v>0</v>
      </c>
      <c r="S80" s="533">
        <f t="shared" si="113"/>
        <v>0</v>
      </c>
      <c r="T80" s="533">
        <f t="shared" si="113"/>
        <v>0</v>
      </c>
      <c r="U80" s="535">
        <f>+U81+U85</f>
        <v>32921</v>
      </c>
      <c r="V80" s="2384" t="s">
        <v>104</v>
      </c>
      <c r="W80" s="1903">
        <f>+O80+P80</f>
        <v>32921</v>
      </c>
    </row>
    <row r="81" spans="1:22" s="1904" customFormat="1" ht="12" customHeight="1">
      <c r="A81" s="2429"/>
      <c r="B81" s="555" t="s">
        <v>36</v>
      </c>
      <c r="C81" s="2433" t="s">
        <v>105</v>
      </c>
      <c r="D81" s="556">
        <f>+D82+D83+D84</f>
        <v>11202422</v>
      </c>
      <c r="E81" s="556">
        <f t="shared" ref="E81:P81" si="114">+E82+E83+E84</f>
        <v>39227</v>
      </c>
      <c r="F81" s="556">
        <f t="shared" si="114"/>
        <v>16483</v>
      </c>
      <c r="G81" s="556">
        <f t="shared" si="114"/>
        <v>6633</v>
      </c>
      <c r="H81" s="556">
        <f t="shared" si="114"/>
        <v>0</v>
      </c>
      <c r="I81" s="556">
        <f t="shared" si="114"/>
        <v>444194</v>
      </c>
      <c r="J81" s="556">
        <f t="shared" si="114"/>
        <v>6759056</v>
      </c>
      <c r="K81" s="556">
        <f t="shared" si="114"/>
        <v>3907960</v>
      </c>
      <c r="L81" s="556">
        <f t="shared" si="114"/>
        <v>16985</v>
      </c>
      <c r="M81" s="556">
        <f t="shared" ref="M81" si="115">+M82+M83+M84</f>
        <v>11167422</v>
      </c>
      <c r="N81" s="556">
        <f t="shared" si="114"/>
        <v>2079</v>
      </c>
      <c r="O81" s="556">
        <f t="shared" si="114"/>
        <v>32921</v>
      </c>
      <c r="P81" s="556">
        <f t="shared" si="114"/>
        <v>0</v>
      </c>
      <c r="Q81" s="556">
        <f t="shared" ref="Q81:T81" si="116">+Q82+Q83+Q84</f>
        <v>0</v>
      </c>
      <c r="R81" s="556">
        <f t="shared" si="116"/>
        <v>0</v>
      </c>
      <c r="S81" s="556">
        <f t="shared" si="116"/>
        <v>0</v>
      </c>
      <c r="T81" s="556">
        <f t="shared" si="116"/>
        <v>0</v>
      </c>
      <c r="U81" s="557">
        <f>+U82+U83+U84</f>
        <v>32921</v>
      </c>
      <c r="V81" s="2384"/>
    </row>
    <row r="82" spans="1:22" s="1904" customFormat="1" ht="12" customHeight="1">
      <c r="A82" s="2429"/>
      <c r="B82" s="558" t="s">
        <v>24</v>
      </c>
      <c r="C82" s="2435"/>
      <c r="D82" s="503">
        <f t="shared" ref="D82:D84" si="117">SUM(M82:T82)</f>
        <v>4424344</v>
      </c>
      <c r="E82" s="559">
        <v>23116</v>
      </c>
      <c r="F82" s="549">
        <v>16483</v>
      </c>
      <c r="G82" s="510">
        <v>6633</v>
      </c>
      <c r="H82" s="510">
        <v>0</v>
      </c>
      <c r="I82" s="510">
        <v>416086</v>
      </c>
      <c r="J82" s="510">
        <v>1131259</v>
      </c>
      <c r="K82" s="510">
        <f>2467799+350000-15901</f>
        <v>2801898</v>
      </c>
      <c r="L82" s="549">
        <f>170000-153015</f>
        <v>16985</v>
      </c>
      <c r="M82" s="504">
        <f t="shared" ref="M82:M86" si="118">+E82+I82+J82+K82+L82</f>
        <v>4389344</v>
      </c>
      <c r="N82" s="549">
        <f>40000-32921-5000</f>
        <v>2079</v>
      </c>
      <c r="O82" s="549">
        <v>32921</v>
      </c>
      <c r="P82" s="511">
        <v>0</v>
      </c>
      <c r="Q82" s="511"/>
      <c r="R82" s="511"/>
      <c r="S82" s="511"/>
      <c r="T82" s="511"/>
      <c r="U82" s="462">
        <f>SUM(O82:T82)</f>
        <v>32921</v>
      </c>
      <c r="V82" s="2384"/>
    </row>
    <row r="83" spans="1:22" s="1904" customFormat="1" ht="12" customHeight="1">
      <c r="A83" s="2429"/>
      <c r="B83" s="539" t="s">
        <v>29</v>
      </c>
      <c r="C83" s="2435"/>
      <c r="D83" s="503">
        <f t="shared" si="117"/>
        <v>6753478</v>
      </c>
      <c r="E83" s="510">
        <v>16111</v>
      </c>
      <c r="F83" s="516"/>
      <c r="G83" s="508"/>
      <c r="H83" s="508"/>
      <c r="I83" s="508">
        <v>28108</v>
      </c>
      <c r="J83" s="508">
        <v>5627797</v>
      </c>
      <c r="K83" s="508">
        <f>1077530+3932</f>
        <v>1081462</v>
      </c>
      <c r="L83" s="511">
        <v>0</v>
      </c>
      <c r="M83" s="504">
        <f t="shared" si="118"/>
        <v>6753478</v>
      </c>
      <c r="N83" s="511">
        <v>0</v>
      </c>
      <c r="O83" s="511">
        <v>0</v>
      </c>
      <c r="P83" s="511">
        <v>0</v>
      </c>
      <c r="Q83" s="511"/>
      <c r="R83" s="511"/>
      <c r="S83" s="511"/>
      <c r="T83" s="511"/>
      <c r="U83" s="462">
        <f t="shared" ref="U83:U84" si="119">SUM(O83:T83)</f>
        <v>0</v>
      </c>
      <c r="V83" s="2384"/>
    </row>
    <row r="84" spans="1:22" s="1904" customFormat="1" ht="12" customHeight="1">
      <c r="A84" s="2429"/>
      <c r="B84" s="539" t="s">
        <v>27</v>
      </c>
      <c r="C84" s="2435"/>
      <c r="D84" s="503">
        <f t="shared" si="117"/>
        <v>24600</v>
      </c>
      <c r="E84" s="511">
        <v>0</v>
      </c>
      <c r="F84" s="516"/>
      <c r="G84" s="516"/>
      <c r="H84" s="516"/>
      <c r="I84" s="516">
        <v>0</v>
      </c>
      <c r="J84" s="516">
        <v>0</v>
      </c>
      <c r="K84" s="516">
        <v>24600</v>
      </c>
      <c r="L84" s="511">
        <v>0</v>
      </c>
      <c r="M84" s="504">
        <f t="shared" si="118"/>
        <v>24600</v>
      </c>
      <c r="N84" s="511">
        <v>0</v>
      </c>
      <c r="O84" s="511">
        <v>0</v>
      </c>
      <c r="P84" s="511">
        <v>0</v>
      </c>
      <c r="Q84" s="511"/>
      <c r="R84" s="511"/>
      <c r="S84" s="511"/>
      <c r="T84" s="511"/>
      <c r="U84" s="462">
        <f t="shared" si="119"/>
        <v>0</v>
      </c>
      <c r="V84" s="2384"/>
    </row>
    <row r="85" spans="1:22" s="1904" customFormat="1" ht="12" customHeight="1">
      <c r="A85" s="2429"/>
      <c r="B85" s="560" t="s">
        <v>30</v>
      </c>
      <c r="C85" s="2435"/>
      <c r="D85" s="513">
        <f>+D87+D86</f>
        <v>28191484</v>
      </c>
      <c r="E85" s="513">
        <f t="shared" ref="E85:P85" si="120">+E87+E86</f>
        <v>67256</v>
      </c>
      <c r="F85" s="513">
        <f t="shared" si="120"/>
        <v>0</v>
      </c>
      <c r="G85" s="513">
        <f t="shared" si="120"/>
        <v>0</v>
      </c>
      <c r="H85" s="513">
        <f t="shared" si="120"/>
        <v>0</v>
      </c>
      <c r="I85" s="513">
        <f t="shared" si="120"/>
        <v>117336</v>
      </c>
      <c r="J85" s="513">
        <f t="shared" si="120"/>
        <v>6409011</v>
      </c>
      <c r="K85" s="513">
        <f t="shared" si="120"/>
        <v>21597881</v>
      </c>
      <c r="L85" s="513">
        <f t="shared" si="120"/>
        <v>0</v>
      </c>
      <c r="M85" s="513">
        <f t="shared" si="120"/>
        <v>28191484</v>
      </c>
      <c r="N85" s="513">
        <f t="shared" si="120"/>
        <v>0</v>
      </c>
      <c r="O85" s="513">
        <f t="shared" si="120"/>
        <v>0</v>
      </c>
      <c r="P85" s="513">
        <f t="shared" si="120"/>
        <v>0</v>
      </c>
      <c r="Q85" s="513"/>
      <c r="R85" s="513"/>
      <c r="S85" s="513"/>
      <c r="T85" s="513"/>
      <c r="U85" s="557">
        <f t="shared" ref="U85" si="121">+U87+U86</f>
        <v>0</v>
      </c>
      <c r="V85" s="2384"/>
    </row>
    <row r="86" spans="1:22" s="1904" customFormat="1" ht="12.75" hidden="1" customHeight="1">
      <c r="A86" s="2429"/>
      <c r="B86" s="539" t="s">
        <v>29</v>
      </c>
      <c r="C86" s="2435"/>
      <c r="D86" s="507">
        <f>+E86+I86+J86+K86+L86</f>
        <v>0</v>
      </c>
      <c r="E86" s="510">
        <v>0</v>
      </c>
      <c r="F86" s="516">
        <v>0</v>
      </c>
      <c r="G86" s="508">
        <v>0</v>
      </c>
      <c r="H86" s="508">
        <v>0</v>
      </c>
      <c r="I86" s="508">
        <v>0</v>
      </c>
      <c r="J86" s="508">
        <v>0</v>
      </c>
      <c r="K86" s="508">
        <v>0</v>
      </c>
      <c r="L86" s="508">
        <v>0</v>
      </c>
      <c r="M86" s="504">
        <f t="shared" si="118"/>
        <v>0</v>
      </c>
      <c r="N86" s="508">
        <v>0</v>
      </c>
      <c r="O86" s="508">
        <v>0</v>
      </c>
      <c r="P86" s="516">
        <v>0</v>
      </c>
      <c r="Q86" s="516"/>
      <c r="R86" s="516"/>
      <c r="S86" s="516"/>
      <c r="T86" s="516"/>
      <c r="U86" s="462">
        <f>SUM(O86:T86)</f>
        <v>0</v>
      </c>
      <c r="V86" s="2384"/>
    </row>
    <row r="87" spans="1:22" s="1904" customFormat="1" ht="12" customHeight="1">
      <c r="A87" s="2429"/>
      <c r="B87" s="558" t="s">
        <v>33</v>
      </c>
      <c r="C87" s="2436"/>
      <c r="D87" s="503">
        <f>SUM(M87:T87)</f>
        <v>28191484</v>
      </c>
      <c r="E87" s="510">
        <v>67256</v>
      </c>
      <c r="F87" s="516">
        <v>0</v>
      </c>
      <c r="G87" s="508">
        <v>0</v>
      </c>
      <c r="H87" s="508">
        <v>0</v>
      </c>
      <c r="I87" s="508">
        <v>117336</v>
      </c>
      <c r="J87" s="508">
        <v>6409011</v>
      </c>
      <c r="K87" s="508">
        <f>21585912+11969</f>
        <v>21597881</v>
      </c>
      <c r="L87" s="508">
        <v>0</v>
      </c>
      <c r="M87" s="504">
        <f>+E87+I87+J87+K87+L87</f>
        <v>28191484</v>
      </c>
      <c r="N87" s="508">
        <v>0</v>
      </c>
      <c r="O87" s="508">
        <v>0</v>
      </c>
      <c r="P87" s="516">
        <v>0</v>
      </c>
      <c r="Q87" s="516"/>
      <c r="R87" s="516"/>
      <c r="S87" s="516"/>
      <c r="T87" s="516"/>
      <c r="U87" s="462">
        <f>SUM(O87:T87)</f>
        <v>0</v>
      </c>
      <c r="V87" s="2432"/>
    </row>
    <row r="88" spans="1:22" s="1904" customFormat="1">
      <c r="A88" s="2430"/>
      <c r="B88" s="561" t="s">
        <v>34</v>
      </c>
      <c r="C88" s="428"/>
      <c r="D88" s="518">
        <f>+D89+D92</f>
        <v>34969562</v>
      </c>
      <c r="E88" s="518">
        <f t="shared" ref="E88:P88" si="122">+E89+E92</f>
        <v>0</v>
      </c>
      <c r="F88" s="518">
        <f t="shared" si="122"/>
        <v>0</v>
      </c>
      <c r="G88" s="518">
        <f t="shared" si="122"/>
        <v>0</v>
      </c>
      <c r="H88" s="518">
        <f t="shared" si="122"/>
        <v>0</v>
      </c>
      <c r="I88" s="518">
        <f t="shared" si="122"/>
        <v>0</v>
      </c>
      <c r="J88" s="518">
        <f t="shared" si="122"/>
        <v>7901349</v>
      </c>
      <c r="K88" s="518">
        <f t="shared" si="122"/>
        <v>25067751</v>
      </c>
      <c r="L88" s="518">
        <f t="shared" si="122"/>
        <v>2000462</v>
      </c>
      <c r="M88" s="518">
        <f t="shared" ref="M88" si="123">+M89+M92</f>
        <v>34969562</v>
      </c>
      <c r="N88" s="518">
        <f t="shared" si="122"/>
        <v>0</v>
      </c>
      <c r="O88" s="518">
        <f t="shared" si="122"/>
        <v>0</v>
      </c>
      <c r="P88" s="518">
        <f t="shared" si="122"/>
        <v>0</v>
      </c>
      <c r="Q88" s="518"/>
      <c r="R88" s="518"/>
      <c r="S88" s="518"/>
      <c r="T88" s="518"/>
      <c r="U88" s="2437" t="s">
        <v>35</v>
      </c>
      <c r="V88" s="2440" t="s">
        <v>365</v>
      </c>
    </row>
    <row r="89" spans="1:22" s="1904" customFormat="1">
      <c r="A89" s="2430"/>
      <c r="B89" s="555" t="s">
        <v>36</v>
      </c>
      <c r="C89" s="2433" t="s">
        <v>106</v>
      </c>
      <c r="D89" s="519">
        <f>+D90+D91</f>
        <v>6778078</v>
      </c>
      <c r="E89" s="519">
        <f t="shared" ref="E89:P89" si="124">+E90+E91</f>
        <v>0</v>
      </c>
      <c r="F89" s="519">
        <f t="shared" si="124"/>
        <v>0</v>
      </c>
      <c r="G89" s="519">
        <f t="shared" si="124"/>
        <v>0</v>
      </c>
      <c r="H89" s="519">
        <f t="shared" si="124"/>
        <v>0</v>
      </c>
      <c r="I89" s="519">
        <f t="shared" si="124"/>
        <v>0</v>
      </c>
      <c r="J89" s="519">
        <f t="shared" si="124"/>
        <v>4171661</v>
      </c>
      <c r="K89" s="519">
        <f t="shared" si="124"/>
        <v>2219807</v>
      </c>
      <c r="L89" s="519">
        <f t="shared" si="124"/>
        <v>386610</v>
      </c>
      <c r="M89" s="519">
        <f t="shared" ref="M89" si="125">+M90+M91</f>
        <v>6778078</v>
      </c>
      <c r="N89" s="519">
        <f t="shared" si="124"/>
        <v>0</v>
      </c>
      <c r="O89" s="519">
        <f t="shared" si="124"/>
        <v>0</v>
      </c>
      <c r="P89" s="519">
        <f t="shared" si="124"/>
        <v>0</v>
      </c>
      <c r="Q89" s="519"/>
      <c r="R89" s="519"/>
      <c r="S89" s="519"/>
      <c r="T89" s="519"/>
      <c r="U89" s="2438"/>
      <c r="V89" s="2441"/>
    </row>
    <row r="90" spans="1:22" s="1904" customFormat="1" ht="12" customHeight="1">
      <c r="A90" s="2430"/>
      <c r="B90" s="539" t="s">
        <v>29</v>
      </c>
      <c r="C90" s="2434"/>
      <c r="D90" s="503">
        <f t="shared" ref="D90:D91" si="126">SUM(M90:T90)</f>
        <v>6753478</v>
      </c>
      <c r="E90" s="511">
        <v>0</v>
      </c>
      <c r="F90" s="511"/>
      <c r="G90" s="562"/>
      <c r="H90" s="563"/>
      <c r="I90" s="563">
        <v>0</v>
      </c>
      <c r="J90" s="562">
        <v>4171661</v>
      </c>
      <c r="K90" s="562">
        <v>2195207</v>
      </c>
      <c r="L90" s="562">
        <f>456487-17118-52759</f>
        <v>386610</v>
      </c>
      <c r="M90" s="504">
        <f>+E90+I90+J90+K90+L90</f>
        <v>6753478</v>
      </c>
      <c r="N90" s="562">
        <v>0</v>
      </c>
      <c r="O90" s="562">
        <v>0</v>
      </c>
      <c r="P90" s="564">
        <v>0</v>
      </c>
      <c r="Q90" s="564"/>
      <c r="R90" s="564"/>
      <c r="S90" s="564"/>
      <c r="T90" s="564"/>
      <c r="U90" s="2438"/>
      <c r="V90" s="2441"/>
    </row>
    <row r="91" spans="1:22" s="1904" customFormat="1" ht="10.5" customHeight="1">
      <c r="A91" s="2430"/>
      <c r="B91" s="539" t="s">
        <v>27</v>
      </c>
      <c r="C91" s="2434"/>
      <c r="D91" s="503">
        <f t="shared" si="126"/>
        <v>24600</v>
      </c>
      <c r="E91" s="511"/>
      <c r="F91" s="511"/>
      <c r="G91" s="565"/>
      <c r="H91" s="566"/>
      <c r="I91" s="566"/>
      <c r="J91" s="565"/>
      <c r="K91" s="565">
        <v>24600</v>
      </c>
      <c r="L91" s="565"/>
      <c r="M91" s="504">
        <f>+E91+I91+J91+K91+L91</f>
        <v>24600</v>
      </c>
      <c r="N91" s="565"/>
      <c r="O91" s="565"/>
      <c r="P91" s="562"/>
      <c r="Q91" s="565"/>
      <c r="R91" s="565"/>
      <c r="S91" s="565"/>
      <c r="T91" s="565"/>
      <c r="U91" s="2438"/>
      <c r="V91" s="2441"/>
    </row>
    <row r="92" spans="1:22" s="1904" customFormat="1" ht="12" customHeight="1">
      <c r="A92" s="2430"/>
      <c r="B92" s="560" t="s">
        <v>30</v>
      </c>
      <c r="C92" s="2434"/>
      <c r="D92" s="567">
        <f>+D94+D93</f>
        <v>28191484</v>
      </c>
      <c r="E92" s="567">
        <f t="shared" ref="E92:P92" si="127">+E94+E93</f>
        <v>0</v>
      </c>
      <c r="F92" s="567">
        <f t="shared" si="127"/>
        <v>0</v>
      </c>
      <c r="G92" s="567">
        <f t="shared" si="127"/>
        <v>0</v>
      </c>
      <c r="H92" s="567">
        <f t="shared" si="127"/>
        <v>0</v>
      </c>
      <c r="I92" s="567">
        <f t="shared" si="127"/>
        <v>0</v>
      </c>
      <c r="J92" s="567">
        <f t="shared" si="127"/>
        <v>3729688</v>
      </c>
      <c r="K92" s="567">
        <f t="shared" si="127"/>
        <v>22847944</v>
      </c>
      <c r="L92" s="567">
        <f t="shared" si="127"/>
        <v>1613852</v>
      </c>
      <c r="M92" s="567">
        <f t="shared" si="127"/>
        <v>28191484</v>
      </c>
      <c r="N92" s="567">
        <f t="shared" si="127"/>
        <v>0</v>
      </c>
      <c r="O92" s="567">
        <f t="shared" si="127"/>
        <v>0</v>
      </c>
      <c r="P92" s="567">
        <f t="shared" si="127"/>
        <v>0</v>
      </c>
      <c r="Q92" s="567"/>
      <c r="R92" s="567"/>
      <c r="S92" s="567"/>
      <c r="T92" s="567"/>
      <c r="U92" s="2438"/>
      <c r="V92" s="2441"/>
    </row>
    <row r="93" spans="1:22" s="1904" customFormat="1" ht="12" hidden="1" customHeight="1">
      <c r="A93" s="2430"/>
      <c r="B93" s="539" t="s">
        <v>29</v>
      </c>
      <c r="C93" s="2434"/>
      <c r="D93" s="521">
        <f>+E93+I93+J93+K93+L93</f>
        <v>0</v>
      </c>
      <c r="E93" s="511">
        <v>0</v>
      </c>
      <c r="F93" s="511"/>
      <c r="G93" s="562"/>
      <c r="H93" s="563"/>
      <c r="I93" s="563">
        <v>0</v>
      </c>
      <c r="J93" s="562">
        <v>0</v>
      </c>
      <c r="K93" s="562">
        <v>0</v>
      </c>
      <c r="L93" s="562">
        <v>0</v>
      </c>
      <c r="M93" s="562"/>
      <c r="N93" s="562">
        <v>0</v>
      </c>
      <c r="O93" s="562">
        <v>0</v>
      </c>
      <c r="P93" s="564">
        <v>0</v>
      </c>
      <c r="Q93" s="564"/>
      <c r="R93" s="564"/>
      <c r="S93" s="564"/>
      <c r="T93" s="564"/>
      <c r="U93" s="2439"/>
      <c r="V93" s="2441"/>
    </row>
    <row r="94" spans="1:22" s="1904" customFormat="1" ht="12.75" customHeight="1" thickBot="1">
      <c r="A94" s="2431"/>
      <c r="B94" s="568" t="s">
        <v>33</v>
      </c>
      <c r="C94" s="2443"/>
      <c r="D94" s="569">
        <f>SUM(M94:T94)</f>
        <v>28191484</v>
      </c>
      <c r="E94" s="525">
        <f>+F94+G94+H94</f>
        <v>0</v>
      </c>
      <c r="F94" s="525">
        <v>0</v>
      </c>
      <c r="G94" s="569">
        <v>0</v>
      </c>
      <c r="H94" s="570">
        <v>0</v>
      </c>
      <c r="I94" s="570">
        <v>0</v>
      </c>
      <c r="J94" s="569">
        <v>3729688</v>
      </c>
      <c r="K94" s="569">
        <v>22847944</v>
      </c>
      <c r="L94" s="569">
        <f>1968384-134299-220233</f>
        <v>1613852</v>
      </c>
      <c r="M94" s="524">
        <f>L94+E94+I94+J94+K94</f>
        <v>28191484</v>
      </c>
      <c r="N94" s="569">
        <v>0</v>
      </c>
      <c r="O94" s="569">
        <v>0</v>
      </c>
      <c r="P94" s="571">
        <v>0</v>
      </c>
      <c r="Q94" s="571"/>
      <c r="R94" s="571"/>
      <c r="S94" s="571"/>
      <c r="T94" s="571"/>
      <c r="U94" s="572"/>
      <c r="V94" s="2442"/>
    </row>
    <row r="95" spans="1:22" s="1904" customFormat="1" ht="27.75" customHeight="1">
      <c r="A95" s="2480">
        <v>4</v>
      </c>
      <c r="B95" s="527" t="s">
        <v>393</v>
      </c>
      <c r="C95" s="487" t="s">
        <v>102</v>
      </c>
      <c r="D95" s="529"/>
      <c r="E95" s="553"/>
      <c r="F95" s="530"/>
      <c r="G95" s="531"/>
      <c r="H95" s="531"/>
      <c r="I95" s="489"/>
      <c r="J95" s="489"/>
      <c r="K95" s="489"/>
      <c r="L95" s="489"/>
      <c r="M95" s="489"/>
      <c r="N95" s="489"/>
      <c r="O95" s="489"/>
      <c r="P95" s="491"/>
      <c r="Q95" s="491"/>
      <c r="R95" s="491"/>
      <c r="S95" s="491"/>
      <c r="T95" s="491"/>
      <c r="U95" s="583"/>
      <c r="V95" s="493" t="s">
        <v>103</v>
      </c>
    </row>
    <row r="96" spans="1:22" s="1904" customFormat="1" ht="13.5" customHeight="1">
      <c r="A96" s="2481"/>
      <c r="B96" s="427" t="s">
        <v>22</v>
      </c>
      <c r="C96" s="428"/>
      <c r="D96" s="533">
        <f t="shared" ref="D96:P96" si="128">+D97+D100</f>
        <v>15972643</v>
      </c>
      <c r="E96" s="533">
        <f t="shared" si="128"/>
        <v>15437</v>
      </c>
      <c r="F96" s="533">
        <f t="shared" si="128"/>
        <v>0</v>
      </c>
      <c r="G96" s="533">
        <f t="shared" si="128"/>
        <v>15437</v>
      </c>
      <c r="H96" s="533">
        <f t="shared" si="128"/>
        <v>0</v>
      </c>
      <c r="I96" s="533">
        <f t="shared" si="128"/>
        <v>342392</v>
      </c>
      <c r="J96" s="533">
        <f t="shared" si="128"/>
        <v>8517618</v>
      </c>
      <c r="K96" s="533">
        <f t="shared" si="128"/>
        <v>6851153</v>
      </c>
      <c r="L96" s="533">
        <f t="shared" si="128"/>
        <v>46043</v>
      </c>
      <c r="M96" s="533">
        <f t="shared" ref="M96" si="129">+M97+M100</f>
        <v>15772643</v>
      </c>
      <c r="N96" s="533">
        <f t="shared" si="128"/>
        <v>47566</v>
      </c>
      <c r="O96" s="533">
        <f t="shared" si="128"/>
        <v>152434</v>
      </c>
      <c r="P96" s="533">
        <f t="shared" si="128"/>
        <v>0</v>
      </c>
      <c r="Q96" s="533"/>
      <c r="R96" s="533"/>
      <c r="S96" s="533"/>
      <c r="T96" s="533"/>
      <c r="U96" s="535">
        <f>+U97+U100</f>
        <v>152434</v>
      </c>
      <c r="V96" s="2384" t="s">
        <v>104</v>
      </c>
    </row>
    <row r="97" spans="1:26" s="1904" customFormat="1" ht="12" customHeight="1">
      <c r="A97" s="2481"/>
      <c r="B97" s="584" t="s">
        <v>36</v>
      </c>
      <c r="C97" s="2433" t="s">
        <v>105</v>
      </c>
      <c r="D97" s="536">
        <f t="shared" ref="D97:P97" si="130">+D98+D99</f>
        <v>8165030</v>
      </c>
      <c r="E97" s="536">
        <f t="shared" si="130"/>
        <v>15437</v>
      </c>
      <c r="F97" s="536">
        <f t="shared" si="130"/>
        <v>0</v>
      </c>
      <c r="G97" s="536">
        <f t="shared" si="130"/>
        <v>15437</v>
      </c>
      <c r="H97" s="536">
        <f t="shared" si="130"/>
        <v>0</v>
      </c>
      <c r="I97" s="536">
        <f t="shared" si="130"/>
        <v>171542</v>
      </c>
      <c r="J97" s="536">
        <f t="shared" si="130"/>
        <v>6033655</v>
      </c>
      <c r="K97" s="536">
        <f t="shared" si="130"/>
        <v>1698353</v>
      </c>
      <c r="L97" s="536">
        <f t="shared" si="130"/>
        <v>46043</v>
      </c>
      <c r="M97" s="536">
        <f t="shared" ref="M97" si="131">+M98+M99</f>
        <v>7965030</v>
      </c>
      <c r="N97" s="536">
        <f t="shared" si="130"/>
        <v>47566</v>
      </c>
      <c r="O97" s="536">
        <f t="shared" si="130"/>
        <v>152434</v>
      </c>
      <c r="P97" s="536">
        <f t="shared" si="130"/>
        <v>0</v>
      </c>
      <c r="Q97" s="536"/>
      <c r="R97" s="536"/>
      <c r="S97" s="536"/>
      <c r="T97" s="536"/>
      <c r="U97" s="557">
        <f>+U98+U99</f>
        <v>152434</v>
      </c>
      <c r="V97" s="2384"/>
    </row>
    <row r="98" spans="1:26" s="1904" customFormat="1" ht="12" customHeight="1">
      <c r="A98" s="2481"/>
      <c r="B98" s="585" t="s">
        <v>24</v>
      </c>
      <c r="C98" s="2434"/>
      <c r="D98" s="503">
        <f t="shared" ref="D98:D99" si="132">SUM(M98:T98)</f>
        <v>357417</v>
      </c>
      <c r="E98" s="511">
        <f>+F98+G98+H98</f>
        <v>15437</v>
      </c>
      <c r="F98" s="511">
        <v>0</v>
      </c>
      <c r="G98" s="549">
        <v>15437</v>
      </c>
      <c r="H98" s="549">
        <v>0</v>
      </c>
      <c r="I98" s="549">
        <v>692</v>
      </c>
      <c r="J98" s="549">
        <f>480+922</f>
        <v>1402</v>
      </c>
      <c r="K98" s="549">
        <v>93843</v>
      </c>
      <c r="L98" s="510">
        <f>140000-93957</f>
        <v>46043</v>
      </c>
      <c r="M98" s="504">
        <f t="shared" ref="M98:M99" si="133">+E98+I98+J98+K98+L98</f>
        <v>157417</v>
      </c>
      <c r="N98" s="549">
        <f>120000+80000-152434</f>
        <v>47566</v>
      </c>
      <c r="O98" s="549">
        <v>152434</v>
      </c>
      <c r="P98" s="511">
        <v>0</v>
      </c>
      <c r="Q98" s="511"/>
      <c r="R98" s="511"/>
      <c r="S98" s="511"/>
      <c r="T98" s="511"/>
      <c r="U98" s="462">
        <f>SUM(O98:T98)</f>
        <v>152434</v>
      </c>
      <c r="V98" s="2384"/>
    </row>
    <row r="99" spans="1:26" s="1904" customFormat="1" ht="12" customHeight="1">
      <c r="A99" s="2481"/>
      <c r="B99" s="502" t="s">
        <v>29</v>
      </c>
      <c r="C99" s="2434"/>
      <c r="D99" s="503">
        <f t="shared" si="132"/>
        <v>7807613</v>
      </c>
      <c r="E99" s="510">
        <v>0</v>
      </c>
      <c r="F99" s="511"/>
      <c r="G99" s="510"/>
      <c r="H99" s="549"/>
      <c r="I99" s="549">
        <f>171196-346</f>
        <v>170850</v>
      </c>
      <c r="J99" s="549">
        <f>6032714-461</f>
        <v>6032253</v>
      </c>
      <c r="K99" s="549">
        <v>1604510</v>
      </c>
      <c r="L99" s="511">
        <v>0</v>
      </c>
      <c r="M99" s="504">
        <f t="shared" si="133"/>
        <v>7807613</v>
      </c>
      <c r="N99" s="511">
        <v>0</v>
      </c>
      <c r="O99" s="511">
        <v>0</v>
      </c>
      <c r="P99" s="511">
        <v>0</v>
      </c>
      <c r="Q99" s="511"/>
      <c r="R99" s="511"/>
      <c r="S99" s="511"/>
      <c r="T99" s="511"/>
      <c r="U99" s="462">
        <f>SUM(O99:T99)</f>
        <v>0</v>
      </c>
      <c r="V99" s="2384"/>
    </row>
    <row r="100" spans="1:26" s="1904" customFormat="1" ht="12" customHeight="1">
      <c r="A100" s="2481"/>
      <c r="B100" s="512" t="s">
        <v>30</v>
      </c>
      <c r="C100" s="2434"/>
      <c r="D100" s="513">
        <f t="shared" ref="D100:P100" si="134">+D101+D102</f>
        <v>7807613</v>
      </c>
      <c r="E100" s="513">
        <f t="shared" si="134"/>
        <v>0</v>
      </c>
      <c r="F100" s="513">
        <f t="shared" si="134"/>
        <v>0</v>
      </c>
      <c r="G100" s="513">
        <f t="shared" si="134"/>
        <v>0</v>
      </c>
      <c r="H100" s="513">
        <f t="shared" si="134"/>
        <v>0</v>
      </c>
      <c r="I100" s="513">
        <f t="shared" si="134"/>
        <v>170850</v>
      </c>
      <c r="J100" s="513">
        <f t="shared" si="134"/>
        <v>2483963</v>
      </c>
      <c r="K100" s="513">
        <f t="shared" si="134"/>
        <v>5152800</v>
      </c>
      <c r="L100" s="513">
        <f t="shared" si="134"/>
        <v>0</v>
      </c>
      <c r="M100" s="513">
        <f t="shared" si="134"/>
        <v>7807613</v>
      </c>
      <c r="N100" s="513">
        <f t="shared" si="134"/>
        <v>0</v>
      </c>
      <c r="O100" s="513">
        <f t="shared" si="134"/>
        <v>0</v>
      </c>
      <c r="P100" s="513">
        <f t="shared" si="134"/>
        <v>0</v>
      </c>
      <c r="Q100" s="513"/>
      <c r="R100" s="513"/>
      <c r="S100" s="513"/>
      <c r="T100" s="513"/>
      <c r="U100" s="557">
        <f>+U101+U102</f>
        <v>0</v>
      </c>
      <c r="V100" s="2384"/>
    </row>
    <row r="101" spans="1:26" s="1904" customFormat="1" ht="12" hidden="1" customHeight="1">
      <c r="A101" s="2481"/>
      <c r="B101" s="558" t="s">
        <v>29</v>
      </c>
      <c r="C101" s="2434"/>
      <c r="D101" s="521">
        <f>+E101+I101+J101+K101+L101</f>
        <v>0</v>
      </c>
      <c r="E101" s="510">
        <v>0</v>
      </c>
      <c r="F101" s="511"/>
      <c r="G101" s="510"/>
      <c r="H101" s="549"/>
      <c r="I101" s="549">
        <v>0</v>
      </c>
      <c r="J101" s="549">
        <v>0</v>
      </c>
      <c r="K101" s="510">
        <v>0</v>
      </c>
      <c r="L101" s="510">
        <v>0</v>
      </c>
      <c r="M101" s="510"/>
      <c r="N101" s="510">
        <v>0</v>
      </c>
      <c r="O101" s="510">
        <v>0</v>
      </c>
      <c r="P101" s="511">
        <v>0</v>
      </c>
      <c r="Q101" s="511"/>
      <c r="R101" s="511"/>
      <c r="S101" s="511"/>
      <c r="T101" s="511"/>
      <c r="U101" s="462">
        <f>+O101+P101+Q101</f>
        <v>0</v>
      </c>
      <c r="V101" s="2384"/>
    </row>
    <row r="102" spans="1:26" s="1904" customFormat="1" ht="12" customHeight="1">
      <c r="A102" s="2481"/>
      <c r="B102" s="558" t="s">
        <v>33</v>
      </c>
      <c r="C102" s="2483"/>
      <c r="D102" s="503">
        <f>SUM(M102:T102)</f>
        <v>7807613</v>
      </c>
      <c r="E102" s="510">
        <v>0</v>
      </c>
      <c r="F102" s="511"/>
      <c r="G102" s="510"/>
      <c r="H102" s="549"/>
      <c r="I102" s="549">
        <f>171196-346</f>
        <v>170850</v>
      </c>
      <c r="J102" s="549">
        <f>2484424-461</f>
        <v>2483963</v>
      </c>
      <c r="K102" s="510">
        <v>5152800</v>
      </c>
      <c r="L102" s="510">
        <v>0</v>
      </c>
      <c r="M102" s="504">
        <f>+E102+I102+J102+K102+L102</f>
        <v>7807613</v>
      </c>
      <c r="N102" s="510">
        <v>0</v>
      </c>
      <c r="O102" s="510">
        <v>0</v>
      </c>
      <c r="P102" s="511">
        <v>0</v>
      </c>
      <c r="Q102" s="511"/>
      <c r="R102" s="511"/>
      <c r="S102" s="511"/>
      <c r="T102" s="511"/>
      <c r="U102" s="462">
        <f>SUM(O102:T102)</f>
        <v>0</v>
      </c>
      <c r="V102" s="2432"/>
    </row>
    <row r="103" spans="1:26" s="1904" customFormat="1" ht="12" customHeight="1">
      <c r="A103" s="2481"/>
      <c r="B103" s="573" t="s">
        <v>34</v>
      </c>
      <c r="C103" s="428"/>
      <c r="D103" s="518">
        <f t="shared" ref="D103:P103" si="135">+D106+D104</f>
        <v>15615226</v>
      </c>
      <c r="E103" s="518">
        <f t="shared" si="135"/>
        <v>0</v>
      </c>
      <c r="F103" s="518">
        <f t="shared" si="135"/>
        <v>0</v>
      </c>
      <c r="G103" s="518">
        <f t="shared" si="135"/>
        <v>0</v>
      </c>
      <c r="H103" s="518">
        <f t="shared" si="135"/>
        <v>0</v>
      </c>
      <c r="I103" s="518">
        <f t="shared" si="135"/>
        <v>0</v>
      </c>
      <c r="J103" s="518">
        <f t="shared" si="135"/>
        <v>5723800</v>
      </c>
      <c r="K103" s="518">
        <f t="shared" si="135"/>
        <v>9043098</v>
      </c>
      <c r="L103" s="518">
        <f t="shared" si="135"/>
        <v>848328</v>
      </c>
      <c r="M103" s="518">
        <f t="shared" ref="M103" si="136">+M106+M104</f>
        <v>15615226</v>
      </c>
      <c r="N103" s="518">
        <f t="shared" si="135"/>
        <v>0</v>
      </c>
      <c r="O103" s="518">
        <f t="shared" si="135"/>
        <v>0</v>
      </c>
      <c r="P103" s="518">
        <f t="shared" si="135"/>
        <v>0</v>
      </c>
      <c r="Q103" s="518"/>
      <c r="R103" s="518"/>
      <c r="S103" s="518"/>
      <c r="T103" s="518"/>
      <c r="U103" s="2437" t="s">
        <v>35</v>
      </c>
      <c r="V103" s="2440" t="s">
        <v>366</v>
      </c>
    </row>
    <row r="104" spans="1:26" s="1904" customFormat="1" ht="12" customHeight="1">
      <c r="A104" s="2481"/>
      <c r="B104" s="498" t="s">
        <v>36</v>
      </c>
      <c r="C104" s="2433" t="s">
        <v>106</v>
      </c>
      <c r="D104" s="513">
        <f t="shared" ref="D104:P104" si="137">+D105</f>
        <v>7807613</v>
      </c>
      <c r="E104" s="513">
        <f t="shared" si="137"/>
        <v>0</v>
      </c>
      <c r="F104" s="513">
        <f t="shared" si="137"/>
        <v>0</v>
      </c>
      <c r="G104" s="513">
        <f t="shared" si="137"/>
        <v>0</v>
      </c>
      <c r="H104" s="513">
        <f t="shared" si="137"/>
        <v>0</v>
      </c>
      <c r="I104" s="513">
        <f t="shared" si="137"/>
        <v>0</v>
      </c>
      <c r="J104" s="513">
        <f t="shared" si="137"/>
        <v>3068526</v>
      </c>
      <c r="K104" s="513">
        <f t="shared" si="137"/>
        <v>4314923</v>
      </c>
      <c r="L104" s="513">
        <f t="shared" si="137"/>
        <v>424164</v>
      </c>
      <c r="M104" s="513">
        <f t="shared" si="137"/>
        <v>7807613</v>
      </c>
      <c r="N104" s="513">
        <f t="shared" si="137"/>
        <v>0</v>
      </c>
      <c r="O104" s="513">
        <f t="shared" si="137"/>
        <v>0</v>
      </c>
      <c r="P104" s="513">
        <f t="shared" si="137"/>
        <v>0</v>
      </c>
      <c r="Q104" s="513"/>
      <c r="R104" s="513"/>
      <c r="S104" s="513"/>
      <c r="T104" s="513"/>
      <c r="U104" s="2438"/>
      <c r="V104" s="2441"/>
    </row>
    <row r="105" spans="1:26" s="1904" customFormat="1" ht="12" customHeight="1">
      <c r="A105" s="2481"/>
      <c r="B105" s="539" t="s">
        <v>29</v>
      </c>
      <c r="C105" s="2434"/>
      <c r="D105" s="503">
        <f>SUM(M105:T105)</f>
        <v>7807613</v>
      </c>
      <c r="E105" s="520">
        <f>+F105+G105+H105</f>
        <v>0</v>
      </c>
      <c r="F105" s="520">
        <v>0</v>
      </c>
      <c r="G105" s="520">
        <v>0</v>
      </c>
      <c r="H105" s="520">
        <v>0</v>
      </c>
      <c r="I105" s="520">
        <v>0</v>
      </c>
      <c r="J105" s="520">
        <f>3073867-5341</f>
        <v>3068526</v>
      </c>
      <c r="K105" s="520">
        <v>4314923</v>
      </c>
      <c r="L105" s="520">
        <f>424625-461</f>
        <v>424164</v>
      </c>
      <c r="M105" s="504">
        <f>+E105+I105+J105+K105+L105</f>
        <v>7807613</v>
      </c>
      <c r="N105" s="520">
        <v>0</v>
      </c>
      <c r="O105" s="520">
        <v>0</v>
      </c>
      <c r="P105" s="521">
        <v>0</v>
      </c>
      <c r="Q105" s="521"/>
      <c r="R105" s="521"/>
      <c r="S105" s="521"/>
      <c r="T105" s="521"/>
      <c r="U105" s="2438"/>
      <c r="V105" s="2441"/>
    </row>
    <row r="106" spans="1:26" s="1904" customFormat="1" ht="12" customHeight="1">
      <c r="A106" s="2481"/>
      <c r="B106" s="574" t="s">
        <v>30</v>
      </c>
      <c r="C106" s="2434"/>
      <c r="D106" s="567">
        <f t="shared" ref="D106:P106" si="138">+D107+D108</f>
        <v>7807613</v>
      </c>
      <c r="E106" s="567">
        <f t="shared" si="138"/>
        <v>0</v>
      </c>
      <c r="F106" s="567">
        <f t="shared" si="138"/>
        <v>0</v>
      </c>
      <c r="G106" s="567">
        <f t="shared" si="138"/>
        <v>0</v>
      </c>
      <c r="H106" s="567">
        <f t="shared" si="138"/>
        <v>0</v>
      </c>
      <c r="I106" s="567">
        <f t="shared" si="138"/>
        <v>0</v>
      </c>
      <c r="J106" s="567">
        <f t="shared" si="138"/>
        <v>2655274</v>
      </c>
      <c r="K106" s="567">
        <f t="shared" si="138"/>
        <v>4728175</v>
      </c>
      <c r="L106" s="567">
        <f t="shared" si="138"/>
        <v>424164</v>
      </c>
      <c r="M106" s="567">
        <f t="shared" si="138"/>
        <v>7807613</v>
      </c>
      <c r="N106" s="567">
        <f t="shared" si="138"/>
        <v>0</v>
      </c>
      <c r="O106" s="567">
        <f t="shared" si="138"/>
        <v>0</v>
      </c>
      <c r="P106" s="575">
        <f t="shared" si="138"/>
        <v>0</v>
      </c>
      <c r="Q106" s="575"/>
      <c r="R106" s="575"/>
      <c r="S106" s="575"/>
      <c r="T106" s="575"/>
      <c r="U106" s="2438"/>
      <c r="V106" s="2441"/>
    </row>
    <row r="107" spans="1:26" s="1904" customFormat="1" ht="12" hidden="1" customHeight="1">
      <c r="A107" s="2481"/>
      <c r="B107" s="558" t="s">
        <v>29</v>
      </c>
      <c r="C107" s="2434"/>
      <c r="D107" s="521">
        <f>+E107+I107+J107+K107+L107</f>
        <v>0</v>
      </c>
      <c r="E107" s="520">
        <f>+F107+G107+H107</f>
        <v>0</v>
      </c>
      <c r="F107" s="520">
        <v>0</v>
      </c>
      <c r="G107" s="520">
        <v>0</v>
      </c>
      <c r="H107" s="520">
        <v>0</v>
      </c>
      <c r="I107" s="520">
        <v>0</v>
      </c>
      <c r="J107" s="520">
        <v>0</v>
      </c>
      <c r="K107" s="520">
        <v>0</v>
      </c>
      <c r="L107" s="520">
        <v>0</v>
      </c>
      <c r="M107" s="520"/>
      <c r="N107" s="520">
        <v>0</v>
      </c>
      <c r="O107" s="520">
        <v>0</v>
      </c>
      <c r="P107" s="521">
        <v>0</v>
      </c>
      <c r="Q107" s="521"/>
      <c r="R107" s="521"/>
      <c r="S107" s="521"/>
      <c r="T107" s="521"/>
      <c r="U107" s="2438"/>
      <c r="V107" s="2441"/>
    </row>
    <row r="108" spans="1:26" s="1904" customFormat="1" ht="13.5" thickBot="1">
      <c r="A108" s="2482"/>
      <c r="B108" s="577" t="s">
        <v>33</v>
      </c>
      <c r="C108" s="2443"/>
      <c r="D108" s="1897">
        <f>SUM(M108:T108)</f>
        <v>7807613</v>
      </c>
      <c r="E108" s="523">
        <v>0</v>
      </c>
      <c r="F108" s="523"/>
      <c r="G108" s="523"/>
      <c r="H108" s="523"/>
      <c r="I108" s="523">
        <v>0</v>
      </c>
      <c r="J108" s="523">
        <v>2655274</v>
      </c>
      <c r="K108" s="523">
        <v>4728175</v>
      </c>
      <c r="L108" s="523">
        <f>424625-461</f>
        <v>424164</v>
      </c>
      <c r="M108" s="524">
        <f>L108+E108+I108+J108+K108</f>
        <v>7807613</v>
      </c>
      <c r="N108" s="523">
        <v>0</v>
      </c>
      <c r="O108" s="523">
        <v>0</v>
      </c>
      <c r="P108" s="551">
        <v>0</v>
      </c>
      <c r="Q108" s="551"/>
      <c r="R108" s="551"/>
      <c r="S108" s="551"/>
      <c r="T108" s="551"/>
      <c r="U108" s="2439"/>
      <c r="V108" s="2442"/>
    </row>
    <row r="109" spans="1:26" s="1904" customFormat="1" ht="29.25" customHeight="1">
      <c r="A109" s="2428">
        <v>5</v>
      </c>
      <c r="B109" s="548" t="s">
        <v>417</v>
      </c>
      <c r="C109" s="528" t="s">
        <v>102</v>
      </c>
      <c r="D109" s="529"/>
      <c r="E109" s="531"/>
      <c r="F109" s="530"/>
      <c r="G109" s="530"/>
      <c r="H109" s="531"/>
      <c r="I109" s="490"/>
      <c r="J109" s="489"/>
      <c r="K109" s="489"/>
      <c r="L109" s="490"/>
      <c r="M109" s="490"/>
      <c r="N109" s="489"/>
      <c r="O109" s="489"/>
      <c r="P109" s="489"/>
      <c r="Q109" s="489"/>
      <c r="R109" s="489"/>
      <c r="S109" s="1773"/>
      <c r="T109" s="490"/>
      <c r="U109" s="532"/>
      <c r="V109" s="493" t="s">
        <v>103</v>
      </c>
      <c r="Z109" s="1905"/>
    </row>
    <row r="110" spans="1:26" s="1904" customFormat="1" ht="15" customHeight="1">
      <c r="A110" s="2429"/>
      <c r="B110" s="561" t="s">
        <v>22</v>
      </c>
      <c r="C110" s="428"/>
      <c r="D110" s="533">
        <f>+D111+D114</f>
        <v>43638623</v>
      </c>
      <c r="E110" s="533">
        <f>+E111+E114</f>
        <v>123795</v>
      </c>
      <c r="F110" s="533">
        <f t="shared" ref="F110:P110" si="139">+F111+F114</f>
        <v>32804</v>
      </c>
      <c r="G110" s="533">
        <f t="shared" si="139"/>
        <v>90000</v>
      </c>
      <c r="H110" s="533">
        <f t="shared" si="139"/>
        <v>991</v>
      </c>
      <c r="I110" s="533">
        <f t="shared" si="139"/>
        <v>0</v>
      </c>
      <c r="J110" s="533">
        <f t="shared" si="139"/>
        <v>64525</v>
      </c>
      <c r="K110" s="533">
        <f t="shared" si="139"/>
        <v>348320</v>
      </c>
      <c r="L110" s="533">
        <f t="shared" si="139"/>
        <v>23596094</v>
      </c>
      <c r="M110" s="533">
        <f t="shared" ref="M110" si="140">+M111+M114</f>
        <v>24132734</v>
      </c>
      <c r="N110" s="533">
        <f t="shared" si="139"/>
        <v>19081556</v>
      </c>
      <c r="O110" s="533">
        <f t="shared" si="139"/>
        <v>424333</v>
      </c>
      <c r="P110" s="533">
        <f t="shared" si="139"/>
        <v>0</v>
      </c>
      <c r="Q110" s="533"/>
      <c r="R110" s="533"/>
      <c r="S110" s="533"/>
      <c r="T110" s="533"/>
      <c r="U110" s="535">
        <f>+U111+U114</f>
        <v>424333</v>
      </c>
      <c r="V110" s="2384" t="s">
        <v>104</v>
      </c>
      <c r="W110" s="1903"/>
      <c r="X110" s="1903"/>
      <c r="Y110" s="1903"/>
      <c r="Z110" s="1903"/>
    </row>
    <row r="111" spans="1:26" s="1904" customFormat="1" ht="12" customHeight="1">
      <c r="A111" s="2429"/>
      <c r="B111" s="586" t="s">
        <v>36</v>
      </c>
      <c r="C111" s="2433" t="s">
        <v>105</v>
      </c>
      <c r="D111" s="536">
        <f>+D112+D113</f>
        <v>4491544</v>
      </c>
      <c r="E111" s="536">
        <f t="shared" ref="E111:P111" si="141">+E112+E113</f>
        <v>74668</v>
      </c>
      <c r="F111" s="536">
        <f>+F112+F113</f>
        <v>32804</v>
      </c>
      <c r="G111" s="536">
        <f t="shared" si="141"/>
        <v>41781</v>
      </c>
      <c r="H111" s="536">
        <f t="shared" si="141"/>
        <v>83</v>
      </c>
      <c r="I111" s="536">
        <f t="shared" si="141"/>
        <v>0</v>
      </c>
      <c r="J111" s="536">
        <f t="shared" si="141"/>
        <v>29956</v>
      </c>
      <c r="K111" s="536">
        <f t="shared" si="141"/>
        <v>214004</v>
      </c>
      <c r="L111" s="536">
        <f t="shared" si="141"/>
        <v>2137011</v>
      </c>
      <c r="M111" s="536">
        <f t="shared" ref="M111" si="142">+M112+M113</f>
        <v>2455639</v>
      </c>
      <c r="N111" s="536">
        <f t="shared" si="141"/>
        <v>1644727</v>
      </c>
      <c r="O111" s="536">
        <f t="shared" si="141"/>
        <v>391178</v>
      </c>
      <c r="P111" s="536">
        <f t="shared" si="141"/>
        <v>0</v>
      </c>
      <c r="Q111" s="536"/>
      <c r="R111" s="536"/>
      <c r="S111" s="536"/>
      <c r="T111" s="536"/>
      <c r="U111" s="537">
        <f>+U112+U113</f>
        <v>391178</v>
      </c>
      <c r="V111" s="2384"/>
    </row>
    <row r="112" spans="1:26" s="1904" customFormat="1" ht="12" customHeight="1">
      <c r="A112" s="2429"/>
      <c r="B112" s="558" t="s">
        <v>24</v>
      </c>
      <c r="C112" s="2434"/>
      <c r="D112" s="503">
        <f t="shared" ref="D112:D113" si="143">SUM(M112:T112)</f>
        <v>912506</v>
      </c>
      <c r="E112" s="510">
        <f>SUM(F112:H112)</f>
        <v>70177</v>
      </c>
      <c r="F112" s="511">
        <v>32804</v>
      </c>
      <c r="G112" s="587">
        <v>37373</v>
      </c>
      <c r="H112" s="549">
        <v>0</v>
      </c>
      <c r="I112" s="588">
        <v>0</v>
      </c>
      <c r="J112" s="549">
        <v>26795</v>
      </c>
      <c r="K112" s="549">
        <v>201724</v>
      </c>
      <c r="L112" s="588">
        <f>569196-394091</f>
        <v>175105</v>
      </c>
      <c r="M112" s="504">
        <f t="shared" ref="M112:M113" si="144">+E112+I112+J112+K112+L112</f>
        <v>473801</v>
      </c>
      <c r="N112" s="588">
        <f>11682038-350000-44502+1878075-1251700+2734240+1522270-9727593-252893+2958342-1085184-1071136-332514-1172002-5436883</f>
        <v>50558</v>
      </c>
      <c r="O112" s="588">
        <f>607727+141130-360710</f>
        <v>388147</v>
      </c>
      <c r="P112" s="511">
        <v>0</v>
      </c>
      <c r="Q112" s="511"/>
      <c r="R112" s="511"/>
      <c r="S112" s="511"/>
      <c r="T112" s="511"/>
      <c r="U112" s="462">
        <f t="shared" ref="U112:U113" si="145">SUM(O112:T112)</f>
        <v>388147</v>
      </c>
      <c r="V112" s="2384"/>
    </row>
    <row r="113" spans="1:23" s="1904" customFormat="1" ht="12" customHeight="1">
      <c r="A113" s="2429"/>
      <c r="B113" s="558" t="s">
        <v>29</v>
      </c>
      <c r="C113" s="2434"/>
      <c r="D113" s="503">
        <f t="shared" si="143"/>
        <v>3579038</v>
      </c>
      <c r="E113" s="510">
        <f>SUM(F113:H113)</f>
        <v>4491</v>
      </c>
      <c r="F113" s="511"/>
      <c r="G113" s="587">
        <v>4408</v>
      </c>
      <c r="H113" s="588">
        <v>83</v>
      </c>
      <c r="I113" s="588">
        <v>0</v>
      </c>
      <c r="J113" s="588">
        <v>3161</v>
      </c>
      <c r="K113" s="588">
        <v>12280</v>
      </c>
      <c r="L113" s="588">
        <v>1961906</v>
      </c>
      <c r="M113" s="504">
        <f t="shared" si="144"/>
        <v>1981838</v>
      </c>
      <c r="N113" s="511">
        <f>982154+1925+11925+228580+233248-12123-155430+25377-7406+285919</f>
        <v>1594169</v>
      </c>
      <c r="O113" s="511">
        <f>13517-9987-499</f>
        <v>3031</v>
      </c>
      <c r="P113" s="511">
        <v>0</v>
      </c>
      <c r="Q113" s="511"/>
      <c r="R113" s="511"/>
      <c r="S113" s="511"/>
      <c r="T113" s="511"/>
      <c r="U113" s="462">
        <f t="shared" si="145"/>
        <v>3031</v>
      </c>
      <c r="V113" s="2384"/>
    </row>
    <row r="114" spans="1:23" s="1904" customFormat="1" ht="12" customHeight="1">
      <c r="A114" s="2429"/>
      <c r="B114" s="560" t="s">
        <v>30</v>
      </c>
      <c r="C114" s="2434"/>
      <c r="D114" s="513">
        <f>+D115</f>
        <v>39147079</v>
      </c>
      <c r="E114" s="513">
        <f t="shared" ref="E114:P114" si="146">+E115</f>
        <v>49127</v>
      </c>
      <c r="F114" s="513">
        <f t="shared" si="146"/>
        <v>0</v>
      </c>
      <c r="G114" s="589">
        <f t="shared" si="146"/>
        <v>48219</v>
      </c>
      <c r="H114" s="513">
        <f t="shared" si="146"/>
        <v>908</v>
      </c>
      <c r="I114" s="513">
        <f t="shared" si="146"/>
        <v>0</v>
      </c>
      <c r="J114" s="513">
        <f>+J115</f>
        <v>34569</v>
      </c>
      <c r="K114" s="513">
        <f t="shared" si="146"/>
        <v>134316</v>
      </c>
      <c r="L114" s="513">
        <f t="shared" si="146"/>
        <v>21459083</v>
      </c>
      <c r="M114" s="513">
        <f t="shared" si="146"/>
        <v>21677095</v>
      </c>
      <c r="N114" s="513">
        <f t="shared" si="146"/>
        <v>17436829</v>
      </c>
      <c r="O114" s="513">
        <f t="shared" si="146"/>
        <v>33155</v>
      </c>
      <c r="P114" s="513">
        <f t="shared" si="146"/>
        <v>0</v>
      </c>
      <c r="Q114" s="513"/>
      <c r="R114" s="513"/>
      <c r="S114" s="513"/>
      <c r="T114" s="513"/>
      <c r="U114" s="537">
        <f>+U115</f>
        <v>33155</v>
      </c>
      <c r="V114" s="2384"/>
    </row>
    <row r="115" spans="1:23" s="1904" customFormat="1" ht="12" customHeight="1">
      <c r="A115" s="2429"/>
      <c r="B115" s="558" t="s">
        <v>33</v>
      </c>
      <c r="C115" s="2063"/>
      <c r="D115" s="504">
        <f>SUM(M115:T115)</f>
        <v>39147079</v>
      </c>
      <c r="E115" s="510">
        <f>SUM(F115:H115)</f>
        <v>49127</v>
      </c>
      <c r="F115" s="511">
        <v>0</v>
      </c>
      <c r="G115" s="590">
        <v>48219</v>
      </c>
      <c r="H115" s="549">
        <v>908</v>
      </c>
      <c r="I115" s="549">
        <v>0</v>
      </c>
      <c r="J115" s="549">
        <v>34569</v>
      </c>
      <c r="K115" s="549">
        <v>134316</v>
      </c>
      <c r="L115" s="511">
        <v>21459083</v>
      </c>
      <c r="M115" s="504">
        <f t="shared" ref="M115" si="147">+E115+I115+J115+K115+L115</f>
        <v>21677095</v>
      </c>
      <c r="N115" s="511">
        <f>5115033+42577-1878075+1239775+1037180+1824245+9752343+252893-1802912+559807+287542+332514+673907</f>
        <v>17436829</v>
      </c>
      <c r="O115" s="511">
        <f>169756-131143-5458</f>
        <v>33155</v>
      </c>
      <c r="P115" s="511">
        <v>0</v>
      </c>
      <c r="Q115" s="511"/>
      <c r="R115" s="511"/>
      <c r="S115" s="511"/>
      <c r="T115" s="511"/>
      <c r="U115" s="462">
        <f>SUM(O115:T115)</f>
        <v>33155</v>
      </c>
      <c r="V115" s="2432"/>
    </row>
    <row r="116" spans="1:23" s="1904" customFormat="1" ht="12" customHeight="1">
      <c r="A116" s="2429"/>
      <c r="B116" s="947" t="s">
        <v>34</v>
      </c>
      <c r="C116" s="603"/>
      <c r="D116" s="604">
        <f t="shared" ref="D116:P116" si="148">+D119+D117</f>
        <v>42726117</v>
      </c>
      <c r="E116" s="604">
        <f t="shared" si="148"/>
        <v>0</v>
      </c>
      <c r="F116" s="604">
        <f t="shared" si="148"/>
        <v>0</v>
      </c>
      <c r="G116" s="604">
        <f t="shared" si="148"/>
        <v>0</v>
      </c>
      <c r="H116" s="604">
        <f t="shared" si="148"/>
        <v>0</v>
      </c>
      <c r="I116" s="604">
        <f t="shared" si="148"/>
        <v>0</v>
      </c>
      <c r="J116" s="604">
        <f t="shared" si="148"/>
        <v>0</v>
      </c>
      <c r="K116" s="604">
        <f t="shared" si="148"/>
        <v>0</v>
      </c>
      <c r="L116" s="604">
        <f t="shared" si="148"/>
        <v>0</v>
      </c>
      <c r="M116" s="604">
        <f t="shared" ref="M116" si="149">+M119+M117</f>
        <v>0</v>
      </c>
      <c r="N116" s="604">
        <f t="shared" si="148"/>
        <v>38151329</v>
      </c>
      <c r="O116" s="604">
        <f t="shared" si="148"/>
        <v>4574788</v>
      </c>
      <c r="P116" s="604">
        <f t="shared" si="148"/>
        <v>0</v>
      </c>
      <c r="Q116" s="604"/>
      <c r="R116" s="604"/>
      <c r="S116" s="604"/>
      <c r="T116" s="604"/>
      <c r="U116" s="2438" t="s">
        <v>35</v>
      </c>
      <c r="V116" s="2479" t="s">
        <v>366</v>
      </c>
    </row>
    <row r="117" spans="1:23" s="1904" customFormat="1" ht="12" customHeight="1">
      <c r="A117" s="2429"/>
      <c r="B117" s="555" t="s">
        <v>36</v>
      </c>
      <c r="C117" s="2433" t="s">
        <v>106</v>
      </c>
      <c r="D117" s="513">
        <f t="shared" ref="D117:P117" si="150">+D118</f>
        <v>3579038</v>
      </c>
      <c r="E117" s="513">
        <f t="shared" si="150"/>
        <v>0</v>
      </c>
      <c r="F117" s="513">
        <f t="shared" si="150"/>
        <v>0</v>
      </c>
      <c r="G117" s="513">
        <f t="shared" si="150"/>
        <v>0</v>
      </c>
      <c r="H117" s="513">
        <f t="shared" si="150"/>
        <v>0</v>
      </c>
      <c r="I117" s="513">
        <f t="shared" si="150"/>
        <v>0</v>
      </c>
      <c r="J117" s="513">
        <f t="shared" si="150"/>
        <v>0</v>
      </c>
      <c r="K117" s="513">
        <f t="shared" si="150"/>
        <v>0</v>
      </c>
      <c r="L117" s="513">
        <f t="shared" si="150"/>
        <v>0</v>
      </c>
      <c r="M117" s="513">
        <f t="shared" si="150"/>
        <v>0</v>
      </c>
      <c r="N117" s="513">
        <f t="shared" si="150"/>
        <v>2875044</v>
      </c>
      <c r="O117" s="513">
        <f t="shared" si="150"/>
        <v>703994</v>
      </c>
      <c r="P117" s="513">
        <f t="shared" si="150"/>
        <v>0</v>
      </c>
      <c r="Q117" s="513"/>
      <c r="R117" s="513"/>
      <c r="S117" s="513"/>
      <c r="T117" s="513"/>
      <c r="U117" s="2438"/>
      <c r="V117" s="2384"/>
    </row>
    <row r="118" spans="1:23" s="1904" customFormat="1" ht="12" customHeight="1">
      <c r="A118" s="2429"/>
      <c r="B118" s="539" t="s">
        <v>29</v>
      </c>
      <c r="C118" s="2434"/>
      <c r="D118" s="503">
        <f>SUM(M118:T118)</f>
        <v>3579038</v>
      </c>
      <c r="E118" s="520">
        <f>+F118+G118+H118</f>
        <v>0</v>
      </c>
      <c r="F118" s="520">
        <v>0</v>
      </c>
      <c r="G118" s="520">
        <v>0</v>
      </c>
      <c r="H118" s="520">
        <v>0</v>
      </c>
      <c r="I118" s="520">
        <v>0</v>
      </c>
      <c r="J118" s="520"/>
      <c r="K118" s="520"/>
      <c r="L118" s="520">
        <f>1127582+26462-251100-902944</f>
        <v>0</v>
      </c>
      <c r="M118" s="504">
        <f t="shared" ref="M118" si="151">+E118+I118+J118+K118+L118</f>
        <v>0</v>
      </c>
      <c r="N118" s="520">
        <f>1701861-26462+251100+902944+28680+2812-105495+119604</f>
        <v>2875044</v>
      </c>
      <c r="O118" s="520">
        <f>158254+7110-119604+658733-499</f>
        <v>703994</v>
      </c>
      <c r="P118" s="521">
        <v>0</v>
      </c>
      <c r="Q118" s="521"/>
      <c r="R118" s="521"/>
      <c r="S118" s="521"/>
      <c r="T118" s="521"/>
      <c r="U118" s="2438"/>
      <c r="V118" s="2384"/>
    </row>
    <row r="119" spans="1:23" s="1904" customFormat="1" ht="12" customHeight="1">
      <c r="A119" s="2429"/>
      <c r="B119" s="560" t="s">
        <v>30</v>
      </c>
      <c r="C119" s="2434"/>
      <c r="D119" s="567">
        <f>+D120</f>
        <v>39147079</v>
      </c>
      <c r="E119" s="567">
        <f t="shared" ref="E119:P119" si="152">+E120</f>
        <v>0</v>
      </c>
      <c r="F119" s="567">
        <f t="shared" si="152"/>
        <v>0</v>
      </c>
      <c r="G119" s="567">
        <f t="shared" si="152"/>
        <v>0</v>
      </c>
      <c r="H119" s="567">
        <f t="shared" si="152"/>
        <v>0</v>
      </c>
      <c r="I119" s="567">
        <f t="shared" si="152"/>
        <v>0</v>
      </c>
      <c r="J119" s="567">
        <f t="shared" si="152"/>
        <v>0</v>
      </c>
      <c r="K119" s="567">
        <f t="shared" si="152"/>
        <v>0</v>
      </c>
      <c r="L119" s="567">
        <f t="shared" si="152"/>
        <v>0</v>
      </c>
      <c r="M119" s="567">
        <f t="shared" si="152"/>
        <v>0</v>
      </c>
      <c r="N119" s="567">
        <f t="shared" si="152"/>
        <v>35276285</v>
      </c>
      <c r="O119" s="567">
        <f t="shared" si="152"/>
        <v>3870794</v>
      </c>
      <c r="P119" s="567">
        <f t="shared" si="152"/>
        <v>0</v>
      </c>
      <c r="Q119" s="567"/>
      <c r="R119" s="567"/>
      <c r="S119" s="567"/>
      <c r="T119" s="567"/>
      <c r="U119" s="2438"/>
      <c r="V119" s="2384"/>
    </row>
    <row r="120" spans="1:23" s="1904" customFormat="1" ht="12" customHeight="1" thickBot="1">
      <c r="A120" s="2469"/>
      <c r="B120" s="568" t="s">
        <v>33</v>
      </c>
      <c r="C120" s="2443"/>
      <c r="D120" s="503">
        <f>SUM(M120:T120)</f>
        <v>39147079</v>
      </c>
      <c r="E120" s="546">
        <f>+F120+G120+H120</f>
        <v>0</v>
      </c>
      <c r="F120" s="591">
        <v>0</v>
      </c>
      <c r="G120" s="591">
        <v>0</v>
      </c>
      <c r="H120" s="591">
        <v>0</v>
      </c>
      <c r="I120" s="591">
        <v>0</v>
      </c>
      <c r="J120" s="591">
        <v>0</v>
      </c>
      <c r="K120" s="591">
        <v>0</v>
      </c>
      <c r="L120" s="591">
        <f>5872418-2026462+251100-4097056</f>
        <v>0</v>
      </c>
      <c r="M120" s="524">
        <f>L120+E120+I120+J120+K120</f>
        <v>0</v>
      </c>
      <c r="N120" s="591">
        <f>8863251+93584-3373414+3157951+4097056+896030+20170438+500453+146951-743533+1467518</f>
        <v>35276285</v>
      </c>
      <c r="O120" s="591">
        <f>1941746+932070-1135004+2137440-5458</f>
        <v>3870794</v>
      </c>
      <c r="P120" s="592">
        <v>0</v>
      </c>
      <c r="Q120" s="592"/>
      <c r="R120" s="592"/>
      <c r="S120" s="592"/>
      <c r="T120" s="592"/>
      <c r="U120" s="2439"/>
      <c r="V120" s="2385"/>
    </row>
    <row r="121" spans="1:23" ht="24.75" customHeight="1">
      <c r="A121" s="2428">
        <v>6</v>
      </c>
      <c r="B121" s="548" t="s">
        <v>405</v>
      </c>
      <c r="C121" s="528" t="s">
        <v>102</v>
      </c>
      <c r="D121" s="488"/>
      <c r="E121" s="489"/>
      <c r="F121" s="490"/>
      <c r="G121" s="489"/>
      <c r="H121" s="489"/>
      <c r="I121" s="489"/>
      <c r="J121" s="489"/>
      <c r="K121" s="489"/>
      <c r="L121" s="489"/>
      <c r="M121" s="593"/>
      <c r="N121" s="593"/>
      <c r="O121" s="593"/>
      <c r="P121" s="593"/>
      <c r="Q121" s="593"/>
      <c r="R121" s="593"/>
      <c r="S121" s="593"/>
      <c r="T121" s="593"/>
      <c r="U121" s="583"/>
      <c r="V121" s="594"/>
    </row>
    <row r="122" spans="1:23" ht="13.5" customHeight="1">
      <c r="A122" s="2429"/>
      <c r="B122" s="554" t="s">
        <v>22</v>
      </c>
      <c r="C122" s="428"/>
      <c r="D122" s="518">
        <f t="shared" ref="D122:O122" si="153">+D123+D125</f>
        <v>23310072</v>
      </c>
      <c r="E122" s="496">
        <f t="shared" si="153"/>
        <v>141084</v>
      </c>
      <c r="F122" s="496">
        <f t="shared" si="153"/>
        <v>0</v>
      </c>
      <c r="G122" s="496">
        <f t="shared" si="153"/>
        <v>130800</v>
      </c>
      <c r="H122" s="496">
        <f t="shared" si="153"/>
        <v>10284</v>
      </c>
      <c r="I122" s="496">
        <f t="shared" si="153"/>
        <v>10123831</v>
      </c>
      <c r="J122" s="496">
        <f t="shared" si="153"/>
        <v>12642562</v>
      </c>
      <c r="K122" s="496">
        <f t="shared" si="153"/>
        <v>52273</v>
      </c>
      <c r="L122" s="496">
        <f t="shared" si="153"/>
        <v>0</v>
      </c>
      <c r="M122" s="496">
        <f t="shared" ref="M122" si="154">+M123+M125</f>
        <v>22959750</v>
      </c>
      <c r="N122" s="496">
        <f t="shared" si="153"/>
        <v>350322</v>
      </c>
      <c r="O122" s="496">
        <f t="shared" si="153"/>
        <v>0</v>
      </c>
      <c r="P122" s="496">
        <f>+P123+P125</f>
        <v>0</v>
      </c>
      <c r="Q122" s="496"/>
      <c r="R122" s="496"/>
      <c r="S122" s="496"/>
      <c r="T122" s="496"/>
      <c r="U122" s="497">
        <f>+U123+U125</f>
        <v>0</v>
      </c>
      <c r="V122" s="2384" t="s">
        <v>108</v>
      </c>
      <c r="W122" s="1258"/>
    </row>
    <row r="123" spans="1:23" ht="14.25" customHeight="1">
      <c r="A123" s="2429"/>
      <c r="B123" s="595" t="s">
        <v>36</v>
      </c>
      <c r="C123" s="2433" t="s">
        <v>105</v>
      </c>
      <c r="D123" s="567">
        <f>+D124</f>
        <v>6646951</v>
      </c>
      <c r="E123" s="567">
        <f t="shared" ref="E123:P123" si="155">+E124</f>
        <v>38866</v>
      </c>
      <c r="F123" s="567">
        <f t="shared" si="155"/>
        <v>0</v>
      </c>
      <c r="G123" s="567">
        <f t="shared" si="155"/>
        <v>36295</v>
      </c>
      <c r="H123" s="567">
        <f t="shared" si="155"/>
        <v>2571</v>
      </c>
      <c r="I123" s="567">
        <f t="shared" si="155"/>
        <v>2625203</v>
      </c>
      <c r="J123" s="567">
        <f t="shared" si="155"/>
        <v>3605431</v>
      </c>
      <c r="K123" s="567">
        <f t="shared" si="155"/>
        <v>27129</v>
      </c>
      <c r="L123" s="596">
        <f t="shared" si="155"/>
        <v>0</v>
      </c>
      <c r="M123" s="596">
        <f t="shared" si="155"/>
        <v>6296629</v>
      </c>
      <c r="N123" s="596">
        <f t="shared" si="155"/>
        <v>350322</v>
      </c>
      <c r="O123" s="567">
        <f t="shared" si="155"/>
        <v>0</v>
      </c>
      <c r="P123" s="567">
        <f t="shared" si="155"/>
        <v>0</v>
      </c>
      <c r="Q123" s="567"/>
      <c r="R123" s="567"/>
      <c r="S123" s="567"/>
      <c r="T123" s="567"/>
      <c r="U123" s="597">
        <f>+U124</f>
        <v>0</v>
      </c>
      <c r="V123" s="2384"/>
      <c r="W123" s="1258"/>
    </row>
    <row r="124" spans="1:23" ht="12.75" customHeight="1">
      <c r="A124" s="2429"/>
      <c r="B124" s="598" t="s">
        <v>24</v>
      </c>
      <c r="C124" s="2435"/>
      <c r="D124" s="503">
        <f t="shared" ref="D124:D126" si="156">SUM(M124:T124)</f>
        <v>6646951</v>
      </c>
      <c r="E124" s="510">
        <f>+F124+G124+H124</f>
        <v>38866</v>
      </c>
      <c r="F124" s="511">
        <v>0</v>
      </c>
      <c r="G124" s="510">
        <f>32700+3595</f>
        <v>36295</v>
      </c>
      <c r="H124" s="510">
        <f>2571</f>
        <v>2571</v>
      </c>
      <c r="I124" s="510">
        <v>2625203</v>
      </c>
      <c r="J124" s="510">
        <v>3605431</v>
      </c>
      <c r="K124" s="510">
        <v>27129</v>
      </c>
      <c r="L124" s="510">
        <f>420000-420000</f>
        <v>0</v>
      </c>
      <c r="M124" s="504">
        <f t="shared" ref="M124" si="157">+E124+I124+J124+K124+L124</f>
        <v>6296629</v>
      </c>
      <c r="N124" s="599">
        <f>420000-69678</f>
        <v>350322</v>
      </c>
      <c r="O124" s="599">
        <v>0</v>
      </c>
      <c r="P124" s="599">
        <v>0</v>
      </c>
      <c r="Q124" s="510"/>
      <c r="R124" s="510"/>
      <c r="S124" s="510"/>
      <c r="T124" s="510"/>
      <c r="U124" s="462">
        <f t="shared" ref="U124" si="158">SUM(O124:T124)</f>
        <v>0</v>
      </c>
      <c r="V124" s="2384"/>
    </row>
    <row r="125" spans="1:23" ht="11.25" customHeight="1">
      <c r="A125" s="2429"/>
      <c r="B125" s="600" t="s">
        <v>30</v>
      </c>
      <c r="C125" s="2435"/>
      <c r="D125" s="513">
        <f t="shared" ref="D125:U125" si="159">+D126</f>
        <v>16663121</v>
      </c>
      <c r="E125" s="514">
        <f t="shared" si="159"/>
        <v>102218</v>
      </c>
      <c r="F125" s="514">
        <f t="shared" si="159"/>
        <v>0</v>
      </c>
      <c r="G125" s="514">
        <f t="shared" si="159"/>
        <v>94505</v>
      </c>
      <c r="H125" s="514">
        <f t="shared" si="159"/>
        <v>7713</v>
      </c>
      <c r="I125" s="514">
        <f t="shared" si="159"/>
        <v>7498628</v>
      </c>
      <c r="J125" s="514">
        <f t="shared" si="159"/>
        <v>9037131</v>
      </c>
      <c r="K125" s="514">
        <f t="shared" si="159"/>
        <v>25144</v>
      </c>
      <c r="L125" s="514">
        <f t="shared" si="159"/>
        <v>0</v>
      </c>
      <c r="M125" s="514">
        <f t="shared" si="159"/>
        <v>16663121</v>
      </c>
      <c r="N125" s="514">
        <f t="shared" si="159"/>
        <v>0</v>
      </c>
      <c r="O125" s="514">
        <f t="shared" si="159"/>
        <v>0</v>
      </c>
      <c r="P125" s="514">
        <f t="shared" si="159"/>
        <v>0</v>
      </c>
      <c r="Q125" s="514"/>
      <c r="R125" s="514"/>
      <c r="S125" s="514"/>
      <c r="T125" s="514"/>
      <c r="U125" s="515">
        <f t="shared" si="159"/>
        <v>0</v>
      </c>
      <c r="V125" s="2384"/>
    </row>
    <row r="126" spans="1:23" ht="13.5" customHeight="1">
      <c r="A126" s="2429"/>
      <c r="B126" s="601" t="s">
        <v>33</v>
      </c>
      <c r="C126" s="2436"/>
      <c r="D126" s="1792">
        <f t="shared" si="156"/>
        <v>16663121</v>
      </c>
      <c r="E126" s="510">
        <f>+F126+G126+H126</f>
        <v>102218</v>
      </c>
      <c r="F126" s="511">
        <v>0</v>
      </c>
      <c r="G126" s="510">
        <f>98100-3595</f>
        <v>94505</v>
      </c>
      <c r="H126" s="510">
        <f>7713</f>
        <v>7713</v>
      </c>
      <c r="I126" s="510">
        <v>7498628</v>
      </c>
      <c r="J126" s="510">
        <v>9037131</v>
      </c>
      <c r="K126" s="510">
        <v>25144</v>
      </c>
      <c r="L126" s="510">
        <v>0</v>
      </c>
      <c r="M126" s="504">
        <f t="shared" ref="M126" si="160">+E126+I126+J126+K126+L126</f>
        <v>16663121</v>
      </c>
      <c r="N126" s="510">
        <v>0</v>
      </c>
      <c r="O126" s="510">
        <v>0</v>
      </c>
      <c r="P126" s="510">
        <v>0</v>
      </c>
      <c r="Q126" s="510"/>
      <c r="R126" s="510"/>
      <c r="S126" s="511"/>
      <c r="T126" s="511"/>
      <c r="U126" s="462">
        <f t="shared" ref="U126" si="161">SUM(O126:T126)</f>
        <v>0</v>
      </c>
      <c r="V126" s="2432"/>
    </row>
    <row r="127" spans="1:23" ht="13.5" customHeight="1">
      <c r="A127" s="2430"/>
      <c r="B127" s="602" t="s">
        <v>34</v>
      </c>
      <c r="C127" s="603"/>
      <c r="D127" s="604">
        <f>+D128</f>
        <v>16663121</v>
      </c>
      <c r="E127" s="604">
        <f t="shared" ref="E127:P128" si="162">+E128</f>
        <v>0</v>
      </c>
      <c r="F127" s="604">
        <f t="shared" si="162"/>
        <v>0</v>
      </c>
      <c r="G127" s="604">
        <f t="shared" si="162"/>
        <v>0</v>
      </c>
      <c r="H127" s="604">
        <f t="shared" si="162"/>
        <v>0</v>
      </c>
      <c r="I127" s="604">
        <f t="shared" si="162"/>
        <v>0</v>
      </c>
      <c r="J127" s="604">
        <f t="shared" si="162"/>
        <v>15424338</v>
      </c>
      <c r="K127" s="604">
        <f t="shared" si="162"/>
        <v>462263</v>
      </c>
      <c r="L127" s="604">
        <f t="shared" si="162"/>
        <v>0</v>
      </c>
      <c r="M127" s="604">
        <f t="shared" si="162"/>
        <v>15886601</v>
      </c>
      <c r="N127" s="604">
        <f t="shared" si="162"/>
        <v>776520</v>
      </c>
      <c r="O127" s="604">
        <f t="shared" si="162"/>
        <v>0</v>
      </c>
      <c r="P127" s="604">
        <f t="shared" si="162"/>
        <v>0</v>
      </c>
      <c r="Q127" s="604"/>
      <c r="R127" s="604"/>
      <c r="S127" s="604"/>
      <c r="T127" s="604"/>
      <c r="U127" s="2437" t="s">
        <v>35</v>
      </c>
      <c r="V127" s="2440" t="s">
        <v>129</v>
      </c>
    </row>
    <row r="128" spans="1:23" ht="12" customHeight="1">
      <c r="A128" s="2430"/>
      <c r="B128" s="605" t="s">
        <v>30</v>
      </c>
      <c r="C128" s="2490" t="s">
        <v>109</v>
      </c>
      <c r="D128" s="513">
        <f>+D129</f>
        <v>16663121</v>
      </c>
      <c r="E128" s="514">
        <f t="shared" si="162"/>
        <v>0</v>
      </c>
      <c r="F128" s="514">
        <f t="shared" si="162"/>
        <v>0</v>
      </c>
      <c r="G128" s="514">
        <f t="shared" si="162"/>
        <v>0</v>
      </c>
      <c r="H128" s="514">
        <f t="shared" si="162"/>
        <v>0</v>
      </c>
      <c r="I128" s="514">
        <f t="shared" si="162"/>
        <v>0</v>
      </c>
      <c r="J128" s="514">
        <f t="shared" si="162"/>
        <v>15424338</v>
      </c>
      <c r="K128" s="514">
        <f t="shared" si="162"/>
        <v>462263</v>
      </c>
      <c r="L128" s="514">
        <f t="shared" si="162"/>
        <v>0</v>
      </c>
      <c r="M128" s="514">
        <f t="shared" si="162"/>
        <v>15886601</v>
      </c>
      <c r="N128" s="514">
        <f t="shared" si="162"/>
        <v>776520</v>
      </c>
      <c r="O128" s="514">
        <f t="shared" si="162"/>
        <v>0</v>
      </c>
      <c r="P128" s="514">
        <f t="shared" si="162"/>
        <v>0</v>
      </c>
      <c r="Q128" s="514"/>
      <c r="R128" s="514"/>
      <c r="S128" s="514"/>
      <c r="T128" s="514"/>
      <c r="U128" s="2438"/>
      <c r="V128" s="2441"/>
    </row>
    <row r="129" spans="1:24" ht="13.5" customHeight="1" thickBot="1">
      <c r="A129" s="2431"/>
      <c r="B129" s="545" t="s">
        <v>33</v>
      </c>
      <c r="C129" s="2491"/>
      <c r="D129" s="503">
        <f>SUM(M129:T129)</f>
        <v>16663121</v>
      </c>
      <c r="E129" s="546">
        <f>+F129+G129+H129</f>
        <v>0</v>
      </c>
      <c r="F129" s="547">
        <v>0</v>
      </c>
      <c r="G129" s="546">
        <v>0</v>
      </c>
      <c r="H129" s="546">
        <v>0</v>
      </c>
      <c r="I129" s="546">
        <f>5500000-5500000</f>
        <v>0</v>
      </c>
      <c r="J129" s="546">
        <f>17250000-1925785+100123</f>
        <v>15424338</v>
      </c>
      <c r="K129" s="546">
        <v>462263</v>
      </c>
      <c r="L129" s="546">
        <f>862500-862500</f>
        <v>0</v>
      </c>
      <c r="M129" s="524">
        <f>L129+E129+I129+J129+K129</f>
        <v>15886601</v>
      </c>
      <c r="N129" s="526">
        <f>862500-85980</f>
        <v>776520</v>
      </c>
      <c r="O129" s="526">
        <v>0</v>
      </c>
      <c r="P129" s="526">
        <v>0</v>
      </c>
      <c r="Q129" s="526"/>
      <c r="R129" s="526"/>
      <c r="S129" s="526"/>
      <c r="T129" s="526"/>
      <c r="U129" s="2439"/>
      <c r="V129" s="2442"/>
    </row>
    <row r="130" spans="1:24" ht="27" customHeight="1">
      <c r="A130" s="2428" t="s">
        <v>111</v>
      </c>
      <c r="B130" s="548" t="s">
        <v>388</v>
      </c>
      <c r="C130" s="528" t="s">
        <v>102</v>
      </c>
      <c r="D130" s="611"/>
      <c r="E130" s="612"/>
      <c r="F130" s="613"/>
      <c r="G130" s="612"/>
      <c r="H130" s="612"/>
      <c r="I130" s="612"/>
      <c r="J130" s="612"/>
      <c r="K130" s="612"/>
      <c r="L130" s="612"/>
      <c r="M130" s="612"/>
      <c r="N130" s="612"/>
      <c r="O130" s="612"/>
      <c r="P130" s="614"/>
      <c r="Q130" s="614"/>
      <c r="R130" s="614"/>
      <c r="S130" s="1786"/>
      <c r="T130" s="1786"/>
      <c r="U130" s="615"/>
      <c r="V130" s="594"/>
    </row>
    <row r="131" spans="1:24" ht="13.5" customHeight="1">
      <c r="A131" s="2429"/>
      <c r="B131" s="452" t="s">
        <v>22</v>
      </c>
      <c r="C131" s="428"/>
      <c r="D131" s="494">
        <f t="shared" ref="D131:O131" si="163">+D132+D135</f>
        <v>25957708</v>
      </c>
      <c r="E131" s="495">
        <f t="shared" si="163"/>
        <v>3705217</v>
      </c>
      <c r="F131" s="495">
        <f t="shared" si="163"/>
        <v>0</v>
      </c>
      <c r="G131" s="495">
        <f t="shared" si="163"/>
        <v>0</v>
      </c>
      <c r="H131" s="495">
        <f t="shared" si="163"/>
        <v>3705217</v>
      </c>
      <c r="I131" s="495">
        <f t="shared" si="163"/>
        <v>12848624</v>
      </c>
      <c r="J131" s="495">
        <f t="shared" si="163"/>
        <v>9261206</v>
      </c>
      <c r="K131" s="495">
        <f t="shared" si="163"/>
        <v>8020</v>
      </c>
      <c r="L131" s="616">
        <f t="shared" si="163"/>
        <v>122140</v>
      </c>
      <c r="M131" s="616">
        <f t="shared" ref="M131" si="164">+M132+M135</f>
        <v>25945207</v>
      </c>
      <c r="N131" s="616">
        <f t="shared" si="163"/>
        <v>12501</v>
      </c>
      <c r="O131" s="616">
        <f t="shared" si="163"/>
        <v>0</v>
      </c>
      <c r="P131" s="495">
        <f>+P132+P135</f>
        <v>0</v>
      </c>
      <c r="Q131" s="495"/>
      <c r="R131" s="495"/>
      <c r="S131" s="495"/>
      <c r="T131" s="495"/>
      <c r="U131" s="535">
        <f>+U132+U135</f>
        <v>0</v>
      </c>
      <c r="V131" s="2384" t="s">
        <v>108</v>
      </c>
      <c r="X131" s="1258"/>
    </row>
    <row r="132" spans="1:24" ht="13.5" customHeight="1">
      <c r="A132" s="2429"/>
      <c r="B132" s="498" t="s">
        <v>36</v>
      </c>
      <c r="C132" s="2433" t="s">
        <v>105</v>
      </c>
      <c r="D132" s="617">
        <f>+D133+D134</f>
        <v>11318118</v>
      </c>
      <c r="E132" s="617">
        <f t="shared" ref="E132:O132" si="165">+E133+E134</f>
        <v>3700139</v>
      </c>
      <c r="F132" s="617">
        <f t="shared" si="165"/>
        <v>0</v>
      </c>
      <c r="G132" s="617">
        <f t="shared" si="165"/>
        <v>0</v>
      </c>
      <c r="H132" s="617">
        <f t="shared" si="165"/>
        <v>3700139</v>
      </c>
      <c r="I132" s="617">
        <f t="shared" si="165"/>
        <v>4299313</v>
      </c>
      <c r="J132" s="617">
        <f t="shared" si="165"/>
        <v>3176005</v>
      </c>
      <c r="K132" s="617">
        <f t="shared" si="165"/>
        <v>8020</v>
      </c>
      <c r="L132" s="617">
        <f t="shared" si="165"/>
        <v>122140</v>
      </c>
      <c r="M132" s="617">
        <f t="shared" ref="M132" si="166">+M133+M134</f>
        <v>11305617</v>
      </c>
      <c r="N132" s="617">
        <f t="shared" si="165"/>
        <v>12501</v>
      </c>
      <c r="O132" s="617">
        <f t="shared" si="165"/>
        <v>0</v>
      </c>
      <c r="P132" s="617">
        <f>+P133+P134</f>
        <v>0</v>
      </c>
      <c r="Q132" s="617"/>
      <c r="R132" s="617"/>
      <c r="S132" s="617"/>
      <c r="T132" s="617"/>
      <c r="U132" s="557">
        <f>+U133+U134</f>
        <v>0</v>
      </c>
      <c r="V132" s="2384"/>
      <c r="X132" s="1258"/>
    </row>
    <row r="133" spans="1:24" ht="12.75" customHeight="1">
      <c r="A133" s="2429"/>
      <c r="B133" s="539" t="s">
        <v>24</v>
      </c>
      <c r="C133" s="2435"/>
      <c r="D133" s="503">
        <f t="shared" ref="D133:D134" si="167">SUM(M133:T133)</f>
        <v>6350737</v>
      </c>
      <c r="E133" s="510">
        <f>+F133+G133+H133</f>
        <v>56178</v>
      </c>
      <c r="F133" s="511">
        <v>0</v>
      </c>
      <c r="G133" s="549">
        <v>0</v>
      </c>
      <c r="H133" s="549">
        <v>56178</v>
      </c>
      <c r="I133" s="549">
        <f>2941811+34082</f>
        <v>2975893</v>
      </c>
      <c r="J133" s="549">
        <f>3048543+127462</f>
        <v>3176005</v>
      </c>
      <c r="K133" s="510">
        <v>8020</v>
      </c>
      <c r="L133" s="549">
        <f>40000+150000+30000-95000-2860</f>
        <v>122140</v>
      </c>
      <c r="M133" s="504">
        <f t="shared" ref="M133:M136" si="168">+E133+I133+J133+K133+L133</f>
        <v>6338236</v>
      </c>
      <c r="N133" s="588">
        <f>100000+95000-175690-6809</f>
        <v>12501</v>
      </c>
      <c r="O133" s="511">
        <v>0</v>
      </c>
      <c r="P133" s="511">
        <v>0</v>
      </c>
      <c r="Q133" s="511"/>
      <c r="R133" s="511"/>
      <c r="S133" s="511"/>
      <c r="T133" s="511"/>
      <c r="U133" s="462">
        <f t="shared" ref="U133:U134" si="169">SUM(O133:T133)</f>
        <v>0</v>
      </c>
      <c r="V133" s="2384"/>
    </row>
    <row r="134" spans="1:24" ht="13.5" customHeight="1">
      <c r="A134" s="2429"/>
      <c r="B134" s="607" t="s">
        <v>27</v>
      </c>
      <c r="C134" s="2435"/>
      <c r="D134" s="503">
        <f t="shared" si="167"/>
        <v>4967381</v>
      </c>
      <c r="E134" s="510">
        <f>+F134+G134+H134</f>
        <v>3643961</v>
      </c>
      <c r="F134" s="508">
        <v>0</v>
      </c>
      <c r="G134" s="508">
        <v>0</v>
      </c>
      <c r="H134" s="542">
        <v>3643961</v>
      </c>
      <c r="I134" s="542">
        <v>1323420</v>
      </c>
      <c r="J134" s="542">
        <v>0</v>
      </c>
      <c r="K134" s="508">
        <v>0</v>
      </c>
      <c r="L134" s="508">
        <v>0</v>
      </c>
      <c r="M134" s="504">
        <f t="shared" si="168"/>
        <v>4967381</v>
      </c>
      <c r="N134" s="516">
        <v>0</v>
      </c>
      <c r="O134" s="516">
        <v>0</v>
      </c>
      <c r="P134" s="516">
        <v>0</v>
      </c>
      <c r="Q134" s="516"/>
      <c r="R134" s="516"/>
      <c r="S134" s="516"/>
      <c r="T134" s="516"/>
      <c r="U134" s="462">
        <f t="shared" si="169"/>
        <v>0</v>
      </c>
      <c r="V134" s="2384"/>
    </row>
    <row r="135" spans="1:24" ht="13.5" customHeight="1">
      <c r="A135" s="2429"/>
      <c r="B135" s="512" t="s">
        <v>30</v>
      </c>
      <c r="C135" s="2435"/>
      <c r="D135" s="513">
        <f>+D136</f>
        <v>14639590</v>
      </c>
      <c r="E135" s="514">
        <f t="shared" ref="E135:U135" si="170">+E136</f>
        <v>5078</v>
      </c>
      <c r="F135" s="514">
        <f t="shared" si="170"/>
        <v>0</v>
      </c>
      <c r="G135" s="514">
        <f t="shared" si="170"/>
        <v>0</v>
      </c>
      <c r="H135" s="514">
        <f t="shared" si="170"/>
        <v>5078</v>
      </c>
      <c r="I135" s="514">
        <f t="shared" si="170"/>
        <v>8549311</v>
      </c>
      <c r="J135" s="514">
        <f t="shared" si="170"/>
        <v>6085201</v>
      </c>
      <c r="K135" s="514">
        <f t="shared" si="170"/>
        <v>0</v>
      </c>
      <c r="L135" s="514">
        <f t="shared" si="170"/>
        <v>0</v>
      </c>
      <c r="M135" s="514">
        <f t="shared" si="170"/>
        <v>14639590</v>
      </c>
      <c r="N135" s="514">
        <f t="shared" si="170"/>
        <v>0</v>
      </c>
      <c r="O135" s="514">
        <f t="shared" si="170"/>
        <v>0</v>
      </c>
      <c r="P135" s="514">
        <f t="shared" si="170"/>
        <v>0</v>
      </c>
      <c r="Q135" s="514"/>
      <c r="R135" s="514"/>
      <c r="S135" s="514"/>
      <c r="T135" s="514"/>
      <c r="U135" s="515">
        <f t="shared" si="170"/>
        <v>0</v>
      </c>
      <c r="V135" s="2384"/>
    </row>
    <row r="136" spans="1:24" ht="13.5" customHeight="1">
      <c r="A136" s="2429"/>
      <c r="B136" s="544" t="s">
        <v>33</v>
      </c>
      <c r="C136" s="2436"/>
      <c r="D136" s="503">
        <f t="shared" ref="D136" si="171">SUM(M136:T136)</f>
        <v>14639590</v>
      </c>
      <c r="E136" s="508">
        <f>+F136+G136+H136</f>
        <v>5078</v>
      </c>
      <c r="F136" s="516">
        <v>0</v>
      </c>
      <c r="G136" s="542">
        <v>0</v>
      </c>
      <c r="H136" s="542">
        <v>5078</v>
      </c>
      <c r="I136" s="542">
        <f>9163361-579968-34082</f>
        <v>8549311</v>
      </c>
      <c r="J136" s="542">
        <f>6212663-127462</f>
        <v>6085201</v>
      </c>
      <c r="K136" s="542">
        <v>0</v>
      </c>
      <c r="L136" s="508">
        <v>0</v>
      </c>
      <c r="M136" s="504">
        <f t="shared" si="168"/>
        <v>14639590</v>
      </c>
      <c r="N136" s="516">
        <v>0</v>
      </c>
      <c r="O136" s="516">
        <v>0</v>
      </c>
      <c r="P136" s="516">
        <v>0</v>
      </c>
      <c r="Q136" s="516"/>
      <c r="R136" s="516"/>
      <c r="S136" s="516"/>
      <c r="T136" s="516"/>
      <c r="U136" s="462">
        <f t="shared" ref="U136" si="172">SUM(O136:T136)</f>
        <v>0</v>
      </c>
      <c r="V136" s="2432"/>
    </row>
    <row r="137" spans="1:24" ht="12.75" customHeight="1">
      <c r="A137" s="2430"/>
      <c r="B137" s="452" t="s">
        <v>34</v>
      </c>
      <c r="C137" s="428"/>
      <c r="D137" s="518">
        <f t="shared" ref="D137:L137" si="173">+D138+D140</f>
        <v>19606971</v>
      </c>
      <c r="E137" s="496">
        <f t="shared" si="173"/>
        <v>0</v>
      </c>
      <c r="F137" s="496">
        <f t="shared" si="173"/>
        <v>0</v>
      </c>
      <c r="G137" s="496">
        <f t="shared" si="173"/>
        <v>0</v>
      </c>
      <c r="H137" s="496">
        <f t="shared" si="173"/>
        <v>0</v>
      </c>
      <c r="I137" s="496">
        <f t="shared" si="173"/>
        <v>10418487</v>
      </c>
      <c r="J137" s="496">
        <f t="shared" si="173"/>
        <v>6981085</v>
      </c>
      <c r="K137" s="496">
        <f t="shared" si="173"/>
        <v>2207399</v>
      </c>
      <c r="L137" s="496">
        <f t="shared" si="173"/>
        <v>0</v>
      </c>
      <c r="M137" s="496">
        <f t="shared" ref="M137" si="174">+M138+M140</f>
        <v>19606971</v>
      </c>
      <c r="N137" s="496">
        <f>+N138+N140</f>
        <v>0</v>
      </c>
      <c r="O137" s="496">
        <f>+O138+O140</f>
        <v>0</v>
      </c>
      <c r="P137" s="496">
        <f>+P138+P140</f>
        <v>0</v>
      </c>
      <c r="Q137" s="496"/>
      <c r="R137" s="496"/>
      <c r="S137" s="496"/>
      <c r="T137" s="496"/>
      <c r="U137" s="2437" t="s">
        <v>35</v>
      </c>
      <c r="V137" s="2440" t="s">
        <v>129</v>
      </c>
    </row>
    <row r="138" spans="1:24" ht="13.5" customHeight="1">
      <c r="A138" s="2430"/>
      <c r="B138" s="498" t="s">
        <v>36</v>
      </c>
      <c r="C138" s="2490" t="s">
        <v>110</v>
      </c>
      <c r="D138" s="519">
        <f>+D139</f>
        <v>4967381</v>
      </c>
      <c r="E138" s="519">
        <f t="shared" ref="E138:P138" si="175">+E139</f>
        <v>0</v>
      </c>
      <c r="F138" s="519">
        <f t="shared" si="175"/>
        <v>0</v>
      </c>
      <c r="G138" s="519">
        <f t="shared" si="175"/>
        <v>0</v>
      </c>
      <c r="H138" s="519">
        <f t="shared" si="175"/>
        <v>0</v>
      </c>
      <c r="I138" s="519">
        <f t="shared" si="175"/>
        <v>4967381</v>
      </c>
      <c r="J138" s="519">
        <f t="shared" si="175"/>
        <v>0</v>
      </c>
      <c r="K138" s="519">
        <f t="shared" si="175"/>
        <v>0</v>
      </c>
      <c r="L138" s="519">
        <f t="shared" si="175"/>
        <v>0</v>
      </c>
      <c r="M138" s="519">
        <f t="shared" si="175"/>
        <v>4967381</v>
      </c>
      <c r="N138" s="519">
        <f t="shared" si="175"/>
        <v>0</v>
      </c>
      <c r="O138" s="519">
        <f t="shared" si="175"/>
        <v>0</v>
      </c>
      <c r="P138" s="519">
        <f t="shared" si="175"/>
        <v>0</v>
      </c>
      <c r="Q138" s="519"/>
      <c r="R138" s="519"/>
      <c r="S138" s="519"/>
      <c r="T138" s="519"/>
      <c r="U138" s="2438"/>
      <c r="V138" s="2441"/>
    </row>
    <row r="139" spans="1:24">
      <c r="A139" s="2430"/>
      <c r="B139" s="607" t="s">
        <v>27</v>
      </c>
      <c r="C139" s="2494"/>
      <c r="D139" s="503">
        <f t="shared" ref="D139" si="176">SUM(M139:T139)</f>
        <v>4967381</v>
      </c>
      <c r="E139" s="510">
        <f>+F139+G139+H139</f>
        <v>0</v>
      </c>
      <c r="F139" s="521">
        <v>0</v>
      </c>
      <c r="G139" s="521">
        <v>0</v>
      </c>
      <c r="H139" s="521">
        <v>0</v>
      </c>
      <c r="I139" s="521">
        <f>1336670+3643961-13250</f>
        <v>4967381</v>
      </c>
      <c r="J139" s="521">
        <v>0</v>
      </c>
      <c r="K139" s="521">
        <v>0</v>
      </c>
      <c r="L139" s="521">
        <v>0</v>
      </c>
      <c r="M139" s="504">
        <f t="shared" ref="M139" si="177">+E139+I139+J139+K139+L139</f>
        <v>4967381</v>
      </c>
      <c r="N139" s="521">
        <v>0</v>
      </c>
      <c r="O139" s="521">
        <v>0</v>
      </c>
      <c r="P139" s="618">
        <v>0</v>
      </c>
      <c r="Q139" s="618"/>
      <c r="R139" s="618"/>
      <c r="S139" s="618"/>
      <c r="T139" s="618"/>
      <c r="U139" s="2438"/>
      <c r="V139" s="2441"/>
    </row>
    <row r="140" spans="1:24" ht="12" customHeight="1">
      <c r="A140" s="2430"/>
      <c r="B140" s="512" t="s">
        <v>30</v>
      </c>
      <c r="C140" s="2494"/>
      <c r="D140" s="513">
        <f t="shared" ref="D140:P140" si="178">+D141</f>
        <v>14639590</v>
      </c>
      <c r="E140" s="514">
        <f t="shared" si="178"/>
        <v>0</v>
      </c>
      <c r="F140" s="514">
        <f t="shared" si="178"/>
        <v>0</v>
      </c>
      <c r="G140" s="514">
        <f t="shared" si="178"/>
        <v>0</v>
      </c>
      <c r="H140" s="514">
        <f t="shared" si="178"/>
        <v>0</v>
      </c>
      <c r="I140" s="514">
        <f t="shared" si="178"/>
        <v>5451106</v>
      </c>
      <c r="J140" s="514">
        <f t="shared" si="178"/>
        <v>6981085</v>
      </c>
      <c r="K140" s="514">
        <f t="shared" si="178"/>
        <v>2207399</v>
      </c>
      <c r="L140" s="514">
        <f t="shared" si="178"/>
        <v>0</v>
      </c>
      <c r="M140" s="514">
        <f t="shared" si="178"/>
        <v>14639590</v>
      </c>
      <c r="N140" s="514">
        <f t="shared" si="178"/>
        <v>0</v>
      </c>
      <c r="O140" s="514">
        <f t="shared" si="178"/>
        <v>0</v>
      </c>
      <c r="P140" s="514">
        <f t="shared" si="178"/>
        <v>0</v>
      </c>
      <c r="Q140" s="514"/>
      <c r="R140" s="514"/>
      <c r="S140" s="514"/>
      <c r="T140" s="514"/>
      <c r="U140" s="2438"/>
      <c r="V140" s="2441"/>
    </row>
    <row r="141" spans="1:24" ht="13.5" customHeight="1" thickBot="1">
      <c r="A141" s="2431"/>
      <c r="B141" s="545" t="s">
        <v>33</v>
      </c>
      <c r="C141" s="2495"/>
      <c r="D141" s="503">
        <f>SUM(M141:T141)</f>
        <v>14639590</v>
      </c>
      <c r="E141" s="546">
        <f>+F141+G141+H141</f>
        <v>0</v>
      </c>
      <c r="F141" s="547">
        <v>0</v>
      </c>
      <c r="G141" s="546">
        <v>0</v>
      </c>
      <c r="H141" s="546">
        <v>0</v>
      </c>
      <c r="I141" s="546">
        <v>5451106</v>
      </c>
      <c r="J141" s="546">
        <v>6981085</v>
      </c>
      <c r="K141" s="546">
        <f>2368943-161544</f>
        <v>2207399</v>
      </c>
      <c r="L141" s="546">
        <v>0</v>
      </c>
      <c r="M141" s="524">
        <f>L141+E141+I141+J141+K141</f>
        <v>14639590</v>
      </c>
      <c r="N141" s="546">
        <v>0</v>
      </c>
      <c r="O141" s="546">
        <v>0</v>
      </c>
      <c r="P141" s="526">
        <v>0</v>
      </c>
      <c r="Q141" s="526"/>
      <c r="R141" s="526"/>
      <c r="S141" s="526"/>
      <c r="T141" s="526"/>
      <c r="U141" s="2439"/>
      <c r="V141" s="2442"/>
    </row>
    <row r="142" spans="1:24" s="2158" customFormat="1" ht="27" customHeight="1">
      <c r="A142" s="2428" t="s">
        <v>112</v>
      </c>
      <c r="B142" s="486" t="s">
        <v>418</v>
      </c>
      <c r="C142" s="487" t="s">
        <v>102</v>
      </c>
      <c r="D142" s="530"/>
      <c r="E142" s="531"/>
      <c r="F142" s="530"/>
      <c r="G142" s="531"/>
      <c r="H142" s="531"/>
      <c r="I142" s="489"/>
      <c r="J142" s="489"/>
      <c r="K142" s="489"/>
      <c r="L142" s="489"/>
      <c r="M142" s="491"/>
      <c r="N142" s="491"/>
      <c r="O142" s="491"/>
      <c r="P142" s="491"/>
      <c r="Q142" s="491"/>
      <c r="R142" s="491"/>
      <c r="S142" s="491"/>
      <c r="T142" s="491"/>
      <c r="U142" s="492"/>
      <c r="V142" s="594"/>
    </row>
    <row r="143" spans="1:24" s="2158" customFormat="1" ht="13.5" customHeight="1">
      <c r="A143" s="2429"/>
      <c r="B143" s="452" t="s">
        <v>22</v>
      </c>
      <c r="C143" s="428"/>
      <c r="D143" s="533">
        <f t="shared" ref="D143:P143" si="179">+D144+D146</f>
        <v>13875314</v>
      </c>
      <c r="E143" s="534">
        <f t="shared" si="179"/>
        <v>0</v>
      </c>
      <c r="F143" s="533">
        <f t="shared" si="179"/>
        <v>0</v>
      </c>
      <c r="G143" s="534">
        <f t="shared" si="179"/>
        <v>0</v>
      </c>
      <c r="H143" s="534">
        <f t="shared" si="179"/>
        <v>0</v>
      </c>
      <c r="I143" s="534">
        <f t="shared" si="179"/>
        <v>122000</v>
      </c>
      <c r="J143" s="534">
        <f t="shared" si="179"/>
        <v>224651</v>
      </c>
      <c r="K143" s="534">
        <f t="shared" si="179"/>
        <v>4096693</v>
      </c>
      <c r="L143" s="534">
        <f t="shared" si="179"/>
        <v>2301647</v>
      </c>
      <c r="M143" s="534">
        <f t="shared" ref="M143" si="180">+M144+M146</f>
        <v>6744991</v>
      </c>
      <c r="N143" s="534">
        <f t="shared" si="179"/>
        <v>7130323</v>
      </c>
      <c r="O143" s="534">
        <f t="shared" si="179"/>
        <v>0</v>
      </c>
      <c r="P143" s="534">
        <f t="shared" si="179"/>
        <v>0</v>
      </c>
      <c r="Q143" s="534"/>
      <c r="R143" s="534"/>
      <c r="S143" s="534"/>
      <c r="T143" s="534"/>
      <c r="U143" s="535">
        <f>+U144+U146</f>
        <v>0</v>
      </c>
      <c r="V143" s="2384" t="s">
        <v>108</v>
      </c>
      <c r="W143" s="2157"/>
    </row>
    <row r="144" spans="1:24" s="2158" customFormat="1">
      <c r="A144" s="2429"/>
      <c r="B144" s="498" t="s">
        <v>36</v>
      </c>
      <c r="C144" s="2433" t="s">
        <v>105</v>
      </c>
      <c r="D144" s="622">
        <f>+D145</f>
        <v>2472437</v>
      </c>
      <c r="E144" s="622">
        <f t="shared" ref="E144:P144" si="181">+E145</f>
        <v>0</v>
      </c>
      <c r="F144" s="622">
        <f t="shared" si="181"/>
        <v>0</v>
      </c>
      <c r="G144" s="622">
        <f t="shared" si="181"/>
        <v>0</v>
      </c>
      <c r="H144" s="622">
        <f t="shared" si="181"/>
        <v>0</v>
      </c>
      <c r="I144" s="622">
        <f t="shared" si="181"/>
        <v>122000</v>
      </c>
      <c r="J144" s="622">
        <f t="shared" si="181"/>
        <v>0</v>
      </c>
      <c r="K144" s="622">
        <f t="shared" si="181"/>
        <v>847676</v>
      </c>
      <c r="L144" s="622">
        <f t="shared" si="181"/>
        <v>1335772</v>
      </c>
      <c r="M144" s="622">
        <f t="shared" si="181"/>
        <v>2305448</v>
      </c>
      <c r="N144" s="622">
        <f t="shared" si="181"/>
        <v>166989</v>
      </c>
      <c r="O144" s="622">
        <f t="shared" si="181"/>
        <v>0</v>
      </c>
      <c r="P144" s="622">
        <f t="shared" si="181"/>
        <v>0</v>
      </c>
      <c r="Q144" s="622"/>
      <c r="R144" s="622"/>
      <c r="S144" s="622"/>
      <c r="T144" s="622"/>
      <c r="U144" s="557">
        <f>+U145</f>
        <v>0</v>
      </c>
      <c r="V144" s="2384"/>
      <c r="W144" s="2157"/>
    </row>
    <row r="145" spans="1:23" s="2158" customFormat="1">
      <c r="A145" s="2429"/>
      <c r="B145" s="502" t="s">
        <v>24</v>
      </c>
      <c r="C145" s="2435"/>
      <c r="D145" s="503">
        <f t="shared" ref="D145" si="182">SUM(M145:T145)</f>
        <v>2472437</v>
      </c>
      <c r="E145" s="510">
        <f>+F145+G145+H145</f>
        <v>0</v>
      </c>
      <c r="F145" s="511">
        <v>0</v>
      </c>
      <c r="G145" s="510">
        <v>0</v>
      </c>
      <c r="H145" s="549">
        <v>0</v>
      </c>
      <c r="I145" s="549">
        <v>122000</v>
      </c>
      <c r="J145" s="549">
        <f>12200-12200</f>
        <v>0</v>
      </c>
      <c r="K145" s="510">
        <v>847676</v>
      </c>
      <c r="L145" s="549">
        <v>1335772</v>
      </c>
      <c r="M145" s="504">
        <f t="shared" ref="M145:M147" si="183">+E145+I145+J145+K145+L145</f>
        <v>2305448</v>
      </c>
      <c r="N145" s="549">
        <f>194115-100000+200000+113374-100000-140500</f>
        <v>166989</v>
      </c>
      <c r="O145" s="510">
        <v>0</v>
      </c>
      <c r="P145" s="511">
        <v>0</v>
      </c>
      <c r="Q145" s="511"/>
      <c r="R145" s="511"/>
      <c r="S145" s="511"/>
      <c r="T145" s="511"/>
      <c r="U145" s="462">
        <f t="shared" ref="U145" si="184">SUM(O145:T145)</f>
        <v>0</v>
      </c>
      <c r="V145" s="2384"/>
    </row>
    <row r="146" spans="1:23" s="2158" customFormat="1">
      <c r="A146" s="2429"/>
      <c r="B146" s="512" t="s">
        <v>30</v>
      </c>
      <c r="C146" s="2435"/>
      <c r="D146" s="513">
        <f>+D147</f>
        <v>11402877</v>
      </c>
      <c r="E146" s="513">
        <f t="shared" ref="E146:P146" si="185">+E147</f>
        <v>0</v>
      </c>
      <c r="F146" s="513">
        <f t="shared" si="185"/>
        <v>0</v>
      </c>
      <c r="G146" s="513">
        <f t="shared" si="185"/>
        <v>0</v>
      </c>
      <c r="H146" s="513">
        <f t="shared" si="185"/>
        <v>0</v>
      </c>
      <c r="I146" s="513">
        <f t="shared" si="185"/>
        <v>0</v>
      </c>
      <c r="J146" s="513">
        <f t="shared" si="185"/>
        <v>224651</v>
      </c>
      <c r="K146" s="513">
        <f t="shared" si="185"/>
        <v>3249017</v>
      </c>
      <c r="L146" s="513">
        <f t="shared" si="185"/>
        <v>965875</v>
      </c>
      <c r="M146" s="513">
        <f t="shared" si="185"/>
        <v>4439543</v>
      </c>
      <c r="N146" s="513">
        <f t="shared" si="185"/>
        <v>6963334</v>
      </c>
      <c r="O146" s="513">
        <f t="shared" si="185"/>
        <v>0</v>
      </c>
      <c r="P146" s="513">
        <f t="shared" si="185"/>
        <v>0</v>
      </c>
      <c r="Q146" s="513"/>
      <c r="R146" s="513"/>
      <c r="S146" s="513"/>
      <c r="T146" s="513"/>
      <c r="U146" s="557">
        <f>+U147</f>
        <v>0</v>
      </c>
      <c r="V146" s="2384"/>
    </row>
    <row r="147" spans="1:23" s="2158" customFormat="1">
      <c r="A147" s="2429"/>
      <c r="B147" s="623" t="s">
        <v>33</v>
      </c>
      <c r="C147" s="2436"/>
      <c r="D147" s="503">
        <f t="shared" ref="D147" si="186">SUM(M147:T147)</f>
        <v>11402877</v>
      </c>
      <c r="E147" s="510">
        <f>+F147+G147+H147</f>
        <v>0</v>
      </c>
      <c r="F147" s="516">
        <v>0</v>
      </c>
      <c r="G147" s="542">
        <v>0</v>
      </c>
      <c r="H147" s="542">
        <v>0</v>
      </c>
      <c r="I147" s="542">
        <f>122000-122000</f>
        <v>0</v>
      </c>
      <c r="J147" s="542">
        <f>224651-12200+12200</f>
        <v>224651</v>
      </c>
      <c r="K147" s="508">
        <v>3249017</v>
      </c>
      <c r="L147" s="508">
        <v>965875</v>
      </c>
      <c r="M147" s="504">
        <f t="shared" si="183"/>
        <v>4439543</v>
      </c>
      <c r="N147" s="508">
        <f>8369091+950000-915021-800000-640736</f>
        <v>6963334</v>
      </c>
      <c r="O147" s="508">
        <v>0</v>
      </c>
      <c r="P147" s="516">
        <v>0</v>
      </c>
      <c r="Q147" s="516"/>
      <c r="R147" s="516"/>
      <c r="S147" s="516"/>
      <c r="T147" s="516"/>
      <c r="U147" s="462">
        <f t="shared" ref="U147" si="187">SUM(O147:T147)</f>
        <v>0</v>
      </c>
      <c r="V147" s="2432"/>
    </row>
    <row r="148" spans="1:23" s="2167" customFormat="1" ht="12.75" customHeight="1">
      <c r="A148" s="2430"/>
      <c r="B148" s="427" t="s">
        <v>34</v>
      </c>
      <c r="C148" s="428"/>
      <c r="D148" s="518">
        <f>+D149</f>
        <v>11402877</v>
      </c>
      <c r="E148" s="518">
        <f t="shared" ref="E148:P149" si="188">+E149</f>
        <v>0</v>
      </c>
      <c r="F148" s="518">
        <f t="shared" si="188"/>
        <v>0</v>
      </c>
      <c r="G148" s="518">
        <f t="shared" si="188"/>
        <v>0</v>
      </c>
      <c r="H148" s="518">
        <f t="shared" si="188"/>
        <v>0</v>
      </c>
      <c r="I148" s="518">
        <f t="shared" si="188"/>
        <v>0</v>
      </c>
      <c r="J148" s="518">
        <f t="shared" si="188"/>
        <v>0</v>
      </c>
      <c r="K148" s="518">
        <f t="shared" si="188"/>
        <v>2910028</v>
      </c>
      <c r="L148" s="518">
        <f t="shared" si="188"/>
        <v>2637123</v>
      </c>
      <c r="M148" s="518">
        <f t="shared" si="188"/>
        <v>5547151</v>
      </c>
      <c r="N148" s="518">
        <f t="shared" si="188"/>
        <v>5668306</v>
      </c>
      <c r="O148" s="518">
        <f t="shared" si="188"/>
        <v>187420</v>
      </c>
      <c r="P148" s="518">
        <f t="shared" si="188"/>
        <v>0</v>
      </c>
      <c r="Q148" s="518"/>
      <c r="R148" s="518"/>
      <c r="S148" s="518"/>
      <c r="T148" s="518"/>
      <c r="U148" s="2496" t="s">
        <v>35</v>
      </c>
      <c r="V148" s="2440" t="s">
        <v>129</v>
      </c>
    </row>
    <row r="149" spans="1:23" s="2168" customFormat="1" ht="12.75" customHeight="1">
      <c r="A149" s="2430"/>
      <c r="B149" s="574" t="s">
        <v>30</v>
      </c>
      <c r="C149" s="2433" t="s">
        <v>106</v>
      </c>
      <c r="D149" s="567">
        <f>+D150</f>
        <v>11402877</v>
      </c>
      <c r="E149" s="567">
        <f t="shared" si="188"/>
        <v>0</v>
      </c>
      <c r="F149" s="567">
        <f t="shared" si="188"/>
        <v>0</v>
      </c>
      <c r="G149" s="567">
        <f t="shared" si="188"/>
        <v>0</v>
      </c>
      <c r="H149" s="567">
        <f t="shared" si="188"/>
        <v>0</v>
      </c>
      <c r="I149" s="567">
        <f t="shared" si="188"/>
        <v>0</v>
      </c>
      <c r="J149" s="567">
        <f t="shared" si="188"/>
        <v>0</v>
      </c>
      <c r="K149" s="567">
        <f t="shared" si="188"/>
        <v>2910028</v>
      </c>
      <c r="L149" s="596">
        <f t="shared" si="188"/>
        <v>2637123</v>
      </c>
      <c r="M149" s="596">
        <f t="shared" si="188"/>
        <v>5547151</v>
      </c>
      <c r="N149" s="596">
        <f t="shared" si="188"/>
        <v>5668306</v>
      </c>
      <c r="O149" s="596">
        <f t="shared" si="188"/>
        <v>187420</v>
      </c>
      <c r="P149" s="567">
        <f t="shared" si="188"/>
        <v>0</v>
      </c>
      <c r="Q149" s="567"/>
      <c r="R149" s="567"/>
      <c r="S149" s="567"/>
      <c r="T149" s="567"/>
      <c r="U149" s="2497"/>
      <c r="V149" s="2441"/>
    </row>
    <row r="150" spans="1:23" s="2167" customFormat="1" ht="13.5" thickBot="1">
      <c r="A150" s="2431"/>
      <c r="B150" s="624" t="s">
        <v>33</v>
      </c>
      <c r="C150" s="2491"/>
      <c r="D150" s="1897">
        <f>SUM(M150:T150)</f>
        <v>11402877</v>
      </c>
      <c r="E150" s="552">
        <f>+F150+G150+H150</f>
        <v>0</v>
      </c>
      <c r="F150" s="2218">
        <v>0</v>
      </c>
      <c r="G150" s="627">
        <v>0</v>
      </c>
      <c r="H150" s="627">
        <v>0</v>
      </c>
      <c r="I150" s="627">
        <v>0</v>
      </c>
      <c r="J150" s="627">
        <f>101397-101397</f>
        <v>0</v>
      </c>
      <c r="K150" s="627">
        <v>2910028</v>
      </c>
      <c r="L150" s="627">
        <f>12111972-9111972-1819593+1456716</f>
        <v>2637123</v>
      </c>
      <c r="M150" s="2219">
        <f>L150+E150+I150+J150+K150</f>
        <v>5547151</v>
      </c>
      <c r="N150" s="627">
        <f>9111972+1819593-1456716-1000000-800000-1880961-125582</f>
        <v>5668306</v>
      </c>
      <c r="O150" s="627">
        <f>1219445+125582-1157607</f>
        <v>187420</v>
      </c>
      <c r="P150" s="2220">
        <v>0</v>
      </c>
      <c r="Q150" s="571"/>
      <c r="R150" s="571"/>
      <c r="S150" s="571"/>
      <c r="T150" s="571"/>
      <c r="U150" s="2498"/>
      <c r="V150" s="2442"/>
    </row>
    <row r="151" spans="1:23" ht="21.75" hidden="1" customHeight="1">
      <c r="A151" s="2428"/>
      <c r="B151" s="486" t="s">
        <v>113</v>
      </c>
      <c r="C151" s="487" t="s">
        <v>102</v>
      </c>
      <c r="D151" s="488"/>
      <c r="E151" s="628"/>
      <c r="F151" s="628"/>
      <c r="G151" s="629"/>
      <c r="H151" s="629"/>
      <c r="I151" s="629"/>
      <c r="J151" s="629"/>
      <c r="K151" s="629"/>
      <c r="L151" s="629"/>
      <c r="M151" s="491"/>
      <c r="N151" s="491"/>
      <c r="O151" s="491"/>
      <c r="P151" s="491"/>
      <c r="Q151" s="491"/>
      <c r="R151" s="491"/>
      <c r="S151" s="582"/>
      <c r="T151" s="582"/>
      <c r="U151" s="615"/>
      <c r="V151" s="2383" t="s">
        <v>107</v>
      </c>
    </row>
    <row r="152" spans="1:23" ht="13.5" hidden="1" customHeight="1">
      <c r="A152" s="2429"/>
      <c r="B152" s="452" t="s">
        <v>22</v>
      </c>
      <c r="C152" s="428"/>
      <c r="D152" s="533">
        <f>+D153+D156</f>
        <v>0</v>
      </c>
      <c r="E152" s="533">
        <f t="shared" ref="E152:O152" si="189">+E153+E156</f>
        <v>0</v>
      </c>
      <c r="F152" s="533">
        <f t="shared" si="189"/>
        <v>0</v>
      </c>
      <c r="G152" s="533">
        <f t="shared" si="189"/>
        <v>0</v>
      </c>
      <c r="H152" s="533">
        <f t="shared" si="189"/>
        <v>0</v>
      </c>
      <c r="I152" s="533">
        <f t="shared" si="189"/>
        <v>0</v>
      </c>
      <c r="J152" s="533">
        <f t="shared" si="189"/>
        <v>0</v>
      </c>
      <c r="K152" s="533">
        <f t="shared" si="189"/>
        <v>0</v>
      </c>
      <c r="L152" s="533">
        <f t="shared" si="189"/>
        <v>0</v>
      </c>
      <c r="M152" s="533"/>
      <c r="N152" s="533">
        <f t="shared" si="189"/>
        <v>0</v>
      </c>
      <c r="O152" s="533">
        <f t="shared" si="189"/>
        <v>0</v>
      </c>
      <c r="P152" s="533">
        <f>+P153+P156</f>
        <v>0</v>
      </c>
      <c r="Q152" s="533"/>
      <c r="R152" s="533"/>
      <c r="S152" s="1782"/>
      <c r="T152" s="1782"/>
      <c r="U152" s="606"/>
      <c r="V152" s="2384"/>
      <c r="W152" s="1258"/>
    </row>
    <row r="153" spans="1:23" ht="13.5" hidden="1" customHeight="1">
      <c r="A153" s="2429"/>
      <c r="B153" s="498" t="s">
        <v>36</v>
      </c>
      <c r="C153" s="2433" t="s">
        <v>105</v>
      </c>
      <c r="D153" s="630">
        <f>+D154+D155</f>
        <v>0</v>
      </c>
      <c r="E153" s="630">
        <f t="shared" ref="E153:P153" si="190">+E154+E155</f>
        <v>0</v>
      </c>
      <c r="F153" s="630">
        <f t="shared" si="190"/>
        <v>0</v>
      </c>
      <c r="G153" s="630">
        <f t="shared" si="190"/>
        <v>0</v>
      </c>
      <c r="H153" s="630">
        <f t="shared" si="190"/>
        <v>0</v>
      </c>
      <c r="I153" s="630">
        <f t="shared" si="190"/>
        <v>0</v>
      </c>
      <c r="J153" s="630">
        <f t="shared" si="190"/>
        <v>0</v>
      </c>
      <c r="K153" s="630">
        <f t="shared" si="190"/>
        <v>0</v>
      </c>
      <c r="L153" s="630">
        <f t="shared" si="190"/>
        <v>0</v>
      </c>
      <c r="M153" s="630"/>
      <c r="N153" s="630">
        <f t="shared" si="190"/>
        <v>0</v>
      </c>
      <c r="O153" s="630">
        <f t="shared" si="190"/>
        <v>0</v>
      </c>
      <c r="P153" s="630">
        <f t="shared" si="190"/>
        <v>0</v>
      </c>
      <c r="Q153" s="630"/>
      <c r="R153" s="630"/>
      <c r="S153" s="1787"/>
      <c r="T153" s="1787"/>
      <c r="U153" s="538"/>
      <c r="V153" s="2384"/>
      <c r="W153" s="1258"/>
    </row>
    <row r="154" spans="1:23" ht="13.5" hidden="1" thickBot="1">
      <c r="A154" s="2429"/>
      <c r="B154" s="539" t="s">
        <v>24</v>
      </c>
      <c r="C154" s="2435"/>
      <c r="D154" s="520">
        <f>+E154+I154+J154+K154+L154</f>
        <v>0</v>
      </c>
      <c r="E154" s="511">
        <f>+F154+G154+H154</f>
        <v>0</v>
      </c>
      <c r="F154" s="511"/>
      <c r="G154" s="510"/>
      <c r="H154" s="549"/>
      <c r="I154" s="549"/>
      <c r="J154" s="549"/>
      <c r="K154" s="510">
        <v>0</v>
      </c>
      <c r="L154" s="549"/>
      <c r="M154" s="549"/>
      <c r="N154" s="510">
        <v>0</v>
      </c>
      <c r="O154" s="510">
        <v>0</v>
      </c>
      <c r="P154" s="511">
        <v>0</v>
      </c>
      <c r="Q154" s="511"/>
      <c r="R154" s="511"/>
      <c r="S154" s="1070"/>
      <c r="T154" s="1070"/>
      <c r="U154" s="541"/>
      <c r="V154" s="2384"/>
    </row>
    <row r="155" spans="1:23" ht="10.5" hidden="1" customHeight="1">
      <c r="A155" s="2429"/>
      <c r="B155" s="607" t="s">
        <v>27</v>
      </c>
      <c r="C155" s="2435"/>
      <c r="D155" s="520">
        <f>+E155+I155+J155+K155+L155</f>
        <v>0</v>
      </c>
      <c r="E155" s="511">
        <f>+F155+G155+H155</f>
        <v>0</v>
      </c>
      <c r="F155" s="508"/>
      <c r="G155" s="508"/>
      <c r="H155" s="542"/>
      <c r="I155" s="542">
        <v>0</v>
      </c>
      <c r="J155" s="542"/>
      <c r="K155" s="508">
        <v>0</v>
      </c>
      <c r="L155" s="508">
        <v>0</v>
      </c>
      <c r="M155" s="508"/>
      <c r="N155" s="508">
        <v>0</v>
      </c>
      <c r="O155" s="508">
        <v>0</v>
      </c>
      <c r="P155" s="508">
        <v>0</v>
      </c>
      <c r="Q155" s="508"/>
      <c r="R155" s="508"/>
      <c r="S155" s="1070"/>
      <c r="T155" s="1070"/>
      <c r="U155" s="541"/>
      <c r="V155" s="2384"/>
    </row>
    <row r="156" spans="1:23" ht="12.75" hidden="1" customHeight="1">
      <c r="A156" s="2429"/>
      <c r="B156" s="574" t="s">
        <v>30</v>
      </c>
      <c r="C156" s="2435"/>
      <c r="D156" s="513">
        <f>+D157</f>
        <v>0</v>
      </c>
      <c r="E156" s="513">
        <f t="shared" ref="E156:P156" si="191">+E157</f>
        <v>0</v>
      </c>
      <c r="F156" s="513">
        <f t="shared" si="191"/>
        <v>0</v>
      </c>
      <c r="G156" s="513">
        <f t="shared" si="191"/>
        <v>0</v>
      </c>
      <c r="H156" s="513">
        <f t="shared" si="191"/>
        <v>0</v>
      </c>
      <c r="I156" s="513">
        <f t="shared" si="191"/>
        <v>0</v>
      </c>
      <c r="J156" s="513">
        <f t="shared" si="191"/>
        <v>0</v>
      </c>
      <c r="K156" s="513">
        <f t="shared" si="191"/>
        <v>0</v>
      </c>
      <c r="L156" s="513">
        <f t="shared" si="191"/>
        <v>0</v>
      </c>
      <c r="M156" s="513"/>
      <c r="N156" s="513">
        <f t="shared" si="191"/>
        <v>0</v>
      </c>
      <c r="O156" s="513">
        <f t="shared" si="191"/>
        <v>0</v>
      </c>
      <c r="P156" s="513">
        <f t="shared" si="191"/>
        <v>0</v>
      </c>
      <c r="Q156" s="513"/>
      <c r="R156" s="513"/>
      <c r="S156" s="1785"/>
      <c r="T156" s="1785"/>
      <c r="U156" s="538"/>
      <c r="V156" s="2384"/>
    </row>
    <row r="157" spans="1:23" ht="11.25" hidden="1" customHeight="1">
      <c r="A157" s="2429"/>
      <c r="B157" s="631" t="s">
        <v>33</v>
      </c>
      <c r="C157" s="2436"/>
      <c r="D157" s="507">
        <f>+E157+I157+J157+K157+L157</f>
        <v>0</v>
      </c>
      <c r="E157" s="508">
        <f>+F157+G157+H157</f>
        <v>0</v>
      </c>
      <c r="F157" s="516">
        <v>0</v>
      </c>
      <c r="G157" s="542"/>
      <c r="H157" s="542"/>
      <c r="I157" s="542"/>
      <c r="J157" s="542"/>
      <c r="K157" s="542">
        <v>0</v>
      </c>
      <c r="L157" s="508">
        <v>0</v>
      </c>
      <c r="M157" s="508"/>
      <c r="N157" s="508">
        <v>0</v>
      </c>
      <c r="O157" s="508">
        <v>0</v>
      </c>
      <c r="P157" s="516">
        <v>0</v>
      </c>
      <c r="Q157" s="516"/>
      <c r="R157" s="516"/>
      <c r="S157" s="1070"/>
      <c r="T157" s="1070"/>
      <c r="U157" s="541"/>
      <c r="V157" s="2384"/>
    </row>
    <row r="158" spans="1:23" s="1904" customFormat="1" ht="12.75" hidden="1" customHeight="1">
      <c r="A158" s="2430"/>
      <c r="B158" s="427" t="s">
        <v>34</v>
      </c>
      <c r="C158" s="428"/>
      <c r="D158" s="518">
        <f>+D161+D159</f>
        <v>0</v>
      </c>
      <c r="E158" s="518">
        <f t="shared" ref="E158:P158" si="192">+E161+E159</f>
        <v>0</v>
      </c>
      <c r="F158" s="518">
        <f t="shared" si="192"/>
        <v>0</v>
      </c>
      <c r="G158" s="518">
        <f t="shared" si="192"/>
        <v>0</v>
      </c>
      <c r="H158" s="518">
        <f t="shared" si="192"/>
        <v>0</v>
      </c>
      <c r="I158" s="518">
        <f t="shared" si="192"/>
        <v>0</v>
      </c>
      <c r="J158" s="518">
        <f t="shared" si="192"/>
        <v>0</v>
      </c>
      <c r="K158" s="518">
        <f t="shared" si="192"/>
        <v>0</v>
      </c>
      <c r="L158" s="518">
        <f t="shared" si="192"/>
        <v>0</v>
      </c>
      <c r="M158" s="518"/>
      <c r="N158" s="518">
        <f t="shared" si="192"/>
        <v>0</v>
      </c>
      <c r="O158" s="518">
        <f t="shared" si="192"/>
        <v>0</v>
      </c>
      <c r="P158" s="518">
        <f t="shared" si="192"/>
        <v>0</v>
      </c>
      <c r="Q158" s="518"/>
      <c r="R158" s="518"/>
      <c r="S158" s="686"/>
      <c r="T158" s="686"/>
      <c r="U158" s="609"/>
      <c r="V158" s="2492"/>
    </row>
    <row r="159" spans="1:23" ht="13.5" hidden="1" customHeight="1">
      <c r="A159" s="2430"/>
      <c r="B159" s="498" t="s">
        <v>36</v>
      </c>
      <c r="C159" s="2433" t="s">
        <v>106</v>
      </c>
      <c r="D159" s="519">
        <f>+D160</f>
        <v>0</v>
      </c>
      <c r="E159" s="519">
        <f t="shared" ref="E159:P159" si="193">+E160</f>
        <v>0</v>
      </c>
      <c r="F159" s="519">
        <f t="shared" si="193"/>
        <v>0</v>
      </c>
      <c r="G159" s="519">
        <f t="shared" si="193"/>
        <v>0</v>
      </c>
      <c r="H159" s="519">
        <f t="shared" si="193"/>
        <v>0</v>
      </c>
      <c r="I159" s="519">
        <f t="shared" si="193"/>
        <v>0</v>
      </c>
      <c r="J159" s="519">
        <f t="shared" si="193"/>
        <v>0</v>
      </c>
      <c r="K159" s="519">
        <f t="shared" si="193"/>
        <v>0</v>
      </c>
      <c r="L159" s="519">
        <f t="shared" si="193"/>
        <v>0</v>
      </c>
      <c r="M159" s="519"/>
      <c r="N159" s="519">
        <f t="shared" si="193"/>
        <v>0</v>
      </c>
      <c r="O159" s="519">
        <f t="shared" si="193"/>
        <v>0</v>
      </c>
      <c r="P159" s="519">
        <f t="shared" si="193"/>
        <v>0</v>
      </c>
      <c r="Q159" s="519"/>
      <c r="R159" s="519"/>
      <c r="S159" s="1785"/>
      <c r="T159" s="1785"/>
      <c r="U159" s="543"/>
      <c r="V159" s="2492"/>
    </row>
    <row r="160" spans="1:23" ht="11.25" hidden="1" customHeight="1">
      <c r="A160" s="2430"/>
      <c r="B160" s="607" t="s">
        <v>27</v>
      </c>
      <c r="C160" s="2434"/>
      <c r="D160" s="520">
        <f>+E160+I160+J160+K160+L160+N160+O160</f>
        <v>0</v>
      </c>
      <c r="E160" s="521">
        <f>+F160+G160+H160</f>
        <v>0</v>
      </c>
      <c r="F160" s="521">
        <v>0</v>
      </c>
      <c r="G160" s="521">
        <v>0</v>
      </c>
      <c r="H160" s="521">
        <v>0</v>
      </c>
      <c r="I160" s="521">
        <v>0</v>
      </c>
      <c r="J160" s="521"/>
      <c r="K160" s="521">
        <v>0</v>
      </c>
      <c r="L160" s="521">
        <v>0</v>
      </c>
      <c r="M160" s="521"/>
      <c r="N160" s="521">
        <v>0</v>
      </c>
      <c r="O160" s="521">
        <v>0</v>
      </c>
      <c r="P160" s="521">
        <v>0</v>
      </c>
      <c r="Q160" s="521"/>
      <c r="R160" s="521"/>
      <c r="S160" s="618"/>
      <c r="T160" s="618"/>
      <c r="U160" s="610"/>
      <c r="V160" s="2492"/>
    </row>
    <row r="161" spans="1:23" s="1906" customFormat="1" ht="12.75" hidden="1" customHeight="1">
      <c r="A161" s="2430"/>
      <c r="B161" s="574" t="s">
        <v>30</v>
      </c>
      <c r="C161" s="2434"/>
      <c r="D161" s="567">
        <f>+D162</f>
        <v>0</v>
      </c>
      <c r="E161" s="567">
        <f t="shared" ref="E161:P161" si="194">+E162</f>
        <v>0</v>
      </c>
      <c r="F161" s="567">
        <f t="shared" si="194"/>
        <v>0</v>
      </c>
      <c r="G161" s="567">
        <f t="shared" si="194"/>
        <v>0</v>
      </c>
      <c r="H161" s="567">
        <f t="shared" si="194"/>
        <v>0</v>
      </c>
      <c r="I161" s="596">
        <f t="shared" si="194"/>
        <v>0</v>
      </c>
      <c r="J161" s="596">
        <f t="shared" si="194"/>
        <v>0</v>
      </c>
      <c r="K161" s="567">
        <f t="shared" si="194"/>
        <v>0</v>
      </c>
      <c r="L161" s="567">
        <f t="shared" si="194"/>
        <v>0</v>
      </c>
      <c r="M161" s="567"/>
      <c r="N161" s="567">
        <f t="shared" si="194"/>
        <v>0</v>
      </c>
      <c r="O161" s="567">
        <f t="shared" si="194"/>
        <v>0</v>
      </c>
      <c r="P161" s="567">
        <f t="shared" si="194"/>
        <v>0</v>
      </c>
      <c r="Q161" s="567"/>
      <c r="R161" s="567"/>
      <c r="S161" s="687"/>
      <c r="T161" s="687"/>
      <c r="U161" s="576"/>
      <c r="V161" s="2492"/>
    </row>
    <row r="162" spans="1:23" s="1904" customFormat="1" ht="12" hidden="1" customHeight="1" thickBot="1">
      <c r="A162" s="2431"/>
      <c r="B162" s="568" t="s">
        <v>33</v>
      </c>
      <c r="C162" s="2443"/>
      <c r="D162" s="591">
        <f>+E162+I162+J162+K162+L162</f>
        <v>0</v>
      </c>
      <c r="E162" s="546">
        <f>+F162+G162+H162</f>
        <v>0</v>
      </c>
      <c r="F162" s="625">
        <v>0</v>
      </c>
      <c r="G162" s="626">
        <v>0</v>
      </c>
      <c r="H162" s="627">
        <v>0</v>
      </c>
      <c r="I162" s="626"/>
      <c r="J162" s="626"/>
      <c r="K162" s="626"/>
      <c r="L162" s="626">
        <v>0</v>
      </c>
      <c r="M162" s="626"/>
      <c r="N162" s="626">
        <v>0</v>
      </c>
      <c r="O162" s="626">
        <v>0</v>
      </c>
      <c r="P162" s="571">
        <v>0</v>
      </c>
      <c r="Q162" s="571"/>
      <c r="R162" s="571"/>
      <c r="S162" s="571"/>
      <c r="T162" s="571"/>
      <c r="U162" s="632"/>
      <c r="V162" s="2493"/>
    </row>
    <row r="163" spans="1:23" ht="24.75" customHeight="1">
      <c r="A163" s="2428" t="s">
        <v>114</v>
      </c>
      <c r="B163" s="486" t="s">
        <v>389</v>
      </c>
      <c r="C163" s="487" t="s">
        <v>102</v>
      </c>
      <c r="D163" s="529"/>
      <c r="E163" s="633"/>
      <c r="F163" s="529"/>
      <c r="G163" s="634"/>
      <c r="H163" s="634"/>
      <c r="I163" s="629"/>
      <c r="J163" s="629"/>
      <c r="K163" s="629"/>
      <c r="L163" s="629"/>
      <c r="M163" s="491"/>
      <c r="N163" s="491"/>
      <c r="O163" s="491"/>
      <c r="P163" s="491"/>
      <c r="Q163" s="491"/>
      <c r="R163" s="491"/>
      <c r="S163" s="491"/>
      <c r="T163" s="491"/>
      <c r="U163" s="492"/>
      <c r="V163" s="594"/>
    </row>
    <row r="164" spans="1:23" ht="13.5" customHeight="1">
      <c r="A164" s="2429"/>
      <c r="B164" s="452" t="s">
        <v>22</v>
      </c>
      <c r="C164" s="428"/>
      <c r="D164" s="533">
        <f>+D165+D167</f>
        <v>16369744</v>
      </c>
      <c r="E164" s="533">
        <f>+E165+E167</f>
        <v>0</v>
      </c>
      <c r="F164" s="533">
        <f t="shared" ref="F164:O164" si="195">+F165+F167</f>
        <v>0</v>
      </c>
      <c r="G164" s="533">
        <f t="shared" si="195"/>
        <v>0</v>
      </c>
      <c r="H164" s="533">
        <f t="shared" si="195"/>
        <v>0</v>
      </c>
      <c r="I164" s="533">
        <f t="shared" si="195"/>
        <v>0</v>
      </c>
      <c r="J164" s="533">
        <f t="shared" si="195"/>
        <v>94400</v>
      </c>
      <c r="K164" s="533">
        <f t="shared" si="195"/>
        <v>272752</v>
      </c>
      <c r="L164" s="533">
        <f t="shared" si="195"/>
        <v>12379764</v>
      </c>
      <c r="M164" s="533">
        <f t="shared" ref="M164" si="196">+M165+M167</f>
        <v>12746916</v>
      </c>
      <c r="N164" s="533">
        <f t="shared" si="195"/>
        <v>3622828</v>
      </c>
      <c r="O164" s="533">
        <f t="shared" si="195"/>
        <v>0</v>
      </c>
      <c r="P164" s="533">
        <f>+P165+P167</f>
        <v>0</v>
      </c>
      <c r="Q164" s="533"/>
      <c r="R164" s="533"/>
      <c r="S164" s="533"/>
      <c r="T164" s="533"/>
      <c r="U164" s="535">
        <f>+U165+U167</f>
        <v>0</v>
      </c>
      <c r="V164" s="2384" t="s">
        <v>108</v>
      </c>
      <c r="W164" s="1258"/>
    </row>
    <row r="165" spans="1:23" ht="13.5" customHeight="1">
      <c r="A165" s="2429"/>
      <c r="B165" s="498" t="s">
        <v>36</v>
      </c>
      <c r="C165" s="2433" t="s">
        <v>105</v>
      </c>
      <c r="D165" s="556">
        <f>+D166</f>
        <v>5683022</v>
      </c>
      <c r="E165" s="635">
        <f t="shared" ref="E165:U165" si="197">+E166</f>
        <v>0</v>
      </c>
      <c r="F165" s="556">
        <f t="shared" si="197"/>
        <v>0</v>
      </c>
      <c r="G165" s="636">
        <f t="shared" si="197"/>
        <v>0</v>
      </c>
      <c r="H165" s="636">
        <f t="shared" si="197"/>
        <v>0</v>
      </c>
      <c r="I165" s="636">
        <f t="shared" si="197"/>
        <v>0</v>
      </c>
      <c r="J165" s="636">
        <f t="shared" si="197"/>
        <v>32276</v>
      </c>
      <c r="K165" s="636">
        <f t="shared" si="197"/>
        <v>93257</v>
      </c>
      <c r="L165" s="636">
        <f t="shared" si="197"/>
        <v>4244796</v>
      </c>
      <c r="M165" s="636">
        <f t="shared" si="197"/>
        <v>4370329</v>
      </c>
      <c r="N165" s="636">
        <f t="shared" si="197"/>
        <v>1312693</v>
      </c>
      <c r="O165" s="636">
        <f t="shared" si="197"/>
        <v>0</v>
      </c>
      <c r="P165" s="636">
        <f t="shared" si="197"/>
        <v>0</v>
      </c>
      <c r="Q165" s="636"/>
      <c r="R165" s="636"/>
      <c r="S165" s="556"/>
      <c r="T165" s="556"/>
      <c r="U165" s="557">
        <f t="shared" si="197"/>
        <v>0</v>
      </c>
      <c r="V165" s="2384"/>
      <c r="W165" s="1258"/>
    </row>
    <row r="166" spans="1:23" ht="13.5" customHeight="1">
      <c r="A166" s="2429"/>
      <c r="B166" s="502" t="s">
        <v>24</v>
      </c>
      <c r="C166" s="2435"/>
      <c r="D166" s="503">
        <f t="shared" ref="D166" si="198">SUM(M166:T166)</f>
        <v>5683022</v>
      </c>
      <c r="E166" s="510">
        <f>+F166+G166+H166</f>
        <v>0</v>
      </c>
      <c r="F166" s="511">
        <v>0</v>
      </c>
      <c r="G166" s="510">
        <v>0</v>
      </c>
      <c r="H166" s="510">
        <v>0</v>
      </c>
      <c r="I166" s="549">
        <f>184163-184163</f>
        <v>0</v>
      </c>
      <c r="J166" s="549">
        <f>32277-1</f>
        <v>32276</v>
      </c>
      <c r="K166" s="549">
        <v>93257</v>
      </c>
      <c r="L166" s="549">
        <f>7149466-683823-704939-1510165-5743</f>
        <v>4244796</v>
      </c>
      <c r="M166" s="504">
        <f t="shared" ref="M166" si="199">+E166+I166+J166+K166+L166</f>
        <v>4370329</v>
      </c>
      <c r="N166" s="549">
        <f>704939+1510165-714257-188154</f>
        <v>1312693</v>
      </c>
      <c r="O166" s="549">
        <v>0</v>
      </c>
      <c r="P166" s="511">
        <v>0</v>
      </c>
      <c r="Q166" s="511"/>
      <c r="R166" s="511"/>
      <c r="S166" s="511"/>
      <c r="T166" s="511"/>
      <c r="U166" s="462">
        <f t="shared" ref="U166" si="200">SUM(O166:T166)</f>
        <v>0</v>
      </c>
      <c r="V166" s="2384"/>
    </row>
    <row r="167" spans="1:23" ht="12.75" customHeight="1">
      <c r="A167" s="2429"/>
      <c r="B167" s="574" t="s">
        <v>30</v>
      </c>
      <c r="C167" s="2435"/>
      <c r="D167" s="513">
        <f>+D168</f>
        <v>10686722</v>
      </c>
      <c r="E167" s="513">
        <f t="shared" ref="E167:P167" si="201">+E168</f>
        <v>0</v>
      </c>
      <c r="F167" s="513">
        <f t="shared" si="201"/>
        <v>0</v>
      </c>
      <c r="G167" s="513">
        <f t="shared" si="201"/>
        <v>0</v>
      </c>
      <c r="H167" s="513">
        <f t="shared" si="201"/>
        <v>0</v>
      </c>
      <c r="I167" s="513">
        <f t="shared" si="201"/>
        <v>0</v>
      </c>
      <c r="J167" s="513">
        <f t="shared" si="201"/>
        <v>62124</v>
      </c>
      <c r="K167" s="513">
        <f t="shared" si="201"/>
        <v>179495</v>
      </c>
      <c r="L167" s="513">
        <f t="shared" si="201"/>
        <v>8134968</v>
      </c>
      <c r="M167" s="513">
        <f t="shared" si="201"/>
        <v>8376587</v>
      </c>
      <c r="N167" s="513">
        <f t="shared" si="201"/>
        <v>2310135</v>
      </c>
      <c r="O167" s="513">
        <f t="shared" si="201"/>
        <v>0</v>
      </c>
      <c r="P167" s="513">
        <f t="shared" si="201"/>
        <v>0</v>
      </c>
      <c r="Q167" s="513"/>
      <c r="R167" s="513"/>
      <c r="S167" s="513"/>
      <c r="T167" s="513"/>
      <c r="U167" s="557">
        <f>+U168</f>
        <v>0</v>
      </c>
      <c r="V167" s="2384"/>
    </row>
    <row r="168" spans="1:23" ht="12.75" customHeight="1">
      <c r="A168" s="2429"/>
      <c r="B168" s="623" t="s">
        <v>33</v>
      </c>
      <c r="C168" s="2435"/>
      <c r="D168" s="503">
        <f t="shared" ref="D168" si="202">SUM(M168:T168)</f>
        <v>10686722</v>
      </c>
      <c r="E168" s="510">
        <f>+F168+G168+H168</f>
        <v>0</v>
      </c>
      <c r="F168" s="511">
        <v>0</v>
      </c>
      <c r="G168" s="510">
        <v>0</v>
      </c>
      <c r="H168" s="510">
        <v>0</v>
      </c>
      <c r="I168" s="549">
        <f>225757-225757</f>
        <v>0</v>
      </c>
      <c r="J168" s="549">
        <f>62123+1</f>
        <v>62124</v>
      </c>
      <c r="K168" s="549">
        <v>179495</v>
      </c>
      <c r="L168" s="510">
        <f>13183382-1316177-1295061-2422683-14493</f>
        <v>8134968</v>
      </c>
      <c r="M168" s="504">
        <f t="shared" ref="M168" si="203">+E168+I168+J168+K168+L168</f>
        <v>8376587</v>
      </c>
      <c r="N168" s="510">
        <f>1295061+2422683-1365507-42102</f>
        <v>2310135</v>
      </c>
      <c r="O168" s="510">
        <v>0</v>
      </c>
      <c r="P168" s="511">
        <v>0</v>
      </c>
      <c r="Q168" s="511"/>
      <c r="R168" s="511"/>
      <c r="S168" s="511"/>
      <c r="T168" s="511"/>
      <c r="U168" s="462">
        <f t="shared" ref="U168" si="204">SUM(O168:T168)</f>
        <v>0</v>
      </c>
      <c r="V168" s="2432"/>
    </row>
    <row r="169" spans="1:23" s="1904" customFormat="1" ht="12.75" customHeight="1">
      <c r="A169" s="2430"/>
      <c r="B169" s="427" t="s">
        <v>34</v>
      </c>
      <c r="C169" s="428"/>
      <c r="D169" s="518">
        <f>+D170</f>
        <v>10686722</v>
      </c>
      <c r="E169" s="518">
        <f t="shared" ref="E169:P170" si="205">+E170</f>
        <v>0</v>
      </c>
      <c r="F169" s="518">
        <f t="shared" si="205"/>
        <v>0</v>
      </c>
      <c r="G169" s="518">
        <f t="shared" si="205"/>
        <v>0</v>
      </c>
      <c r="H169" s="518">
        <f t="shared" si="205"/>
        <v>0</v>
      </c>
      <c r="I169" s="518">
        <f t="shared" si="205"/>
        <v>0</v>
      </c>
      <c r="J169" s="518">
        <f t="shared" si="205"/>
        <v>0</v>
      </c>
      <c r="K169" s="518">
        <f t="shared" si="205"/>
        <v>0</v>
      </c>
      <c r="L169" s="518">
        <f t="shared" si="205"/>
        <v>6854075</v>
      </c>
      <c r="M169" s="518">
        <f t="shared" si="205"/>
        <v>6854075</v>
      </c>
      <c r="N169" s="518">
        <f t="shared" si="205"/>
        <v>3832647</v>
      </c>
      <c r="O169" s="518">
        <f t="shared" si="205"/>
        <v>0</v>
      </c>
      <c r="P169" s="518">
        <f t="shared" si="205"/>
        <v>0</v>
      </c>
      <c r="Q169" s="518"/>
      <c r="R169" s="518"/>
      <c r="S169" s="518"/>
      <c r="T169" s="518"/>
      <c r="U169" s="2505" t="s">
        <v>35</v>
      </c>
      <c r="V169" s="2440" t="s">
        <v>129</v>
      </c>
    </row>
    <row r="170" spans="1:23" s="1906" customFormat="1" ht="12.75" customHeight="1">
      <c r="A170" s="2430"/>
      <c r="B170" s="574" t="s">
        <v>30</v>
      </c>
      <c r="C170" s="2433" t="s">
        <v>106</v>
      </c>
      <c r="D170" s="567">
        <f>+D171</f>
        <v>10686722</v>
      </c>
      <c r="E170" s="567">
        <f t="shared" si="205"/>
        <v>0</v>
      </c>
      <c r="F170" s="567">
        <f t="shared" si="205"/>
        <v>0</v>
      </c>
      <c r="G170" s="567">
        <f t="shared" si="205"/>
        <v>0</v>
      </c>
      <c r="H170" s="567">
        <f t="shared" si="205"/>
        <v>0</v>
      </c>
      <c r="I170" s="567">
        <f t="shared" si="205"/>
        <v>0</v>
      </c>
      <c r="J170" s="567">
        <f t="shared" si="205"/>
        <v>0</v>
      </c>
      <c r="K170" s="567">
        <f t="shared" si="205"/>
        <v>0</v>
      </c>
      <c r="L170" s="596">
        <f t="shared" si="205"/>
        <v>6854075</v>
      </c>
      <c r="M170" s="596">
        <f t="shared" si="205"/>
        <v>6854075</v>
      </c>
      <c r="N170" s="596">
        <f t="shared" si="205"/>
        <v>3832647</v>
      </c>
      <c r="O170" s="596">
        <f t="shared" si="205"/>
        <v>0</v>
      </c>
      <c r="P170" s="567">
        <f t="shared" si="205"/>
        <v>0</v>
      </c>
      <c r="Q170" s="567"/>
      <c r="R170" s="567"/>
      <c r="S170" s="567"/>
      <c r="T170" s="567"/>
      <c r="U170" s="2506"/>
      <c r="V170" s="2441"/>
    </row>
    <row r="171" spans="1:23" s="1906" customFormat="1" ht="13.5" thickBot="1">
      <c r="A171" s="2431"/>
      <c r="B171" s="624" t="s">
        <v>33</v>
      </c>
      <c r="C171" s="2443"/>
      <c r="D171" s="503">
        <f>SUM(M171:T171)</f>
        <v>10686722</v>
      </c>
      <c r="E171" s="637">
        <f>+F171+G171+H171</f>
        <v>0</v>
      </c>
      <c r="F171" s="638">
        <v>0</v>
      </c>
      <c r="G171" s="637">
        <v>0</v>
      </c>
      <c r="H171" s="637">
        <v>0</v>
      </c>
      <c r="I171" s="637">
        <v>0</v>
      </c>
      <c r="J171" s="637">
        <v>0</v>
      </c>
      <c r="K171" s="637">
        <v>0</v>
      </c>
      <c r="L171" s="639">
        <f>10800000-1000000-1300000-3500000+1854075</f>
        <v>6854075</v>
      </c>
      <c r="M171" s="524">
        <f>L171+E171+I171+J171+K171</f>
        <v>6854075</v>
      </c>
      <c r="N171" s="639">
        <f>2625000-316177+1300000+3500001-1854075-1380000-42102-953694+953694</f>
        <v>3832647</v>
      </c>
      <c r="O171" s="639">
        <f>953694-953694</f>
        <v>0</v>
      </c>
      <c r="P171" s="640">
        <v>0</v>
      </c>
      <c r="Q171" s="640"/>
      <c r="R171" s="640"/>
      <c r="S171" s="640"/>
      <c r="T171" s="640"/>
      <c r="U171" s="2507"/>
      <c r="V171" s="2442"/>
    </row>
    <row r="172" spans="1:23" ht="26.25" customHeight="1">
      <c r="A172" s="2428" t="s">
        <v>115</v>
      </c>
      <c r="B172" s="2221" t="s">
        <v>419</v>
      </c>
      <c r="C172" s="487" t="s">
        <v>102</v>
      </c>
      <c r="D172" s="529"/>
      <c r="E172" s="634"/>
      <c r="F172" s="529"/>
      <c r="G172" s="634"/>
      <c r="H172" s="634"/>
      <c r="I172" s="641"/>
      <c r="J172" s="641"/>
      <c r="K172" s="641"/>
      <c r="L172" s="641"/>
      <c r="M172" s="614"/>
      <c r="N172" s="614"/>
      <c r="O172" s="614"/>
      <c r="P172" s="614"/>
      <c r="Q172" s="614"/>
      <c r="R172" s="614"/>
      <c r="S172" s="1786"/>
      <c r="T172" s="1786"/>
      <c r="U172" s="615"/>
      <c r="V172" s="594"/>
    </row>
    <row r="173" spans="1:23" ht="13.5" customHeight="1">
      <c r="A173" s="2429"/>
      <c r="B173" s="452" t="s">
        <v>22</v>
      </c>
      <c r="C173" s="428"/>
      <c r="D173" s="533">
        <f>+D174+D177</f>
        <v>21403332</v>
      </c>
      <c r="E173" s="533">
        <f t="shared" ref="E173:O173" si="206">+E174+E177</f>
        <v>41480</v>
      </c>
      <c r="F173" s="533">
        <f t="shared" si="206"/>
        <v>0</v>
      </c>
      <c r="G173" s="533">
        <f t="shared" si="206"/>
        <v>0</v>
      </c>
      <c r="H173" s="533">
        <f t="shared" si="206"/>
        <v>7838</v>
      </c>
      <c r="I173" s="533">
        <f t="shared" si="206"/>
        <v>201799</v>
      </c>
      <c r="J173" s="533">
        <f t="shared" si="206"/>
        <v>5853415</v>
      </c>
      <c r="K173" s="533">
        <f t="shared" si="206"/>
        <v>15106381</v>
      </c>
      <c r="L173" s="533">
        <f t="shared" si="206"/>
        <v>257</v>
      </c>
      <c r="M173" s="533">
        <f t="shared" ref="M173" si="207">+M174+M177</f>
        <v>21203332</v>
      </c>
      <c r="N173" s="533">
        <f t="shared" si="206"/>
        <v>0</v>
      </c>
      <c r="O173" s="533">
        <f t="shared" si="206"/>
        <v>0</v>
      </c>
      <c r="P173" s="533">
        <f>+P174+P177</f>
        <v>200000</v>
      </c>
      <c r="Q173" s="533"/>
      <c r="R173" s="533"/>
      <c r="S173" s="533"/>
      <c r="T173" s="533"/>
      <c r="U173" s="535">
        <f>+U174+U177</f>
        <v>200000</v>
      </c>
      <c r="V173" s="2384" t="s">
        <v>108</v>
      </c>
      <c r="W173" s="1258"/>
    </row>
    <row r="174" spans="1:23" ht="13.5" customHeight="1">
      <c r="A174" s="2429"/>
      <c r="B174" s="584" t="s">
        <v>36</v>
      </c>
      <c r="C174" s="2433" t="s">
        <v>105</v>
      </c>
      <c r="D174" s="642">
        <f>+D175+D176</f>
        <v>8942798</v>
      </c>
      <c r="E174" s="642">
        <f t="shared" ref="E174:P174" si="208">+E175+E176</f>
        <v>0</v>
      </c>
      <c r="F174" s="642">
        <f t="shared" si="208"/>
        <v>0</v>
      </c>
      <c r="G174" s="642">
        <f t="shared" si="208"/>
        <v>0</v>
      </c>
      <c r="H174" s="642">
        <f t="shared" si="208"/>
        <v>0</v>
      </c>
      <c r="I174" s="642">
        <f t="shared" si="208"/>
        <v>0</v>
      </c>
      <c r="J174" s="642">
        <f t="shared" si="208"/>
        <v>2000000</v>
      </c>
      <c r="K174" s="642">
        <f t="shared" si="208"/>
        <v>6742541</v>
      </c>
      <c r="L174" s="642">
        <f t="shared" si="208"/>
        <v>257</v>
      </c>
      <c r="M174" s="642">
        <f t="shared" ref="M174" si="209">+M175+M176</f>
        <v>8742798</v>
      </c>
      <c r="N174" s="642">
        <f t="shared" si="208"/>
        <v>0</v>
      </c>
      <c r="O174" s="642">
        <f t="shared" si="208"/>
        <v>0</v>
      </c>
      <c r="P174" s="642">
        <f t="shared" si="208"/>
        <v>200000</v>
      </c>
      <c r="Q174" s="642"/>
      <c r="R174" s="642"/>
      <c r="S174" s="642"/>
      <c r="T174" s="642"/>
      <c r="U174" s="557">
        <f>+O174+P174+Q174+R174</f>
        <v>200000</v>
      </c>
      <c r="V174" s="2384"/>
      <c r="W174" s="1258"/>
    </row>
    <row r="175" spans="1:23" s="2158" customFormat="1" ht="11.25" customHeight="1">
      <c r="A175" s="2429"/>
      <c r="B175" s="558" t="s">
        <v>24</v>
      </c>
      <c r="C175" s="2434"/>
      <c r="D175" s="503">
        <f t="shared" ref="D175:D176" si="210">SUM(M175:T175)</f>
        <v>1452934</v>
      </c>
      <c r="E175" s="510">
        <v>0</v>
      </c>
      <c r="F175" s="511">
        <v>0</v>
      </c>
      <c r="G175" s="510">
        <v>0</v>
      </c>
      <c r="H175" s="549">
        <v>0</v>
      </c>
      <c r="I175" s="549"/>
      <c r="J175" s="549">
        <v>0</v>
      </c>
      <c r="K175" s="549">
        <f>3145326+93584-1989864+3268+363</f>
        <v>1252677</v>
      </c>
      <c r="L175" s="549">
        <f>300000-100000-150000-49743</f>
        <v>257</v>
      </c>
      <c r="M175" s="504">
        <f t="shared" ref="M175:M176" si="211">+E175+I175+J175+K175+L175</f>
        <v>1252934</v>
      </c>
      <c r="N175" s="588">
        <f>200000+150000-150000-200000</f>
        <v>0</v>
      </c>
      <c r="O175" s="511">
        <f>200000-200000</f>
        <v>0</v>
      </c>
      <c r="P175" s="511">
        <v>200000</v>
      </c>
      <c r="Q175" s="511"/>
      <c r="R175" s="511"/>
      <c r="S175" s="511"/>
      <c r="T175" s="511"/>
      <c r="U175" s="462">
        <f t="shared" ref="U175:U178" si="212">SUM(O175:T175)</f>
        <v>200000</v>
      </c>
      <c r="V175" s="2384"/>
    </row>
    <row r="176" spans="1:23">
      <c r="A176" s="2429"/>
      <c r="B176" s="607" t="s">
        <v>27</v>
      </c>
      <c r="C176" s="2434"/>
      <c r="D176" s="503">
        <f t="shared" si="210"/>
        <v>7489864</v>
      </c>
      <c r="E176" s="510">
        <v>0</v>
      </c>
      <c r="F176" s="511"/>
      <c r="G176" s="510"/>
      <c r="H176" s="549"/>
      <c r="I176" s="549">
        <v>0</v>
      </c>
      <c r="J176" s="549">
        <v>2000000</v>
      </c>
      <c r="K176" s="510">
        <f>3500000+1989864</f>
        <v>5489864</v>
      </c>
      <c r="L176" s="510">
        <v>0</v>
      </c>
      <c r="M176" s="504">
        <f t="shared" si="211"/>
        <v>7489864</v>
      </c>
      <c r="N176" s="511">
        <v>0</v>
      </c>
      <c r="O176" s="511">
        <v>0</v>
      </c>
      <c r="P176" s="511">
        <v>0</v>
      </c>
      <c r="Q176" s="511"/>
      <c r="R176" s="511"/>
      <c r="S176" s="511"/>
      <c r="T176" s="511"/>
      <c r="U176" s="462">
        <f t="shared" si="212"/>
        <v>0</v>
      </c>
      <c r="V176" s="2384"/>
    </row>
    <row r="177" spans="1:23" ht="13.5" customHeight="1">
      <c r="A177" s="2429"/>
      <c r="B177" s="574" t="s">
        <v>30</v>
      </c>
      <c r="C177" s="2434"/>
      <c r="D177" s="513">
        <f>+D178</f>
        <v>12460534</v>
      </c>
      <c r="E177" s="514">
        <f t="shared" ref="E177:K177" si="213">+E178</f>
        <v>41480</v>
      </c>
      <c r="F177" s="513">
        <f t="shared" si="213"/>
        <v>0</v>
      </c>
      <c r="G177" s="514">
        <f t="shared" si="213"/>
        <v>0</v>
      </c>
      <c r="H177" s="514">
        <f t="shared" si="213"/>
        <v>7838</v>
      </c>
      <c r="I177" s="514">
        <f t="shared" si="213"/>
        <v>201799</v>
      </c>
      <c r="J177" s="514">
        <f t="shared" si="213"/>
        <v>3853415</v>
      </c>
      <c r="K177" s="514">
        <f t="shared" si="213"/>
        <v>8363840</v>
      </c>
      <c r="L177" s="514">
        <f>+L178</f>
        <v>0</v>
      </c>
      <c r="M177" s="514">
        <f>+M178</f>
        <v>12460534</v>
      </c>
      <c r="N177" s="514">
        <f>+N178</f>
        <v>0</v>
      </c>
      <c r="O177" s="514">
        <f>+O178</f>
        <v>0</v>
      </c>
      <c r="P177" s="514">
        <f>+P178</f>
        <v>0</v>
      </c>
      <c r="Q177" s="514"/>
      <c r="R177" s="514"/>
      <c r="S177" s="513"/>
      <c r="T177" s="513"/>
      <c r="U177" s="557">
        <f>+U178</f>
        <v>0</v>
      </c>
      <c r="V177" s="2384"/>
    </row>
    <row r="178" spans="1:23" ht="11.25" customHeight="1">
      <c r="A178" s="2429"/>
      <c r="B178" s="558" t="s">
        <v>33</v>
      </c>
      <c r="C178" s="2483"/>
      <c r="D178" s="1792">
        <f t="shared" ref="D178" si="214">SUM(M178:T178)</f>
        <v>12460534</v>
      </c>
      <c r="E178" s="510">
        <f>6538+34942</f>
        <v>41480</v>
      </c>
      <c r="F178" s="511">
        <v>0</v>
      </c>
      <c r="G178" s="510">
        <v>0</v>
      </c>
      <c r="H178" s="549">
        <v>7838</v>
      </c>
      <c r="I178" s="549">
        <f>31810+169989</f>
        <v>201799</v>
      </c>
      <c r="J178" s="549">
        <v>3853415</v>
      </c>
      <c r="K178" s="510">
        <f>8461055-93584-3268-363</f>
        <v>8363840</v>
      </c>
      <c r="L178" s="510">
        <v>0</v>
      </c>
      <c r="M178" s="504">
        <f t="shared" ref="M178" si="215">+E178+I178+J178+K178+L178</f>
        <v>12460534</v>
      </c>
      <c r="N178" s="511">
        <v>0</v>
      </c>
      <c r="O178" s="511">
        <v>0</v>
      </c>
      <c r="P178" s="511">
        <v>0</v>
      </c>
      <c r="Q178" s="511"/>
      <c r="R178" s="511"/>
      <c r="S178" s="511"/>
      <c r="T178" s="511"/>
      <c r="U178" s="462">
        <f t="shared" si="212"/>
        <v>0</v>
      </c>
      <c r="V178" s="2432"/>
    </row>
    <row r="179" spans="1:23" s="1313" customFormat="1" ht="13.5" customHeight="1">
      <c r="A179" s="2430"/>
      <c r="B179" s="573" t="s">
        <v>34</v>
      </c>
      <c r="C179" s="603"/>
      <c r="D179" s="643">
        <f>+D180+D182</f>
        <v>19950398</v>
      </c>
      <c r="E179" s="643">
        <f t="shared" ref="E179:P179" si="216">+E180+E182</f>
        <v>0</v>
      </c>
      <c r="F179" s="643">
        <f t="shared" si="216"/>
        <v>0</v>
      </c>
      <c r="G179" s="643">
        <f t="shared" si="216"/>
        <v>0</v>
      </c>
      <c r="H179" s="643">
        <f t="shared" si="216"/>
        <v>0</v>
      </c>
      <c r="I179" s="643">
        <f t="shared" si="216"/>
        <v>0</v>
      </c>
      <c r="J179" s="643">
        <f t="shared" si="216"/>
        <v>2000000</v>
      </c>
      <c r="K179" s="643">
        <f t="shared" si="216"/>
        <v>15067686</v>
      </c>
      <c r="L179" s="643">
        <f t="shared" si="216"/>
        <v>2882712</v>
      </c>
      <c r="M179" s="643">
        <f t="shared" ref="M179" si="217">+M180+M182</f>
        <v>19950398</v>
      </c>
      <c r="N179" s="643">
        <f t="shared" si="216"/>
        <v>0</v>
      </c>
      <c r="O179" s="643">
        <f t="shared" si="216"/>
        <v>0</v>
      </c>
      <c r="P179" s="643">
        <f t="shared" si="216"/>
        <v>0</v>
      </c>
      <c r="Q179" s="643"/>
      <c r="R179" s="643"/>
      <c r="S179" s="643"/>
      <c r="T179" s="643"/>
      <c r="U179" s="2502" t="s">
        <v>35</v>
      </c>
      <c r="V179" s="2440" t="s">
        <v>129</v>
      </c>
    </row>
    <row r="180" spans="1:23" ht="13.5" customHeight="1">
      <c r="A180" s="2430"/>
      <c r="B180" s="498" t="s">
        <v>36</v>
      </c>
      <c r="C180" s="2433" t="s">
        <v>106</v>
      </c>
      <c r="D180" s="519">
        <f>+D181</f>
        <v>7489864</v>
      </c>
      <c r="E180" s="519">
        <f t="shared" ref="E180:P180" si="218">+E181</f>
        <v>0</v>
      </c>
      <c r="F180" s="519">
        <f t="shared" si="218"/>
        <v>0</v>
      </c>
      <c r="G180" s="519">
        <f t="shared" si="218"/>
        <v>0</v>
      </c>
      <c r="H180" s="519">
        <f t="shared" si="218"/>
        <v>0</v>
      </c>
      <c r="I180" s="519">
        <f t="shared" si="218"/>
        <v>0</v>
      </c>
      <c r="J180" s="519">
        <f t="shared" si="218"/>
        <v>2000000</v>
      </c>
      <c r="K180" s="519">
        <f t="shared" si="218"/>
        <v>3500000</v>
      </c>
      <c r="L180" s="519">
        <f t="shared" si="218"/>
        <v>1989864</v>
      </c>
      <c r="M180" s="519">
        <f t="shared" si="218"/>
        <v>7489864</v>
      </c>
      <c r="N180" s="519">
        <f t="shared" si="218"/>
        <v>0</v>
      </c>
      <c r="O180" s="519">
        <f t="shared" si="218"/>
        <v>0</v>
      </c>
      <c r="P180" s="519">
        <f t="shared" si="218"/>
        <v>0</v>
      </c>
      <c r="Q180" s="519"/>
      <c r="R180" s="519"/>
      <c r="S180" s="519"/>
      <c r="T180" s="519"/>
      <c r="U180" s="2503"/>
      <c r="V180" s="2441"/>
    </row>
    <row r="181" spans="1:23" ht="13.5" customHeight="1">
      <c r="A181" s="2430"/>
      <c r="B181" s="607" t="s">
        <v>27</v>
      </c>
      <c r="C181" s="2434"/>
      <c r="D181" s="503">
        <f t="shared" ref="D181" si="219">SUM(M181:T181)</f>
        <v>7489864</v>
      </c>
      <c r="E181" s="521">
        <f>+F181+G181+H181</f>
        <v>0</v>
      </c>
      <c r="F181" s="521">
        <v>0</v>
      </c>
      <c r="G181" s="521">
        <v>0</v>
      </c>
      <c r="H181" s="521">
        <v>0</v>
      </c>
      <c r="I181" s="521">
        <v>0</v>
      </c>
      <c r="J181" s="521">
        <v>2000000</v>
      </c>
      <c r="K181" s="521">
        <v>3500000</v>
      </c>
      <c r="L181" s="521">
        <f>800000+1189864</f>
        <v>1989864</v>
      </c>
      <c r="M181" s="504">
        <f t="shared" ref="M181" si="220">+E181+I181+J181+K181+L181</f>
        <v>7489864</v>
      </c>
      <c r="N181" s="521">
        <v>0</v>
      </c>
      <c r="O181" s="521">
        <v>0</v>
      </c>
      <c r="P181" s="521">
        <v>0</v>
      </c>
      <c r="Q181" s="521"/>
      <c r="R181" s="521"/>
      <c r="S181" s="521"/>
      <c r="T181" s="521"/>
      <c r="U181" s="2503"/>
      <c r="V181" s="2441"/>
    </row>
    <row r="182" spans="1:23" s="1906" customFormat="1" ht="12.75" customHeight="1">
      <c r="A182" s="2430"/>
      <c r="B182" s="574" t="s">
        <v>30</v>
      </c>
      <c r="C182" s="2434"/>
      <c r="D182" s="567">
        <f t="shared" ref="D182:P182" si="221">+D183</f>
        <v>12460534</v>
      </c>
      <c r="E182" s="575">
        <f t="shared" si="221"/>
        <v>0</v>
      </c>
      <c r="F182" s="575">
        <f t="shared" si="221"/>
        <v>0</v>
      </c>
      <c r="G182" s="575">
        <f t="shared" si="221"/>
        <v>0</v>
      </c>
      <c r="H182" s="575">
        <f t="shared" si="221"/>
        <v>0</v>
      </c>
      <c r="I182" s="575">
        <f t="shared" si="221"/>
        <v>0</v>
      </c>
      <c r="J182" s="575">
        <f t="shared" si="221"/>
        <v>0</v>
      </c>
      <c r="K182" s="575">
        <f t="shared" si="221"/>
        <v>11567686</v>
      </c>
      <c r="L182" s="575">
        <f t="shared" si="221"/>
        <v>892848</v>
      </c>
      <c r="M182" s="575">
        <f t="shared" si="221"/>
        <v>12460534</v>
      </c>
      <c r="N182" s="575">
        <f t="shared" si="221"/>
        <v>0</v>
      </c>
      <c r="O182" s="575">
        <f t="shared" si="221"/>
        <v>0</v>
      </c>
      <c r="P182" s="575">
        <f t="shared" si="221"/>
        <v>0</v>
      </c>
      <c r="Q182" s="575"/>
      <c r="R182" s="575"/>
      <c r="S182" s="575"/>
      <c r="T182" s="575"/>
      <c r="U182" s="2503"/>
      <c r="V182" s="2441"/>
    </row>
    <row r="183" spans="1:23" s="1904" customFormat="1" ht="12.75" customHeight="1" thickBot="1">
      <c r="A183" s="2431"/>
      <c r="B183" s="568" t="s">
        <v>33</v>
      </c>
      <c r="C183" s="2443"/>
      <c r="D183" s="503">
        <f>SUM(M183:T183)</f>
        <v>12460534</v>
      </c>
      <c r="E183" s="546">
        <f>+F183+G183+H183</f>
        <v>0</v>
      </c>
      <c r="F183" s="625">
        <v>0</v>
      </c>
      <c r="G183" s="626">
        <v>0</v>
      </c>
      <c r="H183" s="627">
        <v>0</v>
      </c>
      <c r="I183" s="627">
        <v>0</v>
      </c>
      <c r="J183" s="627">
        <f>1283619-1283619</f>
        <v>0</v>
      </c>
      <c r="K183" s="627">
        <v>11567686</v>
      </c>
      <c r="L183" s="627">
        <f>990063-93584-3268-363</f>
        <v>892848</v>
      </c>
      <c r="M183" s="524">
        <f>L183+E183+I183+J183+K183</f>
        <v>12460534</v>
      </c>
      <c r="N183" s="571">
        <v>0</v>
      </c>
      <c r="O183" s="571">
        <v>0</v>
      </c>
      <c r="P183" s="571">
        <v>0</v>
      </c>
      <c r="Q183" s="571"/>
      <c r="R183" s="571"/>
      <c r="S183" s="571"/>
      <c r="T183" s="571"/>
      <c r="U183" s="2504"/>
      <c r="V183" s="2442"/>
    </row>
    <row r="184" spans="1:23" ht="27" customHeight="1">
      <c r="A184" s="2428" t="s">
        <v>116</v>
      </c>
      <c r="B184" s="486" t="s">
        <v>420</v>
      </c>
      <c r="C184" s="487" t="s">
        <v>102</v>
      </c>
      <c r="D184" s="644"/>
      <c r="E184" s="612"/>
      <c r="F184" s="613"/>
      <c r="G184" s="612"/>
      <c r="H184" s="612"/>
      <c r="I184" s="612"/>
      <c r="J184" s="612"/>
      <c r="K184" s="612"/>
      <c r="L184" s="612"/>
      <c r="M184" s="614"/>
      <c r="N184" s="614"/>
      <c r="O184" s="614"/>
      <c r="P184" s="614"/>
      <c r="Q184" s="614"/>
      <c r="R184" s="614"/>
      <c r="S184" s="614"/>
      <c r="T184" s="614"/>
      <c r="U184" s="583"/>
      <c r="V184" s="594"/>
      <c r="W184" s="1258"/>
    </row>
    <row r="185" spans="1:23" ht="13.5" customHeight="1">
      <c r="A185" s="2429"/>
      <c r="B185" s="554" t="s">
        <v>22</v>
      </c>
      <c r="C185" s="428"/>
      <c r="D185" s="533">
        <f>+D186+D188</f>
        <v>28016158</v>
      </c>
      <c r="E185" s="533">
        <f t="shared" ref="E185:O185" si="222">+E186+E188</f>
        <v>17047</v>
      </c>
      <c r="F185" s="533">
        <f t="shared" si="222"/>
        <v>0</v>
      </c>
      <c r="G185" s="533">
        <f t="shared" si="222"/>
        <v>17047</v>
      </c>
      <c r="H185" s="533">
        <f t="shared" si="222"/>
        <v>0</v>
      </c>
      <c r="I185" s="533">
        <f t="shared" si="222"/>
        <v>365000</v>
      </c>
      <c r="J185" s="533">
        <f t="shared" si="222"/>
        <v>262261</v>
      </c>
      <c r="K185" s="533">
        <f t="shared" si="222"/>
        <v>7988162</v>
      </c>
      <c r="L185" s="533">
        <f t="shared" si="222"/>
        <v>11833174</v>
      </c>
      <c r="M185" s="533">
        <f t="shared" ref="M185" si="223">+M186+M188</f>
        <v>20465644</v>
      </c>
      <c r="N185" s="533">
        <f t="shared" si="222"/>
        <v>7467965</v>
      </c>
      <c r="O185" s="533">
        <f t="shared" si="222"/>
        <v>82549</v>
      </c>
      <c r="P185" s="533">
        <f>+P186+P188</f>
        <v>0</v>
      </c>
      <c r="Q185" s="533"/>
      <c r="R185" s="533"/>
      <c r="S185" s="533"/>
      <c r="T185" s="533"/>
      <c r="U185" s="535">
        <f>+U186+U188</f>
        <v>82549</v>
      </c>
      <c r="V185" s="2384" t="s">
        <v>108</v>
      </c>
      <c r="W185" s="1258"/>
    </row>
    <row r="186" spans="1:23" ht="13.5" customHeight="1">
      <c r="A186" s="2429"/>
      <c r="B186" s="555" t="s">
        <v>36</v>
      </c>
      <c r="C186" s="2433" t="s">
        <v>105</v>
      </c>
      <c r="D186" s="536">
        <f>+D187</f>
        <v>1876627</v>
      </c>
      <c r="E186" s="536">
        <f t="shared" ref="E186:P186" si="224">+E187</f>
        <v>0</v>
      </c>
      <c r="F186" s="536">
        <f t="shared" si="224"/>
        <v>0</v>
      </c>
      <c r="G186" s="536">
        <f t="shared" si="224"/>
        <v>16536</v>
      </c>
      <c r="H186" s="536">
        <f t="shared" si="224"/>
        <v>0</v>
      </c>
      <c r="I186" s="536">
        <f t="shared" si="224"/>
        <v>0</v>
      </c>
      <c r="J186" s="536">
        <f t="shared" si="224"/>
        <v>58161</v>
      </c>
      <c r="K186" s="536">
        <f t="shared" si="224"/>
        <v>21209</v>
      </c>
      <c r="L186" s="536">
        <f t="shared" si="224"/>
        <v>1092705</v>
      </c>
      <c r="M186" s="536">
        <f t="shared" si="224"/>
        <v>1172075</v>
      </c>
      <c r="N186" s="536">
        <f t="shared" si="224"/>
        <v>622003</v>
      </c>
      <c r="O186" s="536">
        <f t="shared" si="224"/>
        <v>82549</v>
      </c>
      <c r="P186" s="536">
        <f t="shared" si="224"/>
        <v>0</v>
      </c>
      <c r="Q186" s="536"/>
      <c r="R186" s="536"/>
      <c r="S186" s="536"/>
      <c r="T186" s="536"/>
      <c r="U186" s="537">
        <f>+U187</f>
        <v>82549</v>
      </c>
      <c r="V186" s="2384"/>
    </row>
    <row r="187" spans="1:23" s="2158" customFormat="1" ht="12.75" customHeight="1">
      <c r="A187" s="2429"/>
      <c r="B187" s="539" t="s">
        <v>24</v>
      </c>
      <c r="C187" s="2435"/>
      <c r="D187" s="503">
        <f t="shared" ref="D187" si="225">SUM(M187:T187)</f>
        <v>1876627</v>
      </c>
      <c r="E187" s="510">
        <v>0</v>
      </c>
      <c r="F187" s="511">
        <v>0</v>
      </c>
      <c r="G187" s="549">
        <v>16536</v>
      </c>
      <c r="H187" s="549">
        <v>0</v>
      </c>
      <c r="I187" s="549">
        <v>0</v>
      </c>
      <c r="J187" s="549">
        <v>58161</v>
      </c>
      <c r="K187" s="549">
        <f>197+21012</f>
        <v>21209</v>
      </c>
      <c r="L187" s="549">
        <f>3399803+400000+834804+1189864-4317794-460271+32960+13339</f>
        <v>1092705</v>
      </c>
      <c r="M187" s="504">
        <f t="shared" ref="M187" si="226">+E187+I187+J187+K187+L187</f>
        <v>1172075</v>
      </c>
      <c r="N187" s="549">
        <f>1123290+2958425-139639-2739729-332960-144487-102897</f>
        <v>622003</v>
      </c>
      <c r="O187" s="510">
        <f>125000-42451</f>
        <v>82549</v>
      </c>
      <c r="P187" s="511">
        <v>0</v>
      </c>
      <c r="Q187" s="511"/>
      <c r="R187" s="511"/>
      <c r="S187" s="511"/>
      <c r="T187" s="511"/>
      <c r="U187" s="462">
        <f t="shared" ref="U187" si="227">SUM(O187:T187)</f>
        <v>82549</v>
      </c>
      <c r="V187" s="2384"/>
    </row>
    <row r="188" spans="1:23" ht="12.75" customHeight="1">
      <c r="A188" s="2429"/>
      <c r="B188" s="560" t="s">
        <v>30</v>
      </c>
      <c r="C188" s="2435"/>
      <c r="D188" s="513">
        <f>+D189</f>
        <v>26139531</v>
      </c>
      <c r="E188" s="513">
        <f t="shared" ref="E188:P188" si="228">+E189</f>
        <v>17047</v>
      </c>
      <c r="F188" s="513">
        <f t="shared" si="228"/>
        <v>0</v>
      </c>
      <c r="G188" s="513">
        <f t="shared" si="228"/>
        <v>511</v>
      </c>
      <c r="H188" s="513">
        <f t="shared" si="228"/>
        <v>0</v>
      </c>
      <c r="I188" s="513">
        <f t="shared" si="228"/>
        <v>365000</v>
      </c>
      <c r="J188" s="513">
        <f t="shared" si="228"/>
        <v>204100</v>
      </c>
      <c r="K188" s="513">
        <f t="shared" si="228"/>
        <v>7966953</v>
      </c>
      <c r="L188" s="513">
        <f t="shared" si="228"/>
        <v>10740469</v>
      </c>
      <c r="M188" s="513">
        <f t="shared" si="228"/>
        <v>19293569</v>
      </c>
      <c r="N188" s="513">
        <f t="shared" si="228"/>
        <v>6845962</v>
      </c>
      <c r="O188" s="513">
        <f t="shared" si="228"/>
        <v>0</v>
      </c>
      <c r="P188" s="513">
        <f t="shared" si="228"/>
        <v>0</v>
      </c>
      <c r="Q188" s="513"/>
      <c r="R188" s="513"/>
      <c r="S188" s="513"/>
      <c r="T188" s="513"/>
      <c r="U188" s="537">
        <f>+U189</f>
        <v>0</v>
      </c>
      <c r="V188" s="2384"/>
    </row>
    <row r="189" spans="1:23" ht="12" customHeight="1">
      <c r="A189" s="2429"/>
      <c r="B189" s="558" t="s">
        <v>33</v>
      </c>
      <c r="C189" s="2436"/>
      <c r="D189" s="503">
        <f t="shared" ref="D189" si="229">SUM(M189:T189)</f>
        <v>26139531</v>
      </c>
      <c r="E189" s="510">
        <f>+F189+G189+H189+16536</f>
        <v>17047</v>
      </c>
      <c r="F189" s="511">
        <v>0</v>
      </c>
      <c r="G189" s="549">
        <v>511</v>
      </c>
      <c r="H189" s="549">
        <v>0</v>
      </c>
      <c r="I189" s="549">
        <f>10950+354050</f>
        <v>365000</v>
      </c>
      <c r="J189" s="549">
        <f>262261-58161</f>
        <v>204100</v>
      </c>
      <c r="K189" s="549">
        <f>7987965-21012</f>
        <v>7966953</v>
      </c>
      <c r="L189" s="510">
        <f>11767727+1000000-2178767-95637+293445-32960-13339</f>
        <v>10740469</v>
      </c>
      <c r="M189" s="504">
        <f t="shared" ref="M189" si="230">+E189+I189+J189+K189+L189</f>
        <v>19293569</v>
      </c>
      <c r="N189" s="510">
        <f>5500000+1511039+235276-293445+32960-122228-17640</f>
        <v>6845962</v>
      </c>
      <c r="O189" s="510">
        <v>0</v>
      </c>
      <c r="P189" s="511">
        <v>0</v>
      </c>
      <c r="Q189" s="511"/>
      <c r="R189" s="511"/>
      <c r="S189" s="511"/>
      <c r="T189" s="511"/>
      <c r="U189" s="462">
        <f t="shared" ref="U189" si="231">SUM(O189:T189)</f>
        <v>0</v>
      </c>
      <c r="V189" s="2432"/>
    </row>
    <row r="190" spans="1:23" s="1904" customFormat="1" ht="12.75" customHeight="1">
      <c r="A190" s="2430"/>
      <c r="B190" s="561" t="s">
        <v>34</v>
      </c>
      <c r="C190" s="428"/>
      <c r="D190" s="518">
        <f>+D193+D191</f>
        <v>26981012</v>
      </c>
      <c r="E190" s="518">
        <f t="shared" ref="E190:P190" si="232">+E193+E191</f>
        <v>0</v>
      </c>
      <c r="F190" s="518">
        <f t="shared" si="232"/>
        <v>0</v>
      </c>
      <c r="G190" s="518">
        <f t="shared" si="232"/>
        <v>0</v>
      </c>
      <c r="H190" s="518">
        <f t="shared" si="232"/>
        <v>0</v>
      </c>
      <c r="I190" s="518">
        <f t="shared" si="232"/>
        <v>0</v>
      </c>
      <c r="J190" s="518">
        <f t="shared" si="232"/>
        <v>0</v>
      </c>
      <c r="K190" s="518">
        <f t="shared" si="232"/>
        <v>0</v>
      </c>
      <c r="L190" s="518">
        <f t="shared" si="232"/>
        <v>18716756</v>
      </c>
      <c r="M190" s="518">
        <f t="shared" ref="M190" si="233">+M193+M191</f>
        <v>18716756</v>
      </c>
      <c r="N190" s="518">
        <f t="shared" si="232"/>
        <v>7176068</v>
      </c>
      <c r="O190" s="518">
        <f t="shared" si="232"/>
        <v>1088188</v>
      </c>
      <c r="P190" s="518">
        <f t="shared" si="232"/>
        <v>0</v>
      </c>
      <c r="Q190" s="518"/>
      <c r="R190" s="518"/>
      <c r="S190" s="518"/>
      <c r="T190" s="518"/>
      <c r="U190" s="2502" t="s">
        <v>35</v>
      </c>
      <c r="V190" s="2440" t="s">
        <v>129</v>
      </c>
    </row>
    <row r="191" spans="1:23" ht="13.5" customHeight="1">
      <c r="A191" s="2430"/>
      <c r="B191" s="555" t="s">
        <v>36</v>
      </c>
      <c r="C191" s="2508" t="s">
        <v>105</v>
      </c>
      <c r="D191" s="519">
        <f>+D192</f>
        <v>841481</v>
      </c>
      <c r="E191" s="519">
        <f t="shared" ref="E191:P191" si="234">+E192</f>
        <v>0</v>
      </c>
      <c r="F191" s="519">
        <f t="shared" si="234"/>
        <v>0</v>
      </c>
      <c r="G191" s="519">
        <f t="shared" si="234"/>
        <v>0</v>
      </c>
      <c r="H191" s="519">
        <f t="shared" si="234"/>
        <v>0</v>
      </c>
      <c r="I191" s="519">
        <f t="shared" si="234"/>
        <v>0</v>
      </c>
      <c r="J191" s="519">
        <f t="shared" si="234"/>
        <v>0</v>
      </c>
      <c r="K191" s="519">
        <f t="shared" si="234"/>
        <v>0</v>
      </c>
      <c r="L191" s="519">
        <f t="shared" si="234"/>
        <v>841481</v>
      </c>
      <c r="M191" s="519">
        <f t="shared" si="234"/>
        <v>841481</v>
      </c>
      <c r="N191" s="519">
        <f t="shared" si="234"/>
        <v>0</v>
      </c>
      <c r="O191" s="519">
        <f t="shared" si="234"/>
        <v>0</v>
      </c>
      <c r="P191" s="519">
        <f t="shared" si="234"/>
        <v>0</v>
      </c>
      <c r="Q191" s="519"/>
      <c r="R191" s="519"/>
      <c r="S191" s="519"/>
      <c r="T191" s="519"/>
      <c r="U191" s="2503"/>
      <c r="V191" s="2441"/>
    </row>
    <row r="192" spans="1:23" ht="13.5" customHeight="1">
      <c r="A192" s="2430"/>
      <c r="B192" s="607" t="s">
        <v>38</v>
      </c>
      <c r="C192" s="2509"/>
      <c r="D192" s="503">
        <f t="shared" ref="D192" si="235">SUM(M192:T192)</f>
        <v>841481</v>
      </c>
      <c r="E192" s="521">
        <f>+F192+G192+H192</f>
        <v>0</v>
      </c>
      <c r="F192" s="521">
        <v>0</v>
      </c>
      <c r="G192" s="521">
        <v>0</v>
      </c>
      <c r="H192" s="521">
        <v>0</v>
      </c>
      <c r="I192" s="521">
        <v>0</v>
      </c>
      <c r="J192" s="521"/>
      <c r="K192" s="521"/>
      <c r="L192" s="521">
        <f>834804+6677</f>
        <v>841481</v>
      </c>
      <c r="M192" s="504">
        <f t="shared" ref="M192" si="236">+E192+I192+J192+K192+L192</f>
        <v>841481</v>
      </c>
      <c r="N192" s="521">
        <v>0</v>
      </c>
      <c r="O192" s="521">
        <v>0</v>
      </c>
      <c r="P192" s="521">
        <v>0</v>
      </c>
      <c r="Q192" s="521"/>
      <c r="R192" s="521"/>
      <c r="S192" s="521"/>
      <c r="T192" s="521"/>
      <c r="U192" s="2503"/>
      <c r="V192" s="2441"/>
    </row>
    <row r="193" spans="1:26" s="1906" customFormat="1" ht="12.75" customHeight="1">
      <c r="A193" s="2430"/>
      <c r="B193" s="560" t="s">
        <v>30</v>
      </c>
      <c r="C193" s="2433" t="s">
        <v>106</v>
      </c>
      <c r="D193" s="567">
        <f>+D194</f>
        <v>26139531</v>
      </c>
      <c r="E193" s="567">
        <f t="shared" ref="E193:P193" si="237">+E194</f>
        <v>0</v>
      </c>
      <c r="F193" s="567">
        <f t="shared" si="237"/>
        <v>0</v>
      </c>
      <c r="G193" s="567">
        <f t="shared" si="237"/>
        <v>0</v>
      </c>
      <c r="H193" s="567">
        <f t="shared" si="237"/>
        <v>0</v>
      </c>
      <c r="I193" s="567">
        <f t="shared" si="237"/>
        <v>0</v>
      </c>
      <c r="J193" s="567">
        <f t="shared" si="237"/>
        <v>0</v>
      </c>
      <c r="K193" s="567">
        <f t="shared" si="237"/>
        <v>0</v>
      </c>
      <c r="L193" s="567">
        <f t="shared" si="237"/>
        <v>17875275</v>
      </c>
      <c r="M193" s="567">
        <f t="shared" si="237"/>
        <v>17875275</v>
      </c>
      <c r="N193" s="567">
        <f t="shared" si="237"/>
        <v>7176068</v>
      </c>
      <c r="O193" s="567">
        <f t="shared" si="237"/>
        <v>1088188</v>
      </c>
      <c r="P193" s="567">
        <f t="shared" si="237"/>
        <v>0</v>
      </c>
      <c r="Q193" s="567"/>
      <c r="R193" s="567"/>
      <c r="S193" s="567"/>
      <c r="T193" s="567"/>
      <c r="U193" s="2503"/>
      <c r="V193" s="2441"/>
    </row>
    <row r="194" spans="1:26" s="1904" customFormat="1" ht="12.75" customHeight="1" thickBot="1">
      <c r="A194" s="2431"/>
      <c r="B194" s="568" t="s">
        <v>33</v>
      </c>
      <c r="C194" s="2491"/>
      <c r="D194" s="1793">
        <f>SUM(M194:T194)</f>
        <v>26139531</v>
      </c>
      <c r="E194" s="546">
        <f>+F194+G194+H194</f>
        <v>0</v>
      </c>
      <c r="F194" s="625">
        <v>0</v>
      </c>
      <c r="G194" s="626">
        <v>0</v>
      </c>
      <c r="H194" s="627">
        <v>0</v>
      </c>
      <c r="I194" s="627">
        <v>0</v>
      </c>
      <c r="J194" s="626">
        <f>41461-41461</f>
        <v>0</v>
      </c>
      <c r="K194" s="626">
        <v>0</v>
      </c>
      <c r="L194" s="627">
        <f>19300000-1300000-124725</f>
        <v>17875275</v>
      </c>
      <c r="M194" s="524">
        <f>L194+E194+I194+J194+K194</f>
        <v>17875275</v>
      </c>
      <c r="N194" s="627">
        <f>1100000+6500000+553099+264364-1228054-13341</f>
        <v>7176068</v>
      </c>
      <c r="O194" s="626">
        <f>1228054-108887-30979</f>
        <v>1088188</v>
      </c>
      <c r="P194" s="571">
        <v>0</v>
      </c>
      <c r="Q194" s="571"/>
      <c r="R194" s="571"/>
      <c r="S194" s="571"/>
      <c r="T194" s="571"/>
      <c r="U194" s="2504"/>
      <c r="V194" s="2442"/>
    </row>
    <row r="195" spans="1:26" ht="28.5" customHeight="1">
      <c r="A195" s="2428" t="s">
        <v>117</v>
      </c>
      <c r="B195" s="2222" t="s">
        <v>421</v>
      </c>
      <c r="C195" s="487" t="s">
        <v>102</v>
      </c>
      <c r="D195" s="578"/>
      <c r="E195" s="2223"/>
      <c r="F195" s="579"/>
      <c r="G195" s="580"/>
      <c r="H195" s="580"/>
      <c r="I195" s="581"/>
      <c r="J195" s="581"/>
      <c r="K195" s="581"/>
      <c r="L195" s="581"/>
      <c r="M195" s="582"/>
      <c r="N195" s="582"/>
      <c r="O195" s="582"/>
      <c r="P195" s="582"/>
      <c r="Q195" s="582"/>
      <c r="R195" s="582"/>
      <c r="S195" s="582"/>
      <c r="T195" s="582"/>
      <c r="U195" s="583"/>
      <c r="V195" s="594"/>
      <c r="Z195" s="1907"/>
    </row>
    <row r="196" spans="1:26" ht="11.25" customHeight="1">
      <c r="A196" s="2429"/>
      <c r="B196" s="554" t="s">
        <v>22</v>
      </c>
      <c r="C196" s="428"/>
      <c r="D196" s="533">
        <f>+D197+D199</f>
        <v>12444833</v>
      </c>
      <c r="E196" s="533">
        <f t="shared" ref="E196:P196" si="238">+E197+E199</f>
        <v>10549</v>
      </c>
      <c r="F196" s="533">
        <f t="shared" si="238"/>
        <v>0</v>
      </c>
      <c r="G196" s="533">
        <f t="shared" si="238"/>
        <v>0</v>
      </c>
      <c r="H196" s="533">
        <f t="shared" si="238"/>
        <v>0</v>
      </c>
      <c r="I196" s="533">
        <f t="shared" si="238"/>
        <v>18660</v>
      </c>
      <c r="J196" s="533">
        <f t="shared" si="238"/>
        <v>114255</v>
      </c>
      <c r="K196" s="533">
        <f t="shared" si="238"/>
        <v>166758</v>
      </c>
      <c r="L196" s="533">
        <f t="shared" si="238"/>
        <v>9811984</v>
      </c>
      <c r="M196" s="533">
        <f t="shared" ref="M196" si="239">+M197+M199</f>
        <v>10122206</v>
      </c>
      <c r="N196" s="533">
        <f t="shared" si="238"/>
        <v>2281547</v>
      </c>
      <c r="O196" s="533">
        <f t="shared" si="238"/>
        <v>41080</v>
      </c>
      <c r="P196" s="533">
        <f t="shared" si="238"/>
        <v>0</v>
      </c>
      <c r="Q196" s="533"/>
      <c r="R196" s="533"/>
      <c r="S196" s="533"/>
      <c r="T196" s="533"/>
      <c r="U196" s="535">
        <f>+U197+U199</f>
        <v>41080</v>
      </c>
      <c r="V196" s="2384" t="s">
        <v>108</v>
      </c>
      <c r="W196" s="1258"/>
      <c r="X196" s="1258"/>
      <c r="Y196" s="1258"/>
      <c r="Z196" s="1258"/>
    </row>
    <row r="197" spans="1:26" ht="13.5" customHeight="1">
      <c r="A197" s="2429"/>
      <c r="B197" s="555" t="s">
        <v>36</v>
      </c>
      <c r="C197" s="2433" t="s">
        <v>105</v>
      </c>
      <c r="D197" s="536">
        <f>+D198</f>
        <v>1575980</v>
      </c>
      <c r="E197" s="536">
        <f t="shared" ref="E197:P197" si="240">+E198</f>
        <v>10549</v>
      </c>
      <c r="F197" s="536">
        <f t="shared" si="240"/>
        <v>0</v>
      </c>
      <c r="G197" s="536">
        <f t="shared" si="240"/>
        <v>0</v>
      </c>
      <c r="H197" s="536">
        <f t="shared" si="240"/>
        <v>0</v>
      </c>
      <c r="I197" s="536">
        <f t="shared" si="240"/>
        <v>0</v>
      </c>
      <c r="J197" s="536">
        <f t="shared" si="240"/>
        <v>2295</v>
      </c>
      <c r="K197" s="536">
        <f t="shared" si="240"/>
        <v>0</v>
      </c>
      <c r="L197" s="536">
        <f t="shared" si="240"/>
        <v>539085</v>
      </c>
      <c r="M197" s="536">
        <f t="shared" si="240"/>
        <v>551929</v>
      </c>
      <c r="N197" s="536">
        <f t="shared" si="240"/>
        <v>982971</v>
      </c>
      <c r="O197" s="536">
        <f t="shared" si="240"/>
        <v>41080</v>
      </c>
      <c r="P197" s="536">
        <f t="shared" si="240"/>
        <v>0</v>
      </c>
      <c r="Q197" s="536"/>
      <c r="R197" s="536"/>
      <c r="S197" s="536"/>
      <c r="T197" s="536"/>
      <c r="U197" s="557">
        <f>+U198</f>
        <v>41080</v>
      </c>
      <c r="V197" s="2384"/>
      <c r="W197" s="1258"/>
    </row>
    <row r="198" spans="1:26" ht="12" customHeight="1">
      <c r="A198" s="2429"/>
      <c r="B198" s="539" t="s">
        <v>24</v>
      </c>
      <c r="C198" s="2434"/>
      <c r="D198" s="503">
        <f t="shared" ref="D198" si="241">SUM(M198:T198)</f>
        <v>1575980</v>
      </c>
      <c r="E198" s="2224">
        <v>10549</v>
      </c>
      <c r="F198" s="510"/>
      <c r="G198" s="510">
        <v>0</v>
      </c>
      <c r="H198" s="549">
        <v>0</v>
      </c>
      <c r="I198" s="549">
        <v>0</v>
      </c>
      <c r="J198" s="549">
        <v>2295</v>
      </c>
      <c r="K198" s="549">
        <f>43675-43675</f>
        <v>0</v>
      </c>
      <c r="L198" s="510">
        <v>539085</v>
      </c>
      <c r="M198" s="504">
        <f t="shared" ref="M198" si="242">+E198+I198+J198+K198+L198</f>
        <v>551929</v>
      </c>
      <c r="N198" s="549">
        <f>1046821-447215-41080+424445</f>
        <v>982971</v>
      </c>
      <c r="O198" s="549">
        <v>41080</v>
      </c>
      <c r="P198" s="511">
        <v>0</v>
      </c>
      <c r="Q198" s="511"/>
      <c r="R198" s="511"/>
      <c r="S198" s="511"/>
      <c r="T198" s="511"/>
      <c r="U198" s="462">
        <f t="shared" ref="U198:U200" si="243">SUM(O198:T198)</f>
        <v>41080</v>
      </c>
      <c r="V198" s="2384"/>
      <c r="W198" s="1258"/>
    </row>
    <row r="199" spans="1:26" ht="12.75" customHeight="1">
      <c r="A199" s="2429"/>
      <c r="B199" s="605" t="s">
        <v>30</v>
      </c>
      <c r="C199" s="2434"/>
      <c r="D199" s="513">
        <f>+D200</f>
        <v>10868853</v>
      </c>
      <c r="E199" s="513">
        <f t="shared" ref="E199:P199" si="244">+E200</f>
        <v>0</v>
      </c>
      <c r="F199" s="513">
        <f t="shared" si="244"/>
        <v>0</v>
      </c>
      <c r="G199" s="513">
        <f t="shared" si="244"/>
        <v>0</v>
      </c>
      <c r="H199" s="513">
        <f t="shared" si="244"/>
        <v>0</v>
      </c>
      <c r="I199" s="513">
        <f t="shared" si="244"/>
        <v>18660</v>
      </c>
      <c r="J199" s="513">
        <f t="shared" si="244"/>
        <v>111960</v>
      </c>
      <c r="K199" s="513">
        <f t="shared" si="244"/>
        <v>166758</v>
      </c>
      <c r="L199" s="513">
        <f t="shared" si="244"/>
        <v>9272899</v>
      </c>
      <c r="M199" s="513">
        <f t="shared" si="244"/>
        <v>9570277</v>
      </c>
      <c r="N199" s="513">
        <f t="shared" si="244"/>
        <v>1298576</v>
      </c>
      <c r="O199" s="513">
        <f t="shared" si="244"/>
        <v>0</v>
      </c>
      <c r="P199" s="513">
        <f t="shared" si="244"/>
        <v>0</v>
      </c>
      <c r="Q199" s="513"/>
      <c r="R199" s="513"/>
      <c r="S199" s="513"/>
      <c r="T199" s="513"/>
      <c r="U199" s="557">
        <f>+U200</f>
        <v>0</v>
      </c>
      <c r="V199" s="2384"/>
    </row>
    <row r="200" spans="1:26" ht="12" customHeight="1">
      <c r="A200" s="2429"/>
      <c r="B200" s="558" t="s">
        <v>33</v>
      </c>
      <c r="C200" s="2483"/>
      <c r="D200" s="503">
        <f t="shared" ref="D200" si="245">SUM(M200:T200)</f>
        <v>10868853</v>
      </c>
      <c r="E200" s="510">
        <f>+F200+G200+H200</f>
        <v>0</v>
      </c>
      <c r="F200" s="511">
        <v>0</v>
      </c>
      <c r="G200" s="549">
        <v>0</v>
      </c>
      <c r="H200" s="549">
        <v>0</v>
      </c>
      <c r="I200" s="549">
        <f>64968+9107-53465-1950</f>
        <v>18660</v>
      </c>
      <c r="J200" s="549">
        <f>397798+55766-327369-14235</f>
        <v>111960</v>
      </c>
      <c r="K200" s="549">
        <f>123083+43675</f>
        <v>166758</v>
      </c>
      <c r="L200" s="510">
        <f>10974278+2562159-1640000-1811402-273051-539085</f>
        <v>9272899</v>
      </c>
      <c r="M200" s="504">
        <f t="shared" ref="M200" si="246">+E200+I200+J200+K200+L200</f>
        <v>9570277</v>
      </c>
      <c r="N200" s="510">
        <f>1811402+89236-177617-424445</f>
        <v>1298576</v>
      </c>
      <c r="O200" s="510">
        <v>0</v>
      </c>
      <c r="P200" s="511">
        <v>0</v>
      </c>
      <c r="Q200" s="511"/>
      <c r="R200" s="511"/>
      <c r="S200" s="511"/>
      <c r="T200" s="511"/>
      <c r="U200" s="462">
        <f t="shared" si="243"/>
        <v>0</v>
      </c>
      <c r="V200" s="2432"/>
    </row>
    <row r="201" spans="1:26" s="1904" customFormat="1" ht="12.75" customHeight="1">
      <c r="A201" s="2429"/>
      <c r="B201" s="561" t="s">
        <v>34</v>
      </c>
      <c r="C201" s="428"/>
      <c r="D201" s="518">
        <f>+D202</f>
        <v>10868853</v>
      </c>
      <c r="E201" s="518">
        <f t="shared" ref="E201:P202" si="247">+E202</f>
        <v>0</v>
      </c>
      <c r="F201" s="518">
        <f t="shared" si="247"/>
        <v>0</v>
      </c>
      <c r="G201" s="518">
        <f t="shared" si="247"/>
        <v>0</v>
      </c>
      <c r="H201" s="518">
        <f t="shared" si="247"/>
        <v>0</v>
      </c>
      <c r="I201" s="518">
        <f t="shared" si="247"/>
        <v>0</v>
      </c>
      <c r="J201" s="518">
        <f t="shared" si="247"/>
        <v>0</v>
      </c>
      <c r="K201" s="518">
        <f t="shared" si="247"/>
        <v>0</v>
      </c>
      <c r="L201" s="518">
        <f t="shared" si="247"/>
        <v>8420990</v>
      </c>
      <c r="M201" s="518">
        <f t="shared" si="247"/>
        <v>8420990</v>
      </c>
      <c r="N201" s="518">
        <f t="shared" si="247"/>
        <v>2447782</v>
      </c>
      <c r="O201" s="518">
        <f t="shared" si="247"/>
        <v>81</v>
      </c>
      <c r="P201" s="518">
        <f t="shared" si="247"/>
        <v>0</v>
      </c>
      <c r="Q201" s="518"/>
      <c r="R201" s="518"/>
      <c r="S201" s="518"/>
      <c r="T201" s="518"/>
      <c r="U201" s="645"/>
      <c r="V201" s="2479" t="s">
        <v>129</v>
      </c>
    </row>
    <row r="202" spans="1:26" s="1906" customFormat="1" ht="12.75" customHeight="1">
      <c r="A202" s="2429"/>
      <c r="B202" s="560" t="s">
        <v>30</v>
      </c>
      <c r="C202" s="2433" t="s">
        <v>106</v>
      </c>
      <c r="D202" s="567">
        <f>+D203</f>
        <v>10868853</v>
      </c>
      <c r="E202" s="567">
        <f t="shared" si="247"/>
        <v>0</v>
      </c>
      <c r="F202" s="567">
        <f t="shared" si="247"/>
        <v>0</v>
      </c>
      <c r="G202" s="567">
        <f t="shared" si="247"/>
        <v>0</v>
      </c>
      <c r="H202" s="567">
        <f t="shared" si="247"/>
        <v>0</v>
      </c>
      <c r="I202" s="567">
        <f t="shared" si="247"/>
        <v>0</v>
      </c>
      <c r="J202" s="567">
        <f t="shared" si="247"/>
        <v>0</v>
      </c>
      <c r="K202" s="596">
        <f t="shared" si="247"/>
        <v>0</v>
      </c>
      <c r="L202" s="596">
        <f t="shared" si="247"/>
        <v>8420990</v>
      </c>
      <c r="M202" s="596">
        <f t="shared" si="247"/>
        <v>8420990</v>
      </c>
      <c r="N202" s="596">
        <f t="shared" si="247"/>
        <v>2447782</v>
      </c>
      <c r="O202" s="596">
        <f t="shared" si="247"/>
        <v>81</v>
      </c>
      <c r="P202" s="567">
        <f t="shared" si="247"/>
        <v>0</v>
      </c>
      <c r="Q202" s="567"/>
      <c r="R202" s="567"/>
      <c r="S202" s="567"/>
      <c r="T202" s="567"/>
      <c r="U202" s="2502" t="s">
        <v>35</v>
      </c>
      <c r="V202" s="2384"/>
    </row>
    <row r="203" spans="1:26" s="1904" customFormat="1" ht="12.75" customHeight="1" thickBot="1">
      <c r="A203" s="2469"/>
      <c r="B203" s="568" t="s">
        <v>33</v>
      </c>
      <c r="C203" s="2491"/>
      <c r="D203" s="1793">
        <f>SUM(M203:T203)</f>
        <v>10868853</v>
      </c>
      <c r="E203" s="546">
        <f>+F203+G203+H203</f>
        <v>0</v>
      </c>
      <c r="F203" s="625">
        <v>0</v>
      </c>
      <c r="G203" s="626">
        <v>0</v>
      </c>
      <c r="H203" s="627">
        <v>0</v>
      </c>
      <c r="I203" s="627">
        <v>0</v>
      </c>
      <c r="J203" s="626">
        <v>0</v>
      </c>
      <c r="K203" s="626">
        <v>0</v>
      </c>
      <c r="L203" s="626">
        <f>9125000+2225000-640000-2837772+548762</f>
        <v>8420990</v>
      </c>
      <c r="M203" s="524">
        <f>L203+E203+I203+J203+K203</f>
        <v>8420990</v>
      </c>
      <c r="N203" s="626">
        <f>2500000-1000000+2837772-748762-177617-963611</f>
        <v>2447782</v>
      </c>
      <c r="O203" s="626">
        <f>963611-424445-539085</f>
        <v>81</v>
      </c>
      <c r="P203" s="571">
        <v>0</v>
      </c>
      <c r="Q203" s="571"/>
      <c r="R203" s="571"/>
      <c r="S203" s="571"/>
      <c r="T203" s="571"/>
      <c r="U203" s="2504"/>
      <c r="V203" s="2385"/>
    </row>
    <row r="204" spans="1:26" ht="27.75" customHeight="1">
      <c r="A204" s="2428" t="s">
        <v>118</v>
      </c>
      <c r="B204" s="2222" t="s">
        <v>422</v>
      </c>
      <c r="C204" s="528" t="s">
        <v>102</v>
      </c>
      <c r="D204" s="644"/>
      <c r="E204" s="612"/>
      <c r="F204" s="613"/>
      <c r="G204" s="612"/>
      <c r="H204" s="612"/>
      <c r="I204" s="612"/>
      <c r="J204" s="612"/>
      <c r="K204" s="612"/>
      <c r="L204" s="612"/>
      <c r="M204" s="612"/>
      <c r="N204" s="612"/>
      <c r="O204" s="612"/>
      <c r="P204" s="614"/>
      <c r="Q204" s="614"/>
      <c r="R204" s="614"/>
      <c r="S204" s="614"/>
      <c r="T204" s="614"/>
      <c r="U204" s="492"/>
      <c r="V204" s="594"/>
      <c r="W204" s="1258"/>
    </row>
    <row r="205" spans="1:26" ht="12" customHeight="1">
      <c r="A205" s="2429"/>
      <c r="B205" s="561" t="s">
        <v>22</v>
      </c>
      <c r="C205" s="428"/>
      <c r="D205" s="533">
        <f>+D206+D209</f>
        <v>28879881</v>
      </c>
      <c r="E205" s="533">
        <f t="shared" ref="E205:P205" si="248">+E206+E209</f>
        <v>81977</v>
      </c>
      <c r="F205" s="533">
        <f t="shared" si="248"/>
        <v>0</v>
      </c>
      <c r="G205" s="533">
        <f t="shared" si="248"/>
        <v>0</v>
      </c>
      <c r="H205" s="533">
        <f t="shared" si="248"/>
        <v>0</v>
      </c>
      <c r="I205" s="533">
        <f t="shared" si="248"/>
        <v>521360</v>
      </c>
      <c r="J205" s="533">
        <f t="shared" si="248"/>
        <v>92783</v>
      </c>
      <c r="K205" s="533">
        <f t="shared" si="248"/>
        <v>861723</v>
      </c>
      <c r="L205" s="533">
        <f t="shared" si="248"/>
        <v>7019176</v>
      </c>
      <c r="M205" s="533">
        <f t="shared" ref="M205" si="249">+M206+M209</f>
        <v>8577019</v>
      </c>
      <c r="N205" s="533">
        <f t="shared" si="248"/>
        <v>20217946</v>
      </c>
      <c r="O205" s="534">
        <f t="shared" si="248"/>
        <v>84916</v>
      </c>
      <c r="P205" s="533">
        <f t="shared" si="248"/>
        <v>0</v>
      </c>
      <c r="Q205" s="533"/>
      <c r="R205" s="533"/>
      <c r="S205" s="533"/>
      <c r="T205" s="533"/>
      <c r="U205" s="535">
        <f>+U206+U209</f>
        <v>84916</v>
      </c>
      <c r="V205" s="2384" t="s">
        <v>108</v>
      </c>
    </row>
    <row r="206" spans="1:26" ht="13.5" customHeight="1">
      <c r="A206" s="2429"/>
      <c r="B206" s="586" t="s">
        <v>36</v>
      </c>
      <c r="C206" s="2433" t="s">
        <v>105</v>
      </c>
      <c r="D206" s="536">
        <f>+D207+D208</f>
        <v>4785577</v>
      </c>
      <c r="E206" s="536">
        <f t="shared" ref="E206:P206" si="250">+E207+E208</f>
        <v>0</v>
      </c>
      <c r="F206" s="536">
        <f t="shared" si="250"/>
        <v>0</v>
      </c>
      <c r="G206" s="536">
        <f t="shared" si="250"/>
        <v>0</v>
      </c>
      <c r="H206" s="536">
        <f t="shared" si="250"/>
        <v>0</v>
      </c>
      <c r="I206" s="536">
        <f t="shared" si="250"/>
        <v>154560</v>
      </c>
      <c r="J206" s="536">
        <f t="shared" si="250"/>
        <v>66783</v>
      </c>
      <c r="K206" s="536">
        <f t="shared" si="250"/>
        <v>18985</v>
      </c>
      <c r="L206" s="536">
        <f t="shared" si="250"/>
        <v>772976</v>
      </c>
      <c r="M206" s="536">
        <f t="shared" ref="M206" si="251">+M207+M208</f>
        <v>1013304</v>
      </c>
      <c r="N206" s="536">
        <f t="shared" si="250"/>
        <v>3687357</v>
      </c>
      <c r="O206" s="536">
        <f t="shared" si="250"/>
        <v>84916</v>
      </c>
      <c r="P206" s="536">
        <f t="shared" si="250"/>
        <v>0</v>
      </c>
      <c r="Q206" s="536"/>
      <c r="R206" s="536"/>
      <c r="S206" s="536"/>
      <c r="T206" s="536"/>
      <c r="U206" s="557">
        <f>+U207+U208</f>
        <v>84916</v>
      </c>
      <c r="V206" s="2384"/>
      <c r="W206" s="1258"/>
    </row>
    <row r="207" spans="1:26" ht="11.25" customHeight="1">
      <c r="A207" s="2429"/>
      <c r="B207" s="558" t="s">
        <v>24</v>
      </c>
      <c r="C207" s="2435"/>
      <c r="D207" s="503">
        <f t="shared" ref="D207:D208" si="252">SUM(M207:T207)</f>
        <v>3785577</v>
      </c>
      <c r="E207" s="510">
        <f>79518+2459-81977</f>
        <v>0</v>
      </c>
      <c r="F207" s="511">
        <v>0</v>
      </c>
      <c r="G207" s="549">
        <v>0</v>
      </c>
      <c r="H207" s="549">
        <v>0</v>
      </c>
      <c r="I207" s="549">
        <v>154560</v>
      </c>
      <c r="J207" s="549">
        <v>66783</v>
      </c>
      <c r="K207" s="549">
        <v>18985</v>
      </c>
      <c r="L207" s="549">
        <f>2700000-2217033+514066-34101-189956</f>
        <v>772976</v>
      </c>
      <c r="M207" s="504">
        <f t="shared" ref="M207:M208" si="253">+E207+I207+J207+K207+L207</f>
        <v>1013304</v>
      </c>
      <c r="N207" s="549">
        <f>600000+2935934+34101-504029-361236-33703+16290</f>
        <v>2687357</v>
      </c>
      <c r="O207" s="549">
        <f>175000+30300-120384</f>
        <v>84916</v>
      </c>
      <c r="P207" s="511">
        <v>0</v>
      </c>
      <c r="Q207" s="511"/>
      <c r="R207" s="511"/>
      <c r="S207" s="511"/>
      <c r="T207" s="511"/>
      <c r="U207" s="462">
        <f t="shared" ref="U207:U208" si="254">SUM(O207:T207)</f>
        <v>84916</v>
      </c>
      <c r="V207" s="2384"/>
      <c r="W207" s="1258"/>
    </row>
    <row r="208" spans="1:26" ht="11.25" customHeight="1">
      <c r="A208" s="2429"/>
      <c r="B208" s="558" t="s">
        <v>27</v>
      </c>
      <c r="C208" s="2435"/>
      <c r="D208" s="503">
        <f t="shared" si="252"/>
        <v>1000000</v>
      </c>
      <c r="E208" s="511"/>
      <c r="F208" s="511"/>
      <c r="G208" s="588"/>
      <c r="H208" s="588"/>
      <c r="I208" s="588"/>
      <c r="J208" s="588"/>
      <c r="K208" s="588"/>
      <c r="L208" s="588"/>
      <c r="M208" s="504">
        <f t="shared" si="253"/>
        <v>0</v>
      </c>
      <c r="N208" s="588">
        <v>1000000</v>
      </c>
      <c r="O208" s="510"/>
      <c r="P208" s="511"/>
      <c r="Q208" s="511"/>
      <c r="R208" s="511"/>
      <c r="S208" s="511"/>
      <c r="T208" s="511"/>
      <c r="U208" s="462">
        <f t="shared" si="254"/>
        <v>0</v>
      </c>
      <c r="V208" s="2384"/>
      <c r="W208" s="1258"/>
    </row>
    <row r="209" spans="1:23" ht="11.25" customHeight="1">
      <c r="A209" s="2429"/>
      <c r="B209" s="560" t="s">
        <v>30</v>
      </c>
      <c r="C209" s="2435"/>
      <c r="D209" s="513">
        <f>+D210</f>
        <v>24094304</v>
      </c>
      <c r="E209" s="513">
        <f t="shared" ref="E209:P209" si="255">+E210</f>
        <v>81977</v>
      </c>
      <c r="F209" s="513">
        <f t="shared" si="255"/>
        <v>0</v>
      </c>
      <c r="G209" s="513">
        <f t="shared" si="255"/>
        <v>0</v>
      </c>
      <c r="H209" s="513">
        <f t="shared" si="255"/>
        <v>0</v>
      </c>
      <c r="I209" s="513">
        <f t="shared" si="255"/>
        <v>366800</v>
      </c>
      <c r="J209" s="513">
        <f t="shared" si="255"/>
        <v>26000</v>
      </c>
      <c r="K209" s="513">
        <f t="shared" si="255"/>
        <v>842738</v>
      </c>
      <c r="L209" s="513">
        <f t="shared" si="255"/>
        <v>6246200</v>
      </c>
      <c r="M209" s="513">
        <f t="shared" si="255"/>
        <v>7563715</v>
      </c>
      <c r="N209" s="513">
        <f t="shared" si="255"/>
        <v>16530589</v>
      </c>
      <c r="O209" s="514">
        <f t="shared" si="255"/>
        <v>0</v>
      </c>
      <c r="P209" s="513">
        <f t="shared" si="255"/>
        <v>0</v>
      </c>
      <c r="Q209" s="513"/>
      <c r="R209" s="513"/>
      <c r="S209" s="513"/>
      <c r="T209" s="513"/>
      <c r="U209" s="557">
        <f>+U210</f>
        <v>0</v>
      </c>
      <c r="V209" s="2384"/>
    </row>
    <row r="210" spans="1:23" ht="11.25" customHeight="1">
      <c r="A210" s="2429"/>
      <c r="B210" s="544" t="s">
        <v>33</v>
      </c>
      <c r="C210" s="2436"/>
      <c r="D210" s="503">
        <f t="shared" ref="D210" si="256">SUM(M210:T210)</f>
        <v>24094304</v>
      </c>
      <c r="E210" s="508">
        <v>81977</v>
      </c>
      <c r="F210" s="516">
        <v>0</v>
      </c>
      <c r="G210" s="542">
        <v>0</v>
      </c>
      <c r="H210" s="542">
        <v>0</v>
      </c>
      <c r="I210" s="542">
        <v>366800</v>
      </c>
      <c r="J210" s="542">
        <v>26000</v>
      </c>
      <c r="K210" s="542">
        <v>842738</v>
      </c>
      <c r="L210" s="508">
        <f>5217033-514066+1353277+189956</f>
        <v>6246200</v>
      </c>
      <c r="M210" s="504">
        <f t="shared" ref="M210" si="257">+E210+I210+J210+K210+L210</f>
        <v>7563715</v>
      </c>
      <c r="N210" s="508">
        <f>24725124-6435934-1353277-170971-210286-7777-16290</f>
        <v>16530589</v>
      </c>
      <c r="O210" s="508">
        <v>0</v>
      </c>
      <c r="P210" s="516">
        <v>0</v>
      </c>
      <c r="Q210" s="516"/>
      <c r="R210" s="516"/>
      <c r="S210" s="516"/>
      <c r="T210" s="516"/>
      <c r="U210" s="462">
        <f t="shared" ref="U210" si="258">SUM(O210:T210)</f>
        <v>0</v>
      </c>
      <c r="V210" s="2432"/>
    </row>
    <row r="211" spans="1:23" s="1904" customFormat="1" ht="11.25" customHeight="1">
      <c r="A211" s="2430"/>
      <c r="B211" s="427" t="s">
        <v>34</v>
      </c>
      <c r="C211" s="428"/>
      <c r="D211" s="518">
        <f>+D214+D212</f>
        <v>25094304</v>
      </c>
      <c r="E211" s="518">
        <f t="shared" ref="E211:P211" si="259">+E214+E212</f>
        <v>0</v>
      </c>
      <c r="F211" s="518">
        <f t="shared" si="259"/>
        <v>0</v>
      </c>
      <c r="G211" s="518">
        <f t="shared" si="259"/>
        <v>0</v>
      </c>
      <c r="H211" s="518">
        <f t="shared" si="259"/>
        <v>0</v>
      </c>
      <c r="I211" s="518">
        <f t="shared" si="259"/>
        <v>0</v>
      </c>
      <c r="J211" s="518">
        <f t="shared" si="259"/>
        <v>0</v>
      </c>
      <c r="K211" s="518">
        <f t="shared" si="259"/>
        <v>0</v>
      </c>
      <c r="L211" s="518">
        <f t="shared" si="259"/>
        <v>0</v>
      </c>
      <c r="M211" s="518">
        <f t="shared" ref="M211" si="260">+M214+M212</f>
        <v>0</v>
      </c>
      <c r="N211" s="518">
        <f t="shared" si="259"/>
        <v>25094304</v>
      </c>
      <c r="O211" s="518">
        <f t="shared" si="259"/>
        <v>0</v>
      </c>
      <c r="P211" s="518">
        <f t="shared" si="259"/>
        <v>0</v>
      </c>
      <c r="Q211" s="518"/>
      <c r="R211" s="518"/>
      <c r="S211" s="518"/>
      <c r="T211" s="518"/>
      <c r="U211" s="645"/>
      <c r="V211" s="2440" t="s">
        <v>129</v>
      </c>
    </row>
    <row r="212" spans="1:23" ht="13.5" customHeight="1">
      <c r="A212" s="2430"/>
      <c r="B212" s="498" t="s">
        <v>36</v>
      </c>
      <c r="C212" s="2433" t="s">
        <v>106</v>
      </c>
      <c r="D212" s="519">
        <f>+D213</f>
        <v>1000000</v>
      </c>
      <c r="E212" s="519">
        <f t="shared" ref="E212:P212" si="261">+E213</f>
        <v>0</v>
      </c>
      <c r="F212" s="519">
        <f t="shared" si="261"/>
        <v>0</v>
      </c>
      <c r="G212" s="519">
        <f t="shared" si="261"/>
        <v>0</v>
      </c>
      <c r="H212" s="519">
        <f t="shared" si="261"/>
        <v>0</v>
      </c>
      <c r="I212" s="519">
        <f t="shared" si="261"/>
        <v>0</v>
      </c>
      <c r="J212" s="519">
        <f t="shared" si="261"/>
        <v>0</v>
      </c>
      <c r="K212" s="519">
        <f t="shared" si="261"/>
        <v>0</v>
      </c>
      <c r="L212" s="519">
        <f t="shared" si="261"/>
        <v>0</v>
      </c>
      <c r="M212" s="519">
        <f t="shared" si="261"/>
        <v>0</v>
      </c>
      <c r="N212" s="519">
        <f t="shared" si="261"/>
        <v>1000000</v>
      </c>
      <c r="O212" s="519">
        <f t="shared" si="261"/>
        <v>0</v>
      </c>
      <c r="P212" s="519">
        <f t="shared" si="261"/>
        <v>0</v>
      </c>
      <c r="Q212" s="519"/>
      <c r="R212" s="519"/>
      <c r="S212" s="519"/>
      <c r="T212" s="519"/>
      <c r="U212" s="2510" t="s">
        <v>35</v>
      </c>
      <c r="V212" s="2441"/>
    </row>
    <row r="213" spans="1:23" ht="11.25" customHeight="1">
      <c r="A213" s="2430"/>
      <c r="B213" s="607" t="s">
        <v>27</v>
      </c>
      <c r="C213" s="2434"/>
      <c r="D213" s="503">
        <f t="shared" ref="D213" si="262">SUM(M213:T213)</f>
        <v>1000000</v>
      </c>
      <c r="E213" s="521">
        <f>+F213+G213+H213</f>
        <v>0</v>
      </c>
      <c r="F213" s="521">
        <v>0</v>
      </c>
      <c r="G213" s="521">
        <v>0</v>
      </c>
      <c r="H213" s="521">
        <v>0</v>
      </c>
      <c r="I213" s="521">
        <v>0</v>
      </c>
      <c r="J213" s="521">
        <v>0</v>
      </c>
      <c r="K213" s="521">
        <v>0</v>
      </c>
      <c r="L213" s="521">
        <v>0</v>
      </c>
      <c r="M213" s="504">
        <f t="shared" ref="M213" si="263">+E213+I213+J213+K213+L213</f>
        <v>0</v>
      </c>
      <c r="N213" s="521">
        <v>1000000</v>
      </c>
      <c r="O213" s="521">
        <v>0</v>
      </c>
      <c r="P213" s="521">
        <v>0</v>
      </c>
      <c r="Q213" s="521"/>
      <c r="R213" s="521"/>
      <c r="S213" s="521"/>
      <c r="T213" s="521"/>
      <c r="U213" s="2511"/>
      <c r="V213" s="2441"/>
    </row>
    <row r="214" spans="1:23" s="1906" customFormat="1">
      <c r="A214" s="2430"/>
      <c r="B214" s="574" t="s">
        <v>30</v>
      </c>
      <c r="C214" s="2434"/>
      <c r="D214" s="567">
        <f>+D215</f>
        <v>24094304</v>
      </c>
      <c r="E214" s="567">
        <f t="shared" ref="E214:P214" si="264">+E215</f>
        <v>0</v>
      </c>
      <c r="F214" s="567">
        <f t="shared" si="264"/>
        <v>0</v>
      </c>
      <c r="G214" s="567">
        <f t="shared" si="264"/>
        <v>0</v>
      </c>
      <c r="H214" s="567">
        <f t="shared" si="264"/>
        <v>0</v>
      </c>
      <c r="I214" s="567">
        <f t="shared" si="264"/>
        <v>0</v>
      </c>
      <c r="J214" s="567">
        <f t="shared" si="264"/>
        <v>0</v>
      </c>
      <c r="K214" s="567">
        <f t="shared" si="264"/>
        <v>0</v>
      </c>
      <c r="L214" s="567">
        <f t="shared" si="264"/>
        <v>0</v>
      </c>
      <c r="M214" s="567">
        <f t="shared" si="264"/>
        <v>0</v>
      </c>
      <c r="N214" s="567">
        <f t="shared" si="264"/>
        <v>24094304</v>
      </c>
      <c r="O214" s="575">
        <f t="shared" si="264"/>
        <v>0</v>
      </c>
      <c r="P214" s="567">
        <f t="shared" si="264"/>
        <v>0</v>
      </c>
      <c r="Q214" s="567"/>
      <c r="R214" s="567"/>
      <c r="S214" s="567"/>
      <c r="T214" s="567"/>
      <c r="U214" s="2511"/>
      <c r="V214" s="2441"/>
    </row>
    <row r="215" spans="1:23" s="1904" customFormat="1" ht="13.5" thickBot="1">
      <c r="A215" s="2431"/>
      <c r="B215" s="568" t="s">
        <v>33</v>
      </c>
      <c r="C215" s="2443"/>
      <c r="D215" s="1793">
        <f>SUM(M215:T215)</f>
        <v>24094304</v>
      </c>
      <c r="E215" s="546">
        <f>+F215+G215+H215</f>
        <v>0</v>
      </c>
      <c r="F215" s="592">
        <v>0</v>
      </c>
      <c r="G215" s="592">
        <v>0</v>
      </c>
      <c r="H215" s="592">
        <v>0</v>
      </c>
      <c r="I215" s="592">
        <v>0</v>
      </c>
      <c r="J215" s="592">
        <v>0</v>
      </c>
      <c r="K215" s="592">
        <v>0</v>
      </c>
      <c r="L215" s="592">
        <f>4000000-500000-3500000</f>
        <v>0</v>
      </c>
      <c r="M215" s="524">
        <f>L215+E215+I215+J215+K215</f>
        <v>0</v>
      </c>
      <c r="N215" s="592">
        <f>25000000-5950000+3500000+1623178-54807-7777-16290</f>
        <v>24094304</v>
      </c>
      <c r="O215" s="592">
        <f>2500000-500000-1844521-155479</f>
        <v>0</v>
      </c>
      <c r="P215" s="2225">
        <v>0</v>
      </c>
      <c r="Q215" s="2225"/>
      <c r="R215" s="2225"/>
      <c r="S215" s="2225"/>
      <c r="T215" s="2225"/>
      <c r="U215" s="2512"/>
      <c r="V215" s="2442"/>
    </row>
    <row r="216" spans="1:23" s="2158" customFormat="1" ht="26.25" customHeight="1">
      <c r="A216" s="2428" t="s">
        <v>119</v>
      </c>
      <c r="B216" s="2226" t="s">
        <v>423</v>
      </c>
      <c r="C216" s="487" t="s">
        <v>102</v>
      </c>
      <c r="D216" s="644"/>
      <c r="E216" s="613"/>
      <c r="F216" s="613"/>
      <c r="G216" s="612"/>
      <c r="H216" s="612"/>
      <c r="I216" s="612"/>
      <c r="J216" s="612"/>
      <c r="K216" s="612"/>
      <c r="L216" s="612"/>
      <c r="M216" s="614"/>
      <c r="N216" s="614"/>
      <c r="O216" s="614"/>
      <c r="P216" s="614"/>
      <c r="Q216" s="614"/>
      <c r="R216" s="614"/>
      <c r="S216" s="614"/>
      <c r="T216" s="614"/>
      <c r="U216" s="2227"/>
      <c r="V216" s="594"/>
    </row>
    <row r="217" spans="1:23" s="2158" customFormat="1" ht="13.5" customHeight="1">
      <c r="A217" s="2429"/>
      <c r="B217" s="427" t="s">
        <v>22</v>
      </c>
      <c r="C217" s="428"/>
      <c r="D217" s="533">
        <f>+D218+D220</f>
        <v>46212945</v>
      </c>
      <c r="E217" s="533">
        <f t="shared" ref="E217:P217" si="265">+E218+E220</f>
        <v>45985</v>
      </c>
      <c r="F217" s="533">
        <f t="shared" si="265"/>
        <v>0</v>
      </c>
      <c r="G217" s="533">
        <f t="shared" si="265"/>
        <v>0</v>
      </c>
      <c r="H217" s="533">
        <f t="shared" si="265"/>
        <v>0</v>
      </c>
      <c r="I217" s="533">
        <f t="shared" si="265"/>
        <v>81340</v>
      </c>
      <c r="J217" s="533">
        <f t="shared" si="265"/>
        <v>498045</v>
      </c>
      <c r="K217" s="533">
        <f t="shared" si="265"/>
        <v>0</v>
      </c>
      <c r="L217" s="533">
        <f t="shared" si="265"/>
        <v>14965</v>
      </c>
      <c r="M217" s="533">
        <f t="shared" ref="M217" si="266">+M218+M220</f>
        <v>640335</v>
      </c>
      <c r="N217" s="533">
        <f t="shared" si="265"/>
        <v>5571486</v>
      </c>
      <c r="O217" s="533">
        <f t="shared" si="265"/>
        <v>40001124</v>
      </c>
      <c r="P217" s="533">
        <f t="shared" si="265"/>
        <v>0</v>
      </c>
      <c r="Q217" s="533"/>
      <c r="R217" s="533"/>
      <c r="S217" s="533"/>
      <c r="T217" s="533"/>
      <c r="U217" s="535">
        <f>+U218+U220</f>
        <v>40001124</v>
      </c>
      <c r="V217" s="2384" t="s">
        <v>108</v>
      </c>
      <c r="W217" s="2159">
        <f>+O217+P217</f>
        <v>40001124</v>
      </c>
    </row>
    <row r="218" spans="1:23" s="2158" customFormat="1" ht="13.5" customHeight="1">
      <c r="A218" s="2429"/>
      <c r="B218" s="584" t="s">
        <v>36</v>
      </c>
      <c r="C218" s="2433" t="s">
        <v>105</v>
      </c>
      <c r="D218" s="536">
        <f>+D219</f>
        <v>3753091</v>
      </c>
      <c r="E218" s="536">
        <f t="shared" ref="E218:P218" si="267">+E219</f>
        <v>45985</v>
      </c>
      <c r="F218" s="536">
        <f t="shared" si="267"/>
        <v>0</v>
      </c>
      <c r="G218" s="536">
        <f t="shared" si="267"/>
        <v>0</v>
      </c>
      <c r="H218" s="536">
        <f t="shared" si="267"/>
        <v>0</v>
      </c>
      <c r="I218" s="536">
        <f t="shared" si="267"/>
        <v>0</v>
      </c>
      <c r="J218" s="536">
        <f t="shared" si="267"/>
        <v>10005</v>
      </c>
      <c r="K218" s="536">
        <f t="shared" si="267"/>
        <v>0</v>
      </c>
      <c r="L218" s="536">
        <f t="shared" si="267"/>
        <v>0</v>
      </c>
      <c r="M218" s="536">
        <f t="shared" si="267"/>
        <v>55990</v>
      </c>
      <c r="N218" s="536">
        <f t="shared" si="267"/>
        <v>26999</v>
      </c>
      <c r="O218" s="536">
        <f t="shared" si="267"/>
        <v>3670102</v>
      </c>
      <c r="P218" s="536">
        <f t="shared" si="267"/>
        <v>0</v>
      </c>
      <c r="Q218" s="536"/>
      <c r="R218" s="536"/>
      <c r="S218" s="536"/>
      <c r="T218" s="536"/>
      <c r="U218" s="537">
        <f>+U219</f>
        <v>3670102</v>
      </c>
      <c r="V218" s="2384"/>
      <c r="W218" s="2157"/>
    </row>
    <row r="219" spans="1:23" s="2158" customFormat="1" ht="13.5" customHeight="1">
      <c r="A219" s="2429"/>
      <c r="B219" s="585" t="s">
        <v>24</v>
      </c>
      <c r="C219" s="2435"/>
      <c r="D219" s="503">
        <f t="shared" ref="D219" si="268">SUM(M219:T219)</f>
        <v>3753091</v>
      </c>
      <c r="E219" s="510">
        <v>45985</v>
      </c>
      <c r="F219" s="510">
        <v>0</v>
      </c>
      <c r="G219" s="549"/>
      <c r="H219" s="549">
        <v>0</v>
      </c>
      <c r="I219" s="549">
        <v>0</v>
      </c>
      <c r="J219" s="549">
        <v>10005</v>
      </c>
      <c r="K219" s="549"/>
      <c r="L219" s="549">
        <v>0</v>
      </c>
      <c r="M219" s="504">
        <f t="shared" ref="M219" si="269">+E219+I219+J219+K219+L219</f>
        <v>55990</v>
      </c>
      <c r="N219" s="510">
        <f>7161720-7134721</f>
        <v>26999</v>
      </c>
      <c r="O219" s="510">
        <f>22109790+1683456+807937-19380934-1550147</f>
        <v>3670102</v>
      </c>
      <c r="P219" s="510">
        <v>0</v>
      </c>
      <c r="Q219" s="510"/>
      <c r="R219" s="510"/>
      <c r="S219" s="511"/>
      <c r="T219" s="511"/>
      <c r="U219" s="462">
        <f t="shared" ref="U219" si="270">SUM(O219:T219)</f>
        <v>3670102</v>
      </c>
      <c r="V219" s="2384"/>
    </row>
    <row r="220" spans="1:23" s="2158" customFormat="1" ht="13.5" customHeight="1">
      <c r="A220" s="2429"/>
      <c r="B220" s="574" t="s">
        <v>30</v>
      </c>
      <c r="C220" s="2435"/>
      <c r="D220" s="513">
        <f>+D221</f>
        <v>42459854</v>
      </c>
      <c r="E220" s="513">
        <f t="shared" ref="E220:P220" si="271">+E221</f>
        <v>0</v>
      </c>
      <c r="F220" s="513">
        <f t="shared" si="271"/>
        <v>0</v>
      </c>
      <c r="G220" s="513">
        <f t="shared" si="271"/>
        <v>0</v>
      </c>
      <c r="H220" s="513">
        <f t="shared" si="271"/>
        <v>0</v>
      </c>
      <c r="I220" s="513">
        <f t="shared" si="271"/>
        <v>81340</v>
      </c>
      <c r="J220" s="513">
        <f t="shared" si="271"/>
        <v>488040</v>
      </c>
      <c r="K220" s="513">
        <f t="shared" si="271"/>
        <v>0</v>
      </c>
      <c r="L220" s="513">
        <f t="shared" si="271"/>
        <v>14965</v>
      </c>
      <c r="M220" s="513">
        <f t="shared" si="271"/>
        <v>584345</v>
      </c>
      <c r="N220" s="513">
        <f t="shared" si="271"/>
        <v>5544487</v>
      </c>
      <c r="O220" s="513">
        <f t="shared" si="271"/>
        <v>36331022</v>
      </c>
      <c r="P220" s="513">
        <f t="shared" si="271"/>
        <v>0</v>
      </c>
      <c r="Q220" s="513"/>
      <c r="R220" s="513"/>
      <c r="S220" s="513"/>
      <c r="T220" s="513"/>
      <c r="U220" s="537">
        <f>+U221</f>
        <v>36331022</v>
      </c>
      <c r="V220" s="2384"/>
    </row>
    <row r="221" spans="1:23" s="2158" customFormat="1" ht="13.5" customHeight="1">
      <c r="A221" s="2429"/>
      <c r="B221" s="517" t="s">
        <v>33</v>
      </c>
      <c r="C221" s="2435"/>
      <c r="D221" s="503">
        <f t="shared" ref="D221" si="272">SUM(M221:T221)</f>
        <v>42459854</v>
      </c>
      <c r="E221" s="510"/>
      <c r="F221" s="511">
        <v>0</v>
      </c>
      <c r="G221" s="588"/>
      <c r="H221" s="549">
        <v>0</v>
      </c>
      <c r="I221" s="549">
        <v>81340</v>
      </c>
      <c r="J221" s="549">
        <v>488040</v>
      </c>
      <c r="K221" s="549"/>
      <c r="L221" s="510">
        <v>14965</v>
      </c>
      <c r="M221" s="504">
        <f t="shared" ref="M221" si="273">+E221+I221+J221+K221+L221</f>
        <v>584345</v>
      </c>
      <c r="N221" s="510">
        <f>2000000-453540+3998027</f>
        <v>5544487</v>
      </c>
      <c r="O221" s="510">
        <f>10900000+453540+22517628+2459854</f>
        <v>36331022</v>
      </c>
      <c r="P221" s="510">
        <v>0</v>
      </c>
      <c r="Q221" s="510"/>
      <c r="R221" s="510"/>
      <c r="S221" s="511"/>
      <c r="T221" s="511"/>
      <c r="U221" s="462">
        <f t="shared" ref="U221" si="274">SUM(O221:T221)</f>
        <v>36331022</v>
      </c>
      <c r="V221" s="2432"/>
    </row>
    <row r="222" spans="1:23" s="2167" customFormat="1" ht="12.75" customHeight="1">
      <c r="A222" s="2430"/>
      <c r="B222" s="427" t="s">
        <v>34</v>
      </c>
      <c r="C222" s="428"/>
      <c r="D222" s="518">
        <f>+D223</f>
        <v>42459854</v>
      </c>
      <c r="E222" s="518">
        <f t="shared" ref="E222:P223" si="275">+E223</f>
        <v>0</v>
      </c>
      <c r="F222" s="518">
        <f t="shared" si="275"/>
        <v>0</v>
      </c>
      <c r="G222" s="518">
        <f t="shared" si="275"/>
        <v>0</v>
      </c>
      <c r="H222" s="518">
        <f t="shared" si="275"/>
        <v>0</v>
      </c>
      <c r="I222" s="518">
        <f t="shared" si="275"/>
        <v>0</v>
      </c>
      <c r="J222" s="518">
        <f t="shared" si="275"/>
        <v>0</v>
      </c>
      <c r="K222" s="518">
        <f t="shared" si="275"/>
        <v>0</v>
      </c>
      <c r="L222" s="518">
        <f t="shared" si="275"/>
        <v>0</v>
      </c>
      <c r="M222" s="518">
        <f t="shared" si="275"/>
        <v>0</v>
      </c>
      <c r="N222" s="518">
        <f t="shared" si="275"/>
        <v>0</v>
      </c>
      <c r="O222" s="518">
        <f t="shared" si="275"/>
        <v>40000000</v>
      </c>
      <c r="P222" s="518">
        <f t="shared" si="275"/>
        <v>2459854</v>
      </c>
      <c r="Q222" s="518"/>
      <c r="R222" s="518"/>
      <c r="S222" s="518"/>
      <c r="T222" s="518"/>
      <c r="U222" s="645"/>
      <c r="V222" s="2440" t="s">
        <v>129</v>
      </c>
    </row>
    <row r="223" spans="1:23" s="2168" customFormat="1" ht="12.75" customHeight="1">
      <c r="A223" s="2430"/>
      <c r="B223" s="574" t="s">
        <v>30</v>
      </c>
      <c r="C223" s="2433" t="s">
        <v>106</v>
      </c>
      <c r="D223" s="567">
        <f>+D224</f>
        <v>42459854</v>
      </c>
      <c r="E223" s="567">
        <f t="shared" si="275"/>
        <v>0</v>
      </c>
      <c r="F223" s="567">
        <f t="shared" si="275"/>
        <v>0</v>
      </c>
      <c r="G223" s="567">
        <f t="shared" si="275"/>
        <v>0</v>
      </c>
      <c r="H223" s="567">
        <f t="shared" si="275"/>
        <v>0</v>
      </c>
      <c r="I223" s="567">
        <f t="shared" si="275"/>
        <v>0</v>
      </c>
      <c r="J223" s="567">
        <f t="shared" si="275"/>
        <v>0</v>
      </c>
      <c r="K223" s="567">
        <f t="shared" si="275"/>
        <v>0</v>
      </c>
      <c r="L223" s="567">
        <f t="shared" si="275"/>
        <v>0</v>
      </c>
      <c r="M223" s="567">
        <f t="shared" si="275"/>
        <v>0</v>
      </c>
      <c r="N223" s="567">
        <f t="shared" si="275"/>
        <v>0</v>
      </c>
      <c r="O223" s="596">
        <f t="shared" si="275"/>
        <v>40000000</v>
      </c>
      <c r="P223" s="596">
        <f t="shared" si="275"/>
        <v>2459854</v>
      </c>
      <c r="Q223" s="596"/>
      <c r="R223" s="567"/>
      <c r="S223" s="567"/>
      <c r="T223" s="567"/>
      <c r="U223" s="2487" t="s">
        <v>35</v>
      </c>
      <c r="V223" s="2441"/>
    </row>
    <row r="224" spans="1:23" s="2168" customFormat="1" ht="12.75" customHeight="1" thickBot="1">
      <c r="A224" s="2431"/>
      <c r="B224" s="646" t="s">
        <v>33</v>
      </c>
      <c r="C224" s="2491"/>
      <c r="D224" s="1793">
        <f>SUM(M224:T224)</f>
        <v>42459854</v>
      </c>
      <c r="E224" s="637">
        <f>+F224+G224+H224</f>
        <v>0</v>
      </c>
      <c r="F224" s="638">
        <v>0</v>
      </c>
      <c r="G224" s="637">
        <v>0</v>
      </c>
      <c r="H224" s="637">
        <v>0</v>
      </c>
      <c r="I224" s="637">
        <v>0</v>
      </c>
      <c r="J224" s="637">
        <v>0</v>
      </c>
      <c r="K224" s="637">
        <v>0</v>
      </c>
      <c r="L224" s="637">
        <v>0</v>
      </c>
      <c r="M224" s="524">
        <f>L224+E224+I224+J224+K224</f>
        <v>0</v>
      </c>
      <c r="N224" s="637">
        <v>0</v>
      </c>
      <c r="O224" s="639">
        <f>40000000</f>
        <v>40000000</v>
      </c>
      <c r="P224" s="2228">
        <v>2459854</v>
      </c>
      <c r="Q224" s="2228"/>
      <c r="R224" s="640"/>
      <c r="S224" s="640"/>
      <c r="T224" s="640"/>
      <c r="U224" s="2489"/>
      <c r="V224" s="2442"/>
    </row>
    <row r="225" spans="1:23" ht="26.25" customHeight="1">
      <c r="A225" s="2428" t="s">
        <v>120</v>
      </c>
      <c r="B225" s="2226" t="s">
        <v>424</v>
      </c>
      <c r="C225" s="487" t="s">
        <v>102</v>
      </c>
      <c r="D225" s="644"/>
      <c r="E225" s="613"/>
      <c r="F225" s="613"/>
      <c r="G225" s="612"/>
      <c r="H225" s="612"/>
      <c r="I225" s="612"/>
      <c r="J225" s="612"/>
      <c r="K225" s="612"/>
      <c r="L225" s="612"/>
      <c r="M225" s="614"/>
      <c r="N225" s="614"/>
      <c r="O225" s="614"/>
      <c r="P225" s="614"/>
      <c r="Q225" s="614"/>
      <c r="R225" s="614"/>
      <c r="S225" s="1786"/>
      <c r="T225" s="1786"/>
      <c r="U225" s="615"/>
      <c r="V225" s="594"/>
    </row>
    <row r="226" spans="1:23" ht="13.5" customHeight="1">
      <c r="A226" s="2429"/>
      <c r="B226" s="427" t="s">
        <v>22</v>
      </c>
      <c r="C226" s="428"/>
      <c r="D226" s="533">
        <f>+D227+D229</f>
        <v>3559294</v>
      </c>
      <c r="E226" s="533">
        <f t="shared" ref="E226:P226" si="276">+E227+E229</f>
        <v>0</v>
      </c>
      <c r="F226" s="533">
        <f t="shared" si="276"/>
        <v>0</v>
      </c>
      <c r="G226" s="533">
        <f t="shared" si="276"/>
        <v>0</v>
      </c>
      <c r="H226" s="533">
        <f t="shared" si="276"/>
        <v>0</v>
      </c>
      <c r="I226" s="533">
        <f t="shared" si="276"/>
        <v>315360</v>
      </c>
      <c r="J226" s="533">
        <f t="shared" si="276"/>
        <v>243934</v>
      </c>
      <c r="K226" s="533">
        <f t="shared" si="276"/>
        <v>0</v>
      </c>
      <c r="L226" s="533">
        <f t="shared" si="276"/>
        <v>0</v>
      </c>
      <c r="M226" s="533">
        <f t="shared" ref="M226" si="277">+M227+M229</f>
        <v>559294</v>
      </c>
      <c r="N226" s="533">
        <f t="shared" si="276"/>
        <v>0</v>
      </c>
      <c r="O226" s="533">
        <f t="shared" si="276"/>
        <v>0</v>
      </c>
      <c r="P226" s="533">
        <f t="shared" si="276"/>
        <v>3000000</v>
      </c>
      <c r="Q226" s="533"/>
      <c r="R226" s="533"/>
      <c r="S226" s="533"/>
      <c r="T226" s="533"/>
      <c r="U226" s="535">
        <f>+U227+U229</f>
        <v>3000000</v>
      </c>
      <c r="V226" s="2384" t="s">
        <v>108</v>
      </c>
      <c r="W226" s="1258"/>
    </row>
    <row r="227" spans="1:23" ht="13.5" customHeight="1">
      <c r="A227" s="2429"/>
      <c r="B227" s="584" t="s">
        <v>36</v>
      </c>
      <c r="C227" s="2433" t="s">
        <v>105</v>
      </c>
      <c r="D227" s="536">
        <f>+D228</f>
        <v>3559294</v>
      </c>
      <c r="E227" s="536">
        <f t="shared" ref="E227:P227" si="278">+E228</f>
        <v>0</v>
      </c>
      <c r="F227" s="536">
        <f t="shared" si="278"/>
        <v>0</v>
      </c>
      <c r="G227" s="536">
        <f t="shared" si="278"/>
        <v>0</v>
      </c>
      <c r="H227" s="536">
        <f t="shared" si="278"/>
        <v>0</v>
      </c>
      <c r="I227" s="536">
        <f t="shared" si="278"/>
        <v>315360</v>
      </c>
      <c r="J227" s="536">
        <f t="shared" si="278"/>
        <v>243934</v>
      </c>
      <c r="K227" s="536">
        <f t="shared" si="278"/>
        <v>0</v>
      </c>
      <c r="L227" s="536">
        <f t="shared" si="278"/>
        <v>0</v>
      </c>
      <c r="M227" s="536">
        <f t="shared" si="278"/>
        <v>559294</v>
      </c>
      <c r="N227" s="536">
        <f t="shared" si="278"/>
        <v>0</v>
      </c>
      <c r="O227" s="536">
        <f t="shared" si="278"/>
        <v>0</v>
      </c>
      <c r="P227" s="536">
        <f t="shared" si="278"/>
        <v>3000000</v>
      </c>
      <c r="Q227" s="536"/>
      <c r="R227" s="536"/>
      <c r="S227" s="536"/>
      <c r="T227" s="536"/>
      <c r="U227" s="557">
        <f>+U228</f>
        <v>3000000</v>
      </c>
      <c r="V227" s="2384"/>
      <c r="W227" s="1258"/>
    </row>
    <row r="228" spans="1:23" s="2158" customFormat="1" ht="13.5" customHeight="1">
      <c r="A228" s="2429"/>
      <c r="B228" s="585" t="s">
        <v>24</v>
      </c>
      <c r="C228" s="2435"/>
      <c r="D228" s="503">
        <f t="shared" ref="D228:D230" si="279">SUM(M228:T228)</f>
        <v>3559294</v>
      </c>
      <c r="E228" s="510">
        <f>+F228+G228+H228</f>
        <v>0</v>
      </c>
      <c r="F228" s="511">
        <v>0</v>
      </c>
      <c r="G228" s="510">
        <v>0</v>
      </c>
      <c r="H228" s="510">
        <v>0</v>
      </c>
      <c r="I228" s="549">
        <f>305899+9461</f>
        <v>315360</v>
      </c>
      <c r="J228" s="549">
        <v>243934</v>
      </c>
      <c r="K228" s="549">
        <v>0</v>
      </c>
      <c r="L228" s="549">
        <f>4000000-4000000</f>
        <v>0</v>
      </c>
      <c r="M228" s="504">
        <f t="shared" ref="M228:M230" si="280">+E228+I228+J228+K228+L228</f>
        <v>559294</v>
      </c>
      <c r="N228" s="549">
        <f>4000000-1000000-3000000</f>
        <v>0</v>
      </c>
      <c r="O228" s="549">
        <f>3000000-3000000</f>
        <v>0</v>
      </c>
      <c r="P228" s="588">
        <v>3000000</v>
      </c>
      <c r="Q228" s="511"/>
      <c r="R228" s="511"/>
      <c r="S228" s="511"/>
      <c r="T228" s="511"/>
      <c r="U228" s="462">
        <f t="shared" ref="U228" si="281">SUM(O228:T228)</f>
        <v>3000000</v>
      </c>
      <c r="V228" s="2384"/>
    </row>
    <row r="229" spans="1:23" ht="13.5" customHeight="1">
      <c r="A229" s="2429"/>
      <c r="B229" s="574" t="s">
        <v>30</v>
      </c>
      <c r="C229" s="2435"/>
      <c r="D229" s="513">
        <f>+D230</f>
        <v>0</v>
      </c>
      <c r="E229" s="513">
        <f t="shared" ref="E229:P229" si="282">+E230</f>
        <v>0</v>
      </c>
      <c r="F229" s="513">
        <f t="shared" si="282"/>
        <v>0</v>
      </c>
      <c r="G229" s="513">
        <f t="shared" si="282"/>
        <v>0</v>
      </c>
      <c r="H229" s="513">
        <f t="shared" si="282"/>
        <v>0</v>
      </c>
      <c r="I229" s="513">
        <f t="shared" si="282"/>
        <v>0</v>
      </c>
      <c r="J229" s="513">
        <f t="shared" si="282"/>
        <v>0</v>
      </c>
      <c r="K229" s="513">
        <f t="shared" si="282"/>
        <v>0</v>
      </c>
      <c r="L229" s="513">
        <f t="shared" si="282"/>
        <v>0</v>
      </c>
      <c r="M229" s="513">
        <f t="shared" si="282"/>
        <v>0</v>
      </c>
      <c r="N229" s="513">
        <f t="shared" si="282"/>
        <v>0</v>
      </c>
      <c r="O229" s="513">
        <f t="shared" si="282"/>
        <v>0</v>
      </c>
      <c r="P229" s="513">
        <f t="shared" si="282"/>
        <v>0</v>
      </c>
      <c r="Q229" s="513"/>
      <c r="R229" s="513"/>
      <c r="S229" s="513"/>
      <c r="T229" s="513"/>
      <c r="U229" s="557">
        <f>+U230</f>
        <v>0</v>
      </c>
      <c r="V229" s="2384"/>
    </row>
    <row r="230" spans="1:23" ht="13.5" customHeight="1">
      <c r="A230" s="2429"/>
      <c r="B230" s="517" t="s">
        <v>33</v>
      </c>
      <c r="C230" s="2435"/>
      <c r="D230" s="503">
        <f t="shared" si="279"/>
        <v>0</v>
      </c>
      <c r="E230" s="510">
        <f>+F230+G230+H230</f>
        <v>0</v>
      </c>
      <c r="F230" s="511">
        <v>0</v>
      </c>
      <c r="G230" s="511">
        <v>0</v>
      </c>
      <c r="H230" s="510">
        <v>0</v>
      </c>
      <c r="I230" s="549"/>
      <c r="J230" s="549"/>
      <c r="K230" s="549"/>
      <c r="L230" s="510">
        <v>0</v>
      </c>
      <c r="M230" s="504">
        <f t="shared" si="280"/>
        <v>0</v>
      </c>
      <c r="N230" s="510">
        <v>0</v>
      </c>
      <c r="O230" s="510">
        <v>0</v>
      </c>
      <c r="P230" s="511">
        <v>0</v>
      </c>
      <c r="Q230" s="511"/>
      <c r="R230" s="511"/>
      <c r="S230" s="511"/>
      <c r="T230" s="511"/>
      <c r="U230" s="462">
        <f t="shared" ref="U230" si="283">SUM(O230:T230)</f>
        <v>0</v>
      </c>
      <c r="V230" s="2432"/>
    </row>
    <row r="231" spans="1:23" s="1904" customFormat="1" ht="12.75" customHeight="1">
      <c r="A231" s="2430"/>
      <c r="B231" s="427" t="s">
        <v>34</v>
      </c>
      <c r="C231" s="428"/>
      <c r="D231" s="518">
        <f>+D232</f>
        <v>0</v>
      </c>
      <c r="E231" s="518">
        <f t="shared" ref="E231:P232" si="284">+E232</f>
        <v>0</v>
      </c>
      <c r="F231" s="518">
        <f t="shared" si="284"/>
        <v>0</v>
      </c>
      <c r="G231" s="518">
        <f t="shared" si="284"/>
        <v>0</v>
      </c>
      <c r="H231" s="518">
        <f t="shared" si="284"/>
        <v>0</v>
      </c>
      <c r="I231" s="518">
        <f t="shared" si="284"/>
        <v>0</v>
      </c>
      <c r="J231" s="518">
        <f t="shared" si="284"/>
        <v>0</v>
      </c>
      <c r="K231" s="518">
        <f t="shared" si="284"/>
        <v>0</v>
      </c>
      <c r="L231" s="518">
        <f t="shared" si="284"/>
        <v>0</v>
      </c>
      <c r="M231" s="518">
        <f t="shared" si="284"/>
        <v>0</v>
      </c>
      <c r="N231" s="518">
        <f t="shared" si="284"/>
        <v>0</v>
      </c>
      <c r="O231" s="518">
        <f t="shared" si="284"/>
        <v>0</v>
      </c>
      <c r="P231" s="518">
        <f t="shared" si="284"/>
        <v>0</v>
      </c>
      <c r="Q231" s="518"/>
      <c r="R231" s="518"/>
      <c r="S231" s="518"/>
      <c r="T231" s="518"/>
      <c r="U231" s="645"/>
      <c r="V231" s="2440" t="s">
        <v>129</v>
      </c>
    </row>
    <row r="232" spans="1:23" s="1906" customFormat="1" ht="12.75" customHeight="1">
      <c r="A232" s="2430"/>
      <c r="B232" s="574" t="s">
        <v>30</v>
      </c>
      <c r="C232" s="2433" t="s">
        <v>106</v>
      </c>
      <c r="D232" s="567">
        <f>+D233</f>
        <v>0</v>
      </c>
      <c r="E232" s="567">
        <f t="shared" si="284"/>
        <v>0</v>
      </c>
      <c r="F232" s="567">
        <f t="shared" si="284"/>
        <v>0</v>
      </c>
      <c r="G232" s="567">
        <f t="shared" si="284"/>
        <v>0</v>
      </c>
      <c r="H232" s="567">
        <f t="shared" si="284"/>
        <v>0</v>
      </c>
      <c r="I232" s="567">
        <f t="shared" si="284"/>
        <v>0</v>
      </c>
      <c r="J232" s="567">
        <f t="shared" si="284"/>
        <v>0</v>
      </c>
      <c r="K232" s="567">
        <f t="shared" si="284"/>
        <v>0</v>
      </c>
      <c r="L232" s="567">
        <f t="shared" si="284"/>
        <v>0</v>
      </c>
      <c r="M232" s="567">
        <f t="shared" si="284"/>
        <v>0</v>
      </c>
      <c r="N232" s="567">
        <f t="shared" si="284"/>
        <v>0</v>
      </c>
      <c r="O232" s="567">
        <f t="shared" si="284"/>
        <v>0</v>
      </c>
      <c r="P232" s="567">
        <f t="shared" si="284"/>
        <v>0</v>
      </c>
      <c r="Q232" s="567"/>
      <c r="R232" s="567"/>
      <c r="S232" s="567"/>
      <c r="T232" s="567"/>
      <c r="U232" s="2487" t="s">
        <v>35</v>
      </c>
      <c r="V232" s="2441"/>
    </row>
    <row r="233" spans="1:23" s="1906" customFormat="1" ht="12.75" customHeight="1" thickBot="1">
      <c r="A233" s="2431"/>
      <c r="B233" s="646" t="s">
        <v>33</v>
      </c>
      <c r="C233" s="2491"/>
      <c r="D233" s="1793">
        <f>SUM(M233:T233)</f>
        <v>0</v>
      </c>
      <c r="E233" s="647">
        <f>+F233+G233+H233</f>
        <v>0</v>
      </c>
      <c r="F233" s="638">
        <v>0</v>
      </c>
      <c r="G233" s="637">
        <v>0</v>
      </c>
      <c r="H233" s="637">
        <v>0</v>
      </c>
      <c r="I233" s="637">
        <v>0</v>
      </c>
      <c r="J233" s="637">
        <v>0</v>
      </c>
      <c r="K233" s="637"/>
      <c r="L233" s="637">
        <v>0</v>
      </c>
      <c r="M233" s="524">
        <f>L233+E233+I233+J233+K233</f>
        <v>0</v>
      </c>
      <c r="N233" s="637">
        <v>0</v>
      </c>
      <c r="O233" s="637">
        <v>0</v>
      </c>
      <c r="P233" s="640">
        <v>0</v>
      </c>
      <c r="Q233" s="640"/>
      <c r="R233" s="640"/>
      <c r="S233" s="640"/>
      <c r="T233" s="640"/>
      <c r="U233" s="2489"/>
      <c r="V233" s="2442"/>
    </row>
    <row r="234" spans="1:23" ht="26.25" customHeight="1">
      <c r="A234" s="2428" t="s">
        <v>121</v>
      </c>
      <c r="B234" s="548" t="s">
        <v>386</v>
      </c>
      <c r="C234" s="528" t="s">
        <v>102</v>
      </c>
      <c r="D234" s="649"/>
      <c r="E234" s="650"/>
      <c r="F234" s="650"/>
      <c r="G234" s="650"/>
      <c r="H234" s="650"/>
      <c r="I234" s="650"/>
      <c r="J234" s="650"/>
      <c r="K234" s="650"/>
      <c r="L234" s="650"/>
      <c r="M234" s="651"/>
      <c r="N234" s="651"/>
      <c r="O234" s="650"/>
      <c r="P234" s="650"/>
      <c r="Q234" s="650"/>
      <c r="R234" s="650"/>
      <c r="S234" s="1781"/>
      <c r="T234" s="1781"/>
      <c r="U234" s="492"/>
      <c r="V234" s="2513" t="s">
        <v>129</v>
      </c>
    </row>
    <row r="235" spans="1:23" ht="12" customHeight="1">
      <c r="A235" s="2429"/>
      <c r="B235" s="427" t="s">
        <v>22</v>
      </c>
      <c r="C235" s="428"/>
      <c r="D235" s="652">
        <f>+D236</f>
        <v>109770000</v>
      </c>
      <c r="E235" s="652">
        <v>0</v>
      </c>
      <c r="F235" s="652"/>
      <c r="G235" s="652"/>
      <c r="H235" s="652"/>
      <c r="I235" s="652">
        <v>0</v>
      </c>
      <c r="J235" s="652">
        <v>0</v>
      </c>
      <c r="K235" s="652">
        <v>0</v>
      </c>
      <c r="L235" s="652">
        <f t="shared" ref="L235:P236" si="285">+L236</f>
        <v>26800000</v>
      </c>
      <c r="M235" s="652">
        <f t="shared" si="285"/>
        <v>26800000</v>
      </c>
      <c r="N235" s="652">
        <f t="shared" si="285"/>
        <v>20100000</v>
      </c>
      <c r="O235" s="652">
        <f t="shared" si="285"/>
        <v>31435000</v>
      </c>
      <c r="P235" s="652">
        <f t="shared" si="285"/>
        <v>31435000</v>
      </c>
      <c r="Q235" s="652">
        <v>0</v>
      </c>
      <c r="R235" s="652"/>
      <c r="S235" s="652"/>
      <c r="T235" s="652"/>
      <c r="U235" s="454">
        <f>+U236</f>
        <v>62870000</v>
      </c>
      <c r="V235" s="2514"/>
      <c r="W235" s="1903">
        <f>+O235+P235</f>
        <v>62870000</v>
      </c>
    </row>
    <row r="236" spans="1:23" ht="13.5" customHeight="1">
      <c r="A236" s="2429"/>
      <c r="B236" s="584" t="s">
        <v>123</v>
      </c>
      <c r="C236" s="2433" t="s">
        <v>124</v>
      </c>
      <c r="D236" s="653">
        <f>+D237</f>
        <v>109770000</v>
      </c>
      <c r="E236" s="653">
        <v>0</v>
      </c>
      <c r="F236" s="653"/>
      <c r="G236" s="653"/>
      <c r="H236" s="653"/>
      <c r="I236" s="653">
        <v>0</v>
      </c>
      <c r="J236" s="654">
        <v>0</v>
      </c>
      <c r="K236" s="655">
        <v>0</v>
      </c>
      <c r="L236" s="654">
        <f t="shared" si="285"/>
        <v>26800000</v>
      </c>
      <c r="M236" s="654">
        <f t="shared" si="285"/>
        <v>26800000</v>
      </c>
      <c r="N236" s="654">
        <f t="shared" si="285"/>
        <v>20100000</v>
      </c>
      <c r="O236" s="654">
        <f t="shared" si="285"/>
        <v>31435000</v>
      </c>
      <c r="P236" s="654">
        <f t="shared" si="285"/>
        <v>31435000</v>
      </c>
      <c r="Q236" s="656">
        <v>0</v>
      </c>
      <c r="R236" s="656"/>
      <c r="S236" s="656"/>
      <c r="T236" s="656"/>
      <c r="U236" s="657">
        <f>+U237</f>
        <v>62870000</v>
      </c>
      <c r="V236" s="2514"/>
    </row>
    <row r="237" spans="1:23" ht="13.5" customHeight="1">
      <c r="A237" s="2429"/>
      <c r="B237" s="544" t="s">
        <v>33</v>
      </c>
      <c r="C237" s="2434"/>
      <c r="D237" s="503">
        <f t="shared" ref="D237" si="286">SUM(M237:T237)</f>
        <v>109770000</v>
      </c>
      <c r="E237" s="658"/>
      <c r="F237" s="659"/>
      <c r="G237" s="658"/>
      <c r="H237" s="658"/>
      <c r="I237" s="658"/>
      <c r="J237" s="660"/>
      <c r="K237" s="661"/>
      <c r="L237" s="662">
        <f>22800000+4000000</f>
        <v>26800000</v>
      </c>
      <c r="M237" s="504">
        <f t="shared" ref="M237" si="287">+E237+I237+J237+K237+L237</f>
        <v>26800000</v>
      </c>
      <c r="N237" s="662">
        <f>17200000+2900000</f>
        <v>20100000</v>
      </c>
      <c r="O237" s="662">
        <f>70000000-56000000+17435000</f>
        <v>31435000</v>
      </c>
      <c r="P237" s="662">
        <f>56000000-24565000</f>
        <v>31435000</v>
      </c>
      <c r="Q237" s="663">
        <v>0</v>
      </c>
      <c r="R237" s="663"/>
      <c r="S237" s="663"/>
      <c r="T237" s="663"/>
      <c r="U237" s="462">
        <f t="shared" ref="U237" si="288">SUM(O237:T237)</f>
        <v>62870000</v>
      </c>
      <c r="V237" s="2514"/>
    </row>
    <row r="238" spans="1:23" s="1904" customFormat="1" ht="11.25" customHeight="1">
      <c r="A238" s="2429"/>
      <c r="B238" s="427" t="s">
        <v>34</v>
      </c>
      <c r="C238" s="428"/>
      <c r="D238" s="518">
        <f>+D239</f>
        <v>109770000</v>
      </c>
      <c r="E238" s="518">
        <v>0</v>
      </c>
      <c r="F238" s="518"/>
      <c r="G238" s="518"/>
      <c r="H238" s="518"/>
      <c r="I238" s="518">
        <v>0</v>
      </c>
      <c r="J238" s="518">
        <v>0</v>
      </c>
      <c r="K238" s="518">
        <v>0</v>
      </c>
      <c r="L238" s="518">
        <f t="shared" ref="L238:P239" si="289">+L239</f>
        <v>26800000</v>
      </c>
      <c r="M238" s="518">
        <f t="shared" si="289"/>
        <v>26800000</v>
      </c>
      <c r="N238" s="518">
        <f t="shared" si="289"/>
        <v>20100000</v>
      </c>
      <c r="O238" s="518">
        <f t="shared" si="289"/>
        <v>31435000</v>
      </c>
      <c r="P238" s="518">
        <f t="shared" si="289"/>
        <v>31435000</v>
      </c>
      <c r="Q238" s="518">
        <v>0</v>
      </c>
      <c r="R238" s="518"/>
      <c r="S238" s="518"/>
      <c r="T238" s="518"/>
      <c r="U238" s="645"/>
      <c r="V238" s="2514"/>
    </row>
    <row r="239" spans="1:23" s="1906" customFormat="1" ht="12.75" customHeight="1">
      <c r="A239" s="2430"/>
      <c r="B239" s="584" t="s">
        <v>123</v>
      </c>
      <c r="C239" s="2433" t="s">
        <v>106</v>
      </c>
      <c r="D239" s="567">
        <f>+D240</f>
        <v>109770000</v>
      </c>
      <c r="E239" s="567">
        <v>0</v>
      </c>
      <c r="F239" s="567"/>
      <c r="G239" s="567"/>
      <c r="H239" s="567"/>
      <c r="I239" s="567">
        <v>0</v>
      </c>
      <c r="J239" s="596">
        <v>0</v>
      </c>
      <c r="K239" s="655">
        <v>0</v>
      </c>
      <c r="L239" s="664">
        <f t="shared" si="289"/>
        <v>26800000</v>
      </c>
      <c r="M239" s="664">
        <f t="shared" si="289"/>
        <v>26800000</v>
      </c>
      <c r="N239" s="664">
        <f t="shared" si="289"/>
        <v>20100000</v>
      </c>
      <c r="O239" s="664">
        <f t="shared" si="289"/>
        <v>31435000</v>
      </c>
      <c r="P239" s="664">
        <f t="shared" si="289"/>
        <v>31435000</v>
      </c>
      <c r="Q239" s="567">
        <v>0</v>
      </c>
      <c r="R239" s="567"/>
      <c r="S239" s="567"/>
      <c r="T239" s="567"/>
      <c r="U239" s="2487" t="s">
        <v>35</v>
      </c>
      <c r="V239" s="2514"/>
    </row>
    <row r="240" spans="1:23" s="1906" customFormat="1" ht="12" customHeight="1" thickBot="1">
      <c r="A240" s="2431"/>
      <c r="B240" s="648" t="s">
        <v>33</v>
      </c>
      <c r="C240" s="2443"/>
      <c r="D240" s="1793">
        <f>SUM(M240:T240)</f>
        <v>109770000</v>
      </c>
      <c r="E240" s="638">
        <v>0</v>
      </c>
      <c r="F240" s="638"/>
      <c r="G240" s="638"/>
      <c r="H240" s="638"/>
      <c r="I240" s="637">
        <v>0</v>
      </c>
      <c r="J240" s="638">
        <v>0</v>
      </c>
      <c r="K240" s="665">
        <v>0</v>
      </c>
      <c r="L240" s="666">
        <f>22800000+4000000</f>
        <v>26800000</v>
      </c>
      <c r="M240" s="524">
        <f>L240+E240+I240+J240+K240</f>
        <v>26800000</v>
      </c>
      <c r="N240" s="666">
        <f>17200000+2900000</f>
        <v>20100000</v>
      </c>
      <c r="O240" s="638">
        <v>31435000</v>
      </c>
      <c r="P240" s="666">
        <f>70000000-38565000</f>
        <v>31435000</v>
      </c>
      <c r="Q240" s="638">
        <v>0</v>
      </c>
      <c r="R240" s="638"/>
      <c r="S240" s="638"/>
      <c r="T240" s="638"/>
      <c r="U240" s="2489"/>
      <c r="V240" s="2515"/>
    </row>
    <row r="241" spans="1:23" ht="26.25" customHeight="1">
      <c r="A241" s="2428" t="s">
        <v>122</v>
      </c>
      <c r="B241" s="2229" t="s">
        <v>406</v>
      </c>
      <c r="C241" s="528" t="s">
        <v>102</v>
      </c>
      <c r="D241" s="644"/>
      <c r="E241" s="612"/>
      <c r="F241" s="613"/>
      <c r="G241" s="612"/>
      <c r="H241" s="612"/>
      <c r="I241" s="612"/>
      <c r="J241" s="612"/>
      <c r="K241" s="612"/>
      <c r="L241" s="612"/>
      <c r="M241" s="612"/>
      <c r="N241" s="612"/>
      <c r="O241" s="612"/>
      <c r="P241" s="614"/>
      <c r="Q241" s="614"/>
      <c r="R241" s="614"/>
      <c r="S241" s="614"/>
      <c r="T241" s="614"/>
      <c r="U241" s="492"/>
      <c r="V241" s="2383" t="s">
        <v>373</v>
      </c>
    </row>
    <row r="242" spans="1:23" ht="13.5" customHeight="1">
      <c r="A242" s="2429"/>
      <c r="B242" s="427" t="s">
        <v>22</v>
      </c>
      <c r="C242" s="428"/>
      <c r="D242" s="533">
        <f t="shared" ref="D242:P242" si="290">+D243+D245</f>
        <v>89400</v>
      </c>
      <c r="E242" s="533">
        <f t="shared" si="290"/>
        <v>0</v>
      </c>
      <c r="F242" s="533">
        <f t="shared" si="290"/>
        <v>0</v>
      </c>
      <c r="G242" s="533">
        <f t="shared" si="290"/>
        <v>0</v>
      </c>
      <c r="H242" s="533">
        <f t="shared" si="290"/>
        <v>0</v>
      </c>
      <c r="I242" s="533">
        <f t="shared" si="290"/>
        <v>0</v>
      </c>
      <c r="J242" s="533">
        <f t="shared" si="290"/>
        <v>0</v>
      </c>
      <c r="K242" s="533">
        <f t="shared" si="290"/>
        <v>0</v>
      </c>
      <c r="L242" s="533">
        <f t="shared" si="290"/>
        <v>0</v>
      </c>
      <c r="M242" s="2230">
        <f t="shared" ref="M242" si="291">+M243+M245</f>
        <v>0</v>
      </c>
      <c r="N242" s="2230">
        <f t="shared" si="290"/>
        <v>0</v>
      </c>
      <c r="O242" s="533">
        <f t="shared" si="290"/>
        <v>89400</v>
      </c>
      <c r="P242" s="533">
        <f t="shared" si="290"/>
        <v>0</v>
      </c>
      <c r="Q242" s="533"/>
      <c r="R242" s="533"/>
      <c r="S242" s="533"/>
      <c r="T242" s="533"/>
      <c r="U242" s="535">
        <f>+U243+U245</f>
        <v>89400</v>
      </c>
      <c r="V242" s="2384"/>
      <c r="W242" s="1903">
        <f>+O242+P242</f>
        <v>89400</v>
      </c>
    </row>
    <row r="243" spans="1:23" ht="13.5" customHeight="1">
      <c r="A243" s="2429"/>
      <c r="B243" s="584" t="s">
        <v>36</v>
      </c>
      <c r="C243" s="2433" t="s">
        <v>105</v>
      </c>
      <c r="D243" s="536">
        <f>+D244</f>
        <v>0</v>
      </c>
      <c r="E243" s="536">
        <f t="shared" ref="E243:P243" si="292">+E244</f>
        <v>0</v>
      </c>
      <c r="F243" s="536">
        <f t="shared" si="292"/>
        <v>0</v>
      </c>
      <c r="G243" s="536">
        <f t="shared" si="292"/>
        <v>0</v>
      </c>
      <c r="H243" s="536">
        <f t="shared" si="292"/>
        <v>0</v>
      </c>
      <c r="I243" s="536">
        <f t="shared" si="292"/>
        <v>0</v>
      </c>
      <c r="J243" s="536">
        <f t="shared" si="292"/>
        <v>0</v>
      </c>
      <c r="K243" s="536">
        <f t="shared" si="292"/>
        <v>0</v>
      </c>
      <c r="L243" s="536">
        <f t="shared" si="292"/>
        <v>0</v>
      </c>
      <c r="M243" s="2231">
        <f t="shared" si="292"/>
        <v>0</v>
      </c>
      <c r="N243" s="2231">
        <f t="shared" si="292"/>
        <v>0</v>
      </c>
      <c r="O243" s="536">
        <f t="shared" si="292"/>
        <v>0</v>
      </c>
      <c r="P243" s="536">
        <f t="shared" si="292"/>
        <v>0</v>
      </c>
      <c r="Q243" s="536"/>
      <c r="R243" s="536"/>
      <c r="S243" s="536"/>
      <c r="T243" s="536"/>
      <c r="U243" s="557">
        <f>+U244</f>
        <v>0</v>
      </c>
      <c r="V243" s="2384"/>
      <c r="W243" s="1258"/>
    </row>
    <row r="244" spans="1:23" ht="13.5" customHeight="1">
      <c r="A244" s="2429"/>
      <c r="B244" s="585" t="s">
        <v>24</v>
      </c>
      <c r="C244" s="2435"/>
      <c r="D244" s="503">
        <f t="shared" ref="D244" si="293">SUM(M244:T244)</f>
        <v>0</v>
      </c>
      <c r="E244" s="549">
        <f>+F244+G244+H244</f>
        <v>0</v>
      </c>
      <c r="F244" s="588">
        <v>0</v>
      </c>
      <c r="G244" s="549">
        <v>0</v>
      </c>
      <c r="H244" s="549">
        <v>0</v>
      </c>
      <c r="I244" s="549">
        <f>140382-140382</f>
        <v>0</v>
      </c>
      <c r="J244" s="590">
        <v>0</v>
      </c>
      <c r="K244" s="549">
        <v>0</v>
      </c>
      <c r="L244" s="549">
        <v>0</v>
      </c>
      <c r="M244" s="2232">
        <f t="shared" ref="M244" si="294">+E244+I244+J244+K244+L244</f>
        <v>0</v>
      </c>
      <c r="N244" s="2233">
        <v>0</v>
      </c>
      <c r="O244" s="588">
        <v>0</v>
      </c>
      <c r="P244" s="588">
        <f>2050000-2050000</f>
        <v>0</v>
      </c>
      <c r="Q244" s="511"/>
      <c r="R244" s="511"/>
      <c r="S244" s="511"/>
      <c r="T244" s="511"/>
      <c r="U244" s="462">
        <f t="shared" ref="U244" si="295">SUM(O244:T244)</f>
        <v>0</v>
      </c>
      <c r="V244" s="2384"/>
    </row>
    <row r="245" spans="1:23" ht="13.5" customHeight="1">
      <c r="A245" s="2429"/>
      <c r="B245" s="574" t="s">
        <v>30</v>
      </c>
      <c r="C245" s="2435"/>
      <c r="D245" s="513">
        <f>+D246</f>
        <v>89400</v>
      </c>
      <c r="E245" s="513">
        <f t="shared" ref="E245:P245" si="296">+E246</f>
        <v>0</v>
      </c>
      <c r="F245" s="513">
        <f t="shared" si="296"/>
        <v>0</v>
      </c>
      <c r="G245" s="513">
        <f t="shared" si="296"/>
        <v>0</v>
      </c>
      <c r="H245" s="513">
        <f t="shared" si="296"/>
        <v>0</v>
      </c>
      <c r="I245" s="513">
        <f t="shared" si="296"/>
        <v>0</v>
      </c>
      <c r="J245" s="513">
        <f t="shared" si="296"/>
        <v>0</v>
      </c>
      <c r="K245" s="513">
        <f t="shared" si="296"/>
        <v>0</v>
      </c>
      <c r="L245" s="513">
        <f t="shared" si="296"/>
        <v>0</v>
      </c>
      <c r="M245" s="2102">
        <f t="shared" si="296"/>
        <v>0</v>
      </c>
      <c r="N245" s="2102">
        <f t="shared" si="296"/>
        <v>0</v>
      </c>
      <c r="O245" s="513">
        <f t="shared" si="296"/>
        <v>89400</v>
      </c>
      <c r="P245" s="513">
        <f t="shared" si="296"/>
        <v>0</v>
      </c>
      <c r="Q245" s="513"/>
      <c r="R245" s="513"/>
      <c r="S245" s="513"/>
      <c r="T245" s="513"/>
      <c r="U245" s="557">
        <f>+U246</f>
        <v>89400</v>
      </c>
      <c r="V245" s="2384"/>
    </row>
    <row r="246" spans="1:23" ht="13.5" customHeight="1">
      <c r="A246" s="2429"/>
      <c r="B246" s="517" t="s">
        <v>33</v>
      </c>
      <c r="C246" s="2435"/>
      <c r="D246" s="503">
        <f>SUM(M246:T246)</f>
        <v>89400</v>
      </c>
      <c r="E246" s="510">
        <f>+F246+G246+H246</f>
        <v>0</v>
      </c>
      <c r="F246" s="511">
        <v>0</v>
      </c>
      <c r="G246" s="511">
        <v>0</v>
      </c>
      <c r="H246" s="510">
        <v>0</v>
      </c>
      <c r="I246" s="510">
        <f>163508-163508</f>
        <v>0</v>
      </c>
      <c r="J246" s="510"/>
      <c r="K246" s="510"/>
      <c r="L246" s="510">
        <v>0</v>
      </c>
      <c r="M246" s="2232">
        <f t="shared" ref="M246" si="297">+E246+I246+J246+K246+L246</f>
        <v>0</v>
      </c>
      <c r="N246" s="1488">
        <v>0</v>
      </c>
      <c r="O246" s="510">
        <f>3750000-1425200-2235400</f>
        <v>89400</v>
      </c>
      <c r="P246" s="511">
        <v>0</v>
      </c>
      <c r="Q246" s="511"/>
      <c r="R246" s="511"/>
      <c r="S246" s="511"/>
      <c r="T246" s="511"/>
      <c r="U246" s="462">
        <f t="shared" ref="U246" si="298">SUM(O246:T246)</f>
        <v>89400</v>
      </c>
      <c r="V246" s="2384"/>
    </row>
    <row r="247" spans="1:23" s="1904" customFormat="1" ht="12.75" customHeight="1">
      <c r="A247" s="2429"/>
      <c r="B247" s="427" t="s">
        <v>34</v>
      </c>
      <c r="C247" s="428"/>
      <c r="D247" s="518">
        <f>+D248</f>
        <v>89400</v>
      </c>
      <c r="E247" s="518">
        <f t="shared" ref="E247:P248" si="299">+E248</f>
        <v>0</v>
      </c>
      <c r="F247" s="518">
        <f t="shared" si="299"/>
        <v>0</v>
      </c>
      <c r="G247" s="518">
        <f t="shared" si="299"/>
        <v>0</v>
      </c>
      <c r="H247" s="518">
        <f t="shared" si="299"/>
        <v>0</v>
      </c>
      <c r="I247" s="518">
        <f t="shared" si="299"/>
        <v>0</v>
      </c>
      <c r="J247" s="518">
        <f t="shared" si="299"/>
        <v>0</v>
      </c>
      <c r="K247" s="518">
        <f t="shared" si="299"/>
        <v>0</v>
      </c>
      <c r="L247" s="518">
        <f t="shared" si="299"/>
        <v>0</v>
      </c>
      <c r="M247" s="2104">
        <f t="shared" si="299"/>
        <v>0</v>
      </c>
      <c r="N247" s="2104">
        <f t="shared" si="299"/>
        <v>0</v>
      </c>
      <c r="O247" s="518">
        <f t="shared" si="299"/>
        <v>89400</v>
      </c>
      <c r="P247" s="518">
        <f t="shared" si="299"/>
        <v>0</v>
      </c>
      <c r="Q247" s="518"/>
      <c r="R247" s="518"/>
      <c r="S247" s="518"/>
      <c r="T247" s="518"/>
      <c r="U247" s="645"/>
      <c r="V247" s="2492"/>
    </row>
    <row r="248" spans="1:23" s="1906" customFormat="1" ht="12" customHeight="1">
      <c r="A248" s="2429"/>
      <c r="B248" s="574" t="s">
        <v>30</v>
      </c>
      <c r="C248" s="2433" t="s">
        <v>106</v>
      </c>
      <c r="D248" s="567">
        <f>+D249</f>
        <v>89400</v>
      </c>
      <c r="E248" s="567">
        <f t="shared" si="299"/>
        <v>0</v>
      </c>
      <c r="F248" s="567">
        <f t="shared" si="299"/>
        <v>0</v>
      </c>
      <c r="G248" s="567">
        <f t="shared" si="299"/>
        <v>0</v>
      </c>
      <c r="H248" s="567">
        <f t="shared" si="299"/>
        <v>0</v>
      </c>
      <c r="I248" s="567">
        <f t="shared" si="299"/>
        <v>0</v>
      </c>
      <c r="J248" s="567">
        <f t="shared" si="299"/>
        <v>0</v>
      </c>
      <c r="K248" s="567">
        <f t="shared" si="299"/>
        <v>0</v>
      </c>
      <c r="L248" s="567">
        <f t="shared" si="299"/>
        <v>0</v>
      </c>
      <c r="M248" s="2234">
        <f t="shared" si="299"/>
        <v>0</v>
      </c>
      <c r="N248" s="2234">
        <f t="shared" si="299"/>
        <v>0</v>
      </c>
      <c r="O248" s="567">
        <f t="shared" si="299"/>
        <v>89400</v>
      </c>
      <c r="P248" s="567">
        <f t="shared" si="299"/>
        <v>0</v>
      </c>
      <c r="Q248" s="567"/>
      <c r="R248" s="567"/>
      <c r="S248" s="567"/>
      <c r="T248" s="567"/>
      <c r="U248" s="2487" t="s">
        <v>35</v>
      </c>
      <c r="V248" s="2492"/>
    </row>
    <row r="249" spans="1:23" s="1906" customFormat="1" ht="14.25" customHeight="1" thickBot="1">
      <c r="A249" s="2469"/>
      <c r="B249" s="646" t="s">
        <v>33</v>
      </c>
      <c r="C249" s="2443"/>
      <c r="D249" s="1793">
        <f>SUM(M249:T249)</f>
        <v>89400</v>
      </c>
      <c r="E249" s="637">
        <f>+F249+G249+H249</f>
        <v>0</v>
      </c>
      <c r="F249" s="638">
        <v>0</v>
      </c>
      <c r="G249" s="637">
        <v>0</v>
      </c>
      <c r="H249" s="637">
        <v>0</v>
      </c>
      <c r="I249" s="637">
        <v>0</v>
      </c>
      <c r="J249" s="637">
        <v>0</v>
      </c>
      <c r="K249" s="637"/>
      <c r="L249" s="637">
        <v>0</v>
      </c>
      <c r="M249" s="1495">
        <f>L249+E249+I249+J249+K249</f>
        <v>0</v>
      </c>
      <c r="N249" s="2235">
        <v>0</v>
      </c>
      <c r="O249" s="637">
        <f>3750000-1425200-2235400</f>
        <v>89400</v>
      </c>
      <c r="P249" s="640">
        <v>0</v>
      </c>
      <c r="Q249" s="640"/>
      <c r="R249" s="640"/>
      <c r="S249" s="640"/>
      <c r="T249" s="640"/>
      <c r="U249" s="2489"/>
      <c r="V249" s="2493"/>
    </row>
    <row r="250" spans="1:23" s="1906" customFormat="1" ht="26.25" customHeight="1" thickBot="1">
      <c r="A250" s="2189"/>
      <c r="B250" s="2086" t="s">
        <v>357</v>
      </c>
      <c r="C250" s="2078"/>
      <c r="D250" s="2079"/>
      <c r="E250" s="2080"/>
      <c r="F250" s="2080"/>
      <c r="G250" s="2081"/>
      <c r="H250" s="2081"/>
      <c r="I250" s="2081"/>
      <c r="J250" s="2081"/>
      <c r="K250" s="2081"/>
      <c r="L250" s="2081"/>
      <c r="M250" s="2082"/>
      <c r="N250" s="2083"/>
      <c r="O250" s="2083"/>
      <c r="P250" s="2083"/>
      <c r="Q250" s="2083"/>
      <c r="R250" s="2083"/>
      <c r="S250" s="2083"/>
      <c r="T250" s="2083"/>
      <c r="U250" s="2084"/>
      <c r="V250" s="2085"/>
    </row>
    <row r="251" spans="1:23" s="1906" customFormat="1" ht="41.25" customHeight="1">
      <c r="A251" s="2428" t="s">
        <v>125</v>
      </c>
      <c r="B251" s="527" t="s">
        <v>425</v>
      </c>
      <c r="C251" s="528" t="s">
        <v>102</v>
      </c>
      <c r="D251" s="529"/>
      <c r="E251" s="530"/>
      <c r="F251" s="530"/>
      <c r="G251" s="531"/>
      <c r="H251" s="531"/>
      <c r="I251" s="489"/>
      <c r="J251" s="489"/>
      <c r="K251" s="489"/>
      <c r="L251" s="489"/>
      <c r="M251" s="491"/>
      <c r="N251" s="491"/>
      <c r="O251" s="491"/>
      <c r="P251" s="491"/>
      <c r="Q251" s="491"/>
      <c r="R251" s="491"/>
      <c r="S251" s="491"/>
      <c r="T251" s="491"/>
      <c r="U251" s="583"/>
      <c r="V251" s="493"/>
    </row>
    <row r="252" spans="1:23" s="1906" customFormat="1" ht="14.25" customHeight="1">
      <c r="A252" s="2429"/>
      <c r="B252" s="452" t="s">
        <v>22</v>
      </c>
      <c r="C252" s="428"/>
      <c r="D252" s="533">
        <f>+D253+D257</f>
        <v>12795810</v>
      </c>
      <c r="E252" s="534">
        <f t="shared" ref="E252:P252" si="300">+E253+E257</f>
        <v>0</v>
      </c>
      <c r="F252" s="534">
        <f t="shared" si="300"/>
        <v>0</v>
      </c>
      <c r="G252" s="534">
        <f t="shared" si="300"/>
        <v>0</v>
      </c>
      <c r="H252" s="534">
        <f t="shared" si="300"/>
        <v>0</v>
      </c>
      <c r="I252" s="534">
        <f t="shared" si="300"/>
        <v>0</v>
      </c>
      <c r="J252" s="534">
        <f>+J253+J257</f>
        <v>0</v>
      </c>
      <c r="K252" s="534">
        <f t="shared" si="300"/>
        <v>0</v>
      </c>
      <c r="L252" s="534">
        <f t="shared" si="300"/>
        <v>0</v>
      </c>
      <c r="M252" s="534">
        <f t="shared" ref="M252" si="301">+M253+M257</f>
        <v>95810</v>
      </c>
      <c r="N252" s="534">
        <f t="shared" si="300"/>
        <v>354249</v>
      </c>
      <c r="O252" s="534">
        <f t="shared" si="300"/>
        <v>1000000</v>
      </c>
      <c r="P252" s="534">
        <f t="shared" si="300"/>
        <v>11345751</v>
      </c>
      <c r="Q252" s="534"/>
      <c r="R252" s="534"/>
      <c r="S252" s="534"/>
      <c r="T252" s="534"/>
      <c r="U252" s="454">
        <f>U253+U257</f>
        <v>12345751</v>
      </c>
      <c r="V252" s="2384" t="s">
        <v>108</v>
      </c>
    </row>
    <row r="253" spans="1:23" s="1906" customFormat="1" ht="14.25" customHeight="1">
      <c r="A253" s="2429"/>
      <c r="B253" s="498" t="s">
        <v>36</v>
      </c>
      <c r="C253" s="2433" t="s">
        <v>105</v>
      </c>
      <c r="D253" s="536">
        <f>+D254+D255+D256</f>
        <v>2000810</v>
      </c>
      <c r="E253" s="536">
        <f>+E254+E255</f>
        <v>0</v>
      </c>
      <c r="F253" s="536">
        <f>+F254+F255</f>
        <v>0</v>
      </c>
      <c r="G253" s="536">
        <f>+G254+G255</f>
        <v>0</v>
      </c>
      <c r="H253" s="536">
        <f>+H254+H255</f>
        <v>0</v>
      </c>
      <c r="I253" s="536">
        <f>+I254+I255</f>
        <v>0</v>
      </c>
      <c r="J253" s="536">
        <f t="shared" ref="J253:P253" si="302">+J254+J255+J256</f>
        <v>0</v>
      </c>
      <c r="K253" s="536">
        <f t="shared" si="302"/>
        <v>0</v>
      </c>
      <c r="L253" s="536">
        <f t="shared" si="302"/>
        <v>0</v>
      </c>
      <c r="M253" s="536">
        <f>+M254+M255+M256</f>
        <v>95810</v>
      </c>
      <c r="N253" s="536">
        <f t="shared" si="302"/>
        <v>53137</v>
      </c>
      <c r="O253" s="536">
        <f t="shared" si="302"/>
        <v>150000</v>
      </c>
      <c r="P253" s="536">
        <f t="shared" si="302"/>
        <v>1701863</v>
      </c>
      <c r="Q253" s="536"/>
      <c r="R253" s="536"/>
      <c r="S253" s="536"/>
      <c r="T253" s="536"/>
      <c r="U253" s="657">
        <f>U254</f>
        <v>1851863</v>
      </c>
      <c r="V253" s="2384"/>
    </row>
    <row r="254" spans="1:23" s="2168" customFormat="1" ht="13.5" customHeight="1">
      <c r="A254" s="2429"/>
      <c r="B254" s="539" t="s">
        <v>24</v>
      </c>
      <c r="C254" s="2434"/>
      <c r="D254" s="503">
        <f t="shared" ref="D254:D256" si="303">SUM(M254:T254)</f>
        <v>2000810</v>
      </c>
      <c r="E254" s="540">
        <v>0</v>
      </c>
      <c r="F254" s="540"/>
      <c r="G254" s="540"/>
      <c r="H254" s="540"/>
      <c r="I254" s="540"/>
      <c r="J254" s="540"/>
      <c r="K254" s="540"/>
      <c r="L254" s="540"/>
      <c r="M254" s="540">
        <v>95810</v>
      </c>
      <c r="N254" s="540">
        <v>53137</v>
      </c>
      <c r="O254" s="540">
        <v>150000</v>
      </c>
      <c r="P254" s="540">
        <v>1701863</v>
      </c>
      <c r="Q254" s="540"/>
      <c r="R254" s="540"/>
      <c r="S254" s="540"/>
      <c r="T254" s="540"/>
      <c r="U254" s="2100">
        <f t="shared" ref="U254" si="304">SUM(O254:T254)</f>
        <v>1851863</v>
      </c>
      <c r="V254" s="2384"/>
    </row>
    <row r="255" spans="1:23" s="1906" customFormat="1" ht="14.25" hidden="1" customHeight="1">
      <c r="A255" s="2429"/>
      <c r="B255" s="539" t="s">
        <v>29</v>
      </c>
      <c r="C255" s="2435"/>
      <c r="D255" s="503">
        <f t="shared" si="303"/>
        <v>0</v>
      </c>
      <c r="E255" s="508">
        <f>+F255+G255+H255</f>
        <v>0</v>
      </c>
      <c r="F255" s="508"/>
      <c r="G255" s="542"/>
      <c r="H255" s="542"/>
      <c r="I255" s="542"/>
      <c r="J255" s="542"/>
      <c r="K255" s="542"/>
      <c r="L255" s="508">
        <v>0</v>
      </c>
      <c r="M255" s="508"/>
      <c r="N255" s="508">
        <v>0</v>
      </c>
      <c r="O255" s="508">
        <v>0</v>
      </c>
      <c r="P255" s="508">
        <v>0</v>
      </c>
      <c r="Q255" s="516"/>
      <c r="R255" s="508"/>
      <c r="S255" s="508"/>
      <c r="T255" s="508"/>
      <c r="U255" s="2100"/>
      <c r="V255" s="2384"/>
    </row>
    <row r="256" spans="1:23" s="1906" customFormat="1" ht="14.25" hidden="1" customHeight="1">
      <c r="A256" s="2429"/>
      <c r="B256" s="539" t="s">
        <v>27</v>
      </c>
      <c r="C256" s="2435"/>
      <c r="D256" s="503">
        <f t="shared" si="303"/>
        <v>0</v>
      </c>
      <c r="E256" s="508">
        <v>0</v>
      </c>
      <c r="F256" s="508"/>
      <c r="G256" s="542"/>
      <c r="H256" s="542"/>
      <c r="I256" s="542">
        <v>0</v>
      </c>
      <c r="J256" s="542"/>
      <c r="K256" s="542"/>
      <c r="L256" s="508">
        <v>0</v>
      </c>
      <c r="M256" s="508"/>
      <c r="N256" s="508">
        <v>0</v>
      </c>
      <c r="O256" s="508">
        <v>0</v>
      </c>
      <c r="P256" s="508">
        <v>0</v>
      </c>
      <c r="Q256" s="516"/>
      <c r="R256" s="508"/>
      <c r="S256" s="508"/>
      <c r="T256" s="508"/>
      <c r="U256" s="2100"/>
      <c r="V256" s="2384"/>
    </row>
    <row r="257" spans="1:23" s="2068" customFormat="1" ht="14.25" customHeight="1">
      <c r="A257" s="2429"/>
      <c r="B257" s="2101" t="s">
        <v>30</v>
      </c>
      <c r="C257" s="2435"/>
      <c r="D257" s="513">
        <f>+D258</f>
        <v>10795000</v>
      </c>
      <c r="E257" s="513">
        <f t="shared" ref="E257:P257" si="305">+E258</f>
        <v>0</v>
      </c>
      <c r="F257" s="513">
        <f t="shared" si="305"/>
        <v>0</v>
      </c>
      <c r="G257" s="513">
        <f t="shared" si="305"/>
        <v>0</v>
      </c>
      <c r="H257" s="513">
        <f t="shared" si="305"/>
        <v>0</v>
      </c>
      <c r="I257" s="513">
        <f t="shared" si="305"/>
        <v>0</v>
      </c>
      <c r="J257" s="513">
        <f t="shared" si="305"/>
        <v>0</v>
      </c>
      <c r="K257" s="513">
        <f t="shared" si="305"/>
        <v>0</v>
      </c>
      <c r="L257" s="513">
        <f t="shared" si="305"/>
        <v>0</v>
      </c>
      <c r="M257" s="2102">
        <f t="shared" si="305"/>
        <v>0</v>
      </c>
      <c r="N257" s="513">
        <f t="shared" si="305"/>
        <v>301112</v>
      </c>
      <c r="O257" s="513">
        <f t="shared" si="305"/>
        <v>850000</v>
      </c>
      <c r="P257" s="513">
        <f t="shared" si="305"/>
        <v>9643888</v>
      </c>
      <c r="Q257" s="513"/>
      <c r="R257" s="513"/>
      <c r="S257" s="513"/>
      <c r="T257" s="514"/>
      <c r="U257" s="657">
        <f>U258</f>
        <v>10493888</v>
      </c>
      <c r="V257" s="2384"/>
    </row>
    <row r="258" spans="1:23" s="1906" customFormat="1" ht="12.75" customHeight="1">
      <c r="A258" s="2429"/>
      <c r="B258" s="544" t="s">
        <v>33</v>
      </c>
      <c r="C258" s="2436"/>
      <c r="D258" s="503">
        <f t="shared" ref="D258" si="306">SUM(M258:T258)</f>
        <v>10795000</v>
      </c>
      <c r="E258" s="508">
        <f>+F258+G258+H258</f>
        <v>0</v>
      </c>
      <c r="F258" s="508">
        <v>0</v>
      </c>
      <c r="G258" s="542"/>
      <c r="H258" s="542"/>
      <c r="I258" s="542"/>
      <c r="J258" s="542"/>
      <c r="K258" s="542"/>
      <c r="L258" s="508"/>
      <c r="M258" s="2103">
        <v>0</v>
      </c>
      <c r="N258" s="508">
        <v>301112</v>
      </c>
      <c r="O258" s="508">
        <v>850000</v>
      </c>
      <c r="P258" s="508">
        <v>9643888</v>
      </c>
      <c r="Q258" s="516"/>
      <c r="R258" s="508"/>
      <c r="S258" s="508"/>
      <c r="T258" s="508"/>
      <c r="U258" s="2100">
        <f t="shared" ref="U258" si="307">SUM(O258:T258)</f>
        <v>10493888</v>
      </c>
      <c r="V258" s="2432"/>
    </row>
    <row r="259" spans="1:23" s="1906" customFormat="1" ht="14.25" customHeight="1">
      <c r="A259" s="2430"/>
      <c r="B259" s="452" t="s">
        <v>34</v>
      </c>
      <c r="C259" s="428"/>
      <c r="D259" s="518">
        <f>+D263+D260</f>
        <v>10795000</v>
      </c>
      <c r="E259" s="518">
        <f t="shared" ref="E259:M259" si="308">+E263+E260</f>
        <v>0</v>
      </c>
      <c r="F259" s="518">
        <f t="shared" si="308"/>
        <v>0</v>
      </c>
      <c r="G259" s="518">
        <f t="shared" si="308"/>
        <v>0</v>
      </c>
      <c r="H259" s="518">
        <f t="shared" si="308"/>
        <v>0</v>
      </c>
      <c r="I259" s="518">
        <f t="shared" si="308"/>
        <v>0</v>
      </c>
      <c r="J259" s="518">
        <f t="shared" si="308"/>
        <v>0</v>
      </c>
      <c r="K259" s="518">
        <f t="shared" si="308"/>
        <v>0</v>
      </c>
      <c r="L259" s="518">
        <f t="shared" si="308"/>
        <v>0</v>
      </c>
      <c r="M259" s="2104">
        <f t="shared" si="308"/>
        <v>0</v>
      </c>
      <c r="N259" s="2104">
        <f t="shared" ref="N259:P259" si="309">+N263+N260</f>
        <v>0</v>
      </c>
      <c r="O259" s="2104">
        <f t="shared" si="309"/>
        <v>0</v>
      </c>
      <c r="P259" s="518">
        <f t="shared" si="309"/>
        <v>10145000</v>
      </c>
      <c r="Q259" s="518">
        <f t="shared" ref="Q259" si="310">+Q263+Q260</f>
        <v>650000</v>
      </c>
      <c r="R259" s="518"/>
      <c r="S259" s="518"/>
      <c r="T259" s="518"/>
      <c r="U259" s="2437" t="s">
        <v>35</v>
      </c>
      <c r="V259" s="2440" t="s">
        <v>129</v>
      </c>
    </row>
    <row r="260" spans="1:23" s="1906" customFormat="1" ht="14.25" hidden="1" customHeight="1">
      <c r="A260" s="2430"/>
      <c r="B260" s="498" t="s">
        <v>36</v>
      </c>
      <c r="C260" s="2433" t="s">
        <v>351</v>
      </c>
      <c r="D260" s="519">
        <f>+D261+D262</f>
        <v>0</v>
      </c>
      <c r="E260" s="519">
        <f t="shared" ref="E260:M260" si="311">+E261+E262</f>
        <v>0</v>
      </c>
      <c r="F260" s="519">
        <f t="shared" si="311"/>
        <v>0</v>
      </c>
      <c r="G260" s="519">
        <f t="shared" si="311"/>
        <v>0</v>
      </c>
      <c r="H260" s="519">
        <f t="shared" si="311"/>
        <v>0</v>
      </c>
      <c r="I260" s="519">
        <f t="shared" si="311"/>
        <v>0</v>
      </c>
      <c r="J260" s="519">
        <f t="shared" si="311"/>
        <v>0</v>
      </c>
      <c r="K260" s="519">
        <f t="shared" si="311"/>
        <v>0</v>
      </c>
      <c r="L260" s="519">
        <f t="shared" si="311"/>
        <v>0</v>
      </c>
      <c r="M260" s="2105">
        <f t="shared" si="311"/>
        <v>0</v>
      </c>
      <c r="N260" s="2105">
        <f t="shared" ref="N260:P260" si="312">+N261+N262</f>
        <v>0</v>
      </c>
      <c r="O260" s="2105">
        <f t="shared" si="312"/>
        <v>0</v>
      </c>
      <c r="P260" s="519">
        <f t="shared" si="312"/>
        <v>0</v>
      </c>
      <c r="Q260" s="519">
        <f t="shared" ref="Q260" si="313">+Q261+Q262</f>
        <v>0</v>
      </c>
      <c r="R260" s="519"/>
      <c r="S260" s="519"/>
      <c r="T260" s="519"/>
      <c r="U260" s="2438"/>
      <c r="V260" s="2441"/>
    </row>
    <row r="261" spans="1:23" s="1906" customFormat="1" ht="14.25" hidden="1" customHeight="1">
      <c r="A261" s="2430"/>
      <c r="B261" s="539" t="s">
        <v>29</v>
      </c>
      <c r="C261" s="2434"/>
      <c r="D261" s="520">
        <f>+E261+I261+J261+K261+L261+N261+O261</f>
        <v>0</v>
      </c>
      <c r="E261" s="520">
        <f t="shared" ref="E261:K261" si="314">+F261+J261+K261+L261+M261+O261+P261</f>
        <v>0</v>
      </c>
      <c r="F261" s="520">
        <f t="shared" si="314"/>
        <v>0</v>
      </c>
      <c r="G261" s="520">
        <f t="shared" si="314"/>
        <v>0</v>
      </c>
      <c r="H261" s="520">
        <f t="shared" si="314"/>
        <v>0</v>
      </c>
      <c r="I261" s="520">
        <f t="shared" si="314"/>
        <v>0</v>
      </c>
      <c r="J261" s="520">
        <f t="shared" si="314"/>
        <v>0</v>
      </c>
      <c r="K261" s="520">
        <f t="shared" si="314"/>
        <v>0</v>
      </c>
      <c r="L261" s="520">
        <f>+M261+Q261+R261+S261+T261+V261+W261</f>
        <v>0</v>
      </c>
      <c r="M261" s="2106">
        <f>+N261+R261+S261+T261+U261+W261+X261</f>
        <v>0</v>
      </c>
      <c r="N261" s="2107">
        <v>0</v>
      </c>
      <c r="O261" s="2107">
        <v>0</v>
      </c>
      <c r="P261" s="521">
        <v>0</v>
      </c>
      <c r="Q261" s="521">
        <v>0</v>
      </c>
      <c r="R261" s="521"/>
      <c r="S261" s="521"/>
      <c r="T261" s="521"/>
      <c r="U261" s="2438"/>
      <c r="V261" s="2441"/>
    </row>
    <row r="262" spans="1:23" s="1906" customFormat="1" ht="14.25" hidden="1" customHeight="1">
      <c r="A262" s="2430"/>
      <c r="B262" s="539" t="s">
        <v>27</v>
      </c>
      <c r="C262" s="2434"/>
      <c r="D262" s="520">
        <f>+E262+I262+J262+K262+L262+N262+O262</f>
        <v>0</v>
      </c>
      <c r="E262" s="520">
        <f t="shared" ref="E262:K262" si="315">+F262+J262+K262+L262+M262+O262+P262</f>
        <v>0</v>
      </c>
      <c r="F262" s="520">
        <f t="shared" si="315"/>
        <v>0</v>
      </c>
      <c r="G262" s="520">
        <f t="shared" si="315"/>
        <v>0</v>
      </c>
      <c r="H262" s="520">
        <f t="shared" si="315"/>
        <v>0</v>
      </c>
      <c r="I262" s="520">
        <f t="shared" si="315"/>
        <v>0</v>
      </c>
      <c r="J262" s="520">
        <f t="shared" si="315"/>
        <v>0</v>
      </c>
      <c r="K262" s="520">
        <f t="shared" si="315"/>
        <v>0</v>
      </c>
      <c r="L262" s="520">
        <f>+M262+Q262+R262+S262+T262+V262+W262</f>
        <v>0</v>
      </c>
      <c r="M262" s="2106">
        <f>+N262+R262+S262+T262+U262+W262+X262</f>
        <v>0</v>
      </c>
      <c r="N262" s="2106">
        <v>0</v>
      </c>
      <c r="O262" s="2106">
        <v>0</v>
      </c>
      <c r="P262" s="520">
        <v>0</v>
      </c>
      <c r="Q262" s="520">
        <v>0</v>
      </c>
      <c r="R262" s="520"/>
      <c r="S262" s="520"/>
      <c r="T262" s="520"/>
      <c r="U262" s="2438"/>
      <c r="V262" s="2441"/>
    </row>
    <row r="263" spans="1:23" s="2068" customFormat="1" ht="14.25" customHeight="1">
      <c r="A263" s="2430"/>
      <c r="B263" s="2101" t="s">
        <v>30</v>
      </c>
      <c r="C263" s="2434"/>
      <c r="D263" s="513">
        <f>+D265+D264</f>
        <v>10795000</v>
      </c>
      <c r="E263" s="513">
        <f t="shared" ref="E263:M263" si="316">+E265+E264</f>
        <v>0</v>
      </c>
      <c r="F263" s="513">
        <f t="shared" si="316"/>
        <v>0</v>
      </c>
      <c r="G263" s="513">
        <f t="shared" si="316"/>
        <v>0</v>
      </c>
      <c r="H263" s="513">
        <f t="shared" si="316"/>
        <v>0</v>
      </c>
      <c r="I263" s="513">
        <f t="shared" si="316"/>
        <v>0</v>
      </c>
      <c r="J263" s="513">
        <f t="shared" si="316"/>
        <v>0</v>
      </c>
      <c r="K263" s="513">
        <f t="shared" si="316"/>
        <v>0</v>
      </c>
      <c r="L263" s="513">
        <f t="shared" si="316"/>
        <v>0</v>
      </c>
      <c r="M263" s="2102">
        <f t="shared" si="316"/>
        <v>0</v>
      </c>
      <c r="N263" s="2102">
        <f t="shared" ref="N263:P263" si="317">+N265+N264</f>
        <v>0</v>
      </c>
      <c r="O263" s="2102">
        <f t="shared" si="317"/>
        <v>0</v>
      </c>
      <c r="P263" s="513">
        <f t="shared" si="317"/>
        <v>10145000</v>
      </c>
      <c r="Q263" s="513">
        <f t="shared" ref="Q263" si="318">+Q265+Q264</f>
        <v>650000</v>
      </c>
      <c r="R263" s="520"/>
      <c r="S263" s="520"/>
      <c r="T263" s="520"/>
      <c r="U263" s="2438"/>
      <c r="V263" s="2441"/>
    </row>
    <row r="264" spans="1:23" s="1906" customFormat="1" ht="14.25" hidden="1" customHeight="1">
      <c r="A264" s="2430"/>
      <c r="B264" s="539" t="s">
        <v>29</v>
      </c>
      <c r="C264" s="2434"/>
      <c r="D264" s="521">
        <f>+E264+I264+J264+K264+L264</f>
        <v>0</v>
      </c>
      <c r="E264" s="508">
        <v>0</v>
      </c>
      <c r="F264" s="508"/>
      <c r="G264" s="542"/>
      <c r="H264" s="542"/>
      <c r="I264" s="542">
        <v>0</v>
      </c>
      <c r="J264" s="542">
        <v>0</v>
      </c>
      <c r="K264" s="542">
        <v>0</v>
      </c>
      <c r="L264" s="508">
        <v>0</v>
      </c>
      <c r="M264" s="2103"/>
      <c r="N264" s="2103">
        <v>0</v>
      </c>
      <c r="O264" s="2103">
        <v>0</v>
      </c>
      <c r="P264" s="508">
        <v>0</v>
      </c>
      <c r="Q264" s="508"/>
      <c r="R264" s="520"/>
      <c r="S264" s="520"/>
      <c r="T264" s="520"/>
      <c r="U264" s="2438"/>
      <c r="V264" s="2441"/>
    </row>
    <row r="265" spans="1:23" s="2069" customFormat="1" ht="14.25" customHeight="1" thickBot="1">
      <c r="A265" s="2431"/>
      <c r="B265" s="2108" t="s">
        <v>33</v>
      </c>
      <c r="C265" s="2443"/>
      <c r="D265" s="1538">
        <f t="shared" ref="D265" si="319">SUM(M265:T265)</f>
        <v>10795000</v>
      </c>
      <c r="E265" s="2109">
        <f>+F265+G265+H265</f>
        <v>0</v>
      </c>
      <c r="F265" s="2110"/>
      <c r="G265" s="2109"/>
      <c r="H265" s="2109"/>
      <c r="I265" s="2109">
        <v>0</v>
      </c>
      <c r="J265" s="2109"/>
      <c r="K265" s="2109"/>
      <c r="L265" s="2109"/>
      <c r="M265" s="2111">
        <v>0</v>
      </c>
      <c r="N265" s="2111">
        <v>0</v>
      </c>
      <c r="O265" s="2111">
        <v>0</v>
      </c>
      <c r="P265" s="2109">
        <v>10145000</v>
      </c>
      <c r="Q265" s="2109">
        <v>650000</v>
      </c>
      <c r="R265" s="2112"/>
      <c r="S265" s="2112"/>
      <c r="T265" s="2112"/>
      <c r="U265" s="2439"/>
      <c r="V265" s="2442"/>
    </row>
    <row r="266" spans="1:23" ht="27" customHeight="1">
      <c r="A266" s="2428" t="s">
        <v>127</v>
      </c>
      <c r="B266" s="548" t="s">
        <v>426</v>
      </c>
      <c r="C266" s="528" t="s">
        <v>102</v>
      </c>
      <c r="D266" s="644"/>
      <c r="E266" s="612"/>
      <c r="F266" s="613"/>
      <c r="G266" s="612"/>
      <c r="H266" s="612"/>
      <c r="I266" s="612"/>
      <c r="J266" s="612"/>
      <c r="K266" s="612"/>
      <c r="L266" s="612"/>
      <c r="M266" s="612"/>
      <c r="N266" s="612"/>
      <c r="O266" s="612"/>
      <c r="P266" s="614"/>
      <c r="Q266" s="614"/>
      <c r="R266" s="614"/>
      <c r="S266" s="614"/>
      <c r="T266" s="614"/>
      <c r="U266" s="492"/>
      <c r="V266" s="594"/>
    </row>
    <row r="267" spans="1:23" ht="13.5" customHeight="1">
      <c r="A267" s="2429"/>
      <c r="B267" s="427" t="s">
        <v>22</v>
      </c>
      <c r="C267" s="428"/>
      <c r="D267" s="533">
        <f>+D268+D270</f>
        <v>14920489</v>
      </c>
      <c r="E267" s="533">
        <f t="shared" ref="E267:P267" si="320">+E268+E270</f>
        <v>0</v>
      </c>
      <c r="F267" s="533">
        <f t="shared" si="320"/>
        <v>0</v>
      </c>
      <c r="G267" s="533">
        <f t="shared" si="320"/>
        <v>0</v>
      </c>
      <c r="H267" s="533">
        <f t="shared" si="320"/>
        <v>0</v>
      </c>
      <c r="I267" s="533">
        <f t="shared" si="320"/>
        <v>0</v>
      </c>
      <c r="J267" s="533">
        <f>+J268+J270</f>
        <v>0</v>
      </c>
      <c r="K267" s="533">
        <f>+K268+K270</f>
        <v>57340</v>
      </c>
      <c r="L267" s="533">
        <f t="shared" si="320"/>
        <v>177432</v>
      </c>
      <c r="M267" s="533">
        <f t="shared" ref="M267" si="321">+M268+M270</f>
        <v>234772</v>
      </c>
      <c r="N267" s="533">
        <f>+N268+N270</f>
        <v>1985717</v>
      </c>
      <c r="O267" s="2230">
        <f t="shared" si="320"/>
        <v>0</v>
      </c>
      <c r="P267" s="533">
        <f t="shared" si="320"/>
        <v>12700000</v>
      </c>
      <c r="Q267" s="533"/>
      <c r="R267" s="533"/>
      <c r="S267" s="533"/>
      <c r="T267" s="533"/>
      <c r="U267" s="535">
        <f>+U268+U270</f>
        <v>12700000</v>
      </c>
      <c r="V267" s="2384" t="s">
        <v>108</v>
      </c>
      <c r="W267" s="1258"/>
    </row>
    <row r="268" spans="1:23" ht="13.5" customHeight="1">
      <c r="A268" s="2429"/>
      <c r="B268" s="584" t="s">
        <v>36</v>
      </c>
      <c r="C268" s="2433" t="s">
        <v>105</v>
      </c>
      <c r="D268" s="536">
        <f>+D269</f>
        <v>2476830</v>
      </c>
      <c r="E268" s="536">
        <f t="shared" ref="E268:P268" si="322">+E269</f>
        <v>0</v>
      </c>
      <c r="F268" s="536">
        <f t="shared" si="322"/>
        <v>0</v>
      </c>
      <c r="G268" s="536">
        <f t="shared" si="322"/>
        <v>0</v>
      </c>
      <c r="H268" s="536">
        <f t="shared" si="322"/>
        <v>0</v>
      </c>
      <c r="I268" s="536">
        <f t="shared" si="322"/>
        <v>0</v>
      </c>
      <c r="J268" s="536">
        <f t="shared" si="322"/>
        <v>0</v>
      </c>
      <c r="K268" s="536">
        <f t="shared" si="322"/>
        <v>57340</v>
      </c>
      <c r="L268" s="536">
        <f t="shared" si="322"/>
        <v>177432</v>
      </c>
      <c r="M268" s="536">
        <f t="shared" si="322"/>
        <v>234772</v>
      </c>
      <c r="N268" s="536">
        <f t="shared" si="322"/>
        <v>337058</v>
      </c>
      <c r="O268" s="2231">
        <f t="shared" si="322"/>
        <v>0</v>
      </c>
      <c r="P268" s="536">
        <f t="shared" si="322"/>
        <v>1905000</v>
      </c>
      <c r="Q268" s="536"/>
      <c r="R268" s="536"/>
      <c r="S268" s="536"/>
      <c r="T268" s="536"/>
      <c r="U268" s="557">
        <f>+U269</f>
        <v>1905000</v>
      </c>
      <c r="V268" s="2384"/>
      <c r="W268" s="1258"/>
    </row>
    <row r="269" spans="1:23" ht="13.5" customHeight="1">
      <c r="A269" s="2429"/>
      <c r="B269" s="558" t="s">
        <v>24</v>
      </c>
      <c r="C269" s="2435"/>
      <c r="D269" s="503">
        <f>SUM(M269:T269)</f>
        <v>2476830</v>
      </c>
      <c r="E269" s="510">
        <f>+F269+G269+H269</f>
        <v>0</v>
      </c>
      <c r="F269" s="511">
        <v>0</v>
      </c>
      <c r="G269" s="510">
        <v>0</v>
      </c>
      <c r="H269" s="510">
        <v>0</v>
      </c>
      <c r="I269" s="510">
        <f>140382-140382</f>
        <v>0</v>
      </c>
      <c r="J269" s="510">
        <v>0</v>
      </c>
      <c r="K269" s="510">
        <v>57340</v>
      </c>
      <c r="L269" s="549">
        <f>2252660-1000000-1027660-1450-46118</f>
        <v>177432</v>
      </c>
      <c r="M269" s="504">
        <f t="shared" ref="M269" si="323">+E269+I269+J269+K269+L269</f>
        <v>234772</v>
      </c>
      <c r="N269" s="549">
        <f>1000000+820000+180000-60401-1648659+46118</f>
        <v>337058</v>
      </c>
      <c r="O269" s="1488">
        <v>0</v>
      </c>
      <c r="P269" s="511">
        <v>1905000</v>
      </c>
      <c r="Q269" s="511"/>
      <c r="R269" s="511"/>
      <c r="S269" s="511"/>
      <c r="T269" s="511"/>
      <c r="U269" s="462">
        <f>SUM(O269:T269)</f>
        <v>1905000</v>
      </c>
      <c r="V269" s="2384"/>
    </row>
    <row r="270" spans="1:23" ht="12.75" customHeight="1">
      <c r="A270" s="2429"/>
      <c r="B270" s="574" t="s">
        <v>30</v>
      </c>
      <c r="C270" s="2435"/>
      <c r="D270" s="513">
        <f>+D271</f>
        <v>12443659</v>
      </c>
      <c r="E270" s="513">
        <f t="shared" ref="E270:P270" si="324">+E271</f>
        <v>0</v>
      </c>
      <c r="F270" s="513">
        <f t="shared" si="324"/>
        <v>0</v>
      </c>
      <c r="G270" s="513">
        <f t="shared" si="324"/>
        <v>0</v>
      </c>
      <c r="H270" s="513">
        <f t="shared" si="324"/>
        <v>0</v>
      </c>
      <c r="I270" s="513">
        <f t="shared" si="324"/>
        <v>0</v>
      </c>
      <c r="J270" s="513">
        <f t="shared" si="324"/>
        <v>0</v>
      </c>
      <c r="K270" s="513">
        <f t="shared" si="324"/>
        <v>0</v>
      </c>
      <c r="L270" s="513">
        <f t="shared" si="324"/>
        <v>0</v>
      </c>
      <c r="M270" s="2102">
        <f t="shared" si="324"/>
        <v>0</v>
      </c>
      <c r="N270" s="513">
        <f t="shared" si="324"/>
        <v>1648659</v>
      </c>
      <c r="O270" s="2102">
        <f t="shared" si="324"/>
        <v>0</v>
      </c>
      <c r="P270" s="513">
        <f t="shared" si="324"/>
        <v>10795000</v>
      </c>
      <c r="Q270" s="513"/>
      <c r="R270" s="513"/>
      <c r="S270" s="513"/>
      <c r="T270" s="513"/>
      <c r="U270" s="557">
        <f>+U271</f>
        <v>10795000</v>
      </c>
      <c r="V270" s="2384"/>
    </row>
    <row r="271" spans="1:23">
      <c r="A271" s="2429"/>
      <c r="B271" s="544" t="s">
        <v>33</v>
      </c>
      <c r="C271" s="2435"/>
      <c r="D271" s="503">
        <f t="shared" ref="D271" si="325">SUM(M271:T271)</f>
        <v>12443659</v>
      </c>
      <c r="E271" s="510">
        <f>+F271+G271+H271</f>
        <v>0</v>
      </c>
      <c r="F271" s="511">
        <v>0</v>
      </c>
      <c r="G271" s="511">
        <v>0</v>
      </c>
      <c r="H271" s="510">
        <v>0</v>
      </c>
      <c r="I271" s="510">
        <f>163508-163508</f>
        <v>0</v>
      </c>
      <c r="J271" s="510"/>
      <c r="K271" s="510"/>
      <c r="L271" s="510">
        <v>0</v>
      </c>
      <c r="M271" s="2232">
        <f t="shared" ref="M271" si="326">+E271+I271+J271+K271+L271</f>
        <v>0</v>
      </c>
      <c r="N271" s="510">
        <v>1648659</v>
      </c>
      <c r="O271" s="1488">
        <v>0</v>
      </c>
      <c r="P271" s="511">
        <v>10795000</v>
      </c>
      <c r="Q271" s="511"/>
      <c r="R271" s="511"/>
      <c r="S271" s="511"/>
      <c r="T271" s="511"/>
      <c r="U271" s="462">
        <f t="shared" ref="U271" si="327">SUM(O271:T271)</f>
        <v>10795000</v>
      </c>
      <c r="V271" s="2432"/>
    </row>
    <row r="272" spans="1:23" s="1904" customFormat="1" ht="12.75" customHeight="1">
      <c r="A272" s="2430"/>
      <c r="B272" s="561" t="s">
        <v>34</v>
      </c>
      <c r="C272" s="428"/>
      <c r="D272" s="518">
        <f>+D273</f>
        <v>12443659</v>
      </c>
      <c r="E272" s="518">
        <f t="shared" ref="E272:Q273" si="328">+E273</f>
        <v>0</v>
      </c>
      <c r="F272" s="518">
        <f t="shared" si="328"/>
        <v>0</v>
      </c>
      <c r="G272" s="518">
        <f t="shared" si="328"/>
        <v>0</v>
      </c>
      <c r="H272" s="518">
        <f t="shared" si="328"/>
        <v>0</v>
      </c>
      <c r="I272" s="518">
        <f t="shared" si="328"/>
        <v>0</v>
      </c>
      <c r="J272" s="518">
        <f t="shared" si="328"/>
        <v>0</v>
      </c>
      <c r="K272" s="518">
        <f t="shared" si="328"/>
        <v>0</v>
      </c>
      <c r="L272" s="518">
        <f t="shared" si="328"/>
        <v>0</v>
      </c>
      <c r="M272" s="2104">
        <f t="shared" si="328"/>
        <v>0</v>
      </c>
      <c r="N272" s="2104">
        <f t="shared" si="328"/>
        <v>0</v>
      </c>
      <c r="O272" s="2104">
        <f t="shared" si="328"/>
        <v>0</v>
      </c>
      <c r="P272" s="518">
        <f t="shared" si="328"/>
        <v>11693659</v>
      </c>
      <c r="Q272" s="518">
        <f t="shared" si="328"/>
        <v>750000</v>
      </c>
      <c r="R272" s="518"/>
      <c r="S272" s="518"/>
      <c r="T272" s="518"/>
      <c r="U272" s="2487" t="s">
        <v>35</v>
      </c>
      <c r="V272" s="2440" t="s">
        <v>129</v>
      </c>
    </row>
    <row r="273" spans="1:22" s="1906" customFormat="1">
      <c r="A273" s="2430"/>
      <c r="B273" s="560" t="s">
        <v>30</v>
      </c>
      <c r="C273" s="2433" t="s">
        <v>351</v>
      </c>
      <c r="D273" s="567">
        <f>+D274</f>
        <v>12443659</v>
      </c>
      <c r="E273" s="567">
        <f t="shared" si="328"/>
        <v>0</v>
      </c>
      <c r="F273" s="567">
        <f t="shared" si="328"/>
        <v>0</v>
      </c>
      <c r="G273" s="567">
        <f t="shared" si="328"/>
        <v>0</v>
      </c>
      <c r="H273" s="567">
        <f t="shared" si="328"/>
        <v>0</v>
      </c>
      <c r="I273" s="567">
        <f t="shared" si="328"/>
        <v>0</v>
      </c>
      <c r="J273" s="567">
        <f t="shared" si="328"/>
        <v>0</v>
      </c>
      <c r="K273" s="567">
        <f t="shared" si="328"/>
        <v>0</v>
      </c>
      <c r="L273" s="567">
        <f t="shared" si="328"/>
        <v>0</v>
      </c>
      <c r="M273" s="2234">
        <f t="shared" si="328"/>
        <v>0</v>
      </c>
      <c r="N273" s="2234">
        <f t="shared" si="328"/>
        <v>0</v>
      </c>
      <c r="O273" s="2234">
        <f t="shared" si="328"/>
        <v>0</v>
      </c>
      <c r="P273" s="567">
        <f t="shared" si="328"/>
        <v>11693659</v>
      </c>
      <c r="Q273" s="567">
        <f t="shared" si="328"/>
        <v>750000</v>
      </c>
      <c r="R273" s="567"/>
      <c r="S273" s="567"/>
      <c r="T273" s="567"/>
      <c r="U273" s="2488"/>
      <c r="V273" s="2441"/>
    </row>
    <row r="274" spans="1:22" s="1906" customFormat="1" ht="13.5" thickBot="1">
      <c r="A274" s="2431"/>
      <c r="B274" s="648" t="s">
        <v>33</v>
      </c>
      <c r="C274" s="2491"/>
      <c r="D274" s="1793">
        <f>SUM(M274:T274)</f>
        <v>12443659</v>
      </c>
      <c r="E274" s="637">
        <f>+F274+G274+H274</f>
        <v>0</v>
      </c>
      <c r="F274" s="638">
        <v>0</v>
      </c>
      <c r="G274" s="637">
        <v>0</v>
      </c>
      <c r="H274" s="637">
        <v>0</v>
      </c>
      <c r="I274" s="637">
        <v>0</v>
      </c>
      <c r="J274" s="637">
        <v>0</v>
      </c>
      <c r="K274" s="637"/>
      <c r="L274" s="637">
        <v>0</v>
      </c>
      <c r="M274" s="1495">
        <f>L274+E274+I274+J274+K274</f>
        <v>0</v>
      </c>
      <c r="N274" s="2235">
        <v>0</v>
      </c>
      <c r="O274" s="2235">
        <v>0</v>
      </c>
      <c r="P274" s="640">
        <v>11693659</v>
      </c>
      <c r="Q274" s="640">
        <v>750000</v>
      </c>
      <c r="R274" s="640"/>
      <c r="S274" s="640"/>
      <c r="T274" s="640"/>
      <c r="U274" s="2489"/>
      <c r="V274" s="2442"/>
    </row>
    <row r="275" spans="1:22" s="1904" customFormat="1" ht="27" customHeight="1">
      <c r="A275" s="2428" t="s">
        <v>131</v>
      </c>
      <c r="B275" s="548" t="s">
        <v>427</v>
      </c>
      <c r="C275" s="528" t="s">
        <v>102</v>
      </c>
      <c r="D275" s="529"/>
      <c r="E275" s="531"/>
      <c r="F275" s="531"/>
      <c r="G275" s="531"/>
      <c r="H275" s="531"/>
      <c r="I275" s="489"/>
      <c r="J275" s="489"/>
      <c r="K275" s="489"/>
      <c r="L275" s="489"/>
      <c r="M275" s="491"/>
      <c r="N275" s="491"/>
      <c r="O275" s="491"/>
      <c r="P275" s="491"/>
      <c r="Q275" s="491"/>
      <c r="R275" s="491"/>
      <c r="S275" s="491"/>
      <c r="T275" s="491"/>
      <c r="U275" s="532"/>
      <c r="V275" s="493"/>
    </row>
    <row r="276" spans="1:22" s="1904" customFormat="1" ht="12" customHeight="1">
      <c r="A276" s="2429"/>
      <c r="B276" s="452" t="s">
        <v>22</v>
      </c>
      <c r="C276" s="428"/>
      <c r="D276" s="533">
        <f t="shared" ref="D276" si="329">+D277+D281</f>
        <v>56220000</v>
      </c>
      <c r="E276" s="533">
        <f t="shared" ref="E276:Q276" si="330">+E277+E281</f>
        <v>0</v>
      </c>
      <c r="F276" s="533">
        <f t="shared" si="330"/>
        <v>0</v>
      </c>
      <c r="G276" s="533">
        <f t="shared" si="330"/>
        <v>0</v>
      </c>
      <c r="H276" s="533">
        <f t="shared" si="330"/>
        <v>0</v>
      </c>
      <c r="I276" s="533">
        <f t="shared" si="330"/>
        <v>0</v>
      </c>
      <c r="J276" s="533">
        <f t="shared" si="330"/>
        <v>0</v>
      </c>
      <c r="K276" s="533">
        <f t="shared" si="330"/>
        <v>0</v>
      </c>
      <c r="L276" s="533">
        <f t="shared" si="330"/>
        <v>0</v>
      </c>
      <c r="M276" s="533">
        <f t="shared" si="330"/>
        <v>394091</v>
      </c>
      <c r="N276" s="533">
        <f t="shared" si="330"/>
        <v>5436883</v>
      </c>
      <c r="O276" s="533">
        <f t="shared" si="330"/>
        <v>500000</v>
      </c>
      <c r="P276" s="533">
        <f t="shared" si="330"/>
        <v>37000000</v>
      </c>
      <c r="Q276" s="533">
        <f t="shared" si="330"/>
        <v>12889026</v>
      </c>
      <c r="R276" s="533"/>
      <c r="S276" s="533"/>
      <c r="T276" s="533"/>
      <c r="U276" s="535">
        <f>U277+U281</f>
        <v>50389026</v>
      </c>
      <c r="V276" s="2384" t="s">
        <v>108</v>
      </c>
    </row>
    <row r="277" spans="1:22" s="1904" customFormat="1" ht="12" customHeight="1">
      <c r="A277" s="2429"/>
      <c r="B277" s="498" t="s">
        <v>36</v>
      </c>
      <c r="C277" s="2433" t="s">
        <v>105</v>
      </c>
      <c r="D277" s="536">
        <f t="shared" ref="D277" si="331">+D278+D279+D280</f>
        <v>8767977</v>
      </c>
      <c r="E277" s="536">
        <f t="shared" ref="E277:Q277" si="332">+E278+E279+E280</f>
        <v>0</v>
      </c>
      <c r="F277" s="536">
        <f t="shared" si="332"/>
        <v>0</v>
      </c>
      <c r="G277" s="536">
        <f t="shared" si="332"/>
        <v>0</v>
      </c>
      <c r="H277" s="536">
        <f t="shared" si="332"/>
        <v>0</v>
      </c>
      <c r="I277" s="536">
        <f t="shared" si="332"/>
        <v>0</v>
      </c>
      <c r="J277" s="536">
        <f t="shared" si="332"/>
        <v>0</v>
      </c>
      <c r="K277" s="536">
        <f t="shared" si="332"/>
        <v>0</v>
      </c>
      <c r="L277" s="536">
        <f t="shared" si="332"/>
        <v>0</v>
      </c>
      <c r="M277" s="536">
        <f t="shared" si="332"/>
        <v>394091</v>
      </c>
      <c r="N277" s="536">
        <f t="shared" si="332"/>
        <v>815532</v>
      </c>
      <c r="O277" s="536">
        <f t="shared" si="332"/>
        <v>75000</v>
      </c>
      <c r="P277" s="536">
        <f t="shared" si="332"/>
        <v>5550000</v>
      </c>
      <c r="Q277" s="536">
        <f t="shared" si="332"/>
        <v>1933354</v>
      </c>
      <c r="R277" s="536"/>
      <c r="S277" s="536"/>
      <c r="T277" s="536"/>
      <c r="U277" s="557">
        <f>+U278</f>
        <v>7558354</v>
      </c>
      <c r="V277" s="2384"/>
    </row>
    <row r="278" spans="1:22" s="1904" customFormat="1" ht="12" customHeight="1">
      <c r="A278" s="2429"/>
      <c r="B278" s="539" t="s">
        <v>24</v>
      </c>
      <c r="C278" s="2434"/>
      <c r="D278" s="503">
        <f>SUM(M278:T278)</f>
        <v>8767977</v>
      </c>
      <c r="E278" s="510"/>
      <c r="F278" s="510"/>
      <c r="G278" s="510"/>
      <c r="H278" s="549"/>
      <c r="I278" s="549"/>
      <c r="J278" s="549"/>
      <c r="K278" s="549"/>
      <c r="L278" s="549"/>
      <c r="M278" s="504">
        <v>394091</v>
      </c>
      <c r="N278" s="504">
        <v>815532</v>
      </c>
      <c r="O278" s="504">
        <v>75000</v>
      </c>
      <c r="P278" s="504">
        <v>5550000</v>
      </c>
      <c r="Q278" s="504">
        <v>1933354</v>
      </c>
      <c r="R278" s="511"/>
      <c r="S278" s="511"/>
      <c r="T278" s="511"/>
      <c r="U278" s="462">
        <f>SUM(O278:T278)</f>
        <v>7558354</v>
      </c>
      <c r="V278" s="2384"/>
    </row>
    <row r="279" spans="1:22" s="1904" customFormat="1" ht="12" hidden="1" customHeight="1">
      <c r="A279" s="2429"/>
      <c r="B279" s="558" t="s">
        <v>29</v>
      </c>
      <c r="C279" s="2434"/>
      <c r="D279" s="521">
        <f>+E279+I279+J279+K279+L279</f>
        <v>0</v>
      </c>
      <c r="E279" s="510">
        <f>+F279+G279+H279</f>
        <v>0</v>
      </c>
      <c r="F279" s="511">
        <v>0</v>
      </c>
      <c r="G279" s="510">
        <v>0</v>
      </c>
      <c r="H279" s="549">
        <f>142740-142740</f>
        <v>0</v>
      </c>
      <c r="I279" s="549">
        <f>201581-201581</f>
        <v>0</v>
      </c>
      <c r="J279" s="549"/>
      <c r="K279" s="510"/>
      <c r="L279" s="510">
        <v>0</v>
      </c>
      <c r="M279" s="510"/>
      <c r="N279" s="510">
        <v>0</v>
      </c>
      <c r="O279" s="510">
        <v>0</v>
      </c>
      <c r="P279" s="511">
        <v>0</v>
      </c>
      <c r="Q279" s="511"/>
      <c r="R279" s="511"/>
      <c r="S279" s="511"/>
      <c r="T279" s="511"/>
      <c r="U279" s="462"/>
      <c r="V279" s="2384"/>
    </row>
    <row r="280" spans="1:22" s="1904" customFormat="1" ht="12" hidden="1" customHeight="1">
      <c r="A280" s="2429"/>
      <c r="B280" s="539" t="s">
        <v>27</v>
      </c>
      <c r="C280" s="2434"/>
      <c r="D280" s="503">
        <f>SUM(M280:T280)</f>
        <v>0</v>
      </c>
      <c r="E280" s="510">
        <v>0</v>
      </c>
      <c r="F280" s="511"/>
      <c r="G280" s="510"/>
      <c r="H280" s="549"/>
      <c r="I280" s="549">
        <v>0</v>
      </c>
      <c r="J280" s="549">
        <v>0</v>
      </c>
      <c r="K280" s="549"/>
      <c r="L280" s="510">
        <v>0</v>
      </c>
      <c r="M280" s="510"/>
      <c r="N280" s="510">
        <v>0</v>
      </c>
      <c r="O280" s="510">
        <v>0</v>
      </c>
      <c r="P280" s="511">
        <v>0</v>
      </c>
      <c r="Q280" s="511"/>
      <c r="R280" s="511"/>
      <c r="S280" s="511"/>
      <c r="T280" s="511"/>
      <c r="U280" s="462"/>
      <c r="V280" s="2384"/>
    </row>
    <row r="281" spans="1:22" s="1904" customFormat="1" ht="12" customHeight="1">
      <c r="A281" s="2429"/>
      <c r="B281" s="512" t="s">
        <v>30</v>
      </c>
      <c r="C281" s="2434"/>
      <c r="D281" s="513">
        <f t="shared" ref="D281:Q281" si="333">+D282+D283</f>
        <v>47452023</v>
      </c>
      <c r="E281" s="513">
        <f t="shared" si="333"/>
        <v>0</v>
      </c>
      <c r="F281" s="513">
        <f t="shared" si="333"/>
        <v>0</v>
      </c>
      <c r="G281" s="513">
        <f t="shared" si="333"/>
        <v>0</v>
      </c>
      <c r="H281" s="513">
        <f t="shared" si="333"/>
        <v>0</v>
      </c>
      <c r="I281" s="513">
        <f t="shared" si="333"/>
        <v>0</v>
      </c>
      <c r="J281" s="513">
        <f t="shared" si="333"/>
        <v>0</v>
      </c>
      <c r="K281" s="513">
        <f t="shared" si="333"/>
        <v>0</v>
      </c>
      <c r="L281" s="513">
        <f t="shared" si="333"/>
        <v>0</v>
      </c>
      <c r="M281" s="2102">
        <v>0</v>
      </c>
      <c r="N281" s="513">
        <f t="shared" si="333"/>
        <v>4621351</v>
      </c>
      <c r="O281" s="513">
        <f t="shared" si="333"/>
        <v>425000</v>
      </c>
      <c r="P281" s="513">
        <f t="shared" si="333"/>
        <v>31450000</v>
      </c>
      <c r="Q281" s="513">
        <f t="shared" si="333"/>
        <v>10955672</v>
      </c>
      <c r="R281" s="513"/>
      <c r="S281" s="513"/>
      <c r="T281" s="513"/>
      <c r="U281" s="557">
        <f>+U282+U283</f>
        <v>42830672</v>
      </c>
      <c r="V281" s="2384"/>
    </row>
    <row r="282" spans="1:22" s="1904" customFormat="1" ht="12" hidden="1" customHeight="1">
      <c r="A282" s="2429"/>
      <c r="B282" s="558" t="s">
        <v>29</v>
      </c>
      <c r="C282" s="2434"/>
      <c r="D282" s="521">
        <v>0</v>
      </c>
      <c r="E282" s="510">
        <v>0</v>
      </c>
      <c r="F282" s="511">
        <v>0</v>
      </c>
      <c r="G282" s="510">
        <v>0</v>
      </c>
      <c r="H282" s="549">
        <v>0</v>
      </c>
      <c r="I282" s="549">
        <v>0</v>
      </c>
      <c r="J282" s="549">
        <v>0</v>
      </c>
      <c r="K282" s="510">
        <v>0</v>
      </c>
      <c r="L282" s="510">
        <v>0</v>
      </c>
      <c r="M282" s="1488"/>
      <c r="N282" s="510">
        <v>0</v>
      </c>
      <c r="O282" s="510">
        <v>0</v>
      </c>
      <c r="P282" s="511">
        <v>0</v>
      </c>
      <c r="Q282" s="511"/>
      <c r="R282" s="511"/>
      <c r="S282" s="511"/>
      <c r="T282" s="511"/>
      <c r="U282" s="462">
        <f t="shared" ref="U282:U283" si="334">SUM(O282:T282)</f>
        <v>0</v>
      </c>
      <c r="V282" s="2384"/>
    </row>
    <row r="283" spans="1:22" s="1904" customFormat="1" ht="12" customHeight="1">
      <c r="A283" s="2429"/>
      <c r="B283" s="558" t="s">
        <v>33</v>
      </c>
      <c r="C283" s="2483"/>
      <c r="D283" s="503">
        <f>SUM(M283:T283)</f>
        <v>47452023</v>
      </c>
      <c r="E283" s="510">
        <f>+F283+G283+H283</f>
        <v>0</v>
      </c>
      <c r="F283" s="511"/>
      <c r="G283" s="510"/>
      <c r="H283" s="549"/>
      <c r="I283" s="549"/>
      <c r="J283" s="549"/>
      <c r="K283" s="510"/>
      <c r="L283" s="510">
        <v>0</v>
      </c>
      <c r="M283" s="1488">
        <v>0</v>
      </c>
      <c r="N283" s="504">
        <v>4621351</v>
      </c>
      <c r="O283" s="504">
        <v>425000</v>
      </c>
      <c r="P283" s="504">
        <v>31450000</v>
      </c>
      <c r="Q283" s="504">
        <v>10955672</v>
      </c>
      <c r="R283" s="511"/>
      <c r="S283" s="511"/>
      <c r="T283" s="511"/>
      <c r="U283" s="462">
        <f t="shared" si="334"/>
        <v>42830672</v>
      </c>
      <c r="V283" s="2432"/>
    </row>
    <row r="284" spans="1:22" s="1904" customFormat="1" ht="12" customHeight="1">
      <c r="A284" s="2429"/>
      <c r="B284" s="573" t="s">
        <v>34</v>
      </c>
      <c r="C284" s="428"/>
      <c r="D284" s="518">
        <f>+D288+D285</f>
        <v>47452023</v>
      </c>
      <c r="E284" s="518">
        <f t="shared" ref="E284:M284" si="335">+E288+E285</f>
        <v>0</v>
      </c>
      <c r="F284" s="518">
        <f t="shared" si="335"/>
        <v>0</v>
      </c>
      <c r="G284" s="518">
        <f t="shared" si="335"/>
        <v>0</v>
      </c>
      <c r="H284" s="518">
        <f t="shared" si="335"/>
        <v>0</v>
      </c>
      <c r="I284" s="518">
        <f t="shared" si="335"/>
        <v>0</v>
      </c>
      <c r="J284" s="518">
        <f t="shared" si="335"/>
        <v>0</v>
      </c>
      <c r="K284" s="518">
        <f t="shared" si="335"/>
        <v>0</v>
      </c>
      <c r="L284" s="518">
        <f t="shared" si="335"/>
        <v>0</v>
      </c>
      <c r="M284" s="2104">
        <f t="shared" si="335"/>
        <v>0</v>
      </c>
      <c r="N284" s="2104">
        <f t="shared" ref="N284:P284" si="336">+N288+N285</f>
        <v>0</v>
      </c>
      <c r="O284" s="2104">
        <f t="shared" si="336"/>
        <v>0</v>
      </c>
      <c r="P284" s="518">
        <f t="shared" si="336"/>
        <v>36496351</v>
      </c>
      <c r="Q284" s="518">
        <f t="shared" ref="Q284" si="337">+Q288+Q285</f>
        <v>10955672</v>
      </c>
      <c r="R284" s="518"/>
      <c r="S284" s="518"/>
      <c r="T284" s="518"/>
      <c r="U284" s="2487" t="s">
        <v>35</v>
      </c>
      <c r="V284" s="2440" t="s">
        <v>129</v>
      </c>
    </row>
    <row r="285" spans="1:22" s="1904" customFormat="1" ht="12" hidden="1" customHeight="1">
      <c r="A285" s="2429"/>
      <c r="B285" s="498" t="s">
        <v>36</v>
      </c>
      <c r="C285" s="2433" t="s">
        <v>351</v>
      </c>
      <c r="D285" s="513">
        <f>+D286+D287</f>
        <v>0</v>
      </c>
      <c r="E285" s="513">
        <f t="shared" ref="E285:P285" si="338">+E286+E287</f>
        <v>0</v>
      </c>
      <c r="F285" s="513">
        <f t="shared" si="338"/>
        <v>0</v>
      </c>
      <c r="G285" s="513">
        <f t="shared" si="338"/>
        <v>0</v>
      </c>
      <c r="H285" s="513">
        <f t="shared" si="338"/>
        <v>0</v>
      </c>
      <c r="I285" s="513">
        <f t="shared" si="338"/>
        <v>0</v>
      </c>
      <c r="J285" s="513">
        <f t="shared" si="338"/>
        <v>0</v>
      </c>
      <c r="K285" s="513">
        <f t="shared" si="338"/>
        <v>0</v>
      </c>
      <c r="L285" s="513">
        <f t="shared" si="338"/>
        <v>0</v>
      </c>
      <c r="M285" s="2102"/>
      <c r="N285" s="2102">
        <f t="shared" si="338"/>
        <v>0</v>
      </c>
      <c r="O285" s="2102">
        <f t="shared" si="338"/>
        <v>0</v>
      </c>
      <c r="P285" s="513">
        <f t="shared" si="338"/>
        <v>0</v>
      </c>
      <c r="Q285" s="513">
        <f t="shared" ref="Q285" si="339">+Q286+Q287</f>
        <v>0</v>
      </c>
      <c r="R285" s="513"/>
      <c r="S285" s="513"/>
      <c r="T285" s="513"/>
      <c r="U285" s="2488"/>
      <c r="V285" s="2441"/>
    </row>
    <row r="286" spans="1:22" s="1904" customFormat="1" ht="12" hidden="1" customHeight="1">
      <c r="A286" s="2429"/>
      <c r="B286" s="539" t="s">
        <v>29</v>
      </c>
      <c r="C286" s="2434"/>
      <c r="D286" s="503">
        <f>SUM(M286:T286)</f>
        <v>0</v>
      </c>
      <c r="E286" s="520">
        <f>+F286+G286+H286</f>
        <v>0</v>
      </c>
      <c r="F286" s="520">
        <v>0</v>
      </c>
      <c r="G286" s="520">
        <v>0</v>
      </c>
      <c r="H286" s="520">
        <v>0</v>
      </c>
      <c r="I286" s="520">
        <v>0</v>
      </c>
      <c r="J286" s="520"/>
      <c r="K286" s="520"/>
      <c r="L286" s="520"/>
      <c r="M286" s="2106"/>
      <c r="N286" s="2106">
        <v>0</v>
      </c>
      <c r="O286" s="2106">
        <v>0</v>
      </c>
      <c r="P286" s="521">
        <v>0</v>
      </c>
      <c r="Q286" s="521">
        <v>0</v>
      </c>
      <c r="R286" s="521"/>
      <c r="S286" s="521"/>
      <c r="T286" s="521"/>
      <c r="U286" s="2488"/>
      <c r="V286" s="2441"/>
    </row>
    <row r="287" spans="1:22" s="1904" customFormat="1" ht="12" hidden="1" customHeight="1">
      <c r="A287" s="2429"/>
      <c r="B287" s="539" t="s">
        <v>27</v>
      </c>
      <c r="C287" s="2434"/>
      <c r="D287" s="521">
        <f>+E287+I287+J287+K287+L287</f>
        <v>0</v>
      </c>
      <c r="E287" s="520">
        <v>0</v>
      </c>
      <c r="F287" s="520"/>
      <c r="G287" s="520"/>
      <c r="H287" s="520"/>
      <c r="I287" s="520">
        <v>0</v>
      </c>
      <c r="J287" s="520">
        <v>0</v>
      </c>
      <c r="K287" s="520"/>
      <c r="L287" s="520">
        <v>0</v>
      </c>
      <c r="M287" s="2106"/>
      <c r="N287" s="2106">
        <v>0</v>
      </c>
      <c r="O287" s="2106">
        <v>0</v>
      </c>
      <c r="P287" s="521">
        <v>0</v>
      </c>
      <c r="Q287" s="521">
        <v>0</v>
      </c>
      <c r="R287" s="521"/>
      <c r="S287" s="521"/>
      <c r="T287" s="521"/>
      <c r="U287" s="2488"/>
      <c r="V287" s="2441"/>
    </row>
    <row r="288" spans="1:22" s="1904" customFormat="1" ht="12" customHeight="1">
      <c r="A288" s="2429"/>
      <c r="B288" s="574" t="s">
        <v>30</v>
      </c>
      <c r="C288" s="2434"/>
      <c r="D288" s="567">
        <f t="shared" ref="D288:P288" si="340">+D289+D290</f>
        <v>47452023</v>
      </c>
      <c r="E288" s="567">
        <f t="shared" si="340"/>
        <v>0</v>
      </c>
      <c r="F288" s="567">
        <f t="shared" si="340"/>
        <v>0</v>
      </c>
      <c r="G288" s="567">
        <f t="shared" si="340"/>
        <v>0</v>
      </c>
      <c r="H288" s="567">
        <f t="shared" si="340"/>
        <v>0</v>
      </c>
      <c r="I288" s="567">
        <f t="shared" si="340"/>
        <v>0</v>
      </c>
      <c r="J288" s="567">
        <f t="shared" si="340"/>
        <v>0</v>
      </c>
      <c r="K288" s="567">
        <f t="shared" si="340"/>
        <v>0</v>
      </c>
      <c r="L288" s="567">
        <f t="shared" si="340"/>
        <v>0</v>
      </c>
      <c r="M288" s="2234">
        <v>0</v>
      </c>
      <c r="N288" s="2234">
        <f t="shared" si="340"/>
        <v>0</v>
      </c>
      <c r="O288" s="2234">
        <f t="shared" si="340"/>
        <v>0</v>
      </c>
      <c r="P288" s="575">
        <f t="shared" si="340"/>
        <v>36496351</v>
      </c>
      <c r="Q288" s="575">
        <f t="shared" ref="Q288" si="341">+Q289+Q290</f>
        <v>10955672</v>
      </c>
      <c r="R288" s="575"/>
      <c r="S288" s="575"/>
      <c r="T288" s="575"/>
      <c r="U288" s="2488"/>
      <c r="V288" s="2441"/>
    </row>
    <row r="289" spans="1:23" s="1904" customFormat="1" ht="12" hidden="1" customHeight="1">
      <c r="A289" s="2429"/>
      <c r="B289" s="558" t="s">
        <v>29</v>
      </c>
      <c r="C289" s="2434"/>
      <c r="D289" s="503">
        <f>SUM(M289:T289)</f>
        <v>0</v>
      </c>
      <c r="E289" s="520">
        <f>+F289+G289+H289</f>
        <v>0</v>
      </c>
      <c r="F289" s="520">
        <v>0</v>
      </c>
      <c r="G289" s="520">
        <v>0</v>
      </c>
      <c r="H289" s="520">
        <v>0</v>
      </c>
      <c r="I289" s="520">
        <v>0</v>
      </c>
      <c r="J289" s="520">
        <v>0</v>
      </c>
      <c r="K289" s="520">
        <v>0</v>
      </c>
      <c r="L289" s="520">
        <v>0</v>
      </c>
      <c r="M289" s="2106"/>
      <c r="N289" s="2106">
        <v>0</v>
      </c>
      <c r="O289" s="2106">
        <v>0</v>
      </c>
      <c r="P289" s="521">
        <v>0</v>
      </c>
      <c r="Q289" s="521"/>
      <c r="R289" s="521"/>
      <c r="S289" s="521"/>
      <c r="T289" s="521"/>
      <c r="U289" s="2488"/>
      <c r="V289" s="2441"/>
    </row>
    <row r="290" spans="1:23" s="1904" customFormat="1" ht="14.25" customHeight="1" thickBot="1">
      <c r="A290" s="2469"/>
      <c r="B290" s="577" t="s">
        <v>33</v>
      </c>
      <c r="C290" s="2443"/>
      <c r="D290" s="503">
        <f>SUM(M290:T290)</f>
        <v>47452023</v>
      </c>
      <c r="E290" s="523">
        <v>0</v>
      </c>
      <c r="F290" s="523"/>
      <c r="G290" s="523"/>
      <c r="H290" s="523"/>
      <c r="I290" s="523">
        <v>0</v>
      </c>
      <c r="J290" s="523">
        <v>0</v>
      </c>
      <c r="K290" s="523"/>
      <c r="L290" s="523"/>
      <c r="M290" s="2236">
        <v>0</v>
      </c>
      <c r="N290" s="2236">
        <v>0</v>
      </c>
      <c r="O290" s="2236">
        <v>0</v>
      </c>
      <c r="P290" s="504">
        <v>36496351</v>
      </c>
      <c r="Q290" s="504">
        <v>10955672</v>
      </c>
      <c r="R290" s="551"/>
      <c r="S290" s="551"/>
      <c r="T290" s="551"/>
      <c r="U290" s="2489"/>
      <c r="V290" s="2442"/>
    </row>
    <row r="291" spans="1:23" ht="26.25" customHeight="1">
      <c r="A291" s="2428" t="s">
        <v>136</v>
      </c>
      <c r="B291" s="548" t="s">
        <v>428</v>
      </c>
      <c r="C291" s="528" t="s">
        <v>102</v>
      </c>
      <c r="D291" s="529"/>
      <c r="E291" s="531"/>
      <c r="F291" s="530"/>
      <c r="G291" s="531"/>
      <c r="H291" s="531"/>
      <c r="I291" s="489"/>
      <c r="J291" s="489"/>
      <c r="K291" s="489"/>
      <c r="L291" s="489"/>
      <c r="M291" s="491"/>
      <c r="N291" s="491"/>
      <c r="O291" s="491"/>
      <c r="P291" s="491"/>
      <c r="Q291" s="491"/>
      <c r="R291" s="491"/>
      <c r="S291" s="491"/>
      <c r="T291" s="491"/>
      <c r="U291" s="492"/>
      <c r="V291" s="594"/>
    </row>
    <row r="292" spans="1:23" ht="13.5" customHeight="1">
      <c r="A292" s="2429"/>
      <c r="B292" s="427" t="s">
        <v>22</v>
      </c>
      <c r="C292" s="428"/>
      <c r="D292" s="533">
        <f t="shared" ref="D292:O292" si="342">+D293+D296</f>
        <v>9100000</v>
      </c>
      <c r="E292" s="533">
        <f>+E293+E296</f>
        <v>0</v>
      </c>
      <c r="F292" s="534">
        <f t="shared" si="342"/>
        <v>0</v>
      </c>
      <c r="G292" s="534">
        <f t="shared" si="342"/>
        <v>0</v>
      </c>
      <c r="H292" s="534">
        <f t="shared" si="342"/>
        <v>0</v>
      </c>
      <c r="I292" s="534">
        <f t="shared" si="342"/>
        <v>0</v>
      </c>
      <c r="J292" s="534">
        <f t="shared" si="342"/>
        <v>0</v>
      </c>
      <c r="K292" s="534">
        <f t="shared" si="342"/>
        <v>0</v>
      </c>
      <c r="L292" s="534">
        <f t="shared" si="342"/>
        <v>0</v>
      </c>
      <c r="M292" s="2237">
        <f t="shared" ref="M292" si="343">+M293+M296</f>
        <v>0</v>
      </c>
      <c r="N292" s="2237">
        <f t="shared" si="342"/>
        <v>0</v>
      </c>
      <c r="O292" s="534">
        <f t="shared" si="342"/>
        <v>40000</v>
      </c>
      <c r="P292" s="534">
        <f>+P293+P296</f>
        <v>5960000</v>
      </c>
      <c r="Q292" s="534">
        <f>+Q293+Q296</f>
        <v>3100000</v>
      </c>
      <c r="R292" s="534"/>
      <c r="S292" s="534"/>
      <c r="T292" s="534"/>
      <c r="U292" s="535">
        <f>U293+U296</f>
        <v>9100000</v>
      </c>
      <c r="V292" s="2384" t="s">
        <v>108</v>
      </c>
      <c r="W292" s="1258"/>
    </row>
    <row r="293" spans="1:23" ht="13.5" customHeight="1">
      <c r="A293" s="2429"/>
      <c r="B293" s="584" t="s">
        <v>36</v>
      </c>
      <c r="C293" s="2433" t="s">
        <v>105</v>
      </c>
      <c r="D293" s="536">
        <f>+D294+D295</f>
        <v>1365000</v>
      </c>
      <c r="E293" s="536">
        <f>+E294+E295</f>
        <v>0</v>
      </c>
      <c r="F293" s="536">
        <f t="shared" ref="F293:O293" si="344">+F294+F295</f>
        <v>0</v>
      </c>
      <c r="G293" s="536">
        <f t="shared" si="344"/>
        <v>0</v>
      </c>
      <c r="H293" s="536">
        <f t="shared" si="344"/>
        <v>0</v>
      </c>
      <c r="I293" s="536">
        <f t="shared" si="344"/>
        <v>0</v>
      </c>
      <c r="J293" s="536">
        <f t="shared" si="344"/>
        <v>0</v>
      </c>
      <c r="K293" s="536">
        <f t="shared" si="344"/>
        <v>0</v>
      </c>
      <c r="L293" s="536">
        <f t="shared" si="344"/>
        <v>0</v>
      </c>
      <c r="M293" s="2231">
        <f t="shared" ref="M293" si="345">+M294+M295</f>
        <v>0</v>
      </c>
      <c r="N293" s="2231">
        <f t="shared" si="344"/>
        <v>0</v>
      </c>
      <c r="O293" s="536">
        <f t="shared" si="344"/>
        <v>6000</v>
      </c>
      <c r="P293" s="536">
        <f>+P294+P295</f>
        <v>894000</v>
      </c>
      <c r="Q293" s="536">
        <f>+Q294+Q295</f>
        <v>465000</v>
      </c>
      <c r="R293" s="536"/>
      <c r="S293" s="536"/>
      <c r="T293" s="536"/>
      <c r="U293" s="557">
        <f>U294</f>
        <v>1365000</v>
      </c>
      <c r="V293" s="2384"/>
      <c r="W293" s="1258"/>
    </row>
    <row r="294" spans="1:23" ht="13.5" customHeight="1">
      <c r="A294" s="2429"/>
      <c r="B294" s="558" t="s">
        <v>24</v>
      </c>
      <c r="C294" s="2435"/>
      <c r="D294" s="1794">
        <f t="shared" ref="D294:D295" si="346">SUM(M294:T294)</f>
        <v>1365000</v>
      </c>
      <c r="E294" s="510"/>
      <c r="F294" s="511">
        <v>0</v>
      </c>
      <c r="G294" s="510">
        <v>0</v>
      </c>
      <c r="H294" s="549">
        <v>0</v>
      </c>
      <c r="I294" s="549"/>
      <c r="J294" s="549"/>
      <c r="K294" s="510"/>
      <c r="L294" s="549"/>
      <c r="M294" s="1488">
        <v>0</v>
      </c>
      <c r="N294" s="1488">
        <v>0</v>
      </c>
      <c r="O294" s="2238">
        <v>6000</v>
      </c>
      <c r="P294" s="2238">
        <v>894000</v>
      </c>
      <c r="Q294" s="2238">
        <v>465000</v>
      </c>
      <c r="R294" s="2238"/>
      <c r="S294" s="504"/>
      <c r="T294" s="504"/>
      <c r="U294" s="462">
        <f>SUM(O294:T294)</f>
        <v>1365000</v>
      </c>
      <c r="V294" s="2384"/>
      <c r="W294" s="1258"/>
    </row>
    <row r="295" spans="1:23" ht="10.5" hidden="1" customHeight="1">
      <c r="A295" s="2429"/>
      <c r="B295" s="2239" t="s">
        <v>27</v>
      </c>
      <c r="C295" s="2435"/>
      <c r="D295" s="1794">
        <f t="shared" si="346"/>
        <v>0</v>
      </c>
      <c r="E295" s="510">
        <v>0</v>
      </c>
      <c r="F295" s="508">
        <v>0</v>
      </c>
      <c r="G295" s="508">
        <v>0</v>
      </c>
      <c r="H295" s="542">
        <v>0</v>
      </c>
      <c r="I295" s="542"/>
      <c r="J295" s="542"/>
      <c r="K295" s="508">
        <v>0</v>
      </c>
      <c r="L295" s="508">
        <v>0</v>
      </c>
      <c r="M295" s="2103">
        <v>0</v>
      </c>
      <c r="N295" s="2103">
        <v>0</v>
      </c>
      <c r="O295" s="508">
        <v>0</v>
      </c>
      <c r="P295" s="508">
        <v>0</v>
      </c>
      <c r="Q295" s="508"/>
      <c r="R295" s="508"/>
      <c r="S295" s="508"/>
      <c r="T295" s="508"/>
      <c r="U295" s="462"/>
      <c r="V295" s="2384"/>
    </row>
    <row r="296" spans="1:23" ht="12.75" customHeight="1">
      <c r="A296" s="2429"/>
      <c r="B296" s="574" t="s">
        <v>30</v>
      </c>
      <c r="C296" s="2435"/>
      <c r="D296" s="513">
        <f>+D297</f>
        <v>7735000</v>
      </c>
      <c r="E296" s="514">
        <f>+E297</f>
        <v>0</v>
      </c>
      <c r="F296" s="514">
        <f t="shared" ref="F296:Q296" si="347">+F297</f>
        <v>0</v>
      </c>
      <c r="G296" s="514">
        <f t="shared" si="347"/>
        <v>0</v>
      </c>
      <c r="H296" s="514">
        <f t="shared" si="347"/>
        <v>0</v>
      </c>
      <c r="I296" s="514">
        <f t="shared" si="347"/>
        <v>0</v>
      </c>
      <c r="J296" s="514">
        <f t="shared" si="347"/>
        <v>0</v>
      </c>
      <c r="K296" s="514">
        <f t="shared" si="347"/>
        <v>0</v>
      </c>
      <c r="L296" s="514">
        <f t="shared" si="347"/>
        <v>0</v>
      </c>
      <c r="M296" s="2240">
        <f t="shared" si="347"/>
        <v>0</v>
      </c>
      <c r="N296" s="2240">
        <f t="shared" si="347"/>
        <v>0</v>
      </c>
      <c r="O296" s="514">
        <f t="shared" si="347"/>
        <v>34000</v>
      </c>
      <c r="P296" s="514">
        <f t="shared" si="347"/>
        <v>5066000</v>
      </c>
      <c r="Q296" s="514">
        <f t="shared" si="347"/>
        <v>2635000</v>
      </c>
      <c r="R296" s="514"/>
      <c r="S296" s="514"/>
      <c r="T296" s="514"/>
      <c r="U296" s="557">
        <f>U297</f>
        <v>7735000</v>
      </c>
      <c r="V296" s="2384"/>
    </row>
    <row r="297" spans="1:23" ht="12" customHeight="1">
      <c r="A297" s="2429"/>
      <c r="B297" s="558" t="s">
        <v>33</v>
      </c>
      <c r="C297" s="2436"/>
      <c r="D297" s="1792">
        <f>SUM(M297:T297)</f>
        <v>7735000</v>
      </c>
      <c r="E297" s="510"/>
      <c r="F297" s="511">
        <v>0</v>
      </c>
      <c r="G297" s="510">
        <v>0</v>
      </c>
      <c r="H297" s="549">
        <v>0</v>
      </c>
      <c r="I297" s="549"/>
      <c r="J297" s="549"/>
      <c r="K297" s="510">
        <v>0</v>
      </c>
      <c r="L297" s="510">
        <v>0</v>
      </c>
      <c r="M297" s="1488">
        <v>0</v>
      </c>
      <c r="N297" s="1488">
        <v>0</v>
      </c>
      <c r="O297" s="504">
        <v>34000</v>
      </c>
      <c r="P297" s="504">
        <v>5066000</v>
      </c>
      <c r="Q297" s="504">
        <v>2635000</v>
      </c>
      <c r="R297" s="504"/>
      <c r="S297" s="510"/>
      <c r="T297" s="510"/>
      <c r="U297" s="462">
        <f>SUM(O297:T297)</f>
        <v>7735000</v>
      </c>
      <c r="V297" s="2432"/>
    </row>
    <row r="298" spans="1:23" s="1313" customFormat="1" ht="13.5" customHeight="1">
      <c r="A298" s="2430"/>
      <c r="B298" s="608" t="s">
        <v>34</v>
      </c>
      <c r="C298" s="603"/>
      <c r="D298" s="643">
        <f t="shared" ref="D298:O298" si="348">+D299+D301</f>
        <v>7735000</v>
      </c>
      <c r="E298" s="1430">
        <f t="shared" si="348"/>
        <v>0</v>
      </c>
      <c r="F298" s="1430">
        <f t="shared" si="348"/>
        <v>0</v>
      </c>
      <c r="G298" s="1430">
        <f t="shared" si="348"/>
        <v>0</v>
      </c>
      <c r="H298" s="1430">
        <f t="shared" si="348"/>
        <v>0</v>
      </c>
      <c r="I298" s="1430">
        <f t="shared" si="348"/>
        <v>0</v>
      </c>
      <c r="J298" s="1430">
        <f t="shared" si="348"/>
        <v>0</v>
      </c>
      <c r="K298" s="1430">
        <f t="shared" si="348"/>
        <v>0</v>
      </c>
      <c r="L298" s="1430">
        <f t="shared" si="348"/>
        <v>0</v>
      </c>
      <c r="M298" s="1491">
        <f t="shared" ref="M298" si="349">+M299+M301</f>
        <v>0</v>
      </c>
      <c r="N298" s="1491">
        <f t="shared" si="348"/>
        <v>0</v>
      </c>
      <c r="O298" s="1491">
        <f t="shared" si="348"/>
        <v>0</v>
      </c>
      <c r="P298" s="1430">
        <f>+P299+P301</f>
        <v>4000000</v>
      </c>
      <c r="Q298" s="1430">
        <f>+Q299+Q301</f>
        <v>3735000</v>
      </c>
      <c r="R298" s="1430"/>
      <c r="S298" s="1430"/>
      <c r="T298" s="1430"/>
      <c r="U298" s="2437" t="s">
        <v>35</v>
      </c>
      <c r="V298" s="2484" t="s">
        <v>129</v>
      </c>
    </row>
    <row r="299" spans="1:23" ht="13.5" hidden="1" customHeight="1">
      <c r="A299" s="2430"/>
      <c r="B299" s="498" t="s">
        <v>36</v>
      </c>
      <c r="C299" s="2490" t="s">
        <v>367</v>
      </c>
      <c r="D299" s="519">
        <f>+D300</f>
        <v>0</v>
      </c>
      <c r="E299" s="519">
        <f t="shared" ref="E299:P299" si="350">+E300</f>
        <v>0</v>
      </c>
      <c r="F299" s="519">
        <f t="shared" si="350"/>
        <v>0</v>
      </c>
      <c r="G299" s="519">
        <f t="shared" si="350"/>
        <v>0</v>
      </c>
      <c r="H299" s="519">
        <f t="shared" si="350"/>
        <v>0</v>
      </c>
      <c r="I299" s="519">
        <f t="shared" si="350"/>
        <v>0</v>
      </c>
      <c r="J299" s="519">
        <f t="shared" si="350"/>
        <v>0</v>
      </c>
      <c r="K299" s="519">
        <f t="shared" si="350"/>
        <v>0</v>
      </c>
      <c r="L299" s="519">
        <f t="shared" si="350"/>
        <v>0</v>
      </c>
      <c r="M299" s="2105">
        <f t="shared" si="350"/>
        <v>0</v>
      </c>
      <c r="N299" s="2105">
        <f t="shared" si="350"/>
        <v>0</v>
      </c>
      <c r="O299" s="2105">
        <f t="shared" si="350"/>
        <v>0</v>
      </c>
      <c r="P299" s="519">
        <f t="shared" si="350"/>
        <v>0</v>
      </c>
      <c r="Q299" s="519"/>
      <c r="R299" s="519"/>
      <c r="S299" s="519"/>
      <c r="T299" s="519"/>
      <c r="U299" s="2438"/>
      <c r="V299" s="2485"/>
    </row>
    <row r="300" spans="1:23" ht="13.5" hidden="1" customHeight="1">
      <c r="A300" s="2430"/>
      <c r="B300" s="607" t="s">
        <v>27</v>
      </c>
      <c r="C300" s="2494"/>
      <c r="D300" s="503">
        <f>SUM(M300:T300)</f>
        <v>0</v>
      </c>
      <c r="E300" s="521">
        <f>+F300+G300+H300</f>
        <v>0</v>
      </c>
      <c r="F300" s="521">
        <v>0</v>
      </c>
      <c r="G300" s="521">
        <v>0</v>
      </c>
      <c r="H300" s="521">
        <v>0</v>
      </c>
      <c r="I300" s="521"/>
      <c r="J300" s="521"/>
      <c r="K300" s="521">
        <v>0</v>
      </c>
      <c r="L300" s="521">
        <v>0</v>
      </c>
      <c r="M300" s="2107">
        <v>0</v>
      </c>
      <c r="N300" s="2107">
        <v>0</v>
      </c>
      <c r="O300" s="2107">
        <v>0</v>
      </c>
      <c r="P300" s="521">
        <v>0</v>
      </c>
      <c r="Q300" s="521"/>
      <c r="R300" s="521"/>
      <c r="S300" s="521"/>
      <c r="T300" s="521"/>
      <c r="U300" s="2438"/>
      <c r="V300" s="2485"/>
    </row>
    <row r="301" spans="1:23" ht="12" customHeight="1">
      <c r="A301" s="2430"/>
      <c r="B301" s="512" t="s">
        <v>30</v>
      </c>
      <c r="C301" s="2494"/>
      <c r="D301" s="513">
        <f t="shared" ref="D301:Q301" si="351">+D302</f>
        <v>7735000</v>
      </c>
      <c r="E301" s="514">
        <f t="shared" si="351"/>
        <v>0</v>
      </c>
      <c r="F301" s="514">
        <f t="shared" si="351"/>
        <v>0</v>
      </c>
      <c r="G301" s="514">
        <f t="shared" si="351"/>
        <v>0</v>
      </c>
      <c r="H301" s="514">
        <f t="shared" si="351"/>
        <v>0</v>
      </c>
      <c r="I301" s="514">
        <f t="shared" si="351"/>
        <v>0</v>
      </c>
      <c r="J301" s="514">
        <f t="shared" si="351"/>
        <v>0</v>
      </c>
      <c r="K301" s="514">
        <f t="shared" si="351"/>
        <v>0</v>
      </c>
      <c r="L301" s="514">
        <f t="shared" si="351"/>
        <v>0</v>
      </c>
      <c r="M301" s="2240">
        <f t="shared" si="351"/>
        <v>0</v>
      </c>
      <c r="N301" s="2240">
        <f t="shared" si="351"/>
        <v>0</v>
      </c>
      <c r="O301" s="2240">
        <f t="shared" si="351"/>
        <v>0</v>
      </c>
      <c r="P301" s="514">
        <f t="shared" si="351"/>
        <v>4000000</v>
      </c>
      <c r="Q301" s="514">
        <f t="shared" si="351"/>
        <v>3735000</v>
      </c>
      <c r="R301" s="514"/>
      <c r="S301" s="514"/>
      <c r="T301" s="514"/>
      <c r="U301" s="2438"/>
      <c r="V301" s="2485"/>
    </row>
    <row r="302" spans="1:23" ht="13.5" customHeight="1" thickBot="1">
      <c r="A302" s="2431"/>
      <c r="B302" s="545" t="s">
        <v>33</v>
      </c>
      <c r="C302" s="2495"/>
      <c r="D302" s="503">
        <f>SUM(M302:T302)</f>
        <v>7735000</v>
      </c>
      <c r="E302" s="546">
        <f>+F302+G302+H302</f>
        <v>0</v>
      </c>
      <c r="F302" s="547">
        <v>0</v>
      </c>
      <c r="G302" s="546">
        <v>0</v>
      </c>
      <c r="H302" s="546">
        <v>0</v>
      </c>
      <c r="I302" s="546"/>
      <c r="J302" s="546"/>
      <c r="K302" s="546">
        <v>0</v>
      </c>
      <c r="L302" s="546">
        <v>0</v>
      </c>
      <c r="M302" s="2241">
        <v>0</v>
      </c>
      <c r="N302" s="2241">
        <v>0</v>
      </c>
      <c r="O302" s="2241">
        <v>0</v>
      </c>
      <c r="P302" s="546">
        <v>4000000</v>
      </c>
      <c r="Q302" s="546">
        <v>3735000</v>
      </c>
      <c r="R302" s="546"/>
      <c r="S302" s="546"/>
      <c r="T302" s="546"/>
      <c r="U302" s="2439"/>
      <c r="V302" s="2486"/>
    </row>
    <row r="303" spans="1:23" ht="25.5" customHeight="1">
      <c r="A303" s="2428" t="s">
        <v>353</v>
      </c>
      <c r="B303" s="2229" t="s">
        <v>401</v>
      </c>
      <c r="C303" s="528" t="s">
        <v>102</v>
      </c>
      <c r="D303" s="488"/>
      <c r="E303" s="489"/>
      <c r="F303" s="490"/>
      <c r="G303" s="489"/>
      <c r="H303" s="489"/>
      <c r="I303" s="489"/>
      <c r="J303" s="489"/>
      <c r="K303" s="489"/>
      <c r="L303" s="489"/>
      <c r="M303" s="491"/>
      <c r="N303" s="491"/>
      <c r="O303" s="491"/>
      <c r="P303" s="491"/>
      <c r="Q303" s="491"/>
      <c r="R303" s="491"/>
      <c r="S303" s="491"/>
      <c r="T303" s="491"/>
      <c r="U303" s="492"/>
      <c r="V303" s="2383" t="s">
        <v>108</v>
      </c>
    </row>
    <row r="304" spans="1:23" ht="13.5" customHeight="1">
      <c r="A304" s="2429"/>
      <c r="B304" s="452" t="s">
        <v>22</v>
      </c>
      <c r="C304" s="428"/>
      <c r="D304" s="2242">
        <f t="shared" ref="D304:P304" si="352">+D305+D308</f>
        <v>7485400</v>
      </c>
      <c r="E304" s="2243">
        <f t="shared" si="352"/>
        <v>0</v>
      </c>
      <c r="F304" s="2243">
        <f t="shared" si="352"/>
        <v>0</v>
      </c>
      <c r="G304" s="2243">
        <f t="shared" si="352"/>
        <v>0</v>
      </c>
      <c r="H304" s="2243">
        <f t="shared" si="352"/>
        <v>0</v>
      </c>
      <c r="I304" s="2243">
        <f t="shared" si="352"/>
        <v>0</v>
      </c>
      <c r="J304" s="2243">
        <f t="shared" si="352"/>
        <v>0</v>
      </c>
      <c r="K304" s="2243">
        <f t="shared" si="352"/>
        <v>0</v>
      </c>
      <c r="L304" s="2243">
        <f t="shared" si="352"/>
        <v>0</v>
      </c>
      <c r="M304" s="2244">
        <f t="shared" ref="M304" si="353">+M305+M308</f>
        <v>0</v>
      </c>
      <c r="N304" s="2244">
        <f t="shared" si="352"/>
        <v>0</v>
      </c>
      <c r="O304" s="2244">
        <f t="shared" si="352"/>
        <v>0</v>
      </c>
      <c r="P304" s="2243">
        <f t="shared" si="352"/>
        <v>4285400</v>
      </c>
      <c r="Q304" s="2243">
        <f t="shared" ref="Q304" si="354">+Q305+Q308</f>
        <v>3200000</v>
      </c>
      <c r="R304" s="2243"/>
      <c r="S304" s="2243"/>
      <c r="T304" s="2243"/>
      <c r="U304" s="535">
        <f>U305+U308</f>
        <v>7485400</v>
      </c>
      <c r="V304" s="2384"/>
      <c r="W304" s="1258"/>
    </row>
    <row r="305" spans="1:24" ht="13.5" customHeight="1">
      <c r="A305" s="2429"/>
      <c r="B305" s="498" t="s">
        <v>36</v>
      </c>
      <c r="C305" s="2433" t="s">
        <v>105</v>
      </c>
      <c r="D305" s="619">
        <f>+D306+D307</f>
        <v>5585310</v>
      </c>
      <c r="E305" s="619">
        <f t="shared" ref="E305:J305" si="355">+E306+E307</f>
        <v>0</v>
      </c>
      <c r="F305" s="619">
        <f t="shared" si="355"/>
        <v>0</v>
      </c>
      <c r="G305" s="619">
        <f t="shared" si="355"/>
        <v>0</v>
      </c>
      <c r="H305" s="619">
        <f t="shared" si="355"/>
        <v>0</v>
      </c>
      <c r="I305" s="619">
        <f t="shared" si="355"/>
        <v>0</v>
      </c>
      <c r="J305" s="619">
        <f t="shared" si="355"/>
        <v>0</v>
      </c>
      <c r="K305" s="619">
        <f t="shared" ref="K305:Q305" si="356">+K306</f>
        <v>0</v>
      </c>
      <c r="L305" s="620">
        <f t="shared" si="356"/>
        <v>0</v>
      </c>
      <c r="M305" s="1487">
        <f t="shared" si="356"/>
        <v>0</v>
      </c>
      <c r="N305" s="1487">
        <f t="shared" si="356"/>
        <v>0</v>
      </c>
      <c r="O305" s="2245">
        <f t="shared" si="356"/>
        <v>0</v>
      </c>
      <c r="P305" s="619">
        <f t="shared" si="356"/>
        <v>2385310</v>
      </c>
      <c r="Q305" s="619">
        <f t="shared" si="356"/>
        <v>3200000</v>
      </c>
      <c r="R305" s="619"/>
      <c r="S305" s="619"/>
      <c r="T305" s="619"/>
      <c r="U305" s="557">
        <f>U306</f>
        <v>5585310</v>
      </c>
      <c r="V305" s="2384"/>
      <c r="W305" s="1258"/>
    </row>
    <row r="306" spans="1:24" ht="12" customHeight="1">
      <c r="A306" s="2429"/>
      <c r="B306" s="539" t="s">
        <v>24</v>
      </c>
      <c r="C306" s="2435"/>
      <c r="D306" s="1794">
        <f t="shared" ref="D306" si="357">SUM(M306:T306)</f>
        <v>5585310</v>
      </c>
      <c r="E306" s="510"/>
      <c r="F306" s="511">
        <v>0</v>
      </c>
      <c r="G306" s="510"/>
      <c r="H306" s="510"/>
      <c r="I306" s="510"/>
      <c r="J306" s="510"/>
      <c r="K306" s="510"/>
      <c r="L306" s="510"/>
      <c r="M306" s="2246">
        <f>161080-161080</f>
        <v>0</v>
      </c>
      <c r="N306" s="2246">
        <f>161080-161080</f>
        <v>0</v>
      </c>
      <c r="O306" s="2246">
        <v>0</v>
      </c>
      <c r="P306" s="511">
        <v>2385310</v>
      </c>
      <c r="Q306" s="511">
        <v>3200000</v>
      </c>
      <c r="R306" s="511"/>
      <c r="S306" s="511"/>
      <c r="T306" s="511"/>
      <c r="U306" s="462">
        <f>SUM(O306:T306)</f>
        <v>5585310</v>
      </c>
      <c r="V306" s="2384"/>
    </row>
    <row r="307" spans="1:24" hidden="1">
      <c r="A307" s="2429"/>
      <c r="B307" s="607" t="s">
        <v>27</v>
      </c>
      <c r="C307" s="2435"/>
      <c r="D307" s="520">
        <f>+E307+I307+J307+K307+L307</f>
        <v>0</v>
      </c>
      <c r="E307" s="510">
        <v>0</v>
      </c>
      <c r="F307" s="508"/>
      <c r="G307" s="508"/>
      <c r="H307" s="542"/>
      <c r="I307" s="542"/>
      <c r="J307" s="542"/>
      <c r="K307" s="508">
        <v>0</v>
      </c>
      <c r="L307" s="508">
        <v>0</v>
      </c>
      <c r="M307" s="2103">
        <v>0</v>
      </c>
      <c r="N307" s="2103">
        <v>0</v>
      </c>
      <c r="O307" s="2103">
        <v>0</v>
      </c>
      <c r="P307" s="508">
        <v>0</v>
      </c>
      <c r="Q307" s="508"/>
      <c r="R307" s="508"/>
      <c r="S307" s="508"/>
      <c r="T307" s="508"/>
      <c r="U307" s="462"/>
      <c r="V307" s="2384"/>
    </row>
    <row r="308" spans="1:24" ht="13.5" customHeight="1">
      <c r="A308" s="2429"/>
      <c r="B308" s="512" t="s">
        <v>30</v>
      </c>
      <c r="C308" s="2435"/>
      <c r="D308" s="513">
        <f>+D309</f>
        <v>1900090</v>
      </c>
      <c r="E308" s="514">
        <f t="shared" ref="E308:Q308" si="358">+E309</f>
        <v>0</v>
      </c>
      <c r="F308" s="514">
        <f t="shared" si="358"/>
        <v>0</v>
      </c>
      <c r="G308" s="514">
        <f t="shared" si="358"/>
        <v>0</v>
      </c>
      <c r="H308" s="514">
        <f t="shared" si="358"/>
        <v>0</v>
      </c>
      <c r="I308" s="514">
        <f t="shared" si="358"/>
        <v>0</v>
      </c>
      <c r="J308" s="514">
        <f t="shared" si="358"/>
        <v>0</v>
      </c>
      <c r="K308" s="514">
        <f t="shared" si="358"/>
        <v>0</v>
      </c>
      <c r="L308" s="514">
        <f t="shared" si="358"/>
        <v>0</v>
      </c>
      <c r="M308" s="2240">
        <f t="shared" si="358"/>
        <v>0</v>
      </c>
      <c r="N308" s="2240">
        <f t="shared" si="358"/>
        <v>0</v>
      </c>
      <c r="O308" s="2240">
        <f t="shared" si="358"/>
        <v>0</v>
      </c>
      <c r="P308" s="514">
        <f t="shared" si="358"/>
        <v>1900090</v>
      </c>
      <c r="Q308" s="2240">
        <f t="shared" si="358"/>
        <v>0</v>
      </c>
      <c r="R308" s="514"/>
      <c r="S308" s="514"/>
      <c r="T308" s="514"/>
      <c r="U308" s="557">
        <f>U309</f>
        <v>1900090</v>
      </c>
      <c r="V308" s="2384"/>
    </row>
    <row r="309" spans="1:24">
      <c r="A309" s="2429"/>
      <c r="B309" s="558" t="s">
        <v>33</v>
      </c>
      <c r="C309" s="2436"/>
      <c r="D309" s="2247">
        <f t="shared" ref="D309" si="359">SUM(M309:T309)</f>
        <v>1900090</v>
      </c>
      <c r="E309" s="510">
        <f>+F309+G309+H309</f>
        <v>0</v>
      </c>
      <c r="F309" s="511">
        <v>0</v>
      </c>
      <c r="G309" s="510"/>
      <c r="H309" s="510"/>
      <c r="I309" s="510"/>
      <c r="J309" s="510"/>
      <c r="K309" s="510"/>
      <c r="L309" s="510">
        <v>0</v>
      </c>
      <c r="M309" s="2246">
        <v>0</v>
      </c>
      <c r="N309" s="2246">
        <v>0</v>
      </c>
      <c r="O309" s="2246">
        <v>0</v>
      </c>
      <c r="P309" s="511">
        <v>1900090</v>
      </c>
      <c r="Q309" s="2246">
        <v>0</v>
      </c>
      <c r="R309" s="511"/>
      <c r="S309" s="511"/>
      <c r="T309" s="511"/>
      <c r="U309" s="462">
        <f>SUM(O309:T309)</f>
        <v>1900090</v>
      </c>
      <c r="V309" s="2432"/>
    </row>
    <row r="310" spans="1:24" ht="13.5" customHeight="1">
      <c r="A310" s="2430"/>
      <c r="B310" s="452" t="s">
        <v>34</v>
      </c>
      <c r="C310" s="603"/>
      <c r="D310" s="604">
        <f>+D313+D311</f>
        <v>1900090</v>
      </c>
      <c r="E310" s="604">
        <f t="shared" ref="E310:J310" si="360">+E313+E311</f>
        <v>0</v>
      </c>
      <c r="F310" s="604">
        <f t="shared" si="360"/>
        <v>0</v>
      </c>
      <c r="G310" s="604">
        <f t="shared" si="360"/>
        <v>0</v>
      </c>
      <c r="H310" s="604">
        <f t="shared" si="360"/>
        <v>0</v>
      </c>
      <c r="I310" s="604">
        <f t="shared" si="360"/>
        <v>0</v>
      </c>
      <c r="J310" s="604">
        <f t="shared" si="360"/>
        <v>0</v>
      </c>
      <c r="K310" s="604">
        <f t="shared" ref="K310:Q310" si="361">+K313+K311</f>
        <v>0</v>
      </c>
      <c r="L310" s="604">
        <f t="shared" si="361"/>
        <v>0</v>
      </c>
      <c r="M310" s="2248">
        <f t="shared" si="361"/>
        <v>0</v>
      </c>
      <c r="N310" s="2248">
        <f t="shared" si="361"/>
        <v>0</v>
      </c>
      <c r="O310" s="2248">
        <f t="shared" si="361"/>
        <v>0</v>
      </c>
      <c r="P310" s="2248">
        <f t="shared" si="361"/>
        <v>0</v>
      </c>
      <c r="Q310" s="604">
        <f t="shared" si="361"/>
        <v>1900090</v>
      </c>
      <c r="R310" s="604"/>
      <c r="S310" s="604"/>
      <c r="T310" s="604"/>
      <c r="U310" s="2499" t="s">
        <v>35</v>
      </c>
      <c r="V310" s="2484" t="s">
        <v>129</v>
      </c>
    </row>
    <row r="311" spans="1:24" s="1313" customFormat="1" ht="13.5" hidden="1" customHeight="1">
      <c r="A311" s="2430"/>
      <c r="B311" s="621" t="s">
        <v>36</v>
      </c>
      <c r="C311" s="2433" t="s">
        <v>351</v>
      </c>
      <c r="D311" s="519">
        <f>+D312</f>
        <v>0</v>
      </c>
      <c r="E311" s="519">
        <f t="shared" ref="E311:P311" si="362">+E312</f>
        <v>0</v>
      </c>
      <c r="F311" s="519">
        <f t="shared" si="362"/>
        <v>0</v>
      </c>
      <c r="G311" s="519">
        <f t="shared" si="362"/>
        <v>0</v>
      </c>
      <c r="H311" s="519">
        <f t="shared" si="362"/>
        <v>0</v>
      </c>
      <c r="I311" s="519">
        <f t="shared" si="362"/>
        <v>0</v>
      </c>
      <c r="J311" s="519">
        <f t="shared" si="362"/>
        <v>0</v>
      </c>
      <c r="K311" s="519">
        <f t="shared" si="362"/>
        <v>0</v>
      </c>
      <c r="L311" s="519">
        <f t="shared" si="362"/>
        <v>0</v>
      </c>
      <c r="M311" s="2105">
        <f t="shared" si="362"/>
        <v>0</v>
      </c>
      <c r="N311" s="2105">
        <f t="shared" si="362"/>
        <v>0</v>
      </c>
      <c r="O311" s="2105">
        <f t="shared" si="362"/>
        <v>0</v>
      </c>
      <c r="P311" s="2105">
        <f t="shared" si="362"/>
        <v>0</v>
      </c>
      <c r="Q311" s="519"/>
      <c r="R311" s="519"/>
      <c r="S311" s="519"/>
      <c r="T311" s="519"/>
      <c r="U311" s="2500"/>
      <c r="V311" s="2485"/>
    </row>
    <row r="312" spans="1:24" hidden="1">
      <c r="A312" s="2430"/>
      <c r="B312" s="607" t="s">
        <v>27</v>
      </c>
      <c r="C312" s="2434"/>
      <c r="D312" s="520">
        <f>+E312+I312+J312+K312+L312+N312+O312</f>
        <v>0</v>
      </c>
      <c r="E312" s="521">
        <f>+F312+G312+H312</f>
        <v>0</v>
      </c>
      <c r="F312" s="521">
        <v>0</v>
      </c>
      <c r="G312" s="521">
        <v>0</v>
      </c>
      <c r="H312" s="521">
        <v>0</v>
      </c>
      <c r="I312" s="521"/>
      <c r="J312" s="521"/>
      <c r="K312" s="521">
        <v>0</v>
      </c>
      <c r="L312" s="521">
        <v>0</v>
      </c>
      <c r="M312" s="2107">
        <v>0</v>
      </c>
      <c r="N312" s="2107">
        <v>0</v>
      </c>
      <c r="O312" s="2107">
        <v>0</v>
      </c>
      <c r="P312" s="2107">
        <v>0</v>
      </c>
      <c r="Q312" s="521"/>
      <c r="R312" s="521"/>
      <c r="S312" s="521"/>
      <c r="T312" s="521"/>
      <c r="U312" s="2500"/>
      <c r="V312" s="2485"/>
    </row>
    <row r="313" spans="1:24" ht="12" customHeight="1">
      <c r="A313" s="2430"/>
      <c r="B313" s="512" t="s">
        <v>30</v>
      </c>
      <c r="C313" s="2434"/>
      <c r="D313" s="513">
        <f t="shared" ref="D313:Q313" si="363">+D314</f>
        <v>1900090</v>
      </c>
      <c r="E313" s="514">
        <f t="shared" si="363"/>
        <v>0</v>
      </c>
      <c r="F313" s="514">
        <f t="shared" si="363"/>
        <v>0</v>
      </c>
      <c r="G313" s="514">
        <f t="shared" si="363"/>
        <v>0</v>
      </c>
      <c r="H313" s="514">
        <f t="shared" si="363"/>
        <v>0</v>
      </c>
      <c r="I313" s="514">
        <f t="shared" si="363"/>
        <v>0</v>
      </c>
      <c r="J313" s="514">
        <f t="shared" si="363"/>
        <v>0</v>
      </c>
      <c r="K313" s="514">
        <f t="shared" si="363"/>
        <v>0</v>
      </c>
      <c r="L313" s="514">
        <f t="shared" si="363"/>
        <v>0</v>
      </c>
      <c r="M313" s="2240">
        <f t="shared" si="363"/>
        <v>0</v>
      </c>
      <c r="N313" s="2240">
        <f t="shared" si="363"/>
        <v>0</v>
      </c>
      <c r="O313" s="2240">
        <f t="shared" si="363"/>
        <v>0</v>
      </c>
      <c r="P313" s="2240">
        <f t="shared" si="363"/>
        <v>0</v>
      </c>
      <c r="Q313" s="514">
        <f t="shared" si="363"/>
        <v>1900090</v>
      </c>
      <c r="R313" s="514"/>
      <c r="S313" s="514"/>
      <c r="T313" s="514"/>
      <c r="U313" s="2500"/>
      <c r="V313" s="2485"/>
    </row>
    <row r="314" spans="1:24" ht="13.5" customHeight="1" thickBot="1">
      <c r="A314" s="2431"/>
      <c r="B314" s="545" t="s">
        <v>33</v>
      </c>
      <c r="C314" s="2443"/>
      <c r="D314" s="2249">
        <f t="shared" ref="D314" si="364">SUM(M314:T314)</f>
        <v>1900090</v>
      </c>
      <c r="E314" s="546">
        <f>+F314+G314+H314</f>
        <v>0</v>
      </c>
      <c r="F314" s="547">
        <v>0</v>
      </c>
      <c r="G314" s="546">
        <v>0</v>
      </c>
      <c r="H314" s="546">
        <v>0</v>
      </c>
      <c r="I314" s="546">
        <f>2300000-2300000</f>
        <v>0</v>
      </c>
      <c r="J314" s="546"/>
      <c r="K314" s="546"/>
      <c r="L314" s="546"/>
      <c r="M314" s="1496">
        <v>0</v>
      </c>
      <c r="N314" s="1496">
        <v>0</v>
      </c>
      <c r="O314" s="1496">
        <v>0</v>
      </c>
      <c r="P314" s="1496">
        <v>0</v>
      </c>
      <c r="Q314" s="526">
        <v>1900090</v>
      </c>
      <c r="R314" s="526"/>
      <c r="S314" s="526"/>
      <c r="T314" s="546"/>
      <c r="U314" s="2501"/>
      <c r="V314" s="2486"/>
    </row>
    <row r="315" spans="1:24" ht="17.25" customHeight="1">
      <c r="A315" s="2516" t="s">
        <v>359</v>
      </c>
      <c r="B315" s="667" t="s">
        <v>402</v>
      </c>
      <c r="C315" s="668"/>
      <c r="D315" s="669"/>
      <c r="E315" s="670"/>
      <c r="F315" s="670"/>
      <c r="G315" s="670"/>
      <c r="H315" s="670"/>
      <c r="I315" s="670"/>
      <c r="J315" s="671"/>
      <c r="K315" s="671"/>
      <c r="L315" s="671"/>
      <c r="M315" s="671"/>
      <c r="N315" s="671"/>
      <c r="O315" s="671"/>
      <c r="P315" s="671"/>
      <c r="Q315" s="671"/>
      <c r="R315" s="671"/>
      <c r="S315" s="671"/>
      <c r="T315" s="671"/>
      <c r="U315" s="672"/>
      <c r="V315" s="2520"/>
    </row>
    <row r="316" spans="1:24" s="1909" customFormat="1" ht="14.25" customHeight="1">
      <c r="A316" s="2517"/>
      <c r="B316" s="452" t="s">
        <v>22</v>
      </c>
      <c r="C316" s="603"/>
      <c r="D316" s="673">
        <f>+D317+D319</f>
        <v>14952665</v>
      </c>
      <c r="E316" s="673">
        <f t="shared" ref="E316:P316" si="365">+E317+E319</f>
        <v>0</v>
      </c>
      <c r="F316" s="673">
        <f t="shared" si="365"/>
        <v>0</v>
      </c>
      <c r="G316" s="673">
        <f t="shared" si="365"/>
        <v>0</v>
      </c>
      <c r="H316" s="673">
        <f t="shared" si="365"/>
        <v>0</v>
      </c>
      <c r="I316" s="673">
        <f t="shared" si="365"/>
        <v>975925</v>
      </c>
      <c r="J316" s="673">
        <f t="shared" si="365"/>
        <v>4973169</v>
      </c>
      <c r="K316" s="673">
        <f t="shared" si="365"/>
        <v>3361</v>
      </c>
      <c r="L316" s="673">
        <f t="shared" si="365"/>
        <v>0</v>
      </c>
      <c r="M316" s="673">
        <f t="shared" ref="M316:N316" si="366">+M317+M319</f>
        <v>5952455</v>
      </c>
      <c r="N316" s="673">
        <f t="shared" si="366"/>
        <v>0</v>
      </c>
      <c r="O316" s="673">
        <f t="shared" si="365"/>
        <v>210</v>
      </c>
      <c r="P316" s="673">
        <f t="shared" si="365"/>
        <v>9000000</v>
      </c>
      <c r="Q316" s="673">
        <f t="shared" ref="Q316:T316" si="367">+Q317+Q319</f>
        <v>0</v>
      </c>
      <c r="R316" s="673">
        <f t="shared" si="367"/>
        <v>0</v>
      </c>
      <c r="S316" s="673">
        <f t="shared" si="367"/>
        <v>0</v>
      </c>
      <c r="T316" s="673">
        <f t="shared" si="367"/>
        <v>0</v>
      </c>
      <c r="U316" s="454">
        <f>+U317+U319</f>
        <v>9000210</v>
      </c>
      <c r="V316" s="2521"/>
      <c r="W316" s="1903">
        <f>+O316+P316</f>
        <v>9000210</v>
      </c>
      <c r="X316" s="1908"/>
    </row>
    <row r="317" spans="1:24" s="1910" customFormat="1" ht="13.5" customHeight="1">
      <c r="A317" s="2517"/>
      <c r="B317" s="674" t="s">
        <v>23</v>
      </c>
      <c r="C317" s="675"/>
      <c r="D317" s="457">
        <f>+D318</f>
        <v>10044837</v>
      </c>
      <c r="E317" s="457">
        <f t="shared" ref="E317:T317" si="368">+E318</f>
        <v>0</v>
      </c>
      <c r="F317" s="457">
        <f t="shared" si="368"/>
        <v>0</v>
      </c>
      <c r="G317" s="457">
        <f t="shared" si="368"/>
        <v>0</v>
      </c>
      <c r="H317" s="457">
        <f t="shared" si="368"/>
        <v>0</v>
      </c>
      <c r="I317" s="457">
        <f t="shared" si="368"/>
        <v>146389</v>
      </c>
      <c r="J317" s="457">
        <f t="shared" si="368"/>
        <v>894877</v>
      </c>
      <c r="K317" s="457">
        <f t="shared" si="368"/>
        <v>3361</v>
      </c>
      <c r="L317" s="457">
        <f t="shared" si="368"/>
        <v>0</v>
      </c>
      <c r="M317" s="457">
        <f t="shared" si="368"/>
        <v>1044627</v>
      </c>
      <c r="N317" s="457">
        <f t="shared" si="368"/>
        <v>0</v>
      </c>
      <c r="O317" s="457">
        <f t="shared" si="368"/>
        <v>210</v>
      </c>
      <c r="P317" s="457">
        <f t="shared" si="368"/>
        <v>9000000</v>
      </c>
      <c r="Q317" s="457">
        <f t="shared" si="368"/>
        <v>0</v>
      </c>
      <c r="R317" s="457">
        <f t="shared" si="368"/>
        <v>0</v>
      </c>
      <c r="S317" s="457">
        <f t="shared" si="368"/>
        <v>0</v>
      </c>
      <c r="T317" s="457">
        <f t="shared" si="368"/>
        <v>0</v>
      </c>
      <c r="U317" s="557">
        <f>+U318</f>
        <v>9000210</v>
      </c>
      <c r="V317" s="2521"/>
      <c r="X317" s="1908"/>
    </row>
    <row r="318" spans="1:24" s="1909" customFormat="1" ht="11.25" customHeight="1">
      <c r="A318" s="2517"/>
      <c r="B318" s="477" t="s">
        <v>24</v>
      </c>
      <c r="C318" s="478"/>
      <c r="D318" s="461">
        <f>+D327+D337</f>
        <v>10044837</v>
      </c>
      <c r="E318" s="461">
        <f t="shared" ref="E318:T318" si="369">+E327+E337</f>
        <v>0</v>
      </c>
      <c r="F318" s="461">
        <f t="shared" si="369"/>
        <v>0</v>
      </c>
      <c r="G318" s="461">
        <f t="shared" si="369"/>
        <v>0</v>
      </c>
      <c r="H318" s="461">
        <f t="shared" si="369"/>
        <v>0</v>
      </c>
      <c r="I318" s="461">
        <f t="shared" si="369"/>
        <v>146389</v>
      </c>
      <c r="J318" s="461">
        <f t="shared" si="369"/>
        <v>894877</v>
      </c>
      <c r="K318" s="461">
        <f t="shared" si="369"/>
        <v>3361</v>
      </c>
      <c r="L318" s="461">
        <f t="shared" si="369"/>
        <v>0</v>
      </c>
      <c r="M318" s="461">
        <f t="shared" si="369"/>
        <v>1044627</v>
      </c>
      <c r="N318" s="461">
        <f t="shared" si="369"/>
        <v>0</v>
      </c>
      <c r="O318" s="461">
        <f t="shared" si="369"/>
        <v>210</v>
      </c>
      <c r="P318" s="461">
        <f t="shared" si="369"/>
        <v>9000000</v>
      </c>
      <c r="Q318" s="461">
        <f t="shared" si="369"/>
        <v>0</v>
      </c>
      <c r="R318" s="461">
        <f t="shared" si="369"/>
        <v>0</v>
      </c>
      <c r="S318" s="461">
        <f t="shared" si="369"/>
        <v>0</v>
      </c>
      <c r="T318" s="461">
        <f t="shared" si="369"/>
        <v>0</v>
      </c>
      <c r="U318" s="462">
        <f t="shared" ref="U318" si="370">SUM(O318:T318)</f>
        <v>9000210</v>
      </c>
      <c r="V318" s="2521"/>
      <c r="W318" s="1908"/>
      <c r="X318" s="1908"/>
    </row>
    <row r="319" spans="1:24" s="1910" customFormat="1" ht="13.5" customHeight="1">
      <c r="A319" s="2517"/>
      <c r="B319" s="466" t="s">
        <v>126</v>
      </c>
      <c r="C319" s="467"/>
      <c r="D319" s="676">
        <f>+D320</f>
        <v>4907828</v>
      </c>
      <c r="E319" s="676">
        <f t="shared" ref="E319:T319" si="371">+E320</f>
        <v>0</v>
      </c>
      <c r="F319" s="676">
        <f t="shared" si="371"/>
        <v>0</v>
      </c>
      <c r="G319" s="676">
        <f t="shared" si="371"/>
        <v>0</v>
      </c>
      <c r="H319" s="676">
        <f t="shared" si="371"/>
        <v>0</v>
      </c>
      <c r="I319" s="676">
        <f t="shared" si="371"/>
        <v>829536</v>
      </c>
      <c r="J319" s="676">
        <f t="shared" si="371"/>
        <v>4078292</v>
      </c>
      <c r="K319" s="676">
        <f t="shared" si="371"/>
        <v>0</v>
      </c>
      <c r="L319" s="676">
        <f t="shared" si="371"/>
        <v>0</v>
      </c>
      <c r="M319" s="676">
        <f t="shared" si="371"/>
        <v>4907828</v>
      </c>
      <c r="N319" s="676">
        <f t="shared" si="371"/>
        <v>0</v>
      </c>
      <c r="O319" s="676">
        <f t="shared" si="371"/>
        <v>0</v>
      </c>
      <c r="P319" s="676">
        <f t="shared" si="371"/>
        <v>0</v>
      </c>
      <c r="Q319" s="676">
        <f t="shared" si="371"/>
        <v>0</v>
      </c>
      <c r="R319" s="676">
        <f t="shared" si="371"/>
        <v>0</v>
      </c>
      <c r="S319" s="676">
        <f t="shared" si="371"/>
        <v>0</v>
      </c>
      <c r="T319" s="676">
        <f t="shared" si="371"/>
        <v>0</v>
      </c>
      <c r="U319" s="557">
        <f>+U320</f>
        <v>0</v>
      </c>
      <c r="V319" s="2521"/>
      <c r="X319" s="1908"/>
    </row>
    <row r="320" spans="1:24" s="1909" customFormat="1" ht="12.75" customHeight="1">
      <c r="A320" s="2517"/>
      <c r="B320" s="477" t="s">
        <v>32</v>
      </c>
      <c r="C320" s="478"/>
      <c r="D320" s="461">
        <f>+D329+D339</f>
        <v>4907828</v>
      </c>
      <c r="E320" s="461">
        <f t="shared" ref="E320:T320" si="372">+E329+E339</f>
        <v>0</v>
      </c>
      <c r="F320" s="461">
        <f t="shared" si="372"/>
        <v>0</v>
      </c>
      <c r="G320" s="461">
        <f t="shared" si="372"/>
        <v>0</v>
      </c>
      <c r="H320" s="461">
        <f t="shared" si="372"/>
        <v>0</v>
      </c>
      <c r="I320" s="461">
        <f t="shared" si="372"/>
        <v>829536</v>
      </c>
      <c r="J320" s="461">
        <f t="shared" si="372"/>
        <v>4078292</v>
      </c>
      <c r="K320" s="461">
        <f t="shared" si="372"/>
        <v>0</v>
      </c>
      <c r="L320" s="461">
        <f t="shared" si="372"/>
        <v>0</v>
      </c>
      <c r="M320" s="461">
        <f t="shared" si="372"/>
        <v>4907828</v>
      </c>
      <c r="N320" s="461">
        <f t="shared" si="372"/>
        <v>0</v>
      </c>
      <c r="O320" s="461">
        <f t="shared" si="372"/>
        <v>0</v>
      </c>
      <c r="P320" s="461">
        <f t="shared" si="372"/>
        <v>0</v>
      </c>
      <c r="Q320" s="461">
        <f t="shared" si="372"/>
        <v>0</v>
      </c>
      <c r="R320" s="461">
        <f t="shared" si="372"/>
        <v>0</v>
      </c>
      <c r="S320" s="461">
        <f t="shared" si="372"/>
        <v>0</v>
      </c>
      <c r="T320" s="461">
        <f t="shared" si="372"/>
        <v>0</v>
      </c>
      <c r="U320" s="462">
        <f t="shared" ref="U320" si="373">SUM(O320:T320)</f>
        <v>0</v>
      </c>
      <c r="V320" s="2521"/>
      <c r="W320" s="1908"/>
      <c r="X320" s="1908"/>
    </row>
    <row r="321" spans="1:23" s="1909" customFormat="1" ht="12" customHeight="1">
      <c r="A321" s="2518"/>
      <c r="B321" s="427" t="s">
        <v>34</v>
      </c>
      <c r="C321" s="428"/>
      <c r="D321" s="533">
        <f>+D322</f>
        <v>12557828</v>
      </c>
      <c r="E321" s="533">
        <f t="shared" ref="E321:T322" si="374">+E322</f>
        <v>0</v>
      </c>
      <c r="F321" s="533">
        <f t="shared" si="374"/>
        <v>0</v>
      </c>
      <c r="G321" s="533">
        <f t="shared" si="374"/>
        <v>0</v>
      </c>
      <c r="H321" s="533">
        <f t="shared" si="374"/>
        <v>0</v>
      </c>
      <c r="I321" s="533">
        <f t="shared" si="374"/>
        <v>0</v>
      </c>
      <c r="J321" s="533">
        <f t="shared" si="374"/>
        <v>842747</v>
      </c>
      <c r="K321" s="533">
        <f t="shared" si="374"/>
        <v>0</v>
      </c>
      <c r="L321" s="533">
        <f t="shared" si="374"/>
        <v>4065081</v>
      </c>
      <c r="M321" s="533">
        <f t="shared" si="374"/>
        <v>4907828</v>
      </c>
      <c r="N321" s="533">
        <f t="shared" si="374"/>
        <v>0</v>
      </c>
      <c r="O321" s="533">
        <f t="shared" si="374"/>
        <v>0</v>
      </c>
      <c r="P321" s="533">
        <f t="shared" si="374"/>
        <v>2550000</v>
      </c>
      <c r="Q321" s="533">
        <f t="shared" si="374"/>
        <v>5100000</v>
      </c>
      <c r="R321" s="533">
        <f t="shared" si="374"/>
        <v>0</v>
      </c>
      <c r="S321" s="533">
        <f t="shared" si="374"/>
        <v>0</v>
      </c>
      <c r="T321" s="533">
        <f t="shared" si="374"/>
        <v>0</v>
      </c>
      <c r="U321" s="645"/>
      <c r="V321" s="677"/>
      <c r="W321" s="1908"/>
    </row>
    <row r="322" spans="1:23" s="1909" customFormat="1" ht="12.75" customHeight="1">
      <c r="A322" s="2518"/>
      <c r="B322" s="678" t="s">
        <v>30</v>
      </c>
      <c r="C322" s="679"/>
      <c r="D322" s="680">
        <f>+D323</f>
        <v>12557828</v>
      </c>
      <c r="E322" s="680">
        <f t="shared" si="374"/>
        <v>0</v>
      </c>
      <c r="F322" s="680">
        <f t="shared" si="374"/>
        <v>0</v>
      </c>
      <c r="G322" s="680">
        <f t="shared" si="374"/>
        <v>0</v>
      </c>
      <c r="H322" s="680">
        <f t="shared" si="374"/>
        <v>0</v>
      </c>
      <c r="I322" s="680">
        <f t="shared" si="374"/>
        <v>0</v>
      </c>
      <c r="J322" s="680">
        <f>+J323</f>
        <v>842747</v>
      </c>
      <c r="K322" s="680">
        <f t="shared" si="374"/>
        <v>0</v>
      </c>
      <c r="L322" s="680">
        <f t="shared" si="374"/>
        <v>4065081</v>
      </c>
      <c r="M322" s="680">
        <f t="shared" si="374"/>
        <v>4907828</v>
      </c>
      <c r="N322" s="680">
        <f t="shared" si="374"/>
        <v>0</v>
      </c>
      <c r="O322" s="680">
        <f t="shared" si="374"/>
        <v>0</v>
      </c>
      <c r="P322" s="680">
        <f t="shared" si="374"/>
        <v>2550000</v>
      </c>
      <c r="Q322" s="680">
        <f t="shared" si="374"/>
        <v>5100000</v>
      </c>
      <c r="R322" s="680">
        <f t="shared" si="374"/>
        <v>0</v>
      </c>
      <c r="S322" s="680">
        <f t="shared" si="374"/>
        <v>0</v>
      </c>
      <c r="T322" s="680">
        <f t="shared" si="374"/>
        <v>0</v>
      </c>
      <c r="U322" s="2487" t="s">
        <v>35</v>
      </c>
      <c r="V322" s="2193"/>
      <c r="W322" s="1908"/>
    </row>
    <row r="323" spans="1:23" s="1909" customFormat="1" ht="13.5" customHeight="1" thickBot="1">
      <c r="A323" s="2519"/>
      <c r="B323" s="681" t="s">
        <v>32</v>
      </c>
      <c r="C323" s="682"/>
      <c r="D323" s="683">
        <f>+D332+D342</f>
        <v>12557828</v>
      </c>
      <c r="E323" s="683">
        <f t="shared" ref="E323:T323" si="375">+E332+E342</f>
        <v>0</v>
      </c>
      <c r="F323" s="683">
        <f t="shared" si="375"/>
        <v>0</v>
      </c>
      <c r="G323" s="683">
        <f t="shared" si="375"/>
        <v>0</v>
      </c>
      <c r="H323" s="683">
        <f t="shared" si="375"/>
        <v>0</v>
      </c>
      <c r="I323" s="683">
        <f t="shared" si="375"/>
        <v>0</v>
      </c>
      <c r="J323" s="683">
        <f t="shared" si="375"/>
        <v>842747</v>
      </c>
      <c r="K323" s="683">
        <f t="shared" si="375"/>
        <v>0</v>
      </c>
      <c r="L323" s="683">
        <f t="shared" si="375"/>
        <v>4065081</v>
      </c>
      <c r="M323" s="683">
        <f t="shared" si="375"/>
        <v>4907828</v>
      </c>
      <c r="N323" s="683">
        <f t="shared" si="375"/>
        <v>0</v>
      </c>
      <c r="O323" s="683">
        <f t="shared" si="375"/>
        <v>0</v>
      </c>
      <c r="P323" s="683">
        <f t="shared" si="375"/>
        <v>2550000</v>
      </c>
      <c r="Q323" s="683">
        <f t="shared" si="375"/>
        <v>5100000</v>
      </c>
      <c r="R323" s="683">
        <f t="shared" si="375"/>
        <v>0</v>
      </c>
      <c r="S323" s="683">
        <f t="shared" si="375"/>
        <v>0</v>
      </c>
      <c r="T323" s="683">
        <f t="shared" si="375"/>
        <v>0</v>
      </c>
      <c r="U323" s="2489"/>
      <c r="V323" s="684"/>
    </row>
    <row r="324" spans="1:23" ht="28.5" customHeight="1">
      <c r="A324" s="2428" t="s">
        <v>354</v>
      </c>
      <c r="B324" s="2229" t="s">
        <v>429</v>
      </c>
      <c r="C324" s="487" t="s">
        <v>102</v>
      </c>
      <c r="D324" s="690"/>
      <c r="E324" s="489"/>
      <c r="F324" s="490"/>
      <c r="G324" s="490"/>
      <c r="H324" s="489"/>
      <c r="I324" s="489"/>
      <c r="J324" s="489"/>
      <c r="K324" s="489"/>
      <c r="L324" s="489"/>
      <c r="M324" s="489"/>
      <c r="N324" s="489"/>
      <c r="O324" s="489"/>
      <c r="P324" s="491"/>
      <c r="Q324" s="491"/>
      <c r="R324" s="491"/>
      <c r="S324" s="2250"/>
      <c r="T324" s="490"/>
      <c r="U324" s="2251"/>
      <c r="V324" s="2513" t="s">
        <v>128</v>
      </c>
    </row>
    <row r="325" spans="1:23">
      <c r="A325" s="2429"/>
      <c r="B325" s="427" t="s">
        <v>22</v>
      </c>
      <c r="C325" s="428"/>
      <c r="D325" s="685">
        <f>+D326+D328</f>
        <v>5952665</v>
      </c>
      <c r="E325" s="685">
        <f t="shared" ref="E325:P325" si="376">+E326+E328</f>
        <v>0</v>
      </c>
      <c r="F325" s="685">
        <f t="shared" si="376"/>
        <v>0</v>
      </c>
      <c r="G325" s="685">
        <f t="shared" si="376"/>
        <v>0</v>
      </c>
      <c r="H325" s="685">
        <f t="shared" si="376"/>
        <v>0</v>
      </c>
      <c r="I325" s="685">
        <f t="shared" si="376"/>
        <v>975925</v>
      </c>
      <c r="J325" s="685">
        <f t="shared" si="376"/>
        <v>4973169</v>
      </c>
      <c r="K325" s="685">
        <f t="shared" si="376"/>
        <v>3361</v>
      </c>
      <c r="L325" s="685">
        <f t="shared" si="376"/>
        <v>0</v>
      </c>
      <c r="M325" s="685">
        <f t="shared" ref="M325" si="377">+M326+M328</f>
        <v>5952455</v>
      </c>
      <c r="N325" s="685">
        <f t="shared" si="376"/>
        <v>0</v>
      </c>
      <c r="O325" s="685">
        <f t="shared" si="376"/>
        <v>210</v>
      </c>
      <c r="P325" s="685">
        <f t="shared" si="376"/>
        <v>0</v>
      </c>
      <c r="Q325" s="685"/>
      <c r="R325" s="685"/>
      <c r="S325" s="685"/>
      <c r="T325" s="685"/>
      <c r="U325" s="535">
        <f>+U326+U328</f>
        <v>210</v>
      </c>
      <c r="V325" s="2514"/>
    </row>
    <row r="326" spans="1:23">
      <c r="A326" s="2429"/>
      <c r="B326" s="584" t="s">
        <v>36</v>
      </c>
      <c r="C326" s="2433" t="s">
        <v>105</v>
      </c>
      <c r="D326" s="688">
        <f>+D327</f>
        <v>1044837</v>
      </c>
      <c r="E326" s="688">
        <f t="shared" ref="E326:P326" si="378">+E327</f>
        <v>0</v>
      </c>
      <c r="F326" s="688">
        <f t="shared" si="378"/>
        <v>0</v>
      </c>
      <c r="G326" s="688">
        <f t="shared" si="378"/>
        <v>0</v>
      </c>
      <c r="H326" s="688">
        <f t="shared" si="378"/>
        <v>0</v>
      </c>
      <c r="I326" s="688">
        <f t="shared" si="378"/>
        <v>146389</v>
      </c>
      <c r="J326" s="688">
        <f t="shared" si="378"/>
        <v>894877</v>
      </c>
      <c r="K326" s="688">
        <f t="shared" si="378"/>
        <v>3361</v>
      </c>
      <c r="L326" s="688">
        <f t="shared" si="378"/>
        <v>0</v>
      </c>
      <c r="M326" s="688">
        <f t="shared" si="378"/>
        <v>1044627</v>
      </c>
      <c r="N326" s="688">
        <f t="shared" si="378"/>
        <v>0</v>
      </c>
      <c r="O326" s="688">
        <f t="shared" si="378"/>
        <v>210</v>
      </c>
      <c r="P326" s="688">
        <f t="shared" si="378"/>
        <v>0</v>
      </c>
      <c r="Q326" s="688"/>
      <c r="R326" s="688"/>
      <c r="S326" s="688"/>
      <c r="T326" s="688"/>
      <c r="U326" s="557">
        <f>+U327</f>
        <v>210</v>
      </c>
      <c r="V326" s="2514"/>
    </row>
    <row r="327" spans="1:23">
      <c r="A327" s="2429"/>
      <c r="B327" s="585" t="s">
        <v>24</v>
      </c>
      <c r="C327" s="2523"/>
      <c r="D327" s="503">
        <f t="shared" ref="D327:D329" si="379">SUM(M327:T327)</f>
        <v>1044837</v>
      </c>
      <c r="E327" s="510">
        <f>+F327+G327+H327</f>
        <v>0</v>
      </c>
      <c r="F327" s="588">
        <v>0</v>
      </c>
      <c r="G327" s="588">
        <v>0</v>
      </c>
      <c r="H327" s="588">
        <v>0</v>
      </c>
      <c r="I327" s="588">
        <f>765000-618611</f>
        <v>146389</v>
      </c>
      <c r="J327" s="588">
        <f>745975+148902</f>
        <v>894877</v>
      </c>
      <c r="K327" s="588">
        <f>50906-47545</f>
        <v>3361</v>
      </c>
      <c r="L327" s="588">
        <f>47545-47545</f>
        <v>0</v>
      </c>
      <c r="M327" s="504">
        <f t="shared" ref="M327" si="380">+E327+I327+J327+K327+L327</f>
        <v>1044627</v>
      </c>
      <c r="N327" s="588">
        <f>57803-57803</f>
        <v>0</v>
      </c>
      <c r="O327" s="588">
        <f>57803-57593</f>
        <v>210</v>
      </c>
      <c r="P327" s="588">
        <v>0</v>
      </c>
      <c r="Q327" s="588"/>
      <c r="R327" s="588"/>
      <c r="S327" s="588"/>
      <c r="T327" s="588"/>
      <c r="U327" s="462">
        <f t="shared" ref="U327" si="381">SUM(O327:T327)</f>
        <v>210</v>
      </c>
      <c r="V327" s="2514"/>
    </row>
    <row r="328" spans="1:23" ht="12.75" customHeight="1">
      <c r="A328" s="2429"/>
      <c r="B328" s="574" t="s">
        <v>30</v>
      </c>
      <c r="C328" s="2523"/>
      <c r="D328" s="513">
        <f>+D329</f>
        <v>4907828</v>
      </c>
      <c r="E328" s="513">
        <f t="shared" ref="E328:P328" si="382">+E329</f>
        <v>0</v>
      </c>
      <c r="F328" s="513">
        <f t="shared" si="382"/>
        <v>0</v>
      </c>
      <c r="G328" s="513">
        <f t="shared" si="382"/>
        <v>0</v>
      </c>
      <c r="H328" s="513">
        <f t="shared" si="382"/>
        <v>0</v>
      </c>
      <c r="I328" s="513">
        <f t="shared" si="382"/>
        <v>829536</v>
      </c>
      <c r="J328" s="513">
        <f t="shared" si="382"/>
        <v>4078292</v>
      </c>
      <c r="K328" s="513">
        <f t="shared" si="382"/>
        <v>0</v>
      </c>
      <c r="L328" s="513">
        <f t="shared" si="382"/>
        <v>0</v>
      </c>
      <c r="M328" s="513">
        <f t="shared" si="382"/>
        <v>4907828</v>
      </c>
      <c r="N328" s="513">
        <f t="shared" si="382"/>
        <v>0</v>
      </c>
      <c r="O328" s="513">
        <f t="shared" si="382"/>
        <v>0</v>
      </c>
      <c r="P328" s="513">
        <f t="shared" si="382"/>
        <v>0</v>
      </c>
      <c r="Q328" s="513"/>
      <c r="R328" s="513"/>
      <c r="S328" s="513"/>
      <c r="T328" s="513"/>
      <c r="U328" s="557">
        <f>+U329</f>
        <v>0</v>
      </c>
      <c r="V328" s="2514"/>
    </row>
    <row r="329" spans="1:23">
      <c r="A329" s="2429"/>
      <c r="B329" s="517" t="s">
        <v>403</v>
      </c>
      <c r="C329" s="2524"/>
      <c r="D329" s="503">
        <f t="shared" si="379"/>
        <v>4907828</v>
      </c>
      <c r="E329" s="510">
        <f>+F329+G329+H329</f>
        <v>0</v>
      </c>
      <c r="F329" s="508">
        <v>0</v>
      </c>
      <c r="G329" s="508">
        <v>0</v>
      </c>
      <c r="H329" s="508">
        <v>0</v>
      </c>
      <c r="I329" s="588">
        <f>4335000-3505464</f>
        <v>829536</v>
      </c>
      <c r="J329" s="588">
        <f>4227194-148902</f>
        <v>4078292</v>
      </c>
      <c r="K329" s="588">
        <v>0</v>
      </c>
      <c r="L329" s="588">
        <v>0</v>
      </c>
      <c r="M329" s="504">
        <f t="shared" ref="M329" si="383">+E329+I329+J329+K329+L329</f>
        <v>4907828</v>
      </c>
      <c r="N329" s="588">
        <v>0</v>
      </c>
      <c r="O329" s="588">
        <v>0</v>
      </c>
      <c r="P329" s="588"/>
      <c r="Q329" s="588"/>
      <c r="R329" s="588"/>
      <c r="S329" s="588"/>
      <c r="T329" s="588"/>
      <c r="U329" s="462">
        <f t="shared" ref="U329" si="384">SUM(O329:T329)</f>
        <v>0</v>
      </c>
      <c r="V329" s="2522"/>
      <c r="W329" s="1258"/>
    </row>
    <row r="330" spans="1:23" s="1904" customFormat="1" ht="10.5" customHeight="1">
      <c r="A330" s="2430"/>
      <c r="B330" s="427" t="s">
        <v>34</v>
      </c>
      <c r="C330" s="428"/>
      <c r="D330" s="518">
        <f>+D331</f>
        <v>4907828</v>
      </c>
      <c r="E330" s="518">
        <f t="shared" ref="E330:P331" si="385">+E331</f>
        <v>0</v>
      </c>
      <c r="F330" s="518">
        <f t="shared" si="385"/>
        <v>0</v>
      </c>
      <c r="G330" s="518">
        <f t="shared" si="385"/>
        <v>0</v>
      </c>
      <c r="H330" s="518">
        <f t="shared" si="385"/>
        <v>0</v>
      </c>
      <c r="I330" s="518">
        <f t="shared" si="385"/>
        <v>0</v>
      </c>
      <c r="J330" s="518">
        <f t="shared" si="385"/>
        <v>842747</v>
      </c>
      <c r="K330" s="518">
        <f t="shared" si="385"/>
        <v>0</v>
      </c>
      <c r="L330" s="518">
        <f t="shared" si="385"/>
        <v>4065081</v>
      </c>
      <c r="M330" s="518">
        <f t="shared" si="385"/>
        <v>4907828</v>
      </c>
      <c r="N330" s="518">
        <f t="shared" si="385"/>
        <v>0</v>
      </c>
      <c r="O330" s="518">
        <f t="shared" si="385"/>
        <v>0</v>
      </c>
      <c r="P330" s="518">
        <f t="shared" si="385"/>
        <v>0</v>
      </c>
      <c r="Q330" s="518"/>
      <c r="R330" s="518"/>
      <c r="S330" s="518"/>
      <c r="T330" s="518"/>
      <c r="U330" s="645"/>
      <c r="V330" s="2440" t="s">
        <v>129</v>
      </c>
    </row>
    <row r="331" spans="1:23" s="1906" customFormat="1" ht="12.75" customHeight="1">
      <c r="A331" s="2430"/>
      <c r="B331" s="574" t="s">
        <v>30</v>
      </c>
      <c r="C331" s="2433" t="s">
        <v>105</v>
      </c>
      <c r="D331" s="567">
        <f>+D332</f>
        <v>4907828</v>
      </c>
      <c r="E331" s="567">
        <f t="shared" si="385"/>
        <v>0</v>
      </c>
      <c r="F331" s="567">
        <f t="shared" si="385"/>
        <v>0</v>
      </c>
      <c r="G331" s="567">
        <f t="shared" si="385"/>
        <v>0</v>
      </c>
      <c r="H331" s="567">
        <f t="shared" si="385"/>
        <v>0</v>
      </c>
      <c r="I331" s="567">
        <f t="shared" si="385"/>
        <v>0</v>
      </c>
      <c r="J331" s="596">
        <f t="shared" si="385"/>
        <v>842747</v>
      </c>
      <c r="K331" s="596">
        <f t="shared" si="385"/>
        <v>0</v>
      </c>
      <c r="L331" s="596">
        <f t="shared" si="385"/>
        <v>4065081</v>
      </c>
      <c r="M331" s="596">
        <f t="shared" si="385"/>
        <v>4907828</v>
      </c>
      <c r="N331" s="567">
        <f t="shared" si="385"/>
        <v>0</v>
      </c>
      <c r="O331" s="596">
        <f t="shared" si="385"/>
        <v>0</v>
      </c>
      <c r="P331" s="567">
        <f t="shared" si="385"/>
        <v>0</v>
      </c>
      <c r="Q331" s="567"/>
      <c r="R331" s="567"/>
      <c r="S331" s="567"/>
      <c r="T331" s="567"/>
      <c r="U331" s="2487" t="s">
        <v>35</v>
      </c>
      <c r="V331" s="2441"/>
    </row>
    <row r="332" spans="1:23" s="1904" customFormat="1" ht="12" customHeight="1" thickBot="1">
      <c r="A332" s="2431"/>
      <c r="B332" s="646" t="s">
        <v>32</v>
      </c>
      <c r="C332" s="2491"/>
      <c r="D332" s="1793">
        <f>SUM(M332:T332)</f>
        <v>4907828</v>
      </c>
      <c r="E332" s="547">
        <f>+F332+G332+H332</f>
        <v>0</v>
      </c>
      <c r="F332" s="625">
        <v>0</v>
      </c>
      <c r="G332" s="626">
        <v>0</v>
      </c>
      <c r="H332" s="627">
        <v>0</v>
      </c>
      <c r="I332" s="2218">
        <v>0</v>
      </c>
      <c r="J332" s="626">
        <v>842747</v>
      </c>
      <c r="K332" s="626">
        <v>0</v>
      </c>
      <c r="L332" s="626">
        <f>4213983-148902</f>
        <v>4065081</v>
      </c>
      <c r="M332" s="524">
        <f>L332+E332+I332+J332+K332</f>
        <v>4907828</v>
      </c>
      <c r="N332" s="625">
        <v>0</v>
      </c>
      <c r="O332" s="626">
        <v>0</v>
      </c>
      <c r="P332" s="626">
        <v>0</v>
      </c>
      <c r="Q332" s="626"/>
      <c r="R332" s="626"/>
      <c r="S332" s="626"/>
      <c r="T332" s="626"/>
      <c r="U332" s="2489"/>
      <c r="V332" s="2442"/>
    </row>
    <row r="333" spans="1:23" s="1904" customFormat="1" ht="20.25" customHeight="1" thickBot="1">
      <c r="A333" s="2252"/>
      <c r="B333" s="2173" t="s">
        <v>411</v>
      </c>
      <c r="C333" s="1079"/>
      <c r="D333" s="2253"/>
      <c r="E333" s="1080"/>
      <c r="F333" s="2254"/>
      <c r="G333" s="2254"/>
      <c r="H333" s="2255"/>
      <c r="I333" s="2256"/>
      <c r="J333" s="1074"/>
      <c r="K333" s="1074"/>
      <c r="L333" s="1074"/>
      <c r="M333" s="1077"/>
      <c r="N333" s="2254"/>
      <c r="O333" s="1074"/>
      <c r="P333" s="2257"/>
      <c r="Q333" s="2257"/>
      <c r="R333" s="2257"/>
      <c r="S333" s="1073"/>
      <c r="T333" s="2254"/>
      <c r="U333" s="2258"/>
      <c r="V333" s="2259"/>
    </row>
    <row r="334" spans="1:23" s="2163" customFormat="1" ht="28.5" customHeight="1">
      <c r="A334" s="2429" t="s">
        <v>368</v>
      </c>
      <c r="B334" s="2260" t="s">
        <v>404</v>
      </c>
      <c r="C334" s="2261" t="s">
        <v>102</v>
      </c>
      <c r="D334" s="2262"/>
      <c r="E334" s="581"/>
      <c r="F334" s="2263"/>
      <c r="G334" s="2263"/>
      <c r="H334" s="581"/>
      <c r="I334" s="581"/>
      <c r="J334" s="581"/>
      <c r="K334" s="581"/>
      <c r="L334" s="581"/>
      <c r="M334" s="581"/>
      <c r="N334" s="581"/>
      <c r="O334" s="581"/>
      <c r="P334" s="582"/>
      <c r="Q334" s="582"/>
      <c r="R334" s="582"/>
      <c r="S334" s="2250"/>
      <c r="T334" s="2263"/>
      <c r="U334" s="2251"/>
      <c r="V334" s="2514" t="s">
        <v>128</v>
      </c>
    </row>
    <row r="335" spans="1:23" s="2163" customFormat="1">
      <c r="A335" s="2429"/>
      <c r="B335" s="427" t="s">
        <v>22</v>
      </c>
      <c r="C335" s="428"/>
      <c r="D335" s="685">
        <f>+D336+D338</f>
        <v>9000000</v>
      </c>
      <c r="E335" s="685">
        <f t="shared" ref="E335:P335" si="386">+E336+E338</f>
        <v>0</v>
      </c>
      <c r="F335" s="685">
        <f t="shared" si="386"/>
        <v>0</v>
      </c>
      <c r="G335" s="685">
        <f t="shared" si="386"/>
        <v>0</v>
      </c>
      <c r="H335" s="685">
        <f t="shared" si="386"/>
        <v>0</v>
      </c>
      <c r="I335" s="685">
        <f t="shared" si="386"/>
        <v>0</v>
      </c>
      <c r="J335" s="685">
        <f t="shared" si="386"/>
        <v>0</v>
      </c>
      <c r="K335" s="685">
        <f t="shared" si="386"/>
        <v>0</v>
      </c>
      <c r="L335" s="685">
        <f t="shared" si="386"/>
        <v>0</v>
      </c>
      <c r="M335" s="685">
        <f t="shared" si="386"/>
        <v>0</v>
      </c>
      <c r="N335" s="685">
        <f t="shared" si="386"/>
        <v>0</v>
      </c>
      <c r="O335" s="685">
        <f t="shared" si="386"/>
        <v>0</v>
      </c>
      <c r="P335" s="685">
        <f t="shared" si="386"/>
        <v>9000000</v>
      </c>
      <c r="Q335" s="685"/>
      <c r="R335" s="685"/>
      <c r="S335" s="685"/>
      <c r="T335" s="685"/>
      <c r="U335" s="535">
        <f>+U336+U338</f>
        <v>9000000</v>
      </c>
      <c r="V335" s="2514"/>
    </row>
    <row r="336" spans="1:23" s="2163" customFormat="1">
      <c r="A336" s="2429"/>
      <c r="B336" s="584" t="s">
        <v>36</v>
      </c>
      <c r="C336" s="2433" t="s">
        <v>105</v>
      </c>
      <c r="D336" s="688">
        <f>+D337</f>
        <v>9000000</v>
      </c>
      <c r="E336" s="688">
        <f t="shared" ref="E336:P336" si="387">+E337</f>
        <v>0</v>
      </c>
      <c r="F336" s="688">
        <f t="shared" si="387"/>
        <v>0</v>
      </c>
      <c r="G336" s="688">
        <f t="shared" si="387"/>
        <v>0</v>
      </c>
      <c r="H336" s="688">
        <f t="shared" si="387"/>
        <v>0</v>
      </c>
      <c r="I336" s="688">
        <f t="shared" si="387"/>
        <v>0</v>
      </c>
      <c r="J336" s="688">
        <f t="shared" si="387"/>
        <v>0</v>
      </c>
      <c r="K336" s="688">
        <f t="shared" si="387"/>
        <v>0</v>
      </c>
      <c r="L336" s="688">
        <f t="shared" si="387"/>
        <v>0</v>
      </c>
      <c r="M336" s="688">
        <f t="shared" si="387"/>
        <v>0</v>
      </c>
      <c r="N336" s="688">
        <f t="shared" si="387"/>
        <v>0</v>
      </c>
      <c r="O336" s="688">
        <f t="shared" si="387"/>
        <v>0</v>
      </c>
      <c r="P336" s="688">
        <f t="shared" si="387"/>
        <v>9000000</v>
      </c>
      <c r="Q336" s="688"/>
      <c r="R336" s="688"/>
      <c r="S336" s="688"/>
      <c r="T336" s="688"/>
      <c r="U336" s="557">
        <f>+U337</f>
        <v>9000000</v>
      </c>
      <c r="V336" s="2514"/>
    </row>
    <row r="337" spans="1:24" s="2163" customFormat="1">
      <c r="A337" s="2429"/>
      <c r="B337" s="585" t="s">
        <v>24</v>
      </c>
      <c r="C337" s="2523"/>
      <c r="D337" s="503">
        <f t="shared" ref="D337" si="388">SUM(M337:T337)</f>
        <v>9000000</v>
      </c>
      <c r="E337" s="510">
        <f>+F337+G337+H337</f>
        <v>0</v>
      </c>
      <c r="F337" s="588">
        <v>0</v>
      </c>
      <c r="G337" s="588">
        <v>0</v>
      </c>
      <c r="H337" s="588">
        <v>0</v>
      </c>
      <c r="I337" s="588"/>
      <c r="J337" s="588"/>
      <c r="K337" s="588"/>
      <c r="L337" s="588">
        <f>47545-47545</f>
        <v>0</v>
      </c>
      <c r="M337" s="504">
        <f t="shared" ref="M337" si="389">+E337+I337+J337+K337+L337</f>
        <v>0</v>
      </c>
      <c r="N337" s="588">
        <f>57803-57803</f>
        <v>0</v>
      </c>
      <c r="O337" s="588"/>
      <c r="P337" s="588">
        <v>9000000</v>
      </c>
      <c r="Q337" s="588"/>
      <c r="R337" s="588"/>
      <c r="S337" s="588"/>
      <c r="T337" s="588"/>
      <c r="U337" s="462">
        <f t="shared" ref="U337" si="390">SUM(O337:T337)</f>
        <v>9000000</v>
      </c>
      <c r="V337" s="2514"/>
    </row>
    <row r="338" spans="1:24" s="2163" customFormat="1">
      <c r="A338" s="2429"/>
      <c r="B338" s="574" t="s">
        <v>30</v>
      </c>
      <c r="C338" s="2523"/>
      <c r="D338" s="513">
        <f>+D339</f>
        <v>0</v>
      </c>
      <c r="E338" s="513">
        <f t="shared" ref="E338:P338" si="391">+E339</f>
        <v>0</v>
      </c>
      <c r="F338" s="513">
        <f t="shared" si="391"/>
        <v>0</v>
      </c>
      <c r="G338" s="513">
        <f t="shared" si="391"/>
        <v>0</v>
      </c>
      <c r="H338" s="513">
        <f t="shared" si="391"/>
        <v>0</v>
      </c>
      <c r="I338" s="513">
        <f t="shared" si="391"/>
        <v>0</v>
      </c>
      <c r="J338" s="513">
        <f t="shared" si="391"/>
        <v>0</v>
      </c>
      <c r="K338" s="513">
        <f t="shared" si="391"/>
        <v>0</v>
      </c>
      <c r="L338" s="513">
        <f t="shared" si="391"/>
        <v>0</v>
      </c>
      <c r="M338" s="513">
        <f t="shared" si="391"/>
        <v>0</v>
      </c>
      <c r="N338" s="513">
        <f t="shared" si="391"/>
        <v>0</v>
      </c>
      <c r="O338" s="513">
        <f t="shared" si="391"/>
        <v>0</v>
      </c>
      <c r="P338" s="513">
        <f t="shared" si="391"/>
        <v>0</v>
      </c>
      <c r="Q338" s="513"/>
      <c r="R338" s="513"/>
      <c r="S338" s="513"/>
      <c r="T338" s="513"/>
      <c r="U338" s="557">
        <f>+U339</f>
        <v>0</v>
      </c>
      <c r="V338" s="2514"/>
    </row>
    <row r="339" spans="1:24" s="2163" customFormat="1">
      <c r="A339" s="2429"/>
      <c r="B339" s="517" t="s">
        <v>403</v>
      </c>
      <c r="C339" s="2524"/>
      <c r="D339" s="503">
        <f t="shared" ref="D339" si="392">SUM(M339:T339)</f>
        <v>0</v>
      </c>
      <c r="E339" s="510">
        <f>+F339+G339+H339</f>
        <v>0</v>
      </c>
      <c r="F339" s="508">
        <v>0</v>
      </c>
      <c r="G339" s="508">
        <v>0</v>
      </c>
      <c r="H339" s="508">
        <v>0</v>
      </c>
      <c r="I339" s="588"/>
      <c r="J339" s="588"/>
      <c r="K339" s="588">
        <v>0</v>
      </c>
      <c r="L339" s="588">
        <v>0</v>
      </c>
      <c r="M339" s="504">
        <f t="shared" ref="M339" si="393">+E339+I339+J339+K339+L339</f>
        <v>0</v>
      </c>
      <c r="N339" s="588">
        <v>0</v>
      </c>
      <c r="O339" s="588">
        <v>0</v>
      </c>
      <c r="P339" s="588">
        <v>0</v>
      </c>
      <c r="Q339" s="588"/>
      <c r="R339" s="588"/>
      <c r="S339" s="588"/>
      <c r="T339" s="588"/>
      <c r="U339" s="462">
        <f t="shared" ref="U339" si="394">SUM(O339:T339)</f>
        <v>0</v>
      </c>
      <c r="V339" s="2522"/>
      <c r="W339" s="2164"/>
    </row>
    <row r="340" spans="1:24" s="2165" customFormat="1">
      <c r="A340" s="2430"/>
      <c r="B340" s="427" t="s">
        <v>34</v>
      </c>
      <c r="C340" s="428"/>
      <c r="D340" s="518">
        <f>+D341</f>
        <v>7650000</v>
      </c>
      <c r="E340" s="518">
        <f t="shared" ref="E340:Q341" si="395">+E341</f>
        <v>0</v>
      </c>
      <c r="F340" s="518">
        <f t="shared" si="395"/>
        <v>0</v>
      </c>
      <c r="G340" s="518">
        <f t="shared" si="395"/>
        <v>0</v>
      </c>
      <c r="H340" s="518">
        <f t="shared" si="395"/>
        <v>0</v>
      </c>
      <c r="I340" s="518">
        <f t="shared" si="395"/>
        <v>0</v>
      </c>
      <c r="J340" s="518">
        <f t="shared" si="395"/>
        <v>0</v>
      </c>
      <c r="K340" s="518">
        <f t="shared" si="395"/>
        <v>0</v>
      </c>
      <c r="L340" s="518">
        <f t="shared" si="395"/>
        <v>0</v>
      </c>
      <c r="M340" s="518">
        <f t="shared" si="395"/>
        <v>0</v>
      </c>
      <c r="N340" s="518">
        <f t="shared" si="395"/>
        <v>0</v>
      </c>
      <c r="O340" s="518">
        <f t="shared" si="395"/>
        <v>0</v>
      </c>
      <c r="P340" s="518">
        <f t="shared" si="395"/>
        <v>2550000</v>
      </c>
      <c r="Q340" s="518">
        <f t="shared" si="395"/>
        <v>5100000</v>
      </c>
      <c r="R340" s="518"/>
      <c r="S340" s="518"/>
      <c r="T340" s="518"/>
      <c r="U340" s="645"/>
      <c r="V340" s="2440" t="s">
        <v>129</v>
      </c>
    </row>
    <row r="341" spans="1:24" s="2166" customFormat="1" ht="12.75" customHeight="1">
      <c r="A341" s="2430"/>
      <c r="B341" s="574" t="s">
        <v>30</v>
      </c>
      <c r="C341" s="2433" t="s">
        <v>105</v>
      </c>
      <c r="D341" s="567">
        <f>+D342</f>
        <v>7650000</v>
      </c>
      <c r="E341" s="567">
        <f t="shared" si="395"/>
        <v>0</v>
      </c>
      <c r="F341" s="567">
        <f t="shared" si="395"/>
        <v>0</v>
      </c>
      <c r="G341" s="567">
        <f t="shared" si="395"/>
        <v>0</v>
      </c>
      <c r="H341" s="567">
        <f t="shared" si="395"/>
        <v>0</v>
      </c>
      <c r="I341" s="567">
        <f t="shared" si="395"/>
        <v>0</v>
      </c>
      <c r="J341" s="596">
        <f t="shared" si="395"/>
        <v>0</v>
      </c>
      <c r="K341" s="596">
        <f t="shared" si="395"/>
        <v>0</v>
      </c>
      <c r="L341" s="596">
        <f t="shared" si="395"/>
        <v>0</v>
      </c>
      <c r="M341" s="596">
        <f t="shared" si="395"/>
        <v>0</v>
      </c>
      <c r="N341" s="567">
        <f t="shared" si="395"/>
        <v>0</v>
      </c>
      <c r="O341" s="596">
        <f t="shared" si="395"/>
        <v>0</v>
      </c>
      <c r="P341" s="567">
        <f t="shared" si="395"/>
        <v>2550000</v>
      </c>
      <c r="Q341" s="567">
        <f t="shared" si="395"/>
        <v>5100000</v>
      </c>
      <c r="R341" s="567"/>
      <c r="S341" s="567"/>
      <c r="T341" s="567"/>
      <c r="U341" s="2487" t="s">
        <v>35</v>
      </c>
      <c r="V341" s="2441"/>
    </row>
    <row r="342" spans="1:24" s="2165" customFormat="1" ht="12" customHeight="1" thickBot="1">
      <c r="A342" s="2431"/>
      <c r="B342" s="646" t="s">
        <v>32</v>
      </c>
      <c r="C342" s="2491"/>
      <c r="D342" s="1793">
        <f>SUM(M342:T342)</f>
        <v>7650000</v>
      </c>
      <c r="E342" s="547">
        <f>+F342+G342+H342</f>
        <v>0</v>
      </c>
      <c r="F342" s="625">
        <v>0</v>
      </c>
      <c r="G342" s="626">
        <v>0</v>
      </c>
      <c r="H342" s="627">
        <v>0</v>
      </c>
      <c r="I342" s="2218">
        <v>0</v>
      </c>
      <c r="J342" s="626"/>
      <c r="K342" s="626">
        <v>0</v>
      </c>
      <c r="L342" s="626"/>
      <c r="M342" s="524"/>
      <c r="N342" s="625">
        <v>0</v>
      </c>
      <c r="O342" s="626">
        <v>0</v>
      </c>
      <c r="P342" s="626">
        <v>2550000</v>
      </c>
      <c r="Q342" s="626">
        <v>5100000</v>
      </c>
      <c r="R342" s="626"/>
      <c r="S342" s="626"/>
      <c r="T342" s="626"/>
      <c r="U342" s="2489"/>
      <c r="V342" s="2442"/>
    </row>
    <row r="343" spans="1:24" ht="27.75" customHeight="1">
      <c r="A343" s="2525" t="s">
        <v>360</v>
      </c>
      <c r="B343" s="692" t="s">
        <v>130</v>
      </c>
      <c r="C343" s="693"/>
      <c r="D343" s="694"/>
      <c r="E343" s="695"/>
      <c r="F343" s="695"/>
      <c r="G343" s="695"/>
      <c r="H343" s="695"/>
      <c r="I343" s="695"/>
      <c r="J343" s="695"/>
      <c r="K343" s="695"/>
      <c r="L343" s="695"/>
      <c r="M343" s="696"/>
      <c r="N343" s="696"/>
      <c r="O343" s="696"/>
      <c r="P343" s="696"/>
      <c r="Q343" s="696"/>
      <c r="R343" s="696"/>
      <c r="S343" s="696"/>
      <c r="T343" s="696"/>
      <c r="U343" s="697"/>
      <c r="V343" s="2528"/>
    </row>
    <row r="344" spans="1:24" ht="12" customHeight="1">
      <c r="A344" s="2526"/>
      <c r="B344" s="427" t="s">
        <v>22</v>
      </c>
      <c r="C344" s="428"/>
      <c r="D344" s="698">
        <f>+D345+D349</f>
        <v>226335200</v>
      </c>
      <c r="E344" s="698">
        <f>+E345+E349</f>
        <v>0</v>
      </c>
      <c r="F344" s="698">
        <f t="shared" ref="F344:R344" si="396">+F345+F349</f>
        <v>0</v>
      </c>
      <c r="G344" s="698">
        <f t="shared" si="396"/>
        <v>0</v>
      </c>
      <c r="H344" s="698">
        <f t="shared" si="396"/>
        <v>0</v>
      </c>
      <c r="I344" s="698">
        <f t="shared" si="396"/>
        <v>0</v>
      </c>
      <c r="J344" s="698">
        <f t="shared" si="396"/>
        <v>0</v>
      </c>
      <c r="K344" s="698">
        <f t="shared" si="396"/>
        <v>0</v>
      </c>
      <c r="L344" s="698">
        <f t="shared" si="396"/>
        <v>52200000</v>
      </c>
      <c r="M344" s="698">
        <f t="shared" ref="M344" si="397">+M345+M349</f>
        <v>52200000</v>
      </c>
      <c r="N344" s="698">
        <f t="shared" si="396"/>
        <v>104406326</v>
      </c>
      <c r="O344" s="698">
        <f>+O345+O349</f>
        <v>69728874</v>
      </c>
      <c r="P344" s="698">
        <f t="shared" si="396"/>
        <v>0</v>
      </c>
      <c r="Q344" s="698">
        <f t="shared" si="396"/>
        <v>0</v>
      </c>
      <c r="R344" s="698">
        <f t="shared" si="396"/>
        <v>0</v>
      </c>
      <c r="S344" s="698">
        <f t="shared" ref="S344:T344" si="398">+S345+S349</f>
        <v>0</v>
      </c>
      <c r="T344" s="698">
        <f t="shared" si="398"/>
        <v>0</v>
      </c>
      <c r="U344" s="454">
        <f>+U345+U349</f>
        <v>69728874</v>
      </c>
      <c r="V344" s="2529"/>
      <c r="W344" s="1903">
        <f>+O344+P344</f>
        <v>69728874</v>
      </c>
      <c r="X344" s="1258"/>
    </row>
    <row r="345" spans="1:24" s="1064" customFormat="1" ht="12" customHeight="1">
      <c r="A345" s="2526"/>
      <c r="B345" s="699" t="s">
        <v>23</v>
      </c>
      <c r="C345" s="700"/>
      <c r="D345" s="676">
        <f>+D346+D347+D348</f>
        <v>46467538</v>
      </c>
      <c r="E345" s="676">
        <f t="shared" ref="E345:R345" si="399">+E346+E347+E348</f>
        <v>0</v>
      </c>
      <c r="F345" s="676">
        <f t="shared" si="399"/>
        <v>0</v>
      </c>
      <c r="G345" s="676">
        <f t="shared" si="399"/>
        <v>0</v>
      </c>
      <c r="H345" s="676">
        <f t="shared" si="399"/>
        <v>0</v>
      </c>
      <c r="I345" s="676">
        <f t="shared" si="399"/>
        <v>0</v>
      </c>
      <c r="J345" s="676">
        <f t="shared" si="399"/>
        <v>0</v>
      </c>
      <c r="K345" s="676">
        <f t="shared" si="399"/>
        <v>0</v>
      </c>
      <c r="L345" s="676">
        <f t="shared" si="399"/>
        <v>11609280</v>
      </c>
      <c r="M345" s="676">
        <f t="shared" ref="M345" si="400">+M346+M347+M348</f>
        <v>11609280</v>
      </c>
      <c r="N345" s="676">
        <f t="shared" si="399"/>
        <v>20882726</v>
      </c>
      <c r="O345" s="676">
        <f t="shared" si="399"/>
        <v>13975532</v>
      </c>
      <c r="P345" s="676">
        <f t="shared" si="399"/>
        <v>0</v>
      </c>
      <c r="Q345" s="676">
        <f t="shared" si="399"/>
        <v>0</v>
      </c>
      <c r="R345" s="676">
        <f t="shared" si="399"/>
        <v>0</v>
      </c>
      <c r="S345" s="676">
        <f t="shared" ref="S345:T345" si="401">+S346+S347+S348</f>
        <v>0</v>
      </c>
      <c r="T345" s="676">
        <f t="shared" si="401"/>
        <v>0</v>
      </c>
      <c r="U345" s="458">
        <f>+U346+U347+U348</f>
        <v>13975532</v>
      </c>
      <c r="V345" s="2529"/>
      <c r="X345" s="1258"/>
    </row>
    <row r="346" spans="1:24" ht="12" customHeight="1">
      <c r="A346" s="2526"/>
      <c r="B346" s="701" t="s">
        <v>24</v>
      </c>
      <c r="C346" s="702"/>
      <c r="D346" s="461">
        <f>SUM(M346:T346)</f>
        <v>1227538</v>
      </c>
      <c r="E346" s="461">
        <f>+E362+E380</f>
        <v>0</v>
      </c>
      <c r="F346" s="461">
        <f t="shared" ref="F346:R346" si="402">+F362+F380</f>
        <v>0</v>
      </c>
      <c r="G346" s="461">
        <f t="shared" si="402"/>
        <v>0</v>
      </c>
      <c r="H346" s="461">
        <f t="shared" si="402"/>
        <v>0</v>
      </c>
      <c r="I346" s="461">
        <f t="shared" si="402"/>
        <v>0</v>
      </c>
      <c r="J346" s="461">
        <f t="shared" si="402"/>
        <v>0</v>
      </c>
      <c r="K346" s="461">
        <f t="shared" si="402"/>
        <v>0</v>
      </c>
      <c r="L346" s="461">
        <f t="shared" si="402"/>
        <v>1169280</v>
      </c>
      <c r="M346" s="461">
        <f t="shared" ref="M346" si="403">+M362+M380</f>
        <v>1169280</v>
      </c>
      <c r="N346" s="461">
        <f t="shared" si="402"/>
        <v>2726</v>
      </c>
      <c r="O346" s="461">
        <f t="shared" si="402"/>
        <v>55532</v>
      </c>
      <c r="P346" s="461">
        <f t="shared" si="402"/>
        <v>0</v>
      </c>
      <c r="Q346" s="461">
        <f t="shared" si="402"/>
        <v>0</v>
      </c>
      <c r="R346" s="461">
        <f t="shared" si="402"/>
        <v>0</v>
      </c>
      <c r="S346" s="461">
        <f t="shared" ref="S346:T346" si="404">+S362+S380</f>
        <v>0</v>
      </c>
      <c r="T346" s="461">
        <f t="shared" si="404"/>
        <v>0</v>
      </c>
      <c r="U346" s="462">
        <f>SUM(O346:T346)</f>
        <v>55532</v>
      </c>
      <c r="V346" s="2529"/>
      <c r="W346" s="1258"/>
      <c r="X346" s="1258"/>
    </row>
    <row r="347" spans="1:24" ht="12" customHeight="1">
      <c r="A347" s="2526"/>
      <c r="B347" s="459" t="s">
        <v>99</v>
      </c>
      <c r="C347" s="460"/>
      <c r="D347" s="461">
        <f>SUM(M347:T347)</f>
        <v>14575000</v>
      </c>
      <c r="E347" s="461">
        <f>+E363</f>
        <v>0</v>
      </c>
      <c r="F347" s="461">
        <f t="shared" ref="F347:R348" si="405">+F363</f>
        <v>0</v>
      </c>
      <c r="G347" s="461">
        <f t="shared" si="405"/>
        <v>0</v>
      </c>
      <c r="H347" s="461">
        <f t="shared" si="405"/>
        <v>0</v>
      </c>
      <c r="I347" s="461">
        <f t="shared" si="405"/>
        <v>0</v>
      </c>
      <c r="J347" s="461">
        <f t="shared" si="405"/>
        <v>0</v>
      </c>
      <c r="K347" s="461">
        <f t="shared" si="405"/>
        <v>0</v>
      </c>
      <c r="L347" s="461">
        <f t="shared" si="405"/>
        <v>0</v>
      </c>
      <c r="M347" s="461">
        <f t="shared" ref="M347" si="406">+M363</f>
        <v>0</v>
      </c>
      <c r="N347" s="461">
        <f t="shared" si="405"/>
        <v>7293750</v>
      </c>
      <c r="O347" s="461">
        <f t="shared" si="405"/>
        <v>7281250</v>
      </c>
      <c r="P347" s="461">
        <f t="shared" si="405"/>
        <v>0</v>
      </c>
      <c r="Q347" s="461">
        <f t="shared" si="405"/>
        <v>0</v>
      </c>
      <c r="R347" s="461">
        <f t="shared" si="405"/>
        <v>0</v>
      </c>
      <c r="S347" s="461">
        <f t="shared" ref="S347:T347" si="407">+S363</f>
        <v>0</v>
      </c>
      <c r="T347" s="461">
        <f t="shared" si="407"/>
        <v>0</v>
      </c>
      <c r="U347" s="462">
        <f>SUM(O347:T347)</f>
        <v>7281250</v>
      </c>
      <c r="V347" s="2529"/>
      <c r="X347" s="1258"/>
    </row>
    <row r="348" spans="1:24" ht="12" customHeight="1">
      <c r="A348" s="2526"/>
      <c r="B348" s="703" t="s">
        <v>68</v>
      </c>
      <c r="C348" s="704"/>
      <c r="D348" s="461">
        <f>SUM(M348:T348)</f>
        <v>30665000</v>
      </c>
      <c r="E348" s="461">
        <f>+E364</f>
        <v>0</v>
      </c>
      <c r="F348" s="461">
        <f t="shared" si="405"/>
        <v>0</v>
      </c>
      <c r="G348" s="461">
        <f t="shared" si="405"/>
        <v>0</v>
      </c>
      <c r="H348" s="461">
        <f t="shared" si="405"/>
        <v>0</v>
      </c>
      <c r="I348" s="461">
        <f t="shared" si="405"/>
        <v>0</v>
      </c>
      <c r="J348" s="461">
        <f t="shared" si="405"/>
        <v>0</v>
      </c>
      <c r="K348" s="461">
        <f t="shared" si="405"/>
        <v>0</v>
      </c>
      <c r="L348" s="461">
        <f t="shared" si="405"/>
        <v>10440000</v>
      </c>
      <c r="M348" s="461">
        <f t="shared" ref="M348" si="408">+M364</f>
        <v>10440000</v>
      </c>
      <c r="N348" s="461">
        <f t="shared" si="405"/>
        <v>13586250</v>
      </c>
      <c r="O348" s="461">
        <f t="shared" si="405"/>
        <v>6638750</v>
      </c>
      <c r="P348" s="461">
        <f t="shared" si="405"/>
        <v>0</v>
      </c>
      <c r="Q348" s="461">
        <f t="shared" si="405"/>
        <v>0</v>
      </c>
      <c r="R348" s="461">
        <f t="shared" si="405"/>
        <v>0</v>
      </c>
      <c r="S348" s="461">
        <f t="shared" ref="S348:T348" si="409">+S364</f>
        <v>0</v>
      </c>
      <c r="T348" s="461">
        <f t="shared" si="409"/>
        <v>0</v>
      </c>
      <c r="U348" s="462">
        <f>SUM(O348:T348)</f>
        <v>6638750</v>
      </c>
      <c r="V348" s="2529"/>
      <c r="W348" s="1258"/>
      <c r="X348" s="1258"/>
    </row>
    <row r="349" spans="1:24" s="1911" customFormat="1" ht="12" customHeight="1">
      <c r="A349" s="2526"/>
      <c r="B349" s="466" t="s">
        <v>30</v>
      </c>
      <c r="C349" s="705"/>
      <c r="D349" s="457">
        <f>+D350+D351</f>
        <v>179867662</v>
      </c>
      <c r="E349" s="457">
        <f t="shared" ref="E349:R349" si="410">+E350+E351</f>
        <v>0</v>
      </c>
      <c r="F349" s="457">
        <f t="shared" si="410"/>
        <v>0</v>
      </c>
      <c r="G349" s="457">
        <f t="shared" si="410"/>
        <v>0</v>
      </c>
      <c r="H349" s="457">
        <f t="shared" si="410"/>
        <v>0</v>
      </c>
      <c r="I349" s="457">
        <f t="shared" si="410"/>
        <v>0</v>
      </c>
      <c r="J349" s="457">
        <f t="shared" si="410"/>
        <v>0</v>
      </c>
      <c r="K349" s="457">
        <f t="shared" si="410"/>
        <v>0</v>
      </c>
      <c r="L349" s="457">
        <f t="shared" si="410"/>
        <v>40590720</v>
      </c>
      <c r="M349" s="457">
        <f t="shared" ref="M349" si="411">+M350+M351</f>
        <v>40590720</v>
      </c>
      <c r="N349" s="457">
        <f t="shared" si="410"/>
        <v>83523600</v>
      </c>
      <c r="O349" s="457">
        <f t="shared" si="410"/>
        <v>55753342</v>
      </c>
      <c r="P349" s="457">
        <f t="shared" si="410"/>
        <v>0</v>
      </c>
      <c r="Q349" s="457">
        <f t="shared" si="410"/>
        <v>0</v>
      </c>
      <c r="R349" s="457">
        <f t="shared" si="410"/>
        <v>0</v>
      </c>
      <c r="S349" s="457">
        <f t="shared" ref="S349:T349" si="412">+S350+S351</f>
        <v>0</v>
      </c>
      <c r="T349" s="457">
        <f t="shared" si="412"/>
        <v>0</v>
      </c>
      <c r="U349" s="706">
        <f>+U350+U351</f>
        <v>55753342</v>
      </c>
      <c r="V349" s="2529"/>
      <c r="W349" s="1902"/>
      <c r="X349" s="1902"/>
    </row>
    <row r="350" spans="1:24" ht="12" customHeight="1">
      <c r="A350" s="2526"/>
      <c r="B350" s="470" t="s">
        <v>33</v>
      </c>
      <c r="C350" s="704"/>
      <c r="D350" s="461">
        <f>SUM(M350:T350)</f>
        <v>179867662</v>
      </c>
      <c r="E350" s="461">
        <f>+E366+E382</f>
        <v>0</v>
      </c>
      <c r="F350" s="461">
        <f t="shared" ref="F350:R350" si="413">+F366+F382</f>
        <v>0</v>
      </c>
      <c r="G350" s="461">
        <f t="shared" si="413"/>
        <v>0</v>
      </c>
      <c r="H350" s="461">
        <f t="shared" si="413"/>
        <v>0</v>
      </c>
      <c r="I350" s="461">
        <f t="shared" si="413"/>
        <v>0</v>
      </c>
      <c r="J350" s="461">
        <f t="shared" si="413"/>
        <v>0</v>
      </c>
      <c r="K350" s="461">
        <f t="shared" si="413"/>
        <v>0</v>
      </c>
      <c r="L350" s="461">
        <f t="shared" si="413"/>
        <v>40590720</v>
      </c>
      <c r="M350" s="461">
        <f t="shared" ref="M350" si="414">+M366+M382</f>
        <v>40590720</v>
      </c>
      <c r="N350" s="461">
        <f t="shared" si="413"/>
        <v>83523600</v>
      </c>
      <c r="O350" s="461">
        <f t="shared" si="413"/>
        <v>55753342</v>
      </c>
      <c r="P350" s="461">
        <f t="shared" si="413"/>
        <v>0</v>
      </c>
      <c r="Q350" s="461">
        <f t="shared" si="413"/>
        <v>0</v>
      </c>
      <c r="R350" s="461">
        <f t="shared" si="413"/>
        <v>0</v>
      </c>
      <c r="S350" s="461">
        <f t="shared" ref="S350:T350" si="415">+S366+S382</f>
        <v>0</v>
      </c>
      <c r="T350" s="461">
        <f t="shared" si="415"/>
        <v>0</v>
      </c>
      <c r="U350" s="462">
        <f>SUM(O350:T350)</f>
        <v>55753342</v>
      </c>
      <c r="V350" s="2529"/>
      <c r="W350" s="1258"/>
      <c r="X350" s="1258"/>
    </row>
    <row r="351" spans="1:24" ht="12" customHeight="1">
      <c r="A351" s="2526"/>
      <c r="B351" s="470" t="s">
        <v>100</v>
      </c>
      <c r="C351" s="704"/>
      <c r="D351" s="461">
        <f>SUM(M351:T351)</f>
        <v>0</v>
      </c>
      <c r="E351" s="461">
        <f>+E367</f>
        <v>0</v>
      </c>
      <c r="F351" s="461">
        <f t="shared" ref="F351:R351" si="416">+F367</f>
        <v>0</v>
      </c>
      <c r="G351" s="461">
        <f t="shared" si="416"/>
        <v>0</v>
      </c>
      <c r="H351" s="461">
        <f t="shared" si="416"/>
        <v>0</v>
      </c>
      <c r="I351" s="461">
        <f t="shared" si="416"/>
        <v>0</v>
      </c>
      <c r="J351" s="461">
        <f t="shared" si="416"/>
        <v>0</v>
      </c>
      <c r="K351" s="461">
        <f t="shared" si="416"/>
        <v>0</v>
      </c>
      <c r="L351" s="461">
        <f t="shared" si="416"/>
        <v>0</v>
      </c>
      <c r="M351" s="461">
        <f t="shared" ref="M351" si="417">+M367</f>
        <v>0</v>
      </c>
      <c r="N351" s="461">
        <f t="shared" si="416"/>
        <v>0</v>
      </c>
      <c r="O351" s="461">
        <f t="shared" si="416"/>
        <v>0</v>
      </c>
      <c r="P351" s="461">
        <f t="shared" si="416"/>
        <v>0</v>
      </c>
      <c r="Q351" s="461">
        <f t="shared" si="416"/>
        <v>0</v>
      </c>
      <c r="R351" s="461">
        <f t="shared" si="416"/>
        <v>0</v>
      </c>
      <c r="S351" s="461">
        <f t="shared" ref="S351:T351" si="418">+S367</f>
        <v>0</v>
      </c>
      <c r="T351" s="461">
        <f t="shared" si="418"/>
        <v>0</v>
      </c>
      <c r="U351" s="462">
        <f>SUM(O351:T351)</f>
        <v>0</v>
      </c>
      <c r="V351" s="2529"/>
      <c r="W351" s="1258"/>
      <c r="X351" s="1258"/>
    </row>
    <row r="352" spans="1:24" ht="12" customHeight="1">
      <c r="A352" s="2526"/>
      <c r="B352" s="427" t="s">
        <v>34</v>
      </c>
      <c r="C352" s="428"/>
      <c r="D352" s="518">
        <f>+D353+D356</f>
        <v>225107662</v>
      </c>
      <c r="E352" s="518">
        <f t="shared" ref="E352:R352" si="419">+E353+E356</f>
        <v>0</v>
      </c>
      <c r="F352" s="518">
        <f t="shared" si="419"/>
        <v>0</v>
      </c>
      <c r="G352" s="518">
        <f t="shared" si="419"/>
        <v>0</v>
      </c>
      <c r="H352" s="518">
        <f t="shared" si="419"/>
        <v>0</v>
      </c>
      <c r="I352" s="518">
        <f t="shared" si="419"/>
        <v>0</v>
      </c>
      <c r="J352" s="518">
        <f t="shared" si="419"/>
        <v>5665000</v>
      </c>
      <c r="K352" s="518">
        <f t="shared" si="419"/>
        <v>6250000</v>
      </c>
      <c r="L352" s="518">
        <f t="shared" si="419"/>
        <v>41766880</v>
      </c>
      <c r="M352" s="518">
        <f t="shared" ref="M352" si="420">+M353+M356</f>
        <v>53681880</v>
      </c>
      <c r="N352" s="518">
        <f t="shared" si="419"/>
        <v>86627350</v>
      </c>
      <c r="O352" s="518">
        <f t="shared" si="419"/>
        <v>63610433</v>
      </c>
      <c r="P352" s="518">
        <f t="shared" si="419"/>
        <v>21187999</v>
      </c>
      <c r="Q352" s="518">
        <f t="shared" si="419"/>
        <v>0</v>
      </c>
      <c r="R352" s="518">
        <f t="shared" si="419"/>
        <v>0</v>
      </c>
      <c r="S352" s="518">
        <f t="shared" ref="S352:T352" si="421">+S353+S356</f>
        <v>0</v>
      </c>
      <c r="T352" s="518">
        <f t="shared" si="421"/>
        <v>0</v>
      </c>
      <c r="U352" s="645"/>
      <c r="V352" s="2529"/>
    </row>
    <row r="353" spans="1:23" ht="12" customHeight="1">
      <c r="A353" s="2526"/>
      <c r="B353" s="707" t="s">
        <v>36</v>
      </c>
      <c r="C353" s="708"/>
      <c r="D353" s="676">
        <f>+D354+D355</f>
        <v>45240000</v>
      </c>
      <c r="E353" s="676">
        <f t="shared" ref="E353:R353" si="422">+E354+E355</f>
        <v>0</v>
      </c>
      <c r="F353" s="676">
        <f t="shared" si="422"/>
        <v>0</v>
      </c>
      <c r="G353" s="676">
        <f t="shared" si="422"/>
        <v>0</v>
      </c>
      <c r="H353" s="676">
        <f t="shared" si="422"/>
        <v>0</v>
      </c>
      <c r="I353" s="676">
        <f t="shared" si="422"/>
        <v>0</v>
      </c>
      <c r="J353" s="676">
        <f t="shared" si="422"/>
        <v>5665000</v>
      </c>
      <c r="K353" s="676">
        <f t="shared" si="422"/>
        <v>6250000</v>
      </c>
      <c r="L353" s="676">
        <f t="shared" si="422"/>
        <v>6250000</v>
      </c>
      <c r="M353" s="676">
        <f t="shared" ref="M353" si="423">+M354+M355</f>
        <v>18165000</v>
      </c>
      <c r="N353" s="676">
        <f t="shared" si="422"/>
        <v>13543750</v>
      </c>
      <c r="O353" s="676">
        <f t="shared" si="422"/>
        <v>13531250</v>
      </c>
      <c r="P353" s="676">
        <f t="shared" si="422"/>
        <v>0</v>
      </c>
      <c r="Q353" s="676">
        <f t="shared" si="422"/>
        <v>0</v>
      </c>
      <c r="R353" s="676">
        <f t="shared" si="422"/>
        <v>0</v>
      </c>
      <c r="S353" s="676">
        <f t="shared" ref="S353:T353" si="424">+S354+S355</f>
        <v>0</v>
      </c>
      <c r="T353" s="676">
        <f t="shared" si="424"/>
        <v>0</v>
      </c>
      <c r="U353" s="2487" t="s">
        <v>35</v>
      </c>
      <c r="V353" s="2529"/>
      <c r="W353" s="1258"/>
    </row>
    <row r="354" spans="1:23" ht="12" customHeight="1">
      <c r="A354" s="2526"/>
      <c r="B354" s="709" t="s">
        <v>99</v>
      </c>
      <c r="C354" s="704"/>
      <c r="D354" s="461">
        <f>SUM(M354:T354)</f>
        <v>14575000</v>
      </c>
      <c r="E354" s="461">
        <f>+E370</f>
        <v>0</v>
      </c>
      <c r="F354" s="461">
        <f t="shared" ref="F354:P354" si="425">+F370</f>
        <v>0</v>
      </c>
      <c r="G354" s="461">
        <f t="shared" si="425"/>
        <v>0</v>
      </c>
      <c r="H354" s="461">
        <f t="shared" si="425"/>
        <v>0</v>
      </c>
      <c r="I354" s="461">
        <f t="shared" si="425"/>
        <v>0</v>
      </c>
      <c r="J354" s="461">
        <f t="shared" si="425"/>
        <v>0</v>
      </c>
      <c r="K354" s="461">
        <f t="shared" si="425"/>
        <v>0</v>
      </c>
      <c r="L354" s="461">
        <f t="shared" si="425"/>
        <v>0</v>
      </c>
      <c r="M354" s="461">
        <f t="shared" ref="M354" si="426">+M370</f>
        <v>0</v>
      </c>
      <c r="N354" s="461">
        <f t="shared" si="425"/>
        <v>7293750</v>
      </c>
      <c r="O354" s="461">
        <f t="shared" si="425"/>
        <v>7281250</v>
      </c>
      <c r="P354" s="461">
        <f t="shared" si="425"/>
        <v>0</v>
      </c>
      <c r="Q354" s="461">
        <f>+Q370</f>
        <v>0</v>
      </c>
      <c r="R354" s="461">
        <f>+R370</f>
        <v>0</v>
      </c>
      <c r="S354" s="461">
        <f>+S370</f>
        <v>0</v>
      </c>
      <c r="T354" s="461">
        <f>+T370</f>
        <v>0</v>
      </c>
      <c r="U354" s="2488"/>
      <c r="V354" s="2529"/>
    </row>
    <row r="355" spans="1:23" ht="12" customHeight="1">
      <c r="A355" s="2526"/>
      <c r="B355" s="710" t="s">
        <v>68</v>
      </c>
      <c r="C355" s="711"/>
      <c r="D355" s="461">
        <f t="shared" ref="D355" si="427">SUM(M355:T355)</f>
        <v>30665000</v>
      </c>
      <c r="E355" s="461">
        <f>+E372</f>
        <v>0</v>
      </c>
      <c r="F355" s="461">
        <f t="shared" ref="F355:P355" si="428">+F372</f>
        <v>0</v>
      </c>
      <c r="G355" s="461">
        <f t="shared" si="428"/>
        <v>0</v>
      </c>
      <c r="H355" s="461">
        <f t="shared" si="428"/>
        <v>0</v>
      </c>
      <c r="I355" s="461">
        <f t="shared" si="428"/>
        <v>0</v>
      </c>
      <c r="J355" s="461">
        <f t="shared" si="428"/>
        <v>5665000</v>
      </c>
      <c r="K355" s="461">
        <f t="shared" si="428"/>
        <v>6250000</v>
      </c>
      <c r="L355" s="461">
        <f t="shared" si="428"/>
        <v>6250000</v>
      </c>
      <c r="M355" s="461">
        <f t="shared" ref="M355" si="429">+M372</f>
        <v>18165000</v>
      </c>
      <c r="N355" s="461">
        <f t="shared" si="428"/>
        <v>6250000</v>
      </c>
      <c r="O355" s="461">
        <f t="shared" si="428"/>
        <v>6250000</v>
      </c>
      <c r="P355" s="461">
        <f t="shared" si="428"/>
        <v>0</v>
      </c>
      <c r="Q355" s="461">
        <f>+Q372</f>
        <v>0</v>
      </c>
      <c r="R355" s="461">
        <f>+R372</f>
        <v>0</v>
      </c>
      <c r="S355" s="461">
        <f>+S372</f>
        <v>0</v>
      </c>
      <c r="T355" s="461">
        <f>+T372</f>
        <v>0</v>
      </c>
      <c r="U355" s="2488"/>
      <c r="V355" s="2529"/>
    </row>
    <row r="356" spans="1:23" s="1911" customFormat="1" ht="12" customHeight="1">
      <c r="A356" s="2526"/>
      <c r="B356" s="712" t="s">
        <v>30</v>
      </c>
      <c r="C356" s="705"/>
      <c r="D356" s="713">
        <f>+D357+D358</f>
        <v>179867662</v>
      </c>
      <c r="E356" s="713">
        <f t="shared" ref="E356:R356" si="430">+E357+E358</f>
        <v>0</v>
      </c>
      <c r="F356" s="713">
        <f t="shared" si="430"/>
        <v>0</v>
      </c>
      <c r="G356" s="713">
        <f t="shared" si="430"/>
        <v>0</v>
      </c>
      <c r="H356" s="713">
        <f t="shared" si="430"/>
        <v>0</v>
      </c>
      <c r="I356" s="713">
        <f t="shared" si="430"/>
        <v>0</v>
      </c>
      <c r="J356" s="713">
        <f t="shared" si="430"/>
        <v>0</v>
      </c>
      <c r="K356" s="713">
        <f t="shared" si="430"/>
        <v>0</v>
      </c>
      <c r="L356" s="713">
        <f t="shared" si="430"/>
        <v>35516880</v>
      </c>
      <c r="M356" s="713">
        <f t="shared" ref="M356" si="431">+M357+M358</f>
        <v>35516880</v>
      </c>
      <c r="N356" s="713">
        <f t="shared" si="430"/>
        <v>73083600</v>
      </c>
      <c r="O356" s="713">
        <f t="shared" si="430"/>
        <v>50079183</v>
      </c>
      <c r="P356" s="713">
        <f t="shared" si="430"/>
        <v>21187999</v>
      </c>
      <c r="Q356" s="713">
        <f t="shared" si="430"/>
        <v>0</v>
      </c>
      <c r="R356" s="713">
        <f t="shared" si="430"/>
        <v>0</v>
      </c>
      <c r="S356" s="713">
        <f t="shared" ref="S356:T356" si="432">+S357+S358</f>
        <v>0</v>
      </c>
      <c r="T356" s="713">
        <f t="shared" si="432"/>
        <v>0</v>
      </c>
      <c r="U356" s="2488"/>
      <c r="V356" s="2529"/>
    </row>
    <row r="357" spans="1:23" ht="12" customHeight="1">
      <c r="A357" s="2526"/>
      <c r="B357" s="714" t="s">
        <v>33</v>
      </c>
      <c r="C357" s="704"/>
      <c r="D357" s="461">
        <f>SUM(M357:T357)</f>
        <v>179867662</v>
      </c>
      <c r="E357" s="461">
        <f>+E375+E385</f>
        <v>0</v>
      </c>
      <c r="F357" s="461">
        <f t="shared" ref="F357:R357" si="433">+F375+F385</f>
        <v>0</v>
      </c>
      <c r="G357" s="461">
        <f t="shared" si="433"/>
        <v>0</v>
      </c>
      <c r="H357" s="461">
        <f t="shared" si="433"/>
        <v>0</v>
      </c>
      <c r="I357" s="461">
        <f t="shared" si="433"/>
        <v>0</v>
      </c>
      <c r="J357" s="461">
        <f t="shared" si="433"/>
        <v>0</v>
      </c>
      <c r="K357" s="461">
        <f t="shared" si="433"/>
        <v>0</v>
      </c>
      <c r="L357" s="461">
        <f t="shared" si="433"/>
        <v>35516880</v>
      </c>
      <c r="M357" s="461">
        <f t="shared" ref="M357" si="434">+M375+M385</f>
        <v>35516880</v>
      </c>
      <c r="N357" s="461">
        <f t="shared" si="433"/>
        <v>73083600</v>
      </c>
      <c r="O357" s="461">
        <f t="shared" si="433"/>
        <v>50079183</v>
      </c>
      <c r="P357" s="461">
        <f t="shared" si="433"/>
        <v>21187999</v>
      </c>
      <c r="Q357" s="461">
        <f t="shared" si="433"/>
        <v>0</v>
      </c>
      <c r="R357" s="461">
        <f t="shared" si="433"/>
        <v>0</v>
      </c>
      <c r="S357" s="461">
        <f t="shared" ref="S357:T357" si="435">+S375+S385</f>
        <v>0</v>
      </c>
      <c r="T357" s="461">
        <f t="shared" si="435"/>
        <v>0</v>
      </c>
      <c r="U357" s="2488"/>
      <c r="V357" s="2529"/>
    </row>
    <row r="358" spans="1:23" ht="12" customHeight="1" thickBot="1">
      <c r="A358" s="2527"/>
      <c r="B358" s="2175" t="s">
        <v>100</v>
      </c>
      <c r="C358" s="682"/>
      <c r="D358" s="1846">
        <f>SUM(M358:T358)</f>
        <v>0</v>
      </c>
      <c r="E358" s="683">
        <f>+E376</f>
        <v>0</v>
      </c>
      <c r="F358" s="683">
        <f t="shared" ref="F358:R358" si="436">+F376</f>
        <v>0</v>
      </c>
      <c r="G358" s="683">
        <f t="shared" si="436"/>
        <v>0</v>
      </c>
      <c r="H358" s="683">
        <f t="shared" si="436"/>
        <v>0</v>
      </c>
      <c r="I358" s="683">
        <f t="shared" si="436"/>
        <v>0</v>
      </c>
      <c r="J358" s="683">
        <f t="shared" si="436"/>
        <v>0</v>
      </c>
      <c r="K358" s="683">
        <f t="shared" si="436"/>
        <v>0</v>
      </c>
      <c r="L358" s="683">
        <f t="shared" si="436"/>
        <v>0</v>
      </c>
      <c r="M358" s="683">
        <f t="shared" ref="M358" si="437">+M376</f>
        <v>0</v>
      </c>
      <c r="N358" s="683">
        <f t="shared" si="436"/>
        <v>0</v>
      </c>
      <c r="O358" s="683">
        <f t="shared" si="436"/>
        <v>0</v>
      </c>
      <c r="P358" s="683">
        <f t="shared" si="436"/>
        <v>0</v>
      </c>
      <c r="Q358" s="683">
        <f t="shared" si="436"/>
        <v>0</v>
      </c>
      <c r="R358" s="683">
        <f t="shared" si="436"/>
        <v>0</v>
      </c>
      <c r="S358" s="1845">
        <f t="shared" ref="S358:T358" si="438">+S376</f>
        <v>0</v>
      </c>
      <c r="T358" s="1846">
        <f t="shared" si="438"/>
        <v>0</v>
      </c>
      <c r="U358" s="2489"/>
      <c r="V358" s="2176"/>
    </row>
    <row r="359" spans="1:23" s="2158" customFormat="1" ht="40.5" customHeight="1">
      <c r="A359" s="2428" t="s">
        <v>369</v>
      </c>
      <c r="B359" s="2264" t="s">
        <v>430</v>
      </c>
      <c r="C359" s="528" t="s">
        <v>102</v>
      </c>
      <c r="D359" s="649"/>
      <c r="E359" s="650"/>
      <c r="F359" s="650"/>
      <c r="G359" s="650"/>
      <c r="H359" s="650"/>
      <c r="I359" s="650"/>
      <c r="J359" s="650"/>
      <c r="K359" s="650"/>
      <c r="L359" s="650"/>
      <c r="M359" s="651"/>
      <c r="N359" s="651"/>
      <c r="O359" s="650"/>
      <c r="P359" s="650"/>
      <c r="Q359" s="650"/>
      <c r="R359" s="2265"/>
      <c r="S359" s="2265"/>
      <c r="T359" s="2265"/>
      <c r="U359" s="492"/>
      <c r="V359" s="2513" t="s">
        <v>132</v>
      </c>
    </row>
    <row r="360" spans="1:23" s="2158" customFormat="1" ht="12" customHeight="1">
      <c r="A360" s="2429"/>
      <c r="B360" s="427" t="s">
        <v>22</v>
      </c>
      <c r="C360" s="428"/>
      <c r="D360" s="652">
        <f>+D361+D365</f>
        <v>226200000</v>
      </c>
      <c r="E360" s="652">
        <f t="shared" ref="E360:P360" si="439">+E361+E365</f>
        <v>0</v>
      </c>
      <c r="F360" s="652">
        <f t="shared" si="439"/>
        <v>0</v>
      </c>
      <c r="G360" s="652">
        <f t="shared" si="439"/>
        <v>0</v>
      </c>
      <c r="H360" s="652">
        <f t="shared" si="439"/>
        <v>0</v>
      </c>
      <c r="I360" s="652">
        <f t="shared" si="439"/>
        <v>0</v>
      </c>
      <c r="J360" s="652">
        <f t="shared" si="439"/>
        <v>0</v>
      </c>
      <c r="K360" s="652">
        <f t="shared" si="439"/>
        <v>0</v>
      </c>
      <c r="L360" s="652">
        <f t="shared" si="439"/>
        <v>52200000</v>
      </c>
      <c r="M360" s="652">
        <f t="shared" ref="M360" si="440">+M361+M365</f>
        <v>52200000</v>
      </c>
      <c r="N360" s="652">
        <f t="shared" si="439"/>
        <v>104400000</v>
      </c>
      <c r="O360" s="652">
        <f t="shared" si="439"/>
        <v>69600000</v>
      </c>
      <c r="P360" s="652">
        <f t="shared" si="439"/>
        <v>0</v>
      </c>
      <c r="Q360" s="652">
        <f t="shared" ref="Q360:T360" si="441">+Q361+Q365</f>
        <v>0</v>
      </c>
      <c r="R360" s="652">
        <f t="shared" si="441"/>
        <v>0</v>
      </c>
      <c r="S360" s="652">
        <f t="shared" si="441"/>
        <v>0</v>
      </c>
      <c r="T360" s="652">
        <f t="shared" si="441"/>
        <v>0</v>
      </c>
      <c r="U360" s="454">
        <f>+U361+U365</f>
        <v>69600000</v>
      </c>
      <c r="V360" s="2514"/>
      <c r="W360" s="2159">
        <f>+O360+P360</f>
        <v>69600000</v>
      </c>
    </row>
    <row r="361" spans="1:23" s="2158" customFormat="1">
      <c r="A361" s="2429"/>
      <c r="B361" s="584" t="s">
        <v>36</v>
      </c>
      <c r="C361" s="2433" t="s">
        <v>124</v>
      </c>
      <c r="D361" s="653">
        <f>+D362+D363+D364</f>
        <v>46409280</v>
      </c>
      <c r="E361" s="653">
        <f>+E362+E363+E364</f>
        <v>0</v>
      </c>
      <c r="F361" s="653">
        <f t="shared" ref="F361:P361" si="442">+F362+F363+F364</f>
        <v>0</v>
      </c>
      <c r="G361" s="653">
        <f t="shared" si="442"/>
        <v>0</v>
      </c>
      <c r="H361" s="653">
        <f t="shared" si="442"/>
        <v>0</v>
      </c>
      <c r="I361" s="653">
        <f t="shared" si="442"/>
        <v>0</v>
      </c>
      <c r="J361" s="653">
        <f t="shared" si="442"/>
        <v>0</v>
      </c>
      <c r="K361" s="653">
        <f t="shared" si="442"/>
        <v>0</v>
      </c>
      <c r="L361" s="654">
        <f t="shared" si="442"/>
        <v>11609280</v>
      </c>
      <c r="M361" s="654">
        <f t="shared" ref="M361" si="443">+M362+M363+M364</f>
        <v>11609280</v>
      </c>
      <c r="N361" s="654">
        <f t="shared" si="442"/>
        <v>20880000</v>
      </c>
      <c r="O361" s="654">
        <f t="shared" si="442"/>
        <v>13920000</v>
      </c>
      <c r="P361" s="653">
        <f t="shared" si="442"/>
        <v>0</v>
      </c>
      <c r="Q361" s="653">
        <f t="shared" ref="Q361:T361" si="444">+Q362+Q363+Q364</f>
        <v>0</v>
      </c>
      <c r="R361" s="653">
        <f t="shared" si="444"/>
        <v>0</v>
      </c>
      <c r="S361" s="653">
        <f t="shared" si="444"/>
        <v>0</v>
      </c>
      <c r="T361" s="653">
        <f t="shared" si="444"/>
        <v>0</v>
      </c>
      <c r="U361" s="557">
        <f>+U362+U363+U364</f>
        <v>13920000</v>
      </c>
      <c r="V361" s="2514"/>
    </row>
    <row r="362" spans="1:23" s="2158" customFormat="1" ht="11.25" customHeight="1">
      <c r="A362" s="2429"/>
      <c r="B362" s="558" t="s">
        <v>24</v>
      </c>
      <c r="C362" s="2434"/>
      <c r="D362" s="1794">
        <f t="shared" ref="D362:D364" si="445">SUM(M362:T362)</f>
        <v>1169280</v>
      </c>
      <c r="E362" s="715">
        <v>0</v>
      </c>
      <c r="F362" s="2266"/>
      <c r="G362" s="715"/>
      <c r="H362" s="715"/>
      <c r="I362" s="715">
        <v>0</v>
      </c>
      <c r="J362" s="715">
        <v>0</v>
      </c>
      <c r="K362" s="715">
        <v>0</v>
      </c>
      <c r="L362" s="2267">
        <v>1169280</v>
      </c>
      <c r="M362" s="504">
        <f t="shared" ref="M362:M364" si="446">+E362+I362+J362+K362+L362</f>
        <v>1169280</v>
      </c>
      <c r="N362" s="2267">
        <f>9467714-8240000+5220000-6447714</f>
        <v>0</v>
      </c>
      <c r="O362" s="2267">
        <f>6456250+880000-5220000+12500-2128750</f>
        <v>0</v>
      </c>
      <c r="P362" s="715">
        <v>0</v>
      </c>
      <c r="Q362" s="715">
        <v>0</v>
      </c>
      <c r="R362" s="715">
        <v>0</v>
      </c>
      <c r="S362" s="715">
        <v>0</v>
      </c>
      <c r="T362" s="715">
        <v>0</v>
      </c>
      <c r="U362" s="462">
        <f t="shared" ref="U362:U364" si="447">SUM(O362:T362)</f>
        <v>0</v>
      </c>
      <c r="V362" s="2514"/>
      <c r="W362" s="2157"/>
    </row>
    <row r="363" spans="1:23" s="2158" customFormat="1">
      <c r="A363" s="2429"/>
      <c r="B363" s="716" t="s">
        <v>99</v>
      </c>
      <c r="C363" s="2434"/>
      <c r="D363" s="1794">
        <f t="shared" si="445"/>
        <v>14575000</v>
      </c>
      <c r="E363" s="717">
        <v>0</v>
      </c>
      <c r="F363" s="715"/>
      <c r="G363" s="715"/>
      <c r="H363" s="715"/>
      <c r="I363" s="715">
        <v>0</v>
      </c>
      <c r="J363" s="662">
        <v>0</v>
      </c>
      <c r="K363" s="717">
        <v>0</v>
      </c>
      <c r="L363" s="662">
        <v>0</v>
      </c>
      <c r="M363" s="504">
        <f t="shared" si="446"/>
        <v>0</v>
      </c>
      <c r="N363" s="662">
        <v>7293750</v>
      </c>
      <c r="O363" s="662">
        <f>7293750-12500</f>
        <v>7281250</v>
      </c>
      <c r="P363" s="717">
        <v>0</v>
      </c>
      <c r="Q363" s="717">
        <v>0</v>
      </c>
      <c r="R363" s="717">
        <v>0</v>
      </c>
      <c r="S363" s="717">
        <v>0</v>
      </c>
      <c r="T363" s="717">
        <v>0</v>
      </c>
      <c r="U363" s="462">
        <f t="shared" si="447"/>
        <v>7281250</v>
      </c>
      <c r="V363" s="2514"/>
    </row>
    <row r="364" spans="1:23" s="2158" customFormat="1" ht="12" customHeight="1">
      <c r="A364" s="2429"/>
      <c r="B364" s="718" t="s">
        <v>133</v>
      </c>
      <c r="C364" s="2523"/>
      <c r="D364" s="1794">
        <f t="shared" si="445"/>
        <v>30665000</v>
      </c>
      <c r="E364" s="510">
        <v>0</v>
      </c>
      <c r="F364" s="663"/>
      <c r="G364" s="717"/>
      <c r="H364" s="719"/>
      <c r="I364" s="719">
        <v>0</v>
      </c>
      <c r="J364" s="2267">
        <v>0</v>
      </c>
      <c r="K364" s="2267">
        <v>0</v>
      </c>
      <c r="L364" s="2267">
        <f>20000000-4340000-5220000</f>
        <v>10440000</v>
      </c>
      <c r="M364" s="504">
        <f t="shared" si="446"/>
        <v>10440000</v>
      </c>
      <c r="N364" s="2267">
        <f>13238536+4340000-3992286</f>
        <v>13586250</v>
      </c>
      <c r="O364" s="2267">
        <f>6250000+388750</f>
        <v>6638750</v>
      </c>
      <c r="P364" s="715">
        <v>0</v>
      </c>
      <c r="Q364" s="715">
        <v>0</v>
      </c>
      <c r="R364" s="715">
        <v>0</v>
      </c>
      <c r="S364" s="715">
        <v>0</v>
      </c>
      <c r="T364" s="715">
        <v>0</v>
      </c>
      <c r="U364" s="462">
        <f t="shared" si="447"/>
        <v>6638750</v>
      </c>
      <c r="V364" s="2514"/>
    </row>
    <row r="365" spans="1:23" s="2170" customFormat="1">
      <c r="A365" s="2429"/>
      <c r="B365" s="574" t="s">
        <v>30</v>
      </c>
      <c r="C365" s="2268"/>
      <c r="D365" s="513">
        <f>+D366+D367</f>
        <v>179790720</v>
      </c>
      <c r="E365" s="720">
        <f>+E366</f>
        <v>0</v>
      </c>
      <c r="F365" s="720">
        <f t="shared" ref="F365:K365" si="448">+F366</f>
        <v>0</v>
      </c>
      <c r="G365" s="720">
        <f t="shared" si="448"/>
        <v>0</v>
      </c>
      <c r="H365" s="720">
        <f t="shared" si="448"/>
        <v>0</v>
      </c>
      <c r="I365" s="720">
        <f t="shared" si="448"/>
        <v>0</v>
      </c>
      <c r="J365" s="720">
        <f t="shared" si="448"/>
        <v>0</v>
      </c>
      <c r="K365" s="720">
        <f t="shared" si="448"/>
        <v>0</v>
      </c>
      <c r="L365" s="720">
        <f t="shared" ref="L365:U365" si="449">+L366+L367</f>
        <v>40590720</v>
      </c>
      <c r="M365" s="720">
        <f t="shared" si="449"/>
        <v>40590720</v>
      </c>
      <c r="N365" s="720">
        <f t="shared" si="449"/>
        <v>83520000</v>
      </c>
      <c r="O365" s="720">
        <f t="shared" si="449"/>
        <v>55680000</v>
      </c>
      <c r="P365" s="720">
        <f t="shared" si="449"/>
        <v>0</v>
      </c>
      <c r="Q365" s="720">
        <f t="shared" si="449"/>
        <v>0</v>
      </c>
      <c r="R365" s="720">
        <f t="shared" si="449"/>
        <v>0</v>
      </c>
      <c r="S365" s="720">
        <f t="shared" si="449"/>
        <v>0</v>
      </c>
      <c r="T365" s="720">
        <f t="shared" si="449"/>
        <v>0</v>
      </c>
      <c r="U365" s="557">
        <f t="shared" si="449"/>
        <v>55680000</v>
      </c>
      <c r="V365" s="2514"/>
    </row>
    <row r="366" spans="1:23" s="2158" customFormat="1">
      <c r="A366" s="2429"/>
      <c r="B366" s="631" t="s">
        <v>33</v>
      </c>
      <c r="C366" s="2269"/>
      <c r="D366" s="1794">
        <f t="shared" ref="D366:D367" si="450">SUM(M366:T366)</f>
        <v>179790720</v>
      </c>
      <c r="E366" s="511">
        <v>0</v>
      </c>
      <c r="F366" s="663"/>
      <c r="G366" s="663"/>
      <c r="H366" s="2270"/>
      <c r="I366" s="2266">
        <v>0</v>
      </c>
      <c r="J366" s="2271">
        <v>0</v>
      </c>
      <c r="K366" s="2271">
        <v>0</v>
      </c>
      <c r="L366" s="2271">
        <f>20000000+16540000-1023120+5073840</f>
        <v>40590720</v>
      </c>
      <c r="M366" s="504">
        <f>+E366+I366+J366+K366+L366</f>
        <v>40590720</v>
      </c>
      <c r="N366" s="2271">
        <f>30000000+30900000+12180000+10440000</f>
        <v>83520000</v>
      </c>
      <c r="O366" s="2271">
        <f>20000000+28720000-12180000+19140000</f>
        <v>55680000</v>
      </c>
      <c r="P366" s="2266">
        <v>0</v>
      </c>
      <c r="Q366" s="2266">
        <v>0</v>
      </c>
      <c r="R366" s="2266">
        <v>0</v>
      </c>
      <c r="S366" s="2266">
        <v>0</v>
      </c>
      <c r="T366" s="2266">
        <v>0</v>
      </c>
      <c r="U366" s="462">
        <f t="shared" ref="U366:U367" si="451">SUM(O366:T366)</f>
        <v>55680000</v>
      </c>
      <c r="V366" s="2514"/>
    </row>
    <row r="367" spans="1:23" s="2158" customFormat="1" ht="12" customHeight="1">
      <c r="A367" s="2429"/>
      <c r="B367" s="631" t="s">
        <v>100</v>
      </c>
      <c r="C367" s="2269"/>
      <c r="D367" s="503">
        <f t="shared" si="450"/>
        <v>0</v>
      </c>
      <c r="E367" s="511">
        <v>0</v>
      </c>
      <c r="F367" s="663"/>
      <c r="G367" s="663"/>
      <c r="H367" s="2270"/>
      <c r="I367" s="2266">
        <v>0</v>
      </c>
      <c r="J367" s="2271">
        <v>0</v>
      </c>
      <c r="K367" s="2271">
        <v>0</v>
      </c>
      <c r="L367" s="2271">
        <f>1023120-1023120</f>
        <v>0</v>
      </c>
      <c r="M367" s="504">
        <f t="shared" ref="M367" si="452">+E367+I367+J367+K367+L367</f>
        <v>0</v>
      </c>
      <c r="N367" s="2271">
        <v>0</v>
      </c>
      <c r="O367" s="2271">
        <v>0</v>
      </c>
      <c r="P367" s="2266">
        <v>0</v>
      </c>
      <c r="Q367" s="2266">
        <v>0</v>
      </c>
      <c r="R367" s="2266">
        <v>0</v>
      </c>
      <c r="S367" s="2266">
        <v>0</v>
      </c>
      <c r="T367" s="2266">
        <v>0</v>
      </c>
      <c r="U367" s="462">
        <f t="shared" si="451"/>
        <v>0</v>
      </c>
      <c r="V367" s="2514"/>
    </row>
    <row r="368" spans="1:23" s="2167" customFormat="1" ht="11.25" customHeight="1">
      <c r="A368" s="2429"/>
      <c r="B368" s="427" t="s">
        <v>34</v>
      </c>
      <c r="C368" s="428"/>
      <c r="D368" s="518">
        <f>+D369+D373</f>
        <v>225030720</v>
      </c>
      <c r="E368" s="518">
        <f t="shared" ref="E368:P368" si="453">+E369+E373</f>
        <v>0</v>
      </c>
      <c r="F368" s="518">
        <f t="shared" si="453"/>
        <v>0</v>
      </c>
      <c r="G368" s="518">
        <f t="shared" si="453"/>
        <v>0</v>
      </c>
      <c r="H368" s="518">
        <f t="shared" si="453"/>
        <v>0</v>
      </c>
      <c r="I368" s="518">
        <f t="shared" si="453"/>
        <v>0</v>
      </c>
      <c r="J368" s="518">
        <f t="shared" si="453"/>
        <v>5665000</v>
      </c>
      <c r="K368" s="518">
        <f t="shared" si="453"/>
        <v>6250000</v>
      </c>
      <c r="L368" s="518">
        <f>+L369+L373</f>
        <v>41766880</v>
      </c>
      <c r="M368" s="518">
        <f>+M369+M373</f>
        <v>53681880</v>
      </c>
      <c r="N368" s="518">
        <f t="shared" si="453"/>
        <v>86623750</v>
      </c>
      <c r="O368" s="518">
        <f t="shared" si="453"/>
        <v>63537091</v>
      </c>
      <c r="P368" s="518">
        <f t="shared" si="453"/>
        <v>21187999</v>
      </c>
      <c r="Q368" s="518">
        <f t="shared" ref="Q368:T368" si="454">+Q369+Q373</f>
        <v>0</v>
      </c>
      <c r="R368" s="518">
        <f t="shared" si="454"/>
        <v>0</v>
      </c>
      <c r="S368" s="518">
        <f t="shared" si="454"/>
        <v>0</v>
      </c>
      <c r="T368" s="518">
        <f t="shared" si="454"/>
        <v>0</v>
      </c>
      <c r="U368" s="2272"/>
      <c r="V368" s="2514"/>
      <c r="W368" s="2159">
        <f>D368-'[2]Tab. 6A -Drogi'!$D$358</f>
        <v>24807184</v>
      </c>
    </row>
    <row r="369" spans="1:26" s="2169" customFormat="1" ht="12.75" customHeight="1">
      <c r="A369" s="2429"/>
      <c r="B369" s="584" t="s">
        <v>36</v>
      </c>
      <c r="C369" s="2433" t="s">
        <v>124</v>
      </c>
      <c r="D369" s="567">
        <f>+D370+D371+D372</f>
        <v>45240000</v>
      </c>
      <c r="E369" s="567">
        <f>+E370+E372</f>
        <v>0</v>
      </c>
      <c r="F369" s="567">
        <f t="shared" ref="F369:P369" si="455">+F370+F372</f>
        <v>0</v>
      </c>
      <c r="G369" s="567">
        <f t="shared" si="455"/>
        <v>0</v>
      </c>
      <c r="H369" s="567">
        <f t="shared" si="455"/>
        <v>0</v>
      </c>
      <c r="I369" s="596">
        <f t="shared" si="455"/>
        <v>0</v>
      </c>
      <c r="J369" s="567">
        <f t="shared" si="455"/>
        <v>5665000</v>
      </c>
      <c r="K369" s="567">
        <f t="shared" si="455"/>
        <v>6250000</v>
      </c>
      <c r="L369" s="567">
        <f>SUM(L370:L372)</f>
        <v>6250000</v>
      </c>
      <c r="M369" s="567">
        <f>SUM(M370:M372)</f>
        <v>18165000</v>
      </c>
      <c r="N369" s="596">
        <f t="shared" si="455"/>
        <v>13543750</v>
      </c>
      <c r="O369" s="567">
        <f t="shared" si="455"/>
        <v>13531250</v>
      </c>
      <c r="P369" s="567">
        <f t="shared" si="455"/>
        <v>0</v>
      </c>
      <c r="Q369" s="567">
        <f t="shared" ref="Q369:T369" si="456">+Q370+Q372</f>
        <v>0</v>
      </c>
      <c r="R369" s="567">
        <f t="shared" si="456"/>
        <v>0</v>
      </c>
      <c r="S369" s="567">
        <f t="shared" si="456"/>
        <v>0</v>
      </c>
      <c r="T369" s="567">
        <f t="shared" si="456"/>
        <v>0</v>
      </c>
      <c r="U369" s="2487" t="s">
        <v>35</v>
      </c>
      <c r="V369" s="2514"/>
    </row>
    <row r="370" spans="1:26" s="2168" customFormat="1">
      <c r="A370" s="2429"/>
      <c r="B370" s="716" t="s">
        <v>134</v>
      </c>
      <c r="C370" s="2434"/>
      <c r="D370" s="1794">
        <f t="shared" ref="D370:D372" si="457">SUM(M370:T370)</f>
        <v>14575000</v>
      </c>
      <c r="E370" s="2273">
        <v>0</v>
      </c>
      <c r="F370" s="2273"/>
      <c r="G370" s="2273"/>
      <c r="H370" s="2273"/>
      <c r="I370" s="2274">
        <v>0</v>
      </c>
      <c r="J370" s="2275">
        <v>0</v>
      </c>
      <c r="K370" s="2276">
        <v>0</v>
      </c>
      <c r="L370" s="2273">
        <v>0</v>
      </c>
      <c r="M370" s="504">
        <f t="shared" ref="M370:M372" si="458">+E370+I370+J370+K370+L370</f>
        <v>0</v>
      </c>
      <c r="N370" s="2277">
        <v>7293750</v>
      </c>
      <c r="O370" s="2273">
        <f>7293750-12500</f>
        <v>7281250</v>
      </c>
      <c r="P370" s="2273">
        <v>0</v>
      </c>
      <c r="Q370" s="2273">
        <v>0</v>
      </c>
      <c r="R370" s="2273">
        <v>0</v>
      </c>
      <c r="S370" s="2273">
        <v>0</v>
      </c>
      <c r="T370" s="2273">
        <v>0</v>
      </c>
      <c r="U370" s="2488"/>
      <c r="V370" s="2514"/>
    </row>
    <row r="371" spans="1:26" s="2168" customFormat="1" ht="10.5" hidden="1" customHeight="1">
      <c r="A371" s="2429"/>
      <c r="B371" s="721" t="s">
        <v>135</v>
      </c>
      <c r="C371" s="2434"/>
      <c r="D371" s="503">
        <f t="shared" si="457"/>
        <v>0</v>
      </c>
      <c r="E371" s="2273"/>
      <c r="F371" s="2273"/>
      <c r="G371" s="2273"/>
      <c r="H371" s="2273"/>
      <c r="I371" s="2278"/>
      <c r="J371" s="2279"/>
      <c r="K371" s="2280"/>
      <c r="L371" s="2273">
        <v>0</v>
      </c>
      <c r="M371" s="504">
        <f t="shared" si="458"/>
        <v>0</v>
      </c>
      <c r="N371" s="2277"/>
      <c r="O371" s="2273"/>
      <c r="P371" s="2273"/>
      <c r="Q371" s="2273"/>
      <c r="R371" s="2273"/>
      <c r="S371" s="2273"/>
      <c r="T371" s="2273"/>
      <c r="U371" s="2488"/>
      <c r="V371" s="2514"/>
    </row>
    <row r="372" spans="1:26" s="2168" customFormat="1">
      <c r="A372" s="2429"/>
      <c r="B372" s="718" t="s">
        <v>133</v>
      </c>
      <c r="C372" s="2434"/>
      <c r="D372" s="2247">
        <f t="shared" si="457"/>
        <v>30665000</v>
      </c>
      <c r="E372" s="2281">
        <v>0</v>
      </c>
      <c r="F372" s="2276"/>
      <c r="G372" s="2281"/>
      <c r="H372" s="2281"/>
      <c r="I372" s="661">
        <f>8238536-8238536</f>
        <v>0</v>
      </c>
      <c r="J372" s="719">
        <f>6250000-585000</f>
        <v>5665000</v>
      </c>
      <c r="K372" s="719">
        <v>6250000</v>
      </c>
      <c r="L372" s="715">
        <f>12500000-6250000</f>
        <v>6250000</v>
      </c>
      <c r="M372" s="504">
        <f t="shared" si="458"/>
        <v>18165000</v>
      </c>
      <c r="N372" s="2267">
        <f>6250000</f>
        <v>6250000</v>
      </c>
      <c r="O372" s="715">
        <v>6250000</v>
      </c>
      <c r="P372" s="715">
        <v>0</v>
      </c>
      <c r="Q372" s="715">
        <v>0</v>
      </c>
      <c r="R372" s="715">
        <v>0</v>
      </c>
      <c r="S372" s="715">
        <v>0</v>
      </c>
      <c r="T372" s="715">
        <v>0</v>
      </c>
      <c r="U372" s="2488"/>
      <c r="V372" s="2514"/>
    </row>
    <row r="373" spans="1:26" s="2169" customFormat="1">
      <c r="A373" s="2429"/>
      <c r="B373" s="722" t="s">
        <v>30</v>
      </c>
      <c r="C373" s="2434"/>
      <c r="D373" s="519">
        <f>+D374+D375+D376</f>
        <v>179790720</v>
      </c>
      <c r="E373" s="575">
        <f>+E375</f>
        <v>0</v>
      </c>
      <c r="F373" s="575">
        <f t="shared" ref="F373:K373" si="459">+F375</f>
        <v>0</v>
      </c>
      <c r="G373" s="575">
        <f t="shared" si="459"/>
        <v>0</v>
      </c>
      <c r="H373" s="575">
        <f t="shared" si="459"/>
        <v>0</v>
      </c>
      <c r="I373" s="575">
        <f t="shared" si="459"/>
        <v>0</v>
      </c>
      <c r="J373" s="575">
        <f t="shared" si="459"/>
        <v>0</v>
      </c>
      <c r="K373" s="575">
        <f t="shared" si="459"/>
        <v>0</v>
      </c>
      <c r="L373" s="575">
        <f>+L374+L375+L376</f>
        <v>35516880</v>
      </c>
      <c r="M373" s="575">
        <f t="shared" ref="M373:P373" si="460">+M374+M375+M376</f>
        <v>35516880</v>
      </c>
      <c r="N373" s="575">
        <f t="shared" si="460"/>
        <v>73080000</v>
      </c>
      <c r="O373" s="575">
        <f t="shared" si="460"/>
        <v>50005841</v>
      </c>
      <c r="P373" s="575">
        <f t="shared" si="460"/>
        <v>21187999</v>
      </c>
      <c r="Q373" s="575">
        <f t="shared" ref="Q373:T373" si="461">+Q375</f>
        <v>0</v>
      </c>
      <c r="R373" s="575">
        <f t="shared" si="461"/>
        <v>0</v>
      </c>
      <c r="S373" s="575">
        <f t="shared" si="461"/>
        <v>0</v>
      </c>
      <c r="T373" s="575">
        <f t="shared" si="461"/>
        <v>0</v>
      </c>
      <c r="U373" s="2488"/>
      <c r="V373" s="2514"/>
    </row>
    <row r="374" spans="1:26" s="2169" customFormat="1" ht="10.5" hidden="1" customHeight="1">
      <c r="A374" s="2429"/>
      <c r="B374" s="721" t="s">
        <v>135</v>
      </c>
      <c r="C374" s="2434"/>
      <c r="D374" s="521">
        <f>+E374+I374+J374+K374+L374+N374+O374+P374</f>
        <v>0</v>
      </c>
      <c r="E374" s="575"/>
      <c r="F374" s="567"/>
      <c r="G374" s="575"/>
      <c r="H374" s="575"/>
      <c r="I374" s="575"/>
      <c r="J374" s="575"/>
      <c r="K374" s="575"/>
      <c r="L374" s="2281">
        <v>0</v>
      </c>
      <c r="M374" s="2282"/>
      <c r="N374" s="2283"/>
      <c r="O374" s="2284"/>
      <c r="P374" s="2284"/>
      <c r="Q374" s="2284"/>
      <c r="R374" s="2284"/>
      <c r="S374" s="2284"/>
      <c r="T374" s="2284"/>
      <c r="U374" s="2488"/>
      <c r="V374" s="2514"/>
    </row>
    <row r="375" spans="1:26" s="2168" customFormat="1">
      <c r="A375" s="2429"/>
      <c r="B375" s="558" t="s">
        <v>33</v>
      </c>
      <c r="C375" s="2434"/>
      <c r="D375" s="503">
        <f t="shared" ref="D375" si="462">SUM(M375:T375)</f>
        <v>179790720</v>
      </c>
      <c r="E375" s="2281">
        <v>0</v>
      </c>
      <c r="F375" s="2276"/>
      <c r="G375" s="2281"/>
      <c r="H375" s="2281"/>
      <c r="I375" s="715">
        <v>0</v>
      </c>
      <c r="J375" s="715">
        <v>0</v>
      </c>
      <c r="K375" s="715">
        <v>0</v>
      </c>
      <c r="L375" s="715">
        <f>20000000+16540000-1023120</f>
        <v>35516880</v>
      </c>
      <c r="M375" s="504">
        <f t="shared" ref="M375" si="463">+E375+I375+J375+K375+L375</f>
        <v>35516880</v>
      </c>
      <c r="N375" s="2285">
        <f>30000000+30900000+12180000</f>
        <v>73080000</v>
      </c>
      <c r="O375" s="2286">
        <f>20000000+28720000-12180000+13465841</f>
        <v>50005841</v>
      </c>
      <c r="P375" s="2286">
        <v>21187999</v>
      </c>
      <c r="Q375" s="2286">
        <v>0</v>
      </c>
      <c r="R375" s="2286">
        <v>0</v>
      </c>
      <c r="S375" s="2286">
        <v>0</v>
      </c>
      <c r="T375" s="2286">
        <v>0</v>
      </c>
      <c r="U375" s="2488"/>
      <c r="V375" s="2514"/>
    </row>
    <row r="376" spans="1:26" s="2168" customFormat="1" ht="11.25" customHeight="1" thickBot="1">
      <c r="A376" s="2469"/>
      <c r="B376" s="568" t="s">
        <v>100</v>
      </c>
      <c r="C376" s="2443"/>
      <c r="D376" s="2249">
        <f>SUM(M376:T376)</f>
        <v>0</v>
      </c>
      <c r="E376" s="2287">
        <v>0</v>
      </c>
      <c r="F376" s="2288"/>
      <c r="G376" s="2287"/>
      <c r="H376" s="2287"/>
      <c r="I376" s="665">
        <v>0</v>
      </c>
      <c r="J376" s="665">
        <v>0</v>
      </c>
      <c r="K376" s="665">
        <v>0</v>
      </c>
      <c r="L376" s="665">
        <f>1023120-1023120</f>
        <v>0</v>
      </c>
      <c r="M376" s="524">
        <f>L376+E376+I376+J376+K376</f>
        <v>0</v>
      </c>
      <c r="N376" s="2289">
        <v>0</v>
      </c>
      <c r="O376" s="2290">
        <v>0</v>
      </c>
      <c r="P376" s="2290">
        <v>0</v>
      </c>
      <c r="Q376" s="2290">
        <v>0</v>
      </c>
      <c r="R376" s="2290">
        <v>0</v>
      </c>
      <c r="S376" s="2291">
        <v>0</v>
      </c>
      <c r="T376" s="904">
        <v>0</v>
      </c>
      <c r="U376" s="2489"/>
      <c r="V376" s="2187"/>
    </row>
    <row r="377" spans="1:26" ht="18" customHeight="1">
      <c r="A377" s="2428" t="s">
        <v>370</v>
      </c>
      <c r="B377" s="2066" t="s">
        <v>137</v>
      </c>
      <c r="C377" s="528" t="s">
        <v>138</v>
      </c>
      <c r="D377" s="644"/>
      <c r="E377" s="612"/>
      <c r="F377" s="613"/>
      <c r="G377" s="612"/>
      <c r="H377" s="612"/>
      <c r="I377" s="612"/>
      <c r="J377" s="612"/>
      <c r="K377" s="612"/>
      <c r="L377" s="612"/>
      <c r="M377" s="612"/>
      <c r="N377" s="612"/>
      <c r="O377" s="612"/>
      <c r="P377" s="614"/>
      <c r="Q377" s="614"/>
      <c r="R377" s="614"/>
      <c r="S377" s="614"/>
      <c r="T377" s="614"/>
      <c r="U377" s="492"/>
      <c r="V377" s="2383" t="s">
        <v>129</v>
      </c>
      <c r="Z377" s="1907"/>
    </row>
    <row r="378" spans="1:26" ht="14.25" customHeight="1">
      <c r="A378" s="2429"/>
      <c r="B378" s="427" t="s">
        <v>22</v>
      </c>
      <c r="C378" s="428"/>
      <c r="D378" s="533">
        <f t="shared" ref="D378:P378" si="464">+D379+D381</f>
        <v>135200</v>
      </c>
      <c r="E378" s="533">
        <f t="shared" si="464"/>
        <v>0</v>
      </c>
      <c r="F378" s="533">
        <f t="shared" si="464"/>
        <v>0</v>
      </c>
      <c r="G378" s="533">
        <f t="shared" si="464"/>
        <v>0</v>
      </c>
      <c r="H378" s="533">
        <f t="shared" si="464"/>
        <v>0</v>
      </c>
      <c r="I378" s="533">
        <f t="shared" si="464"/>
        <v>0</v>
      </c>
      <c r="J378" s="533">
        <f t="shared" si="464"/>
        <v>0</v>
      </c>
      <c r="K378" s="533">
        <f t="shared" si="464"/>
        <v>0</v>
      </c>
      <c r="L378" s="533">
        <f t="shared" si="464"/>
        <v>0</v>
      </c>
      <c r="M378" s="533">
        <f t="shared" ref="M378" si="465">+M379+M381</f>
        <v>0</v>
      </c>
      <c r="N378" s="533">
        <f t="shared" si="464"/>
        <v>6326</v>
      </c>
      <c r="O378" s="533">
        <f t="shared" si="464"/>
        <v>128874</v>
      </c>
      <c r="P378" s="533">
        <f t="shared" si="464"/>
        <v>0</v>
      </c>
      <c r="Q378" s="533"/>
      <c r="R378" s="533"/>
      <c r="S378" s="534"/>
      <c r="T378" s="533"/>
      <c r="U378" s="535">
        <f>+U379+U381</f>
        <v>128874</v>
      </c>
      <c r="V378" s="2384"/>
      <c r="W378" s="1903">
        <f>+O378+P378+Q378+R378</f>
        <v>128874</v>
      </c>
      <c r="X378" s="1258"/>
      <c r="Y378" s="1258"/>
      <c r="Z378" s="1258"/>
    </row>
    <row r="379" spans="1:26" ht="14.25" customHeight="1">
      <c r="A379" s="2429"/>
      <c r="B379" s="584" t="s">
        <v>36</v>
      </c>
      <c r="C379" s="2433" t="s">
        <v>124</v>
      </c>
      <c r="D379" s="536">
        <f>+D380</f>
        <v>58258</v>
      </c>
      <c r="E379" s="536">
        <f t="shared" ref="E379:P379" si="466">+E380</f>
        <v>0</v>
      </c>
      <c r="F379" s="536">
        <f t="shared" si="466"/>
        <v>0</v>
      </c>
      <c r="G379" s="536">
        <f t="shared" si="466"/>
        <v>0</v>
      </c>
      <c r="H379" s="536">
        <f t="shared" si="466"/>
        <v>0</v>
      </c>
      <c r="I379" s="536">
        <f t="shared" si="466"/>
        <v>0</v>
      </c>
      <c r="J379" s="536">
        <f t="shared" si="466"/>
        <v>0</v>
      </c>
      <c r="K379" s="536">
        <f t="shared" si="466"/>
        <v>0</v>
      </c>
      <c r="L379" s="536">
        <f t="shared" si="466"/>
        <v>0</v>
      </c>
      <c r="M379" s="536">
        <f t="shared" si="466"/>
        <v>0</v>
      </c>
      <c r="N379" s="536">
        <f t="shared" si="466"/>
        <v>2726</v>
      </c>
      <c r="O379" s="536">
        <f t="shared" si="466"/>
        <v>55532</v>
      </c>
      <c r="P379" s="536">
        <f t="shared" si="466"/>
        <v>0</v>
      </c>
      <c r="Q379" s="536"/>
      <c r="R379" s="536"/>
      <c r="S379" s="619"/>
      <c r="T379" s="536"/>
      <c r="U379" s="557">
        <f>+U380</f>
        <v>55532</v>
      </c>
      <c r="V379" s="2384"/>
      <c r="W379" s="1258"/>
    </row>
    <row r="380" spans="1:26">
      <c r="A380" s="2429"/>
      <c r="B380" s="585" t="s">
        <v>24</v>
      </c>
      <c r="C380" s="2435"/>
      <c r="D380" s="1794">
        <f t="shared" ref="D380" si="467">SUM(M380:T380)</f>
        <v>58258</v>
      </c>
      <c r="E380" s="510">
        <f>+F380+G380+H380</f>
        <v>0</v>
      </c>
      <c r="F380" s="511">
        <v>0</v>
      </c>
      <c r="G380" s="510">
        <v>0</v>
      </c>
      <c r="H380" s="510">
        <v>0</v>
      </c>
      <c r="I380" s="510">
        <f>140382-140382</f>
        <v>0</v>
      </c>
      <c r="J380" s="590"/>
      <c r="K380" s="549"/>
      <c r="L380" s="510"/>
      <c r="M380" s="504">
        <f t="shared" ref="M380" si="468">+E380+I380+J380+K380+L380</f>
        <v>0</v>
      </c>
      <c r="N380" s="511">
        <f>40886-38160</f>
        <v>2726</v>
      </c>
      <c r="O380" s="511">
        <f>40886-23514+38160</f>
        <v>55532</v>
      </c>
      <c r="P380" s="511">
        <v>0</v>
      </c>
      <c r="Q380" s="511"/>
      <c r="R380" s="511"/>
      <c r="S380" s="510"/>
      <c r="T380" s="511"/>
      <c r="U380" s="462">
        <f t="shared" ref="U380" si="469">SUM(O380:T380)</f>
        <v>55532</v>
      </c>
      <c r="V380" s="2384"/>
    </row>
    <row r="381" spans="1:26" ht="14.25" customHeight="1">
      <c r="A381" s="2429"/>
      <c r="B381" s="574" t="s">
        <v>30</v>
      </c>
      <c r="C381" s="2435"/>
      <c r="D381" s="513">
        <f>+D382</f>
        <v>76942</v>
      </c>
      <c r="E381" s="513">
        <f t="shared" ref="E381:P381" si="470">+E382</f>
        <v>0</v>
      </c>
      <c r="F381" s="513">
        <f t="shared" si="470"/>
        <v>0</v>
      </c>
      <c r="G381" s="513">
        <f t="shared" si="470"/>
        <v>0</v>
      </c>
      <c r="H381" s="513">
        <f t="shared" si="470"/>
        <v>0</v>
      </c>
      <c r="I381" s="513">
        <f t="shared" si="470"/>
        <v>0</v>
      </c>
      <c r="J381" s="513">
        <f t="shared" si="470"/>
        <v>0</v>
      </c>
      <c r="K381" s="513">
        <f t="shared" si="470"/>
        <v>0</v>
      </c>
      <c r="L381" s="513">
        <f t="shared" si="470"/>
        <v>0</v>
      </c>
      <c r="M381" s="513">
        <f t="shared" si="470"/>
        <v>0</v>
      </c>
      <c r="N381" s="513">
        <f t="shared" si="470"/>
        <v>3600</v>
      </c>
      <c r="O381" s="513">
        <f t="shared" si="470"/>
        <v>73342</v>
      </c>
      <c r="P381" s="513">
        <f t="shared" si="470"/>
        <v>0</v>
      </c>
      <c r="Q381" s="513"/>
      <c r="R381" s="513"/>
      <c r="S381" s="514"/>
      <c r="T381" s="513"/>
      <c r="U381" s="557">
        <f>+U382</f>
        <v>73342</v>
      </c>
      <c r="V381" s="2384"/>
    </row>
    <row r="382" spans="1:26">
      <c r="A382" s="2429"/>
      <c r="B382" s="517" t="s">
        <v>33</v>
      </c>
      <c r="C382" s="2435"/>
      <c r="D382" s="1794">
        <f t="shared" ref="D382" si="471">SUM(M382:T382)</f>
        <v>76942</v>
      </c>
      <c r="E382" s="510">
        <f>+F382+G382+H382</f>
        <v>0</v>
      </c>
      <c r="F382" s="511">
        <v>0</v>
      </c>
      <c r="G382" s="511">
        <v>0</v>
      </c>
      <c r="H382" s="510">
        <v>0</v>
      </c>
      <c r="I382" s="510">
        <f>163508-163508</f>
        <v>0</v>
      </c>
      <c r="J382" s="510"/>
      <c r="K382" s="510"/>
      <c r="L382" s="510">
        <v>0</v>
      </c>
      <c r="M382" s="504">
        <f t="shared" ref="M382" si="472">+E382+I382+J382+K382+L382</f>
        <v>0</v>
      </c>
      <c r="N382" s="510">
        <f>54000-50400</f>
        <v>3600</v>
      </c>
      <c r="O382" s="510">
        <f>54000-31058+50400</f>
        <v>73342</v>
      </c>
      <c r="P382" s="511">
        <v>0</v>
      </c>
      <c r="Q382" s="511"/>
      <c r="R382" s="511"/>
      <c r="S382" s="510"/>
      <c r="T382" s="511"/>
      <c r="U382" s="462">
        <f t="shared" ref="U382" si="473">SUM(O382:T382)</f>
        <v>73342</v>
      </c>
      <c r="V382" s="2384"/>
    </row>
    <row r="383" spans="1:26" s="1904" customFormat="1" ht="14.25" customHeight="1">
      <c r="A383" s="2430"/>
      <c r="B383" s="427" t="s">
        <v>34</v>
      </c>
      <c r="C383" s="428"/>
      <c r="D383" s="518">
        <f>+D384</f>
        <v>76942</v>
      </c>
      <c r="E383" s="518">
        <f t="shared" ref="E383:P384" si="474">+E384</f>
        <v>0</v>
      </c>
      <c r="F383" s="518">
        <f t="shared" si="474"/>
        <v>0</v>
      </c>
      <c r="G383" s="518">
        <f t="shared" si="474"/>
        <v>0</v>
      </c>
      <c r="H383" s="518">
        <f t="shared" si="474"/>
        <v>0</v>
      </c>
      <c r="I383" s="518">
        <f t="shared" si="474"/>
        <v>0</v>
      </c>
      <c r="J383" s="518">
        <f t="shared" si="474"/>
        <v>0</v>
      </c>
      <c r="K383" s="518">
        <f t="shared" si="474"/>
        <v>0</v>
      </c>
      <c r="L383" s="518">
        <f t="shared" si="474"/>
        <v>0</v>
      </c>
      <c r="M383" s="518">
        <f t="shared" si="474"/>
        <v>0</v>
      </c>
      <c r="N383" s="518">
        <f t="shared" si="474"/>
        <v>3600</v>
      </c>
      <c r="O383" s="518">
        <f t="shared" si="474"/>
        <v>73342</v>
      </c>
      <c r="P383" s="518">
        <f t="shared" si="474"/>
        <v>0</v>
      </c>
      <c r="Q383" s="518"/>
      <c r="R383" s="518"/>
      <c r="S383" s="496"/>
      <c r="T383" s="518"/>
      <c r="U383" s="2437" t="s">
        <v>35</v>
      </c>
      <c r="V383" s="2492"/>
    </row>
    <row r="384" spans="1:26" s="1906" customFormat="1" ht="14.25" customHeight="1">
      <c r="A384" s="2430"/>
      <c r="B384" s="574" t="s">
        <v>30</v>
      </c>
      <c r="C384" s="2433" t="s">
        <v>124</v>
      </c>
      <c r="D384" s="567">
        <f>+D385</f>
        <v>76942</v>
      </c>
      <c r="E384" s="567">
        <f t="shared" si="474"/>
        <v>0</v>
      </c>
      <c r="F384" s="567">
        <f t="shared" si="474"/>
        <v>0</v>
      </c>
      <c r="G384" s="567">
        <f t="shared" si="474"/>
        <v>0</v>
      </c>
      <c r="H384" s="567">
        <f t="shared" si="474"/>
        <v>0</v>
      </c>
      <c r="I384" s="567">
        <f t="shared" si="474"/>
        <v>0</v>
      </c>
      <c r="J384" s="567">
        <f t="shared" si="474"/>
        <v>0</v>
      </c>
      <c r="K384" s="567">
        <f t="shared" si="474"/>
        <v>0</v>
      </c>
      <c r="L384" s="567">
        <f t="shared" si="474"/>
        <v>0</v>
      </c>
      <c r="M384" s="567">
        <f t="shared" si="474"/>
        <v>0</v>
      </c>
      <c r="N384" s="596">
        <f t="shared" si="474"/>
        <v>3600</v>
      </c>
      <c r="O384" s="596">
        <f t="shared" si="474"/>
        <v>73342</v>
      </c>
      <c r="P384" s="567">
        <f t="shared" si="474"/>
        <v>0</v>
      </c>
      <c r="Q384" s="567"/>
      <c r="R384" s="567"/>
      <c r="S384" s="575"/>
      <c r="T384" s="567"/>
      <c r="U384" s="2438"/>
      <c r="V384" s="2492"/>
    </row>
    <row r="385" spans="1:26" s="1906" customFormat="1" ht="14.25" customHeight="1" thickBot="1">
      <c r="A385" s="2431"/>
      <c r="B385" s="646" t="s">
        <v>33</v>
      </c>
      <c r="C385" s="2491"/>
      <c r="D385" s="1794">
        <f t="shared" ref="D385" si="475">SUM(M385:T385)</f>
        <v>76942</v>
      </c>
      <c r="E385" s="637">
        <f>+F385+G385+H385</f>
        <v>0</v>
      </c>
      <c r="F385" s="638">
        <v>0</v>
      </c>
      <c r="G385" s="637">
        <v>0</v>
      </c>
      <c r="H385" s="637">
        <v>0</v>
      </c>
      <c r="I385" s="637">
        <v>0</v>
      </c>
      <c r="J385" s="637">
        <v>0</v>
      </c>
      <c r="K385" s="637"/>
      <c r="L385" s="637">
        <v>0</v>
      </c>
      <c r="M385" s="524">
        <f>L385+E385+I385+J385+K385</f>
        <v>0</v>
      </c>
      <c r="N385" s="639">
        <f>108000-54000-50400</f>
        <v>3600</v>
      </c>
      <c r="O385" s="639">
        <f>22942+50400</f>
        <v>73342</v>
      </c>
      <c r="P385" s="640">
        <v>0</v>
      </c>
      <c r="Q385" s="640"/>
      <c r="R385" s="640"/>
      <c r="S385" s="640"/>
      <c r="T385" s="640"/>
      <c r="U385" s="2439"/>
      <c r="V385" s="2493"/>
    </row>
    <row r="386" spans="1:26" ht="15" customHeight="1">
      <c r="A386" s="2542" t="s">
        <v>361</v>
      </c>
      <c r="B386" s="1086" t="s">
        <v>385</v>
      </c>
      <c r="C386" s="723"/>
      <c r="D386" s="695"/>
      <c r="E386" s="695"/>
      <c r="F386" s="695"/>
      <c r="G386" s="695"/>
      <c r="H386" s="695"/>
      <c r="I386" s="695"/>
      <c r="J386" s="695"/>
      <c r="K386" s="695"/>
      <c r="L386" s="696"/>
      <c r="M386" s="696"/>
      <c r="N386" s="696"/>
      <c r="O386" s="696"/>
      <c r="P386" s="696"/>
      <c r="Q386" s="696"/>
      <c r="R386" s="696"/>
      <c r="S386" s="696"/>
      <c r="T386" s="695"/>
      <c r="U386" s="1847"/>
      <c r="V386" s="2545"/>
    </row>
    <row r="387" spans="1:26" ht="12.75" customHeight="1">
      <c r="A387" s="2543"/>
      <c r="B387" s="427" t="s">
        <v>22</v>
      </c>
      <c r="C387" s="725"/>
      <c r="D387" s="698">
        <f>+D388+D390</f>
        <v>91208</v>
      </c>
      <c r="E387" s="698"/>
      <c r="F387" s="698"/>
      <c r="G387" s="698"/>
      <c r="H387" s="698"/>
      <c r="I387" s="698"/>
      <c r="J387" s="698"/>
      <c r="K387" s="698"/>
      <c r="L387" s="698"/>
      <c r="M387" s="698">
        <f t="shared" ref="M387" si="476">+M388+M390</f>
        <v>0</v>
      </c>
      <c r="N387" s="698">
        <f t="shared" ref="N387:Q387" si="477">+N388+N390</f>
        <v>15720</v>
      </c>
      <c r="O387" s="698">
        <f t="shared" si="477"/>
        <v>75488</v>
      </c>
      <c r="P387" s="698">
        <f t="shared" si="477"/>
        <v>0</v>
      </c>
      <c r="Q387" s="698">
        <f t="shared" si="477"/>
        <v>0</v>
      </c>
      <c r="R387" s="698">
        <f t="shared" ref="R387:T387" si="478">+R388+R390</f>
        <v>0</v>
      </c>
      <c r="S387" s="698">
        <f t="shared" si="478"/>
        <v>0</v>
      </c>
      <c r="T387" s="698">
        <f t="shared" si="478"/>
        <v>0</v>
      </c>
      <c r="U387" s="535">
        <f>+U388+U390</f>
        <v>75488</v>
      </c>
      <c r="V387" s="2546"/>
      <c r="W387" s="1903">
        <f>+O387+P387+Q387+R387</f>
        <v>75488</v>
      </c>
    </row>
    <row r="388" spans="1:26" ht="13.5" customHeight="1">
      <c r="A388" s="2543"/>
      <c r="B388" s="1087" t="s">
        <v>36</v>
      </c>
      <c r="C388" s="726"/>
      <c r="D388" s="676">
        <f>+D389</f>
        <v>8795</v>
      </c>
      <c r="E388" s="676"/>
      <c r="F388" s="676"/>
      <c r="G388" s="676"/>
      <c r="H388" s="676"/>
      <c r="I388" s="676"/>
      <c r="J388" s="676"/>
      <c r="K388" s="676"/>
      <c r="L388" s="676"/>
      <c r="M388" s="676">
        <f t="shared" ref="M388:U388" si="479">+M389</f>
        <v>0</v>
      </c>
      <c r="N388" s="676">
        <f t="shared" si="479"/>
        <v>0</v>
      </c>
      <c r="O388" s="676">
        <f t="shared" si="479"/>
        <v>8795</v>
      </c>
      <c r="P388" s="676">
        <f t="shared" si="479"/>
        <v>0</v>
      </c>
      <c r="Q388" s="676">
        <f t="shared" si="479"/>
        <v>0</v>
      </c>
      <c r="R388" s="676">
        <f t="shared" si="479"/>
        <v>0</v>
      </c>
      <c r="S388" s="676">
        <f t="shared" si="479"/>
        <v>0</v>
      </c>
      <c r="T388" s="676">
        <f t="shared" si="479"/>
        <v>0</v>
      </c>
      <c r="U388" s="537">
        <f t="shared" si="479"/>
        <v>8795</v>
      </c>
      <c r="V388" s="2546"/>
    </row>
    <row r="389" spans="1:26" s="1313" customFormat="1">
      <c r="A389" s="2543"/>
      <c r="B389" s="2064" t="s">
        <v>24</v>
      </c>
      <c r="C389" s="727"/>
      <c r="D389" s="461">
        <f>SUM(M389:T389)</f>
        <v>8795</v>
      </c>
      <c r="E389" s="461"/>
      <c r="F389" s="461"/>
      <c r="G389" s="461"/>
      <c r="H389" s="461"/>
      <c r="I389" s="461"/>
      <c r="J389" s="461"/>
      <c r="K389" s="461"/>
      <c r="L389" s="461"/>
      <c r="M389" s="461">
        <f t="shared" ref="M389:T389" si="480">+M398</f>
        <v>0</v>
      </c>
      <c r="N389" s="461">
        <f t="shared" si="480"/>
        <v>0</v>
      </c>
      <c r="O389" s="461">
        <f t="shared" si="480"/>
        <v>8795</v>
      </c>
      <c r="P389" s="461">
        <f t="shared" si="480"/>
        <v>0</v>
      </c>
      <c r="Q389" s="461">
        <f t="shared" si="480"/>
        <v>0</v>
      </c>
      <c r="R389" s="461">
        <f t="shared" si="480"/>
        <v>0</v>
      </c>
      <c r="S389" s="461">
        <f t="shared" si="480"/>
        <v>0</v>
      </c>
      <c r="T389" s="461">
        <f t="shared" si="480"/>
        <v>0</v>
      </c>
      <c r="U389" s="506">
        <f t="shared" ref="U389" si="481">SUM(O389:T389)</f>
        <v>8795</v>
      </c>
      <c r="V389" s="2546"/>
    </row>
    <row r="390" spans="1:26" ht="14.25" customHeight="1">
      <c r="A390" s="2543"/>
      <c r="B390" s="1088" t="s">
        <v>30</v>
      </c>
      <c r="C390" s="728"/>
      <c r="D390" s="457">
        <f>+D391</f>
        <v>82413</v>
      </c>
      <c r="E390" s="457"/>
      <c r="F390" s="457"/>
      <c r="G390" s="457"/>
      <c r="H390" s="457"/>
      <c r="I390" s="457"/>
      <c r="J390" s="457"/>
      <c r="K390" s="457"/>
      <c r="L390" s="457"/>
      <c r="M390" s="457">
        <f t="shared" ref="M390:U390" si="482">+M391</f>
        <v>0</v>
      </c>
      <c r="N390" s="457">
        <f t="shared" si="482"/>
        <v>15720</v>
      </c>
      <c r="O390" s="457">
        <f t="shared" si="482"/>
        <v>66693</v>
      </c>
      <c r="P390" s="457">
        <f t="shared" si="482"/>
        <v>0</v>
      </c>
      <c r="Q390" s="457">
        <f t="shared" si="482"/>
        <v>0</v>
      </c>
      <c r="R390" s="457">
        <f t="shared" si="482"/>
        <v>0</v>
      </c>
      <c r="S390" s="457">
        <f t="shared" si="482"/>
        <v>0</v>
      </c>
      <c r="T390" s="457">
        <f t="shared" si="482"/>
        <v>0</v>
      </c>
      <c r="U390" s="537">
        <f t="shared" si="482"/>
        <v>66693</v>
      </c>
      <c r="V390" s="2546"/>
    </row>
    <row r="391" spans="1:26" s="1313" customFormat="1" ht="11.25" customHeight="1">
      <c r="A391" s="2543"/>
      <c r="B391" s="2065" t="s">
        <v>32</v>
      </c>
      <c r="C391" s="727"/>
      <c r="D391" s="461">
        <f>SUM(M391:T391)</f>
        <v>82413</v>
      </c>
      <c r="E391" s="461"/>
      <c r="F391" s="461"/>
      <c r="G391" s="461"/>
      <c r="H391" s="461"/>
      <c r="I391" s="461"/>
      <c r="J391" s="461"/>
      <c r="K391" s="461"/>
      <c r="L391" s="461"/>
      <c r="M391" s="461">
        <f t="shared" ref="M391:T391" si="483">+M400</f>
        <v>0</v>
      </c>
      <c r="N391" s="461">
        <f t="shared" si="483"/>
        <v>15720</v>
      </c>
      <c r="O391" s="461">
        <f t="shared" si="483"/>
        <v>66693</v>
      </c>
      <c r="P391" s="461">
        <f t="shared" si="483"/>
        <v>0</v>
      </c>
      <c r="Q391" s="461">
        <f t="shared" si="483"/>
        <v>0</v>
      </c>
      <c r="R391" s="461">
        <f t="shared" si="483"/>
        <v>0</v>
      </c>
      <c r="S391" s="461">
        <f t="shared" si="483"/>
        <v>0</v>
      </c>
      <c r="T391" s="461">
        <f t="shared" si="483"/>
        <v>0</v>
      </c>
      <c r="U391" s="506">
        <f t="shared" ref="U391" si="484">SUM(O391:T391)</f>
        <v>66693</v>
      </c>
      <c r="V391" s="2546"/>
    </row>
    <row r="392" spans="1:26" ht="13.5" customHeight="1">
      <c r="A392" s="2543"/>
      <c r="B392" s="427" t="s">
        <v>34</v>
      </c>
      <c r="C392" s="725"/>
      <c r="D392" s="698">
        <f>+D393</f>
        <v>82413</v>
      </c>
      <c r="E392" s="698"/>
      <c r="F392" s="698"/>
      <c r="G392" s="698"/>
      <c r="H392" s="698"/>
      <c r="I392" s="698"/>
      <c r="J392" s="698"/>
      <c r="K392" s="698"/>
      <c r="L392" s="698"/>
      <c r="M392" s="698">
        <f>+M393</f>
        <v>0</v>
      </c>
      <c r="N392" s="698">
        <f>+N393</f>
        <v>82413</v>
      </c>
      <c r="O392" s="698">
        <f t="shared" ref="O392:T393" si="485">+O393</f>
        <v>0</v>
      </c>
      <c r="P392" s="698">
        <f t="shared" si="485"/>
        <v>0</v>
      </c>
      <c r="Q392" s="698">
        <f t="shared" si="485"/>
        <v>0</v>
      </c>
      <c r="R392" s="698">
        <f t="shared" si="485"/>
        <v>0</v>
      </c>
      <c r="S392" s="698">
        <f t="shared" si="485"/>
        <v>0</v>
      </c>
      <c r="T392" s="698">
        <f t="shared" si="485"/>
        <v>0</v>
      </c>
      <c r="U392" s="2437" t="s">
        <v>35</v>
      </c>
      <c r="V392" s="2546"/>
    </row>
    <row r="393" spans="1:26" ht="12" customHeight="1">
      <c r="A393" s="2543"/>
      <c r="B393" s="1089" t="s">
        <v>30</v>
      </c>
      <c r="C393" s="726"/>
      <c r="D393" s="676">
        <f>+D394</f>
        <v>82413</v>
      </c>
      <c r="E393" s="676"/>
      <c r="F393" s="676"/>
      <c r="G393" s="676"/>
      <c r="H393" s="676"/>
      <c r="I393" s="676"/>
      <c r="J393" s="676"/>
      <c r="K393" s="676"/>
      <c r="L393" s="676"/>
      <c r="M393" s="676">
        <f>+M394</f>
        <v>0</v>
      </c>
      <c r="N393" s="676">
        <f>+N394</f>
        <v>82413</v>
      </c>
      <c r="O393" s="676">
        <f t="shared" si="485"/>
        <v>0</v>
      </c>
      <c r="P393" s="676">
        <f t="shared" si="485"/>
        <v>0</v>
      </c>
      <c r="Q393" s="676">
        <f t="shared" si="485"/>
        <v>0</v>
      </c>
      <c r="R393" s="676">
        <f t="shared" si="485"/>
        <v>0</v>
      </c>
      <c r="S393" s="676">
        <f t="shared" si="485"/>
        <v>0</v>
      </c>
      <c r="T393" s="676">
        <f t="shared" si="485"/>
        <v>0</v>
      </c>
      <c r="U393" s="2438"/>
      <c r="V393" s="2546"/>
    </row>
    <row r="394" spans="1:26" ht="13.5" customHeight="1" thickBot="1">
      <c r="A394" s="2544"/>
      <c r="B394" s="709" t="s">
        <v>32</v>
      </c>
      <c r="C394" s="727"/>
      <c r="D394" s="461">
        <f>SUM(M394:T394)</f>
        <v>82413</v>
      </c>
      <c r="E394" s="461"/>
      <c r="F394" s="461"/>
      <c r="G394" s="461"/>
      <c r="H394" s="461"/>
      <c r="I394" s="461"/>
      <c r="J394" s="461"/>
      <c r="K394" s="461"/>
      <c r="L394" s="461"/>
      <c r="M394" s="461">
        <f t="shared" ref="M394:T394" si="486">+M403</f>
        <v>0</v>
      </c>
      <c r="N394" s="461">
        <f t="shared" si="486"/>
        <v>82413</v>
      </c>
      <c r="O394" s="461">
        <f t="shared" si="486"/>
        <v>0</v>
      </c>
      <c r="P394" s="461">
        <f t="shared" si="486"/>
        <v>0</v>
      </c>
      <c r="Q394" s="461">
        <f t="shared" si="486"/>
        <v>0</v>
      </c>
      <c r="R394" s="461">
        <f t="shared" si="486"/>
        <v>0</v>
      </c>
      <c r="S394" s="461">
        <f t="shared" si="486"/>
        <v>0</v>
      </c>
      <c r="T394" s="461">
        <f t="shared" si="486"/>
        <v>0</v>
      </c>
      <c r="U394" s="2439"/>
      <c r="V394" s="2547"/>
    </row>
    <row r="395" spans="1:26" ht="38.25" customHeight="1">
      <c r="A395" s="2428" t="s">
        <v>370</v>
      </c>
      <c r="B395" s="2229" t="s">
        <v>431</v>
      </c>
      <c r="C395" s="528" t="s">
        <v>138</v>
      </c>
      <c r="D395" s="644"/>
      <c r="E395" s="612"/>
      <c r="F395" s="613"/>
      <c r="G395" s="612"/>
      <c r="H395" s="612"/>
      <c r="I395" s="612"/>
      <c r="J395" s="612"/>
      <c r="K395" s="612"/>
      <c r="L395" s="612"/>
      <c r="M395" s="612"/>
      <c r="N395" s="612"/>
      <c r="O395" s="612"/>
      <c r="P395" s="614"/>
      <c r="Q395" s="614"/>
      <c r="R395" s="614"/>
      <c r="S395" s="1786"/>
      <c r="T395" s="1786"/>
      <c r="U395" s="615"/>
      <c r="V395" s="2383" t="s">
        <v>139</v>
      </c>
      <c r="Z395" s="1907"/>
    </row>
    <row r="396" spans="1:26" ht="14.25" customHeight="1">
      <c r="A396" s="2429"/>
      <c r="B396" s="427" t="s">
        <v>22</v>
      </c>
      <c r="C396" s="428"/>
      <c r="D396" s="533">
        <f>+D397+D399</f>
        <v>91208</v>
      </c>
      <c r="E396" s="533"/>
      <c r="F396" s="533"/>
      <c r="G396" s="533"/>
      <c r="H396" s="533"/>
      <c r="I396" s="533"/>
      <c r="J396" s="533"/>
      <c r="K396" s="533"/>
      <c r="L396" s="533"/>
      <c r="M396" s="533">
        <f t="shared" ref="M396" si="487">+M397+M399</f>
        <v>0</v>
      </c>
      <c r="N396" s="533">
        <f t="shared" ref="N396:R396" si="488">+N397+N399</f>
        <v>15720</v>
      </c>
      <c r="O396" s="533">
        <f t="shared" si="488"/>
        <v>75488</v>
      </c>
      <c r="P396" s="533">
        <f t="shared" si="488"/>
        <v>0</v>
      </c>
      <c r="Q396" s="533">
        <f t="shared" si="488"/>
        <v>0</v>
      </c>
      <c r="R396" s="533">
        <f t="shared" si="488"/>
        <v>0</v>
      </c>
      <c r="S396" s="533">
        <f t="shared" ref="S396:T396" si="489">+S397+S399</f>
        <v>0</v>
      </c>
      <c r="T396" s="533">
        <f t="shared" si="489"/>
        <v>0</v>
      </c>
      <c r="U396" s="535">
        <f>+U397+U399</f>
        <v>75488</v>
      </c>
      <c r="V396" s="2384"/>
      <c r="W396" s="1903">
        <f>+O396+P396+Q396+R396</f>
        <v>75488</v>
      </c>
      <c r="X396" s="1258"/>
      <c r="Y396" s="1258"/>
      <c r="Z396" s="1258"/>
    </row>
    <row r="397" spans="1:26" ht="14.25" customHeight="1">
      <c r="A397" s="2429"/>
      <c r="B397" s="584" t="s">
        <v>36</v>
      </c>
      <c r="C397" s="2433" t="s">
        <v>140</v>
      </c>
      <c r="D397" s="536">
        <f>+D398</f>
        <v>8795</v>
      </c>
      <c r="E397" s="536"/>
      <c r="F397" s="536"/>
      <c r="G397" s="536"/>
      <c r="H397" s="536"/>
      <c r="I397" s="536"/>
      <c r="J397" s="536"/>
      <c r="K397" s="536"/>
      <c r="L397" s="536"/>
      <c r="M397" s="536">
        <f t="shared" ref="M397:U397" si="490">+M398</f>
        <v>0</v>
      </c>
      <c r="N397" s="536">
        <f t="shared" si="490"/>
        <v>0</v>
      </c>
      <c r="O397" s="536">
        <f t="shared" si="490"/>
        <v>8795</v>
      </c>
      <c r="P397" s="536">
        <f t="shared" si="490"/>
        <v>0</v>
      </c>
      <c r="Q397" s="536">
        <f t="shared" si="490"/>
        <v>0</v>
      </c>
      <c r="R397" s="536">
        <f t="shared" si="490"/>
        <v>0</v>
      </c>
      <c r="S397" s="536">
        <f t="shared" si="490"/>
        <v>0</v>
      </c>
      <c r="T397" s="536">
        <f t="shared" si="490"/>
        <v>0</v>
      </c>
      <c r="U397" s="557">
        <f t="shared" si="490"/>
        <v>8795</v>
      </c>
      <c r="V397" s="2384"/>
      <c r="W397" s="1258"/>
    </row>
    <row r="398" spans="1:26" ht="14.25" customHeight="1">
      <c r="A398" s="2429"/>
      <c r="B398" s="585" t="s">
        <v>24</v>
      </c>
      <c r="C398" s="2435"/>
      <c r="D398" s="520">
        <f>SUM(M398:T398)</f>
        <v>8795</v>
      </c>
      <c r="E398" s="510"/>
      <c r="F398" s="511"/>
      <c r="G398" s="510"/>
      <c r="H398" s="510"/>
      <c r="I398" s="510"/>
      <c r="J398" s="590"/>
      <c r="K398" s="549"/>
      <c r="L398" s="510"/>
      <c r="M398" s="504">
        <f t="shared" ref="M398" si="491">+E398+I398+J398+K398+L398</f>
        <v>0</v>
      </c>
      <c r="N398" s="511">
        <f>4240-4240</f>
        <v>0</v>
      </c>
      <c r="O398" s="511">
        <f>4555+4240</f>
        <v>8795</v>
      </c>
      <c r="P398" s="511">
        <v>0</v>
      </c>
      <c r="Q398" s="511">
        <v>0</v>
      </c>
      <c r="R398" s="511">
        <v>0</v>
      </c>
      <c r="S398" s="511">
        <v>0</v>
      </c>
      <c r="T398" s="511">
        <v>0</v>
      </c>
      <c r="U398" s="462">
        <f t="shared" ref="U398" si="492">SUM(O398:T398)</f>
        <v>8795</v>
      </c>
      <c r="V398" s="2384"/>
    </row>
    <row r="399" spans="1:26" ht="14.25" customHeight="1">
      <c r="A399" s="2429"/>
      <c r="B399" s="574" t="s">
        <v>30</v>
      </c>
      <c r="C399" s="2435"/>
      <c r="D399" s="513">
        <f t="shared" ref="D399:U399" si="493">+D400</f>
        <v>82413</v>
      </c>
      <c r="E399" s="513"/>
      <c r="F399" s="513"/>
      <c r="G399" s="513"/>
      <c r="H399" s="513"/>
      <c r="I399" s="513"/>
      <c r="J399" s="513"/>
      <c r="K399" s="513"/>
      <c r="L399" s="513"/>
      <c r="M399" s="513">
        <f t="shared" si="493"/>
        <v>0</v>
      </c>
      <c r="N399" s="513">
        <f t="shared" si="493"/>
        <v>15720</v>
      </c>
      <c r="O399" s="513">
        <f t="shared" si="493"/>
        <v>66693</v>
      </c>
      <c r="P399" s="513">
        <f t="shared" si="493"/>
        <v>0</v>
      </c>
      <c r="Q399" s="513">
        <f t="shared" si="493"/>
        <v>0</v>
      </c>
      <c r="R399" s="513">
        <f t="shared" si="493"/>
        <v>0</v>
      </c>
      <c r="S399" s="513">
        <f t="shared" si="493"/>
        <v>0</v>
      </c>
      <c r="T399" s="513">
        <f t="shared" si="493"/>
        <v>0</v>
      </c>
      <c r="U399" s="557">
        <f t="shared" si="493"/>
        <v>66693</v>
      </c>
      <c r="V399" s="2384"/>
    </row>
    <row r="400" spans="1:26" ht="14.25" customHeight="1">
      <c r="A400" s="2429"/>
      <c r="B400" s="517" t="s">
        <v>32</v>
      </c>
      <c r="C400" s="2435"/>
      <c r="D400" s="520">
        <f>SUM(M400:T400)</f>
        <v>82413</v>
      </c>
      <c r="E400" s="510"/>
      <c r="F400" s="511"/>
      <c r="G400" s="511"/>
      <c r="H400" s="510"/>
      <c r="I400" s="510"/>
      <c r="J400" s="510"/>
      <c r="K400" s="510"/>
      <c r="L400" s="510"/>
      <c r="M400" s="504">
        <f t="shared" ref="M400" si="494">+E400+I400+J400+K400+L400</f>
        <v>0</v>
      </c>
      <c r="N400" s="510">
        <v>15720</v>
      </c>
      <c r="O400" s="510">
        <v>66693</v>
      </c>
      <c r="P400" s="511"/>
      <c r="Q400" s="511"/>
      <c r="R400" s="511"/>
      <c r="S400" s="511"/>
      <c r="T400" s="511"/>
      <c r="U400" s="462">
        <f t="shared" ref="U400" si="495">SUM(O400:T400)</f>
        <v>66693</v>
      </c>
      <c r="V400" s="2384"/>
    </row>
    <row r="401" spans="1:23" s="1904" customFormat="1" ht="14.25" customHeight="1">
      <c r="A401" s="2430"/>
      <c r="B401" s="427" t="s">
        <v>34</v>
      </c>
      <c r="C401" s="428"/>
      <c r="D401" s="518">
        <f>+D402</f>
        <v>82413</v>
      </c>
      <c r="E401" s="518"/>
      <c r="F401" s="518"/>
      <c r="G401" s="518"/>
      <c r="H401" s="518"/>
      <c r="I401" s="518"/>
      <c r="J401" s="518"/>
      <c r="K401" s="518"/>
      <c r="L401" s="518"/>
      <c r="M401" s="518">
        <f t="shared" ref="M401:T402" si="496">+M402</f>
        <v>0</v>
      </c>
      <c r="N401" s="518">
        <f t="shared" si="496"/>
        <v>82413</v>
      </c>
      <c r="O401" s="518">
        <f t="shared" si="496"/>
        <v>0</v>
      </c>
      <c r="P401" s="518">
        <f t="shared" si="496"/>
        <v>0</v>
      </c>
      <c r="Q401" s="518">
        <f t="shared" si="496"/>
        <v>0</v>
      </c>
      <c r="R401" s="518">
        <f t="shared" si="496"/>
        <v>0</v>
      </c>
      <c r="S401" s="518">
        <f t="shared" si="496"/>
        <v>0</v>
      </c>
      <c r="T401" s="518">
        <f t="shared" si="496"/>
        <v>0</v>
      </c>
      <c r="U401" s="2437" t="s">
        <v>35</v>
      </c>
      <c r="V401" s="2492"/>
    </row>
    <row r="402" spans="1:23" s="1906" customFormat="1" ht="14.25" customHeight="1">
      <c r="A402" s="2430"/>
      <c r="B402" s="574" t="s">
        <v>30</v>
      </c>
      <c r="C402" s="2433" t="s">
        <v>141</v>
      </c>
      <c r="D402" s="567">
        <f>+D403</f>
        <v>82413</v>
      </c>
      <c r="E402" s="567"/>
      <c r="F402" s="567"/>
      <c r="G402" s="567"/>
      <c r="H402" s="567"/>
      <c r="I402" s="567"/>
      <c r="J402" s="567"/>
      <c r="K402" s="567"/>
      <c r="L402" s="567"/>
      <c r="M402" s="596">
        <f t="shared" si="496"/>
        <v>0</v>
      </c>
      <c r="N402" s="596">
        <f t="shared" si="496"/>
        <v>82413</v>
      </c>
      <c r="O402" s="596">
        <f t="shared" si="496"/>
        <v>0</v>
      </c>
      <c r="P402" s="567">
        <f t="shared" si="496"/>
        <v>0</v>
      </c>
      <c r="Q402" s="567">
        <f t="shared" si="496"/>
        <v>0</v>
      </c>
      <c r="R402" s="567">
        <f t="shared" si="496"/>
        <v>0</v>
      </c>
      <c r="S402" s="567">
        <f t="shared" si="496"/>
        <v>0</v>
      </c>
      <c r="T402" s="567">
        <f t="shared" si="496"/>
        <v>0</v>
      </c>
      <c r="U402" s="2438"/>
      <c r="V402" s="2492"/>
    </row>
    <row r="403" spans="1:23" s="1906" customFormat="1" ht="14.25" customHeight="1" thickBot="1">
      <c r="A403" s="2431"/>
      <c r="B403" s="646" t="s">
        <v>32</v>
      </c>
      <c r="C403" s="2491"/>
      <c r="D403" s="592">
        <f>SUM(M403:T403)</f>
        <v>82413</v>
      </c>
      <c r="E403" s="637"/>
      <c r="F403" s="638"/>
      <c r="G403" s="637"/>
      <c r="H403" s="637"/>
      <c r="I403" s="637"/>
      <c r="J403" s="637"/>
      <c r="K403" s="637"/>
      <c r="L403" s="637"/>
      <c r="M403" s="524">
        <f>L403+E403+I403+J403+K403</f>
        <v>0</v>
      </c>
      <c r="N403" s="639">
        <f>85595-3182</f>
        <v>82413</v>
      </c>
      <c r="O403" s="639"/>
      <c r="P403" s="640"/>
      <c r="Q403" s="640"/>
      <c r="R403" s="640"/>
      <c r="S403" s="640"/>
      <c r="T403" s="640"/>
      <c r="U403" s="2439"/>
      <c r="V403" s="2493"/>
    </row>
    <row r="404" spans="1:23" s="1313" customFormat="1" ht="27" customHeight="1" thickBot="1">
      <c r="A404" s="729" t="s">
        <v>142</v>
      </c>
      <c r="B404" s="730"/>
      <c r="C404" s="731"/>
      <c r="D404" s="732"/>
      <c r="E404" s="731"/>
      <c r="F404" s="731"/>
      <c r="G404" s="731"/>
      <c r="H404" s="731"/>
      <c r="I404" s="731"/>
      <c r="J404" s="731"/>
      <c r="K404" s="731"/>
      <c r="L404" s="731"/>
      <c r="M404" s="731"/>
      <c r="N404" s="731"/>
      <c r="O404" s="731"/>
      <c r="P404" s="731"/>
      <c r="Q404" s="731"/>
      <c r="R404" s="731"/>
      <c r="S404" s="731"/>
      <c r="T404" s="731"/>
      <c r="U404" s="731"/>
      <c r="V404" s="733"/>
    </row>
    <row r="405" spans="1:23" ht="15.75" customHeight="1">
      <c r="A405" s="2530"/>
      <c r="B405" s="1099" t="s">
        <v>97</v>
      </c>
      <c r="C405" s="1091"/>
      <c r="D405" s="1100">
        <f>+D406+D407</f>
        <v>973240227</v>
      </c>
      <c r="E405" s="1100">
        <f t="shared" ref="E405:Q405" si="497">+E406+E407</f>
        <v>7519680</v>
      </c>
      <c r="F405" s="1100">
        <f t="shared" si="497"/>
        <v>0</v>
      </c>
      <c r="G405" s="1100">
        <f t="shared" si="497"/>
        <v>5300000</v>
      </c>
      <c r="H405" s="1100">
        <f t="shared" si="497"/>
        <v>2219680</v>
      </c>
      <c r="I405" s="1100">
        <f t="shared" si="497"/>
        <v>3970141</v>
      </c>
      <c r="J405" s="1100">
        <f t="shared" si="497"/>
        <v>40612488</v>
      </c>
      <c r="K405" s="1100">
        <f t="shared" si="497"/>
        <v>40725206</v>
      </c>
      <c r="L405" s="1100">
        <f t="shared" si="497"/>
        <v>127769100</v>
      </c>
      <c r="M405" s="1100">
        <f t="shared" ref="M405" si="498">+M406+M407</f>
        <v>217800125</v>
      </c>
      <c r="N405" s="1100">
        <f t="shared" si="497"/>
        <v>129095871</v>
      </c>
      <c r="O405" s="1100">
        <f t="shared" si="497"/>
        <v>104479199</v>
      </c>
      <c r="P405" s="1100">
        <f t="shared" si="497"/>
        <v>119795751</v>
      </c>
      <c r="Q405" s="1100">
        <f t="shared" si="497"/>
        <v>122217520</v>
      </c>
      <c r="R405" s="1100">
        <f>+R406+R407</f>
        <v>117381761</v>
      </c>
      <c r="S405" s="1100">
        <f t="shared" ref="S405:T405" si="499">+S406+S407</f>
        <v>81835000</v>
      </c>
      <c r="T405" s="1100">
        <f t="shared" si="499"/>
        <v>80635000</v>
      </c>
      <c r="U405" s="396">
        <f>+U406+U407</f>
        <v>626344231</v>
      </c>
      <c r="V405" s="399"/>
      <c r="W405" s="1903">
        <f>U405-U408</f>
        <v>0</v>
      </c>
    </row>
    <row r="406" spans="1:23" ht="11.25" customHeight="1">
      <c r="A406" s="2531"/>
      <c r="B406" s="1101" t="s">
        <v>98</v>
      </c>
      <c r="C406" s="1102"/>
      <c r="D406" s="1103">
        <f>+D473+D477+D486+D490+D498+D510+D421</f>
        <v>803469636</v>
      </c>
      <c r="E406" s="1103">
        <f t="shared" ref="E406:T406" si="500">+E473+E477+E486+E490+E498+E510+E421</f>
        <v>0</v>
      </c>
      <c r="F406" s="1103">
        <f t="shared" si="500"/>
        <v>0</v>
      </c>
      <c r="G406" s="1103">
        <f t="shared" si="500"/>
        <v>0</v>
      </c>
      <c r="H406" s="1103">
        <f t="shared" si="500"/>
        <v>0</v>
      </c>
      <c r="I406" s="1103">
        <f t="shared" si="500"/>
        <v>0</v>
      </c>
      <c r="J406" s="1103">
        <f t="shared" si="500"/>
        <v>15514140</v>
      </c>
      <c r="K406" s="1103">
        <f t="shared" si="500"/>
        <v>12290445</v>
      </c>
      <c r="L406" s="1103">
        <f t="shared" si="500"/>
        <v>98027564</v>
      </c>
      <c r="M406" s="1103">
        <f t="shared" si="500"/>
        <v>125832149</v>
      </c>
      <c r="N406" s="1103">
        <f t="shared" si="500"/>
        <v>88843800</v>
      </c>
      <c r="O406" s="1103">
        <f t="shared" si="500"/>
        <v>97128361</v>
      </c>
      <c r="P406" s="1103">
        <f t="shared" si="500"/>
        <v>108126205</v>
      </c>
      <c r="Q406" s="1103">
        <f t="shared" si="500"/>
        <v>115027520</v>
      </c>
      <c r="R406" s="1103">
        <f t="shared" si="500"/>
        <v>110241601</v>
      </c>
      <c r="S406" s="1103">
        <f t="shared" si="500"/>
        <v>79135000</v>
      </c>
      <c r="T406" s="1103">
        <f t="shared" si="500"/>
        <v>79135000</v>
      </c>
      <c r="U406" s="734">
        <f>+U473+U477+U486+U490+U498+U510+U421</f>
        <v>588793687</v>
      </c>
      <c r="V406" s="399"/>
    </row>
    <row r="407" spans="1:23" ht="13.5" customHeight="1">
      <c r="A407" s="2531"/>
      <c r="B407" s="1104" t="s">
        <v>21</v>
      </c>
      <c r="C407" s="1105"/>
      <c r="D407" s="1106">
        <f>+D425+D429+D437+D441+D445+D449+D457+D461+D506+D469</f>
        <v>169770591</v>
      </c>
      <c r="E407" s="1106">
        <f t="shared" ref="E407:U407" si="501">+E425+E429+E437+E441+E445+E449+E457+E461+E506+E469</f>
        <v>7519680</v>
      </c>
      <c r="F407" s="1106">
        <f t="shared" si="501"/>
        <v>0</v>
      </c>
      <c r="G407" s="1106">
        <f t="shared" si="501"/>
        <v>5300000</v>
      </c>
      <c r="H407" s="1106">
        <f t="shared" si="501"/>
        <v>2219680</v>
      </c>
      <c r="I407" s="1106">
        <f t="shared" si="501"/>
        <v>3970141</v>
      </c>
      <c r="J407" s="1106">
        <f t="shared" si="501"/>
        <v>25098348</v>
      </c>
      <c r="K407" s="1106">
        <f t="shared" si="501"/>
        <v>28434761</v>
      </c>
      <c r="L407" s="1106">
        <f t="shared" si="501"/>
        <v>29741536</v>
      </c>
      <c r="M407" s="1106">
        <f t="shared" si="501"/>
        <v>91967976</v>
      </c>
      <c r="N407" s="1106">
        <f t="shared" si="501"/>
        <v>40252071</v>
      </c>
      <c r="O407" s="1106">
        <f t="shared" si="501"/>
        <v>7350838</v>
      </c>
      <c r="P407" s="1106">
        <f>+P425+P429+P437+P441+P445+P449+P457+P461+P506+P469</f>
        <v>11669546</v>
      </c>
      <c r="Q407" s="1106">
        <f t="shared" si="501"/>
        <v>7190000</v>
      </c>
      <c r="R407" s="1106">
        <f t="shared" si="501"/>
        <v>7140160</v>
      </c>
      <c r="S407" s="1106">
        <f t="shared" si="501"/>
        <v>2700000</v>
      </c>
      <c r="T407" s="1106">
        <f t="shared" si="501"/>
        <v>1500000</v>
      </c>
      <c r="U407" s="734">
        <f t="shared" si="501"/>
        <v>37550544</v>
      </c>
      <c r="V407" s="399"/>
      <c r="W407" s="1258"/>
    </row>
    <row r="408" spans="1:23" ht="12.75" customHeight="1">
      <c r="A408" s="2531"/>
      <c r="B408" s="735" t="s">
        <v>22</v>
      </c>
      <c r="C408" s="736"/>
      <c r="D408" s="737">
        <f>+D409</f>
        <v>973240227</v>
      </c>
      <c r="E408" s="737">
        <f t="shared" ref="E408:T408" si="502">+E409</f>
        <v>7519680</v>
      </c>
      <c r="F408" s="737">
        <f t="shared" si="502"/>
        <v>0</v>
      </c>
      <c r="G408" s="737">
        <f t="shared" si="502"/>
        <v>5300000</v>
      </c>
      <c r="H408" s="737">
        <f t="shared" si="502"/>
        <v>2219680</v>
      </c>
      <c r="I408" s="737">
        <f t="shared" si="502"/>
        <v>3970141</v>
      </c>
      <c r="J408" s="737">
        <f t="shared" si="502"/>
        <v>40612488</v>
      </c>
      <c r="K408" s="737">
        <f t="shared" si="502"/>
        <v>40725206</v>
      </c>
      <c r="L408" s="737">
        <f t="shared" si="502"/>
        <v>127769100</v>
      </c>
      <c r="M408" s="737">
        <f t="shared" si="502"/>
        <v>217800125</v>
      </c>
      <c r="N408" s="737">
        <f t="shared" si="502"/>
        <v>129095871</v>
      </c>
      <c r="O408" s="737">
        <f t="shared" si="502"/>
        <v>104479199</v>
      </c>
      <c r="P408" s="737">
        <f t="shared" si="502"/>
        <v>119795751</v>
      </c>
      <c r="Q408" s="737">
        <f t="shared" si="502"/>
        <v>122217520</v>
      </c>
      <c r="R408" s="737">
        <f t="shared" si="502"/>
        <v>117381761</v>
      </c>
      <c r="S408" s="737">
        <f t="shared" si="502"/>
        <v>81835000</v>
      </c>
      <c r="T408" s="737">
        <f t="shared" si="502"/>
        <v>80635000</v>
      </c>
      <c r="U408" s="738">
        <f>+U409</f>
        <v>626344231</v>
      </c>
      <c r="V408" s="739"/>
      <c r="W408" s="1258"/>
    </row>
    <row r="409" spans="1:23" s="1064" customFormat="1" ht="11.25" customHeight="1">
      <c r="A409" s="2531"/>
      <c r="B409" s="740" t="s">
        <v>36</v>
      </c>
      <c r="C409" s="741"/>
      <c r="D409" s="742">
        <f>SUM(D410:D413)</f>
        <v>973240227</v>
      </c>
      <c r="E409" s="742">
        <f t="shared" ref="E409:Q409" si="503">SUM(E410:E413)</f>
        <v>7519680</v>
      </c>
      <c r="F409" s="742">
        <f t="shared" si="503"/>
        <v>0</v>
      </c>
      <c r="G409" s="742">
        <f t="shared" si="503"/>
        <v>5300000</v>
      </c>
      <c r="H409" s="742">
        <f t="shared" si="503"/>
        <v>2219680</v>
      </c>
      <c r="I409" s="742">
        <f t="shared" si="503"/>
        <v>3970141</v>
      </c>
      <c r="J409" s="742">
        <f t="shared" si="503"/>
        <v>40612488</v>
      </c>
      <c r="K409" s="742">
        <f t="shared" si="503"/>
        <v>40725206</v>
      </c>
      <c r="L409" s="742">
        <f t="shared" si="503"/>
        <v>127769100</v>
      </c>
      <c r="M409" s="742">
        <f t="shared" ref="M409" si="504">SUM(M410:M413)</f>
        <v>217800125</v>
      </c>
      <c r="N409" s="742">
        <f t="shared" si="503"/>
        <v>129095871</v>
      </c>
      <c r="O409" s="742">
        <f t="shared" si="503"/>
        <v>104479199</v>
      </c>
      <c r="P409" s="742">
        <f t="shared" si="503"/>
        <v>119795751</v>
      </c>
      <c r="Q409" s="742">
        <f t="shared" si="503"/>
        <v>122217520</v>
      </c>
      <c r="R409" s="742">
        <f>SUM(R410:R413)</f>
        <v>117381761</v>
      </c>
      <c r="S409" s="742">
        <f>+S410</f>
        <v>81835000</v>
      </c>
      <c r="T409" s="742">
        <f>+T410</f>
        <v>80635000</v>
      </c>
      <c r="U409" s="743">
        <f>SUM(U410:U412)</f>
        <v>626344231</v>
      </c>
      <c r="V409" s="2191"/>
      <c r="W409" s="1063">
        <f>+W405-U405</f>
        <v>-626344231</v>
      </c>
    </row>
    <row r="410" spans="1:23" ht="11.25" customHeight="1">
      <c r="A410" s="2531"/>
      <c r="B410" s="744" t="s">
        <v>24</v>
      </c>
      <c r="C410" s="745"/>
      <c r="D410" s="746">
        <f>+D423+D427+D431+D439+D443+D447+D451+D459+D463+D475+D479+D488+D492+D500+D508+D512+D471</f>
        <v>953232404</v>
      </c>
      <c r="E410" s="746">
        <f t="shared" ref="E410:U410" si="505">+E423+E427+E431+E439+E443+E447+E451+E459+E463+E475+E479+E488+E492+E500+E508+E512+E471</f>
        <v>7239894</v>
      </c>
      <c r="F410" s="746">
        <f t="shared" si="505"/>
        <v>0</v>
      </c>
      <c r="G410" s="746">
        <f t="shared" si="505"/>
        <v>5300000</v>
      </c>
      <c r="H410" s="746">
        <f t="shared" si="505"/>
        <v>1939894</v>
      </c>
      <c r="I410" s="746">
        <f t="shared" si="505"/>
        <v>1475647</v>
      </c>
      <c r="J410" s="746">
        <f t="shared" si="505"/>
        <v>40612488</v>
      </c>
      <c r="K410" s="746">
        <f t="shared" si="505"/>
        <v>40062381</v>
      </c>
      <c r="L410" s="746">
        <f t="shared" si="505"/>
        <v>124579348</v>
      </c>
      <c r="M410" s="746">
        <f t="shared" si="505"/>
        <v>211173268</v>
      </c>
      <c r="N410" s="746">
        <f t="shared" si="505"/>
        <v>125507170</v>
      </c>
      <c r="O410" s="746">
        <f>+O423+O427+O431+O439+O443+O447+O451+O459+O463+O475+O479+O488+O492+O500+O508+O512+O471</f>
        <v>94686934</v>
      </c>
      <c r="P410" s="746">
        <f>+P423+P427+P431+P439+P443+P447+P451+P459+P463+P475+P479+P488+P492+P500+P508+P512+P471</f>
        <v>119795751</v>
      </c>
      <c r="Q410" s="746">
        <f t="shared" si="505"/>
        <v>122217520</v>
      </c>
      <c r="R410" s="746">
        <f t="shared" si="505"/>
        <v>117381761</v>
      </c>
      <c r="S410" s="746">
        <f t="shared" si="505"/>
        <v>81835000</v>
      </c>
      <c r="T410" s="746">
        <f t="shared" si="505"/>
        <v>80635000</v>
      </c>
      <c r="U410" s="746">
        <f t="shared" si="505"/>
        <v>616551966</v>
      </c>
      <c r="V410" s="2532"/>
      <c r="W410" s="1258"/>
    </row>
    <row r="411" spans="1:23" s="2158" customFormat="1" ht="12" customHeight="1">
      <c r="A411" s="2531"/>
      <c r="B411" s="744" t="s">
        <v>134</v>
      </c>
      <c r="C411" s="745"/>
      <c r="D411" s="746">
        <f>+M411+N411+O411+P411+Q411+R411+S411+T411</f>
        <v>8115047</v>
      </c>
      <c r="E411" s="746">
        <v>0</v>
      </c>
      <c r="F411" s="746">
        <v>0</v>
      </c>
      <c r="G411" s="746">
        <v>0</v>
      </c>
      <c r="H411" s="746">
        <v>0</v>
      </c>
      <c r="I411" s="746">
        <v>0</v>
      </c>
      <c r="J411" s="746">
        <v>0</v>
      </c>
      <c r="K411" s="746">
        <v>0</v>
      </c>
      <c r="L411" s="746">
        <v>0</v>
      </c>
      <c r="M411" s="746">
        <v>0</v>
      </c>
      <c r="N411" s="746">
        <v>0</v>
      </c>
      <c r="O411" s="746">
        <f>+O493+O501</f>
        <v>8115047</v>
      </c>
      <c r="P411" s="746">
        <v>0</v>
      </c>
      <c r="Q411" s="746">
        <v>0</v>
      </c>
      <c r="R411" s="746">
        <v>0</v>
      </c>
      <c r="S411" s="746">
        <v>0</v>
      </c>
      <c r="T411" s="746">
        <v>0</v>
      </c>
      <c r="U411" s="746">
        <f>SUM(M411:T411)</f>
        <v>8115047</v>
      </c>
      <c r="V411" s="2532"/>
      <c r="W411" s="2157"/>
    </row>
    <row r="412" spans="1:23" ht="11.25" customHeight="1">
      <c r="A412" s="2531"/>
      <c r="B412" s="744" t="s">
        <v>27</v>
      </c>
      <c r="C412" s="745"/>
      <c r="D412" s="746">
        <f t="shared" ref="D412:U412" si="506">+D432+D452+D464+D480</f>
        <v>11892776</v>
      </c>
      <c r="E412" s="746">
        <f t="shared" si="506"/>
        <v>279786</v>
      </c>
      <c r="F412" s="746">
        <f t="shared" si="506"/>
        <v>0</v>
      </c>
      <c r="G412" s="746">
        <f t="shared" si="506"/>
        <v>0</v>
      </c>
      <c r="H412" s="746">
        <f t="shared" si="506"/>
        <v>279786</v>
      </c>
      <c r="I412" s="746">
        <f t="shared" si="506"/>
        <v>2494494</v>
      </c>
      <c r="J412" s="746">
        <f t="shared" si="506"/>
        <v>0</v>
      </c>
      <c r="K412" s="746">
        <f t="shared" si="506"/>
        <v>662825</v>
      </c>
      <c r="L412" s="746">
        <f t="shared" si="506"/>
        <v>3189752</v>
      </c>
      <c r="M412" s="746">
        <f t="shared" si="506"/>
        <v>6626857</v>
      </c>
      <c r="N412" s="746">
        <f t="shared" si="506"/>
        <v>3588701</v>
      </c>
      <c r="O412" s="746">
        <f t="shared" si="506"/>
        <v>1677218</v>
      </c>
      <c r="P412" s="746">
        <f t="shared" si="506"/>
        <v>0</v>
      </c>
      <c r="Q412" s="746">
        <f t="shared" si="506"/>
        <v>0</v>
      </c>
      <c r="R412" s="746">
        <f t="shared" si="506"/>
        <v>0</v>
      </c>
      <c r="S412" s="746">
        <f t="shared" si="506"/>
        <v>0</v>
      </c>
      <c r="T412" s="746">
        <f t="shared" si="506"/>
        <v>0</v>
      </c>
      <c r="U412" s="747">
        <f t="shared" si="506"/>
        <v>1677218</v>
      </c>
      <c r="V412" s="2532"/>
      <c r="W412" s="1258"/>
    </row>
    <row r="413" spans="1:23" ht="13.5" hidden="1" customHeight="1">
      <c r="A413" s="2531"/>
      <c r="B413" s="744" t="s">
        <v>133</v>
      </c>
      <c r="C413" s="745"/>
      <c r="D413" s="746"/>
      <c r="E413" s="746">
        <v>0</v>
      </c>
      <c r="F413" s="746">
        <v>0</v>
      </c>
      <c r="G413" s="746">
        <v>0</v>
      </c>
      <c r="H413" s="746">
        <v>0</v>
      </c>
      <c r="I413" s="746">
        <v>0</v>
      </c>
      <c r="J413" s="746">
        <v>0</v>
      </c>
      <c r="K413" s="746">
        <v>0</v>
      </c>
      <c r="L413" s="746">
        <v>0</v>
      </c>
      <c r="M413" s="746">
        <v>0</v>
      </c>
      <c r="N413" s="746">
        <v>0</v>
      </c>
      <c r="O413" s="746">
        <v>0</v>
      </c>
      <c r="P413" s="746">
        <v>0</v>
      </c>
      <c r="Q413" s="746">
        <v>0</v>
      </c>
      <c r="R413" s="746"/>
      <c r="S413" s="746"/>
      <c r="T413" s="746"/>
      <c r="U413" s="747" t="e">
        <f t="shared" ref="U413" si="507">+U433+U453+U465+U481</f>
        <v>#VALUE!</v>
      </c>
      <c r="V413" s="2532"/>
      <c r="W413" s="1258"/>
    </row>
    <row r="414" spans="1:23" ht="13.5" customHeight="1">
      <c r="A414" s="2531"/>
      <c r="B414" s="748" t="s">
        <v>34</v>
      </c>
      <c r="C414" s="736"/>
      <c r="D414" s="737">
        <f>+D415</f>
        <v>60047823</v>
      </c>
      <c r="E414" s="737">
        <f t="shared" ref="E414:T414" si="508">+E415</f>
        <v>279786</v>
      </c>
      <c r="F414" s="737">
        <f t="shared" si="508"/>
        <v>0</v>
      </c>
      <c r="G414" s="737">
        <f t="shared" si="508"/>
        <v>0</v>
      </c>
      <c r="H414" s="737">
        <f t="shared" si="508"/>
        <v>279786</v>
      </c>
      <c r="I414" s="737">
        <f t="shared" si="508"/>
        <v>2494494</v>
      </c>
      <c r="J414" s="737">
        <f t="shared" si="508"/>
        <v>0</v>
      </c>
      <c r="K414" s="737">
        <f t="shared" si="508"/>
        <v>662825</v>
      </c>
      <c r="L414" s="737">
        <f t="shared" si="508"/>
        <v>3189752</v>
      </c>
      <c r="M414" s="737">
        <f>+M415</f>
        <v>6626857</v>
      </c>
      <c r="N414" s="737">
        <f t="shared" si="508"/>
        <v>3588701</v>
      </c>
      <c r="O414" s="737">
        <f t="shared" si="508"/>
        <v>18332265</v>
      </c>
      <c r="P414" s="737">
        <f t="shared" si="508"/>
        <v>10500000</v>
      </c>
      <c r="Q414" s="737">
        <f t="shared" si="508"/>
        <v>10500000</v>
      </c>
      <c r="R414" s="737">
        <f t="shared" si="508"/>
        <v>10500000</v>
      </c>
      <c r="S414" s="737">
        <f t="shared" si="508"/>
        <v>0</v>
      </c>
      <c r="T414" s="737">
        <f t="shared" si="508"/>
        <v>0</v>
      </c>
      <c r="U414" s="2534" t="s">
        <v>35</v>
      </c>
      <c r="V414" s="2532"/>
    </row>
    <row r="415" spans="1:23" ht="12" customHeight="1">
      <c r="A415" s="2531"/>
      <c r="B415" s="740" t="s">
        <v>36</v>
      </c>
      <c r="C415" s="749"/>
      <c r="D415" s="750">
        <f>+D416+D418+D417</f>
        <v>60047823</v>
      </c>
      <c r="E415" s="750">
        <f t="shared" ref="E415:T415" si="509">+E416+E418+E417</f>
        <v>279786</v>
      </c>
      <c r="F415" s="750">
        <f t="shared" si="509"/>
        <v>0</v>
      </c>
      <c r="G415" s="750">
        <f t="shared" si="509"/>
        <v>0</v>
      </c>
      <c r="H415" s="750">
        <f t="shared" si="509"/>
        <v>279786</v>
      </c>
      <c r="I415" s="750">
        <f t="shared" si="509"/>
        <v>2494494</v>
      </c>
      <c r="J415" s="750">
        <f t="shared" si="509"/>
        <v>0</v>
      </c>
      <c r="K415" s="750">
        <f t="shared" si="509"/>
        <v>662825</v>
      </c>
      <c r="L415" s="750">
        <f t="shared" si="509"/>
        <v>3189752</v>
      </c>
      <c r="M415" s="750">
        <f t="shared" si="509"/>
        <v>6626857</v>
      </c>
      <c r="N415" s="750">
        <f t="shared" si="509"/>
        <v>3588701</v>
      </c>
      <c r="O415" s="750">
        <f t="shared" si="509"/>
        <v>18332265</v>
      </c>
      <c r="P415" s="750">
        <f t="shared" si="509"/>
        <v>10500000</v>
      </c>
      <c r="Q415" s="750">
        <f t="shared" si="509"/>
        <v>10500000</v>
      </c>
      <c r="R415" s="750">
        <f t="shared" si="509"/>
        <v>10500000</v>
      </c>
      <c r="S415" s="750">
        <f t="shared" si="509"/>
        <v>0</v>
      </c>
      <c r="T415" s="750">
        <f t="shared" si="509"/>
        <v>0</v>
      </c>
      <c r="U415" s="2535"/>
      <c r="V415" s="2532"/>
    </row>
    <row r="416" spans="1:23" ht="12" customHeight="1">
      <c r="A416" s="2531"/>
      <c r="B416" s="744" t="s">
        <v>338</v>
      </c>
      <c r="C416" s="751"/>
      <c r="D416" s="752">
        <f>+D483</f>
        <v>40040000</v>
      </c>
      <c r="E416" s="752">
        <v>0</v>
      </c>
      <c r="F416" s="752">
        <v>0</v>
      </c>
      <c r="G416" s="752">
        <v>0</v>
      </c>
      <c r="H416" s="752">
        <v>0</v>
      </c>
      <c r="I416" s="752">
        <v>0</v>
      </c>
      <c r="J416" s="752">
        <v>0</v>
      </c>
      <c r="K416" s="752">
        <v>0</v>
      </c>
      <c r="L416" s="752">
        <v>0</v>
      </c>
      <c r="M416" s="752">
        <v>0</v>
      </c>
      <c r="N416" s="752">
        <v>0</v>
      </c>
      <c r="O416" s="752">
        <f t="shared" ref="O416:R416" si="510">+O483</f>
        <v>8540000</v>
      </c>
      <c r="P416" s="752">
        <f t="shared" si="510"/>
        <v>10500000</v>
      </c>
      <c r="Q416" s="752">
        <f t="shared" si="510"/>
        <v>10500000</v>
      </c>
      <c r="R416" s="752">
        <f t="shared" si="510"/>
        <v>10500000</v>
      </c>
      <c r="S416" s="752">
        <v>0</v>
      </c>
      <c r="T416" s="752">
        <v>0</v>
      </c>
      <c r="U416" s="2535"/>
      <c r="V416" s="2532"/>
    </row>
    <row r="417" spans="1:23" s="2158" customFormat="1" ht="12" customHeight="1">
      <c r="A417" s="2190"/>
      <c r="B417" s="744" t="s">
        <v>134</v>
      </c>
      <c r="C417" s="751"/>
      <c r="D417" s="752">
        <f>+M417+N417+O417+P417+Q417+R417+S417+T417</f>
        <v>8115047</v>
      </c>
      <c r="E417" s="752"/>
      <c r="F417" s="752"/>
      <c r="G417" s="752"/>
      <c r="H417" s="752"/>
      <c r="I417" s="752"/>
      <c r="J417" s="752"/>
      <c r="K417" s="752"/>
      <c r="L417" s="752"/>
      <c r="M417" s="752">
        <v>0</v>
      </c>
      <c r="N417" s="752">
        <v>0</v>
      </c>
      <c r="O417" s="752">
        <f>+O496+O504</f>
        <v>8115047</v>
      </c>
      <c r="P417" s="752">
        <f t="shared" ref="P417:T417" si="511">+P496+P504</f>
        <v>0</v>
      </c>
      <c r="Q417" s="752">
        <f t="shared" si="511"/>
        <v>0</v>
      </c>
      <c r="R417" s="752">
        <f t="shared" si="511"/>
        <v>0</v>
      </c>
      <c r="S417" s="752">
        <f t="shared" si="511"/>
        <v>0</v>
      </c>
      <c r="T417" s="752">
        <f t="shared" si="511"/>
        <v>0</v>
      </c>
      <c r="U417" s="2535"/>
      <c r="V417" s="2532"/>
    </row>
    <row r="418" spans="1:23" ht="12" customHeight="1" thickBot="1">
      <c r="A418" s="2190"/>
      <c r="B418" s="744" t="s">
        <v>27</v>
      </c>
      <c r="C418" s="751"/>
      <c r="D418" s="752">
        <f t="shared" ref="D418:T418" si="512">+D435+D455+D467+D484</f>
        <v>11892776</v>
      </c>
      <c r="E418" s="752">
        <f t="shared" si="512"/>
        <v>279786</v>
      </c>
      <c r="F418" s="752">
        <f t="shared" si="512"/>
        <v>0</v>
      </c>
      <c r="G418" s="752">
        <f t="shared" si="512"/>
        <v>0</v>
      </c>
      <c r="H418" s="752">
        <f t="shared" si="512"/>
        <v>279786</v>
      </c>
      <c r="I418" s="752">
        <f t="shared" si="512"/>
        <v>2494494</v>
      </c>
      <c r="J418" s="752">
        <f t="shared" si="512"/>
        <v>0</v>
      </c>
      <c r="K418" s="752">
        <f t="shared" si="512"/>
        <v>662825</v>
      </c>
      <c r="L418" s="752">
        <f t="shared" si="512"/>
        <v>3189752</v>
      </c>
      <c r="M418" s="752">
        <f t="shared" si="512"/>
        <v>6626857</v>
      </c>
      <c r="N418" s="752">
        <f t="shared" si="512"/>
        <v>3588701</v>
      </c>
      <c r="O418" s="752">
        <f t="shared" si="512"/>
        <v>1677218</v>
      </c>
      <c r="P418" s="752">
        <f t="shared" si="512"/>
        <v>0</v>
      </c>
      <c r="Q418" s="752">
        <f t="shared" si="512"/>
        <v>0</v>
      </c>
      <c r="R418" s="752">
        <f t="shared" si="512"/>
        <v>0</v>
      </c>
      <c r="S418" s="752">
        <f t="shared" si="512"/>
        <v>0</v>
      </c>
      <c r="T418" s="752">
        <f t="shared" si="512"/>
        <v>0</v>
      </c>
      <c r="U418" s="2535"/>
      <c r="V418" s="2532"/>
    </row>
    <row r="419" spans="1:23" ht="12" hidden="1" customHeight="1" thickBot="1">
      <c r="A419" s="2190"/>
      <c r="B419" s="744" t="s">
        <v>133</v>
      </c>
      <c r="C419" s="751"/>
      <c r="D419" s="752">
        <v>0</v>
      </c>
      <c r="E419" s="752">
        <v>0</v>
      </c>
      <c r="F419" s="752">
        <v>0</v>
      </c>
      <c r="G419" s="752">
        <v>0</v>
      </c>
      <c r="H419" s="752">
        <v>0</v>
      </c>
      <c r="I419" s="752">
        <v>0</v>
      </c>
      <c r="J419" s="752">
        <v>0</v>
      </c>
      <c r="K419" s="752">
        <v>0</v>
      </c>
      <c r="L419" s="752">
        <v>0</v>
      </c>
      <c r="M419" s="752"/>
      <c r="N419" s="752">
        <v>0</v>
      </c>
      <c r="O419" s="752">
        <v>0</v>
      </c>
      <c r="P419" s="752">
        <v>0</v>
      </c>
      <c r="Q419" s="752">
        <v>0</v>
      </c>
      <c r="R419" s="752">
        <v>0</v>
      </c>
      <c r="S419" s="1788"/>
      <c r="T419" s="1788"/>
      <c r="U419" s="2536"/>
      <c r="V419" s="2533"/>
    </row>
    <row r="420" spans="1:23" s="2158" customFormat="1" ht="17.25" customHeight="1">
      <c r="A420" s="2428" t="s">
        <v>82</v>
      </c>
      <c r="B420" s="2292" t="s">
        <v>143</v>
      </c>
      <c r="C420" s="753" t="s">
        <v>138</v>
      </c>
      <c r="D420" s="2293"/>
      <c r="E420" s="2294"/>
      <c r="F420" s="2294"/>
      <c r="G420" s="2294"/>
      <c r="H420" s="2294"/>
      <c r="I420" s="2294"/>
      <c r="J420" s="2294"/>
      <c r="K420" s="2294"/>
      <c r="L420" s="2294"/>
      <c r="M420" s="2295"/>
      <c r="N420" s="2295"/>
      <c r="O420" s="2294"/>
      <c r="P420" s="2294"/>
      <c r="Q420" s="2294"/>
      <c r="R420" s="2294"/>
      <c r="S420" s="2296"/>
      <c r="T420" s="2296"/>
      <c r="U420" s="754"/>
      <c r="V420" s="2537" t="s">
        <v>129</v>
      </c>
    </row>
    <row r="421" spans="1:23" s="2158" customFormat="1">
      <c r="A421" s="2429"/>
      <c r="B421" s="755" t="s">
        <v>22</v>
      </c>
      <c r="C421" s="736"/>
      <c r="D421" s="652">
        <f>+D422</f>
        <v>42881000</v>
      </c>
      <c r="E421" s="652">
        <f>+E422</f>
        <v>0</v>
      </c>
      <c r="F421" s="652">
        <f t="shared" ref="F421:U421" si="513">+F422</f>
        <v>0</v>
      </c>
      <c r="G421" s="652">
        <f t="shared" si="513"/>
        <v>0</v>
      </c>
      <c r="H421" s="652">
        <f t="shared" si="513"/>
        <v>0</v>
      </c>
      <c r="I421" s="652">
        <f t="shared" si="513"/>
        <v>0</v>
      </c>
      <c r="J421" s="652">
        <f t="shared" si="513"/>
        <v>0</v>
      </c>
      <c r="K421" s="652">
        <f>SUM(K423:K423)</f>
        <v>0</v>
      </c>
      <c r="L421" s="652">
        <f t="shared" si="513"/>
        <v>0</v>
      </c>
      <c r="M421" s="652">
        <f t="shared" si="513"/>
        <v>0</v>
      </c>
      <c r="N421" s="652">
        <f t="shared" si="513"/>
        <v>0</v>
      </c>
      <c r="O421" s="652">
        <f t="shared" si="513"/>
        <v>2640000</v>
      </c>
      <c r="P421" s="652">
        <f t="shared" si="513"/>
        <v>8741000</v>
      </c>
      <c r="Q421" s="652">
        <f t="shared" si="513"/>
        <v>17500000</v>
      </c>
      <c r="R421" s="652">
        <f t="shared" si="513"/>
        <v>14000000</v>
      </c>
      <c r="S421" s="652"/>
      <c r="T421" s="652"/>
      <c r="U421" s="454">
        <f t="shared" si="513"/>
        <v>42881000</v>
      </c>
      <c r="V421" s="2538"/>
      <c r="W421" s="2159">
        <f>+O421+P421+Q421+R421</f>
        <v>42881000</v>
      </c>
    </row>
    <row r="422" spans="1:23" s="2158" customFormat="1" ht="11.25" customHeight="1">
      <c r="A422" s="2429"/>
      <c r="B422" s="756" t="s">
        <v>36</v>
      </c>
      <c r="C422" s="2540" t="s">
        <v>124</v>
      </c>
      <c r="D422" s="653">
        <f>D423</f>
        <v>42881000</v>
      </c>
      <c r="E422" s="653">
        <f t="shared" ref="E422:J422" si="514">E423</f>
        <v>0</v>
      </c>
      <c r="F422" s="653">
        <f t="shared" si="514"/>
        <v>0</v>
      </c>
      <c r="G422" s="653">
        <f t="shared" si="514"/>
        <v>0</v>
      </c>
      <c r="H422" s="653">
        <f t="shared" si="514"/>
        <v>0</v>
      </c>
      <c r="I422" s="653">
        <f t="shared" si="514"/>
        <v>0</v>
      </c>
      <c r="J422" s="653">
        <f t="shared" si="514"/>
        <v>0</v>
      </c>
      <c r="K422" s="655">
        <f>SUM(K423:K423)</f>
        <v>0</v>
      </c>
      <c r="L422" s="653">
        <f>SUM(L423:L423)</f>
        <v>0</v>
      </c>
      <c r="M422" s="653">
        <f>SUM(M423:M423)</f>
        <v>0</v>
      </c>
      <c r="N422" s="653">
        <v>0</v>
      </c>
      <c r="O422" s="654">
        <f>O423</f>
        <v>2640000</v>
      </c>
      <c r="P422" s="653">
        <f>P423</f>
        <v>8741000</v>
      </c>
      <c r="Q422" s="653">
        <f>Q423</f>
        <v>17500000</v>
      </c>
      <c r="R422" s="653">
        <f>R423</f>
        <v>14000000</v>
      </c>
      <c r="S422" s="656"/>
      <c r="T422" s="656"/>
      <c r="U422" s="657">
        <f>+U423</f>
        <v>42881000</v>
      </c>
      <c r="V422" s="2538"/>
    </row>
    <row r="423" spans="1:23" s="2158" customFormat="1" ht="11.25" customHeight="1" thickBot="1">
      <c r="A423" s="2469"/>
      <c r="B423" s="2297" t="s">
        <v>24</v>
      </c>
      <c r="C423" s="2541"/>
      <c r="D423" s="592">
        <f>SUM(M423:T423)</f>
        <v>42881000</v>
      </c>
      <c r="E423" s="2298"/>
      <c r="F423" s="2299"/>
      <c r="G423" s="2298"/>
      <c r="H423" s="2298"/>
      <c r="I423" s="2298"/>
      <c r="J423" s="2300">
        <v>0</v>
      </c>
      <c r="K423" s="2300"/>
      <c r="L423" s="904"/>
      <c r="M423" s="546">
        <f>L423+E423+I423+J423+K423</f>
        <v>0</v>
      </c>
      <c r="N423" s="2298"/>
      <c r="O423" s="2300">
        <f>7380000-4740000</f>
        <v>2640000</v>
      </c>
      <c r="P423" s="904">
        <f>17527500-7027500-1759000</f>
        <v>8741000</v>
      </c>
      <c r="Q423" s="904">
        <f>23370000-5870000</f>
        <v>17500000</v>
      </c>
      <c r="R423" s="904">
        <f>29212500-15212500</f>
        <v>14000000</v>
      </c>
      <c r="S423" s="2301"/>
      <c r="T423" s="2301"/>
      <c r="U423" s="1066">
        <f t="shared" ref="U423" si="515">SUM(O423:T423)</f>
        <v>42881000</v>
      </c>
      <c r="V423" s="2539"/>
      <c r="W423" s="2157"/>
    </row>
    <row r="424" spans="1:23" ht="14.25" hidden="1" customHeight="1">
      <c r="A424" s="2429"/>
      <c r="B424" s="1885"/>
      <c r="C424" s="1664"/>
      <c r="D424" s="579"/>
      <c r="E424" s="580"/>
      <c r="F424" s="579"/>
      <c r="G424" s="580"/>
      <c r="H424" s="580"/>
      <c r="I424" s="581"/>
      <c r="J424" s="581"/>
      <c r="K424" s="581"/>
      <c r="L424" s="581"/>
      <c r="M424" s="1883"/>
      <c r="N424" s="1883"/>
      <c r="O424" s="1883"/>
      <c r="P424" s="1883"/>
      <c r="Q424" s="1883"/>
      <c r="R424" s="1883"/>
      <c r="S424" s="1883"/>
      <c r="T424" s="1883"/>
      <c r="U424" s="1884"/>
      <c r="V424" s="2432"/>
    </row>
    <row r="425" spans="1:23" ht="13.5" hidden="1" customHeight="1">
      <c r="A425" s="2429"/>
      <c r="B425" s="735"/>
      <c r="C425" s="761"/>
      <c r="D425" s="1082"/>
      <c r="E425" s="1082"/>
      <c r="F425" s="1082"/>
      <c r="G425" s="1082"/>
      <c r="H425" s="1082"/>
      <c r="I425" s="1082"/>
      <c r="J425" s="1082"/>
      <c r="K425" s="1082"/>
      <c r="L425" s="1082"/>
      <c r="M425" s="1082"/>
      <c r="N425" s="1082"/>
      <c r="O425" s="1082"/>
      <c r="P425" s="1082"/>
      <c r="Q425" s="1082"/>
      <c r="R425" s="1082"/>
      <c r="S425" s="1789"/>
      <c r="T425" s="1789"/>
      <c r="U425" s="1778"/>
      <c r="V425" s="2560"/>
    </row>
    <row r="426" spans="1:23" ht="13.5" hidden="1" customHeight="1">
      <c r="A426" s="2429"/>
      <c r="B426" s="763"/>
      <c r="C426" s="2540"/>
      <c r="D426" s="556"/>
      <c r="E426" s="556"/>
      <c r="F426" s="556"/>
      <c r="G426" s="556"/>
      <c r="H426" s="556"/>
      <c r="I426" s="556"/>
      <c r="J426" s="556"/>
      <c r="K426" s="556"/>
      <c r="L426" s="556"/>
      <c r="M426" s="556"/>
      <c r="N426" s="556"/>
      <c r="O426" s="556"/>
      <c r="P426" s="556"/>
      <c r="Q426" s="556"/>
      <c r="R426" s="556"/>
      <c r="S426" s="1783"/>
      <c r="T426" s="1783"/>
      <c r="U426" s="1779"/>
      <c r="V426" s="2560"/>
    </row>
    <row r="427" spans="1:23" ht="13.5" hidden="1" customHeight="1" thickBot="1">
      <c r="A427" s="2469"/>
      <c r="B427" s="764"/>
      <c r="C427" s="2447"/>
      <c r="D427" s="591"/>
      <c r="E427" s="546"/>
      <c r="F427" s="547"/>
      <c r="G427" s="546"/>
      <c r="H427" s="546"/>
      <c r="I427" s="546"/>
      <c r="J427" s="552"/>
      <c r="K427" s="552"/>
      <c r="L427" s="546"/>
      <c r="M427" s="547"/>
      <c r="N427" s="547"/>
      <c r="O427" s="547"/>
      <c r="P427" s="547"/>
      <c r="Q427" s="516"/>
      <c r="R427" s="516"/>
      <c r="S427" s="1790"/>
      <c r="T427" s="1790"/>
      <c r="U427" s="1780"/>
      <c r="V427" s="2561"/>
      <c r="W427" s="1258"/>
    </row>
    <row r="428" spans="1:23" ht="25.5" customHeight="1">
      <c r="A428" s="2480" t="s">
        <v>83</v>
      </c>
      <c r="B428" s="769" t="s">
        <v>144</v>
      </c>
      <c r="C428" s="758" t="s">
        <v>102</v>
      </c>
      <c r="D428" s="644"/>
      <c r="E428" s="613"/>
      <c r="F428" s="613"/>
      <c r="G428" s="612"/>
      <c r="H428" s="612"/>
      <c r="I428" s="612"/>
      <c r="J428" s="612"/>
      <c r="K428" s="612"/>
      <c r="L428" s="612"/>
      <c r="M428" s="614"/>
      <c r="N428" s="614"/>
      <c r="O428" s="614"/>
      <c r="P428" s="614"/>
      <c r="Q428" s="614"/>
      <c r="R428" s="614"/>
      <c r="S428" s="614"/>
      <c r="T428" s="614"/>
      <c r="U428" s="492"/>
      <c r="V428" s="2383" t="s">
        <v>129</v>
      </c>
    </row>
    <row r="429" spans="1:23" ht="13.5" customHeight="1">
      <c r="A429" s="2481"/>
      <c r="B429" s="770" t="s">
        <v>22</v>
      </c>
      <c r="C429" s="736"/>
      <c r="D429" s="534">
        <f>+D430</f>
        <v>4617201</v>
      </c>
      <c r="E429" s="534">
        <f t="shared" ref="E429:U429" si="516">+E430</f>
        <v>419680</v>
      </c>
      <c r="F429" s="534">
        <f t="shared" si="516"/>
        <v>0</v>
      </c>
      <c r="G429" s="534">
        <f t="shared" si="516"/>
        <v>0</v>
      </c>
      <c r="H429" s="534">
        <f t="shared" si="516"/>
        <v>419680</v>
      </c>
      <c r="I429" s="534">
        <f t="shared" si="516"/>
        <v>3741741</v>
      </c>
      <c r="J429" s="534">
        <f t="shared" si="516"/>
        <v>0</v>
      </c>
      <c r="K429" s="534">
        <f t="shared" si="516"/>
        <v>105780</v>
      </c>
      <c r="L429" s="533">
        <f t="shared" si="516"/>
        <v>0</v>
      </c>
      <c r="M429" s="533">
        <f t="shared" si="516"/>
        <v>4267201</v>
      </c>
      <c r="N429" s="533">
        <f t="shared" si="516"/>
        <v>0</v>
      </c>
      <c r="O429" s="533">
        <f t="shared" si="516"/>
        <v>350000</v>
      </c>
      <c r="P429" s="533">
        <f t="shared" si="516"/>
        <v>0</v>
      </c>
      <c r="Q429" s="533"/>
      <c r="R429" s="533"/>
      <c r="S429" s="533"/>
      <c r="T429" s="533"/>
      <c r="U429" s="535">
        <f t="shared" si="516"/>
        <v>350000</v>
      </c>
      <c r="V429" s="2564"/>
      <c r="W429" s="1903">
        <f>+O429+P429+Q429+R429</f>
        <v>350000</v>
      </c>
    </row>
    <row r="430" spans="1:23" ht="13.5" customHeight="1">
      <c r="A430" s="2481"/>
      <c r="B430" s="771" t="s">
        <v>36</v>
      </c>
      <c r="C430" s="2540" t="s">
        <v>140</v>
      </c>
      <c r="D430" s="619">
        <f>+D431+D432</f>
        <v>4617201</v>
      </c>
      <c r="E430" s="619">
        <f>+E431+E432</f>
        <v>419680</v>
      </c>
      <c r="F430" s="619">
        <f t="shared" ref="F430:P430" si="517">+F431+F432</f>
        <v>0</v>
      </c>
      <c r="G430" s="619">
        <f t="shared" si="517"/>
        <v>0</v>
      </c>
      <c r="H430" s="619">
        <f t="shared" si="517"/>
        <v>419680</v>
      </c>
      <c r="I430" s="619">
        <f t="shared" si="517"/>
        <v>3741741</v>
      </c>
      <c r="J430" s="619">
        <f t="shared" si="517"/>
        <v>0</v>
      </c>
      <c r="K430" s="619">
        <f t="shared" si="517"/>
        <v>105780</v>
      </c>
      <c r="L430" s="536">
        <f t="shared" si="517"/>
        <v>0</v>
      </c>
      <c r="M430" s="536">
        <f t="shared" ref="M430" si="518">+M431+M432</f>
        <v>4267201</v>
      </c>
      <c r="N430" s="536">
        <f t="shared" si="517"/>
        <v>0</v>
      </c>
      <c r="O430" s="536">
        <f t="shared" si="517"/>
        <v>350000</v>
      </c>
      <c r="P430" s="536">
        <f t="shared" si="517"/>
        <v>0</v>
      </c>
      <c r="Q430" s="536"/>
      <c r="R430" s="536"/>
      <c r="S430" s="536"/>
      <c r="T430" s="536"/>
      <c r="U430" s="557">
        <f>+U431+U432</f>
        <v>350000</v>
      </c>
      <c r="V430" s="2564"/>
    </row>
    <row r="431" spans="1:23" ht="13.5" customHeight="1">
      <c r="A431" s="2481"/>
      <c r="B431" s="774" t="s">
        <v>24</v>
      </c>
      <c r="C431" s="2446"/>
      <c r="D431" s="520">
        <f>SUM(M431:T431)</f>
        <v>1772974</v>
      </c>
      <c r="E431" s="549">
        <f>+F431+G431+H431</f>
        <v>139894</v>
      </c>
      <c r="F431" s="549">
        <v>0</v>
      </c>
      <c r="G431" s="549">
        <v>0</v>
      </c>
      <c r="H431" s="549">
        <v>139894</v>
      </c>
      <c r="I431" s="549">
        <v>1247247</v>
      </c>
      <c r="J431" s="549">
        <v>0</v>
      </c>
      <c r="K431" s="549">
        <v>35833</v>
      </c>
      <c r="L431" s="510">
        <v>0</v>
      </c>
      <c r="M431" s="504">
        <f t="shared" ref="M431:M432" si="519">+E431+I431+J431+K431+L431</f>
        <v>1422974</v>
      </c>
      <c r="N431" s="549">
        <f>50000-50000</f>
        <v>0</v>
      </c>
      <c r="O431" s="549">
        <f>300000+50000</f>
        <v>350000</v>
      </c>
      <c r="P431" s="510">
        <v>0</v>
      </c>
      <c r="Q431" s="511"/>
      <c r="R431" s="511"/>
      <c r="S431" s="511"/>
      <c r="T431" s="511"/>
      <c r="U431" s="462">
        <f t="shared" ref="U431:U432" si="520">SUM(O431:T431)</f>
        <v>350000</v>
      </c>
      <c r="V431" s="2564"/>
    </row>
    <row r="432" spans="1:23" ht="13.5" customHeight="1">
      <c r="A432" s="2481"/>
      <c r="B432" s="757" t="s">
        <v>145</v>
      </c>
      <c r="C432" s="2566"/>
      <c r="D432" s="520">
        <f>SUM(M432:T432)</f>
        <v>2844227</v>
      </c>
      <c r="E432" s="549">
        <f>+F432+G432+H432</f>
        <v>279786</v>
      </c>
      <c r="F432" s="549">
        <v>0</v>
      </c>
      <c r="G432" s="549">
        <v>0</v>
      </c>
      <c r="H432" s="549">
        <v>279786</v>
      </c>
      <c r="I432" s="549">
        <v>2494494</v>
      </c>
      <c r="J432" s="549">
        <v>0</v>
      </c>
      <c r="K432" s="549">
        <v>69947</v>
      </c>
      <c r="L432" s="508">
        <v>0</v>
      </c>
      <c r="M432" s="504">
        <f t="shared" si="519"/>
        <v>2844227</v>
      </c>
      <c r="N432" s="508">
        <v>0</v>
      </c>
      <c r="O432" s="542">
        <v>0</v>
      </c>
      <c r="P432" s="508">
        <v>0</v>
      </c>
      <c r="Q432" s="516"/>
      <c r="R432" s="516"/>
      <c r="S432" s="516"/>
      <c r="T432" s="516"/>
      <c r="U432" s="462">
        <f t="shared" si="520"/>
        <v>0</v>
      </c>
      <c r="V432" s="2564"/>
    </row>
    <row r="433" spans="1:138" s="1904" customFormat="1" ht="12.75" customHeight="1">
      <c r="A433" s="2562"/>
      <c r="B433" s="755" t="s">
        <v>34</v>
      </c>
      <c r="C433" s="736"/>
      <c r="D433" s="534">
        <f>+D434</f>
        <v>2844227</v>
      </c>
      <c r="E433" s="534">
        <f t="shared" ref="E433:P434" si="521">+E434</f>
        <v>279786</v>
      </c>
      <c r="F433" s="534">
        <f t="shared" si="521"/>
        <v>0</v>
      </c>
      <c r="G433" s="534">
        <f t="shared" si="521"/>
        <v>0</v>
      </c>
      <c r="H433" s="534">
        <f t="shared" si="521"/>
        <v>279786</v>
      </c>
      <c r="I433" s="534">
        <f t="shared" si="521"/>
        <v>2494494</v>
      </c>
      <c r="J433" s="534">
        <f t="shared" si="521"/>
        <v>0</v>
      </c>
      <c r="K433" s="534">
        <f t="shared" si="521"/>
        <v>69947</v>
      </c>
      <c r="L433" s="534">
        <f t="shared" si="521"/>
        <v>0</v>
      </c>
      <c r="M433" s="534">
        <f t="shared" si="521"/>
        <v>2844227</v>
      </c>
      <c r="N433" s="496">
        <f t="shared" si="521"/>
        <v>0</v>
      </c>
      <c r="O433" s="496">
        <f t="shared" si="521"/>
        <v>0</v>
      </c>
      <c r="P433" s="496">
        <f t="shared" si="521"/>
        <v>0</v>
      </c>
      <c r="Q433" s="496"/>
      <c r="R433" s="496"/>
      <c r="S433" s="496"/>
      <c r="T433" s="496"/>
      <c r="U433" s="2567" t="s">
        <v>35</v>
      </c>
      <c r="V433" s="2564"/>
    </row>
    <row r="434" spans="1:138" ht="13.5" customHeight="1">
      <c r="A434" s="2562"/>
      <c r="B434" s="777" t="s">
        <v>36</v>
      </c>
      <c r="C434" s="2540" t="s">
        <v>140</v>
      </c>
      <c r="D434" s="536">
        <f>+D435</f>
        <v>2844227</v>
      </c>
      <c r="E434" s="549">
        <f t="shared" si="521"/>
        <v>279786</v>
      </c>
      <c r="F434" s="549">
        <f t="shared" si="521"/>
        <v>0</v>
      </c>
      <c r="G434" s="549">
        <f t="shared" si="521"/>
        <v>0</v>
      </c>
      <c r="H434" s="549">
        <f t="shared" si="521"/>
        <v>279786</v>
      </c>
      <c r="I434" s="549">
        <f t="shared" si="521"/>
        <v>2494494</v>
      </c>
      <c r="J434" s="549">
        <f t="shared" si="521"/>
        <v>0</v>
      </c>
      <c r="K434" s="536">
        <f t="shared" si="521"/>
        <v>69947</v>
      </c>
      <c r="L434" s="536">
        <f t="shared" si="521"/>
        <v>0</v>
      </c>
      <c r="M434" s="536">
        <f t="shared" si="521"/>
        <v>2844227</v>
      </c>
      <c r="N434" s="536">
        <f t="shared" si="521"/>
        <v>0</v>
      </c>
      <c r="O434" s="619">
        <f t="shared" si="521"/>
        <v>0</v>
      </c>
      <c r="P434" s="536">
        <f t="shared" si="521"/>
        <v>0</v>
      </c>
      <c r="Q434" s="536"/>
      <c r="R434" s="536"/>
      <c r="S434" s="536"/>
      <c r="T434" s="536"/>
      <c r="U434" s="2568"/>
      <c r="V434" s="2564"/>
    </row>
    <row r="435" spans="1:138" ht="13.5" customHeight="1" thickBot="1">
      <c r="A435" s="2563"/>
      <c r="B435" s="778" t="s">
        <v>145</v>
      </c>
      <c r="C435" s="2447"/>
      <c r="D435" s="520">
        <f>SUM(M435:T435)</f>
        <v>2844227</v>
      </c>
      <c r="E435" s="552">
        <f>+F435+G435+H435</f>
        <v>279786</v>
      </c>
      <c r="F435" s="552">
        <v>0</v>
      </c>
      <c r="G435" s="552">
        <v>0</v>
      </c>
      <c r="H435" s="552">
        <v>279786</v>
      </c>
      <c r="I435" s="552">
        <v>2494494</v>
      </c>
      <c r="J435" s="552">
        <v>0</v>
      </c>
      <c r="K435" s="552">
        <v>69947</v>
      </c>
      <c r="L435" s="546">
        <v>0</v>
      </c>
      <c r="M435" s="524">
        <f>L435+E435+I435+J435+K435</f>
        <v>2844227</v>
      </c>
      <c r="N435" s="546">
        <v>0</v>
      </c>
      <c r="O435" s="546">
        <v>0</v>
      </c>
      <c r="P435" s="546">
        <v>0</v>
      </c>
      <c r="Q435" s="546"/>
      <c r="R435" s="546"/>
      <c r="S435" s="546"/>
      <c r="T435" s="546"/>
      <c r="U435" s="2569"/>
      <c r="V435" s="2565"/>
    </row>
    <row r="436" spans="1:138" s="2161" customFormat="1" ht="15.75" customHeight="1">
      <c r="A436" s="2550" t="s">
        <v>84</v>
      </c>
      <c r="B436" s="2292" t="s">
        <v>146</v>
      </c>
      <c r="C436" s="753" t="s">
        <v>102</v>
      </c>
      <c r="D436" s="2302"/>
      <c r="E436" s="531"/>
      <c r="F436" s="531"/>
      <c r="G436" s="531"/>
      <c r="H436" s="531"/>
      <c r="I436" s="531"/>
      <c r="J436" s="531"/>
      <c r="K436" s="531"/>
      <c r="L436" s="531"/>
      <c r="M436" s="1498"/>
      <c r="N436" s="1498"/>
      <c r="O436" s="1498"/>
      <c r="P436" s="1498"/>
      <c r="Q436" s="1498"/>
      <c r="R436" s="1498"/>
      <c r="S436" s="1498"/>
      <c r="T436" s="1498"/>
      <c r="U436" s="583"/>
      <c r="V436" s="2513" t="s">
        <v>108</v>
      </c>
      <c r="W436" s="2160"/>
      <c r="X436" s="2160"/>
      <c r="Y436" s="2160"/>
      <c r="Z436" s="2160"/>
      <c r="AA436" s="2160"/>
      <c r="AB436" s="2160"/>
      <c r="AC436" s="2160"/>
      <c r="AD436" s="2160"/>
      <c r="AE436" s="2160"/>
      <c r="AF436" s="2160"/>
      <c r="AG436" s="2160"/>
      <c r="AH436" s="2160"/>
      <c r="AI436" s="2160"/>
      <c r="AJ436" s="2160"/>
      <c r="AK436" s="2160"/>
      <c r="AL436" s="2160"/>
      <c r="AM436" s="2160"/>
      <c r="AN436" s="2160"/>
      <c r="AO436" s="2160"/>
      <c r="AP436" s="2160"/>
      <c r="AQ436" s="2160"/>
      <c r="AR436" s="2160"/>
      <c r="AS436" s="2160"/>
      <c r="AT436" s="2160"/>
      <c r="AU436" s="2160"/>
      <c r="AV436" s="2160"/>
      <c r="AW436" s="2160"/>
      <c r="AX436" s="2160"/>
      <c r="AY436" s="2160"/>
      <c r="AZ436" s="2160"/>
      <c r="BA436" s="2160"/>
      <c r="BB436" s="2160"/>
      <c r="BC436" s="2160"/>
      <c r="BD436" s="2160"/>
      <c r="BE436" s="2160"/>
      <c r="BF436" s="2160"/>
      <c r="BG436" s="2160"/>
      <c r="BH436" s="2160"/>
      <c r="BI436" s="2160"/>
      <c r="BJ436" s="2160"/>
      <c r="BK436" s="2160"/>
      <c r="BL436" s="2160"/>
      <c r="BM436" s="2160"/>
      <c r="BN436" s="2160"/>
      <c r="BO436" s="2160"/>
      <c r="BP436" s="2160"/>
      <c r="BQ436" s="2160"/>
      <c r="BR436" s="2160"/>
      <c r="BS436" s="2160"/>
      <c r="BT436" s="2160"/>
      <c r="BU436" s="2160"/>
      <c r="BV436" s="2160"/>
      <c r="BW436" s="2160"/>
      <c r="BX436" s="2160"/>
      <c r="BY436" s="2160"/>
      <c r="BZ436" s="2160"/>
      <c r="CA436" s="2160"/>
      <c r="CB436" s="2160"/>
      <c r="CC436" s="2160"/>
      <c r="CD436" s="2160"/>
      <c r="CE436" s="2160"/>
      <c r="CF436" s="2160"/>
      <c r="CG436" s="2160"/>
      <c r="CH436" s="2160"/>
      <c r="CI436" s="2160"/>
      <c r="CJ436" s="2160"/>
      <c r="CK436" s="2160"/>
      <c r="CL436" s="2160"/>
      <c r="CM436" s="2160"/>
      <c r="CN436" s="2160"/>
      <c r="CO436" s="2160"/>
      <c r="CP436" s="2160"/>
      <c r="CQ436" s="2160"/>
      <c r="CR436" s="2160"/>
      <c r="CS436" s="2160"/>
      <c r="CT436" s="2160"/>
      <c r="CU436" s="2160"/>
      <c r="CV436" s="2160"/>
      <c r="CW436" s="2160"/>
      <c r="CX436" s="2160"/>
      <c r="CY436" s="2160"/>
      <c r="CZ436" s="2160"/>
      <c r="DA436" s="2160"/>
      <c r="DB436" s="2160"/>
      <c r="DC436" s="2160"/>
      <c r="DD436" s="2160"/>
      <c r="DE436" s="2160"/>
      <c r="DF436" s="2160"/>
      <c r="DG436" s="2160"/>
      <c r="DH436" s="2160"/>
      <c r="DI436" s="2160"/>
      <c r="DJ436" s="2160"/>
      <c r="DK436" s="2160"/>
      <c r="DL436" s="2160"/>
      <c r="DM436" s="2160"/>
      <c r="DN436" s="2160"/>
      <c r="DO436" s="2160"/>
      <c r="DP436" s="2160"/>
      <c r="DQ436" s="2160"/>
      <c r="DR436" s="2160"/>
      <c r="DS436" s="2160"/>
      <c r="DT436" s="2160"/>
      <c r="DU436" s="2160"/>
      <c r="DV436" s="2160"/>
      <c r="DW436" s="2160"/>
      <c r="DX436" s="2160"/>
      <c r="DY436" s="2160"/>
      <c r="DZ436" s="2160"/>
      <c r="EA436" s="2160"/>
      <c r="EB436" s="2160"/>
      <c r="EC436" s="2160"/>
      <c r="ED436" s="2160"/>
      <c r="EE436" s="2160"/>
      <c r="EF436" s="2160"/>
      <c r="EG436" s="2160"/>
      <c r="EH436" s="2160"/>
    </row>
    <row r="437" spans="1:138" s="2160" customFormat="1" ht="12.75" customHeight="1">
      <c r="A437" s="2551"/>
      <c r="B437" s="770" t="s">
        <v>22</v>
      </c>
      <c r="C437" s="736"/>
      <c r="D437" s="698">
        <f>+D438</f>
        <v>8582180</v>
      </c>
      <c r="E437" s="685"/>
      <c r="F437" s="685"/>
      <c r="G437" s="685"/>
      <c r="H437" s="685"/>
      <c r="I437" s="685"/>
      <c r="J437" s="685">
        <f>+J438</f>
        <v>901733</v>
      </c>
      <c r="K437" s="685">
        <f t="shared" ref="K437:R438" si="522">+K438</f>
        <v>415162</v>
      </c>
      <c r="L437" s="685">
        <f t="shared" si="522"/>
        <v>438710</v>
      </c>
      <c r="M437" s="685">
        <f t="shared" si="522"/>
        <v>1755605</v>
      </c>
      <c r="N437" s="685">
        <f t="shared" si="522"/>
        <v>283177</v>
      </c>
      <c r="O437" s="685">
        <f t="shared" si="522"/>
        <v>439652</v>
      </c>
      <c r="P437" s="685">
        <f t="shared" si="522"/>
        <v>2107546</v>
      </c>
      <c r="Q437" s="685">
        <f t="shared" si="522"/>
        <v>2025000</v>
      </c>
      <c r="R437" s="685">
        <f t="shared" si="522"/>
        <v>1971200</v>
      </c>
      <c r="S437" s="685"/>
      <c r="T437" s="685"/>
      <c r="U437" s="535">
        <f>+U438</f>
        <v>6543398</v>
      </c>
      <c r="V437" s="2514"/>
      <c r="W437" s="2159">
        <f>+O437+P437+Q437+R437</f>
        <v>6543398</v>
      </c>
    </row>
    <row r="438" spans="1:138" s="2160" customFormat="1" ht="14.25" customHeight="1">
      <c r="A438" s="2551"/>
      <c r="B438" s="2303" t="s">
        <v>36</v>
      </c>
      <c r="C438" s="2540" t="s">
        <v>105</v>
      </c>
      <c r="D438" s="659">
        <f>+D439</f>
        <v>8582180</v>
      </c>
      <c r="E438" s="688"/>
      <c r="F438" s="688"/>
      <c r="G438" s="688"/>
      <c r="H438" s="688"/>
      <c r="I438" s="688"/>
      <c r="J438" s="688">
        <f>+J439</f>
        <v>901733</v>
      </c>
      <c r="K438" s="688">
        <f t="shared" si="522"/>
        <v>415162</v>
      </c>
      <c r="L438" s="688">
        <f t="shared" si="522"/>
        <v>438710</v>
      </c>
      <c r="M438" s="688">
        <f t="shared" si="522"/>
        <v>1755605</v>
      </c>
      <c r="N438" s="688">
        <f t="shared" si="522"/>
        <v>283177</v>
      </c>
      <c r="O438" s="688">
        <f t="shared" si="522"/>
        <v>439652</v>
      </c>
      <c r="P438" s="688">
        <f t="shared" si="522"/>
        <v>2107546</v>
      </c>
      <c r="Q438" s="688">
        <f t="shared" si="522"/>
        <v>2025000</v>
      </c>
      <c r="R438" s="688">
        <f t="shared" si="522"/>
        <v>1971200</v>
      </c>
      <c r="S438" s="688"/>
      <c r="T438" s="688"/>
      <c r="U438" s="557">
        <f>+U439</f>
        <v>6543398</v>
      </c>
      <c r="V438" s="2514"/>
    </row>
    <row r="439" spans="1:138" s="2160" customFormat="1" ht="13.5" customHeight="1" thickBot="1">
      <c r="A439" s="2552"/>
      <c r="B439" s="764" t="s">
        <v>24</v>
      </c>
      <c r="C439" s="2447"/>
      <c r="D439" s="520">
        <f>SUM(M439:T439)</f>
        <v>8582180</v>
      </c>
      <c r="E439" s="546"/>
      <c r="F439" s="546"/>
      <c r="G439" s="546"/>
      <c r="H439" s="546"/>
      <c r="I439" s="546"/>
      <c r="J439" s="1081">
        <v>901733</v>
      </c>
      <c r="K439" s="552">
        <v>415162</v>
      </c>
      <c r="L439" s="546">
        <v>438710</v>
      </c>
      <c r="M439" s="524">
        <f>L439+E439+I439+J439+K439</f>
        <v>1755605</v>
      </c>
      <c r="N439" s="546">
        <f>559146-55736-156764-63469</f>
        <v>283177</v>
      </c>
      <c r="O439" s="546">
        <f>1368555-500000-428903</f>
        <v>439652</v>
      </c>
      <c r="P439" s="546">
        <f>3469876-2050000+555736+68465+63469</f>
        <v>2107546</v>
      </c>
      <c r="Q439" s="546">
        <f>1925000+100000</f>
        <v>2025000</v>
      </c>
      <c r="R439" s="546">
        <f>1971200</f>
        <v>1971200</v>
      </c>
      <c r="S439" s="547"/>
      <c r="T439" s="547"/>
      <c r="U439" s="462">
        <f t="shared" ref="U439" si="523">SUM(O439:T439)</f>
        <v>6543398</v>
      </c>
      <c r="V439" s="2515"/>
      <c r="W439" s="2162"/>
    </row>
    <row r="440" spans="1:138" ht="24.75" customHeight="1">
      <c r="A440" s="2553" t="s">
        <v>85</v>
      </c>
      <c r="B440" s="2304" t="s">
        <v>332</v>
      </c>
      <c r="C440" s="758" t="s">
        <v>102</v>
      </c>
      <c r="D440" s="649"/>
      <c r="E440" s="650"/>
      <c r="F440" s="2305"/>
      <c r="G440" s="650"/>
      <c r="H440" s="650"/>
      <c r="I440" s="650"/>
      <c r="J440" s="650"/>
      <c r="K440" s="650"/>
      <c r="L440" s="650"/>
      <c r="M440" s="1781"/>
      <c r="N440" s="1781"/>
      <c r="O440" s="1781"/>
      <c r="P440" s="1781"/>
      <c r="Q440" s="1781"/>
      <c r="R440" s="1781"/>
      <c r="S440" s="1781"/>
      <c r="T440" s="1781"/>
      <c r="U440" s="2306"/>
      <c r="V440" s="2556" t="s">
        <v>356</v>
      </c>
    </row>
    <row r="441" spans="1:138">
      <c r="A441" s="2554"/>
      <c r="B441" s="770" t="s">
        <v>22</v>
      </c>
      <c r="C441" s="736"/>
      <c r="D441" s="698">
        <f>+D442</f>
        <v>45605289</v>
      </c>
      <c r="E441" s="652">
        <f>+E442</f>
        <v>7100000</v>
      </c>
      <c r="F441" s="652">
        <f t="shared" ref="F441:U442" si="524">+F442</f>
        <v>0</v>
      </c>
      <c r="G441" s="652">
        <f t="shared" si="524"/>
        <v>5300000</v>
      </c>
      <c r="H441" s="652">
        <f t="shared" si="524"/>
        <v>1800000</v>
      </c>
      <c r="I441" s="652">
        <f t="shared" si="524"/>
        <v>0</v>
      </c>
      <c r="J441" s="652">
        <f t="shared" si="524"/>
        <v>1800000</v>
      </c>
      <c r="K441" s="652">
        <f t="shared" si="524"/>
        <v>3301289</v>
      </c>
      <c r="L441" s="652">
        <f t="shared" si="524"/>
        <v>4200000</v>
      </c>
      <c r="M441" s="652">
        <f t="shared" si="524"/>
        <v>16401289</v>
      </c>
      <c r="N441" s="652">
        <f t="shared" si="524"/>
        <v>5000000</v>
      </c>
      <c r="O441" s="652">
        <f t="shared" si="524"/>
        <v>5002000</v>
      </c>
      <c r="P441" s="652">
        <f t="shared" si="524"/>
        <v>5002000</v>
      </c>
      <c r="Q441" s="652">
        <f t="shared" si="524"/>
        <v>5000000</v>
      </c>
      <c r="R441" s="652">
        <f t="shared" si="524"/>
        <v>5000000</v>
      </c>
      <c r="S441" s="652">
        <f t="shared" si="524"/>
        <v>2700000</v>
      </c>
      <c r="T441" s="652">
        <f t="shared" si="524"/>
        <v>1500000</v>
      </c>
      <c r="U441" s="454">
        <f t="shared" si="524"/>
        <v>24204000</v>
      </c>
      <c r="V441" s="2557"/>
      <c r="W441" s="1903">
        <f>+O441+P441+Q441+R441+4200000</f>
        <v>24204000</v>
      </c>
    </row>
    <row r="442" spans="1:138">
      <c r="A442" s="2554"/>
      <c r="B442" s="771" t="s">
        <v>36</v>
      </c>
      <c r="C442" s="2540" t="s">
        <v>140</v>
      </c>
      <c r="D442" s="659">
        <f>+D443</f>
        <v>45605289</v>
      </c>
      <c r="E442" s="653">
        <f>+E443</f>
        <v>7100000</v>
      </c>
      <c r="F442" s="653">
        <f t="shared" si="524"/>
        <v>0</v>
      </c>
      <c r="G442" s="653">
        <f t="shared" si="524"/>
        <v>5300000</v>
      </c>
      <c r="H442" s="653">
        <f t="shared" si="524"/>
        <v>1800000</v>
      </c>
      <c r="I442" s="653">
        <f t="shared" si="524"/>
        <v>0</v>
      </c>
      <c r="J442" s="653">
        <f t="shared" si="524"/>
        <v>1800000</v>
      </c>
      <c r="K442" s="654">
        <f t="shared" si="524"/>
        <v>3301289</v>
      </c>
      <c r="L442" s="654">
        <f t="shared" si="524"/>
        <v>4200000</v>
      </c>
      <c r="M442" s="654">
        <f t="shared" si="524"/>
        <v>16401289</v>
      </c>
      <c r="N442" s="654">
        <f t="shared" si="524"/>
        <v>5000000</v>
      </c>
      <c r="O442" s="654">
        <f t="shared" si="524"/>
        <v>5002000</v>
      </c>
      <c r="P442" s="654">
        <f t="shared" si="524"/>
        <v>5002000</v>
      </c>
      <c r="Q442" s="654">
        <f t="shared" si="524"/>
        <v>5000000</v>
      </c>
      <c r="R442" s="654">
        <f t="shared" si="524"/>
        <v>5000000</v>
      </c>
      <c r="S442" s="654">
        <f t="shared" si="524"/>
        <v>2700000</v>
      </c>
      <c r="T442" s="654">
        <f t="shared" si="524"/>
        <v>1500000</v>
      </c>
      <c r="U442" s="657">
        <f>+U443</f>
        <v>24204000</v>
      </c>
      <c r="V442" s="2557"/>
    </row>
    <row r="443" spans="1:138" ht="13.5" thickBot="1">
      <c r="A443" s="2555"/>
      <c r="B443" s="2307" t="s">
        <v>24</v>
      </c>
      <c r="C443" s="2559"/>
      <c r="D443" s="592">
        <f>SUM(M443:T443)</f>
        <v>45605289</v>
      </c>
      <c r="E443" s="546">
        <f>+F443+G443+H443</f>
        <v>7100000</v>
      </c>
      <c r="F443" s="2301">
        <v>0</v>
      </c>
      <c r="G443" s="904">
        <v>5300000</v>
      </c>
      <c r="H443" s="2300">
        <v>1800000</v>
      </c>
      <c r="I443" s="2300">
        <v>0</v>
      </c>
      <c r="J443" s="904">
        <v>1800000</v>
      </c>
      <c r="K443" s="2300">
        <f>1502000+1800000-711</f>
        <v>3301289</v>
      </c>
      <c r="L443" s="2300">
        <f>1502000+2700000-2000</f>
        <v>4200000</v>
      </c>
      <c r="M443" s="524">
        <f>L443+E443+I443+J443+K443</f>
        <v>16401289</v>
      </c>
      <c r="N443" s="2308">
        <f>5002000-2000</f>
        <v>5000000</v>
      </c>
      <c r="O443" s="2308">
        <v>5002000</v>
      </c>
      <c r="P443" s="2308">
        <v>5002000</v>
      </c>
      <c r="Q443" s="2308">
        <v>5000000</v>
      </c>
      <c r="R443" s="2308">
        <v>5000000</v>
      </c>
      <c r="S443" s="2308">
        <v>2700000</v>
      </c>
      <c r="T443" s="2308">
        <v>1500000</v>
      </c>
      <c r="U443" s="462">
        <f t="shared" ref="U443" si="525">SUM(O443:T443)</f>
        <v>24204000</v>
      </c>
      <c r="V443" s="2558"/>
      <c r="W443" s="1258"/>
    </row>
    <row r="444" spans="1:138" ht="24" hidden="1" customHeight="1">
      <c r="A444" s="2550" t="s">
        <v>86</v>
      </c>
      <c r="B444" s="781" t="s">
        <v>147</v>
      </c>
      <c r="C444" s="758" t="s">
        <v>102</v>
      </c>
      <c r="D444" s="782"/>
      <c r="E444" s="760"/>
      <c r="F444" s="783"/>
      <c r="G444" s="783"/>
      <c r="H444" s="760"/>
      <c r="I444" s="760"/>
      <c r="J444" s="760"/>
      <c r="K444" s="760"/>
      <c r="L444" s="760"/>
      <c r="M444" s="784"/>
      <c r="N444" s="784"/>
      <c r="O444" s="784"/>
      <c r="P444" s="784"/>
      <c r="Q444" s="784"/>
      <c r="R444" s="784"/>
      <c r="S444" s="784"/>
      <c r="T444" s="784"/>
      <c r="U444" s="754"/>
      <c r="V444" s="2513" t="s">
        <v>108</v>
      </c>
    </row>
    <row r="445" spans="1:138" ht="12" hidden="1" customHeight="1">
      <c r="A445" s="2551"/>
      <c r="B445" s="755" t="s">
        <v>22</v>
      </c>
      <c r="C445" s="736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62">
        <f>+U446</f>
        <v>0</v>
      </c>
      <c r="V445" s="2514"/>
    </row>
    <row r="446" spans="1:138" ht="11.25" hidden="1" customHeight="1">
      <c r="A446" s="2551"/>
      <c r="B446" s="756" t="s">
        <v>36</v>
      </c>
      <c r="C446" s="2540" t="s">
        <v>105</v>
      </c>
      <c r="D446" s="780"/>
      <c r="E446" s="780"/>
      <c r="F446" s="780"/>
      <c r="G446" s="780"/>
      <c r="H446" s="780"/>
      <c r="I446" s="780"/>
      <c r="J446" s="780"/>
      <c r="K446" s="780"/>
      <c r="L446" s="780"/>
      <c r="M446" s="780"/>
      <c r="N446" s="780"/>
      <c r="O446" s="780"/>
      <c r="P446" s="780"/>
      <c r="Q446" s="780"/>
      <c r="R446" s="780"/>
      <c r="S446" s="780"/>
      <c r="T446" s="780"/>
      <c r="U446" s="743">
        <f>+U447</f>
        <v>0</v>
      </c>
      <c r="V446" s="2514"/>
    </row>
    <row r="447" spans="1:138" ht="13.5" hidden="1" thickBot="1">
      <c r="A447" s="2552"/>
      <c r="B447" s="785" t="s">
        <v>24</v>
      </c>
      <c r="C447" s="2559"/>
      <c r="D447" s="765"/>
      <c r="E447" s="766"/>
      <c r="F447" s="786"/>
      <c r="G447" s="786"/>
      <c r="H447" s="786"/>
      <c r="I447" s="787"/>
      <c r="J447" s="787"/>
      <c r="K447" s="787"/>
      <c r="L447" s="786"/>
      <c r="M447" s="786"/>
      <c r="N447" s="786"/>
      <c r="O447" s="786"/>
      <c r="P447" s="786"/>
      <c r="Q447" s="786"/>
      <c r="R447" s="786"/>
      <c r="S447" s="786"/>
      <c r="T447" s="786"/>
      <c r="U447" s="788">
        <f>O447+P447+Q447+R447</f>
        <v>0</v>
      </c>
      <c r="V447" s="2515"/>
    </row>
    <row r="448" spans="1:138" ht="14.25" customHeight="1">
      <c r="A448" s="2550" t="s">
        <v>86</v>
      </c>
      <c r="B448" s="781" t="s">
        <v>148</v>
      </c>
      <c r="C448" s="758" t="s">
        <v>102</v>
      </c>
      <c r="D448" s="782"/>
      <c r="E448" s="760"/>
      <c r="F448" s="783"/>
      <c r="G448" s="783"/>
      <c r="H448" s="760"/>
      <c r="I448" s="760"/>
      <c r="J448" s="760"/>
      <c r="K448" s="760"/>
      <c r="L448" s="760"/>
      <c r="M448" s="784"/>
      <c r="N448" s="784"/>
      <c r="O448" s="784"/>
      <c r="P448" s="784"/>
      <c r="Q448" s="2113"/>
      <c r="R448" s="2113"/>
      <c r="S448" s="2113"/>
      <c r="T448" s="2113"/>
      <c r="U448" s="583"/>
      <c r="V448" s="2513" t="s">
        <v>108</v>
      </c>
    </row>
    <row r="449" spans="1:23" ht="13.5" customHeight="1">
      <c r="A449" s="2551"/>
      <c r="B449" s="755" t="s">
        <v>22</v>
      </c>
      <c r="C449" s="736"/>
      <c r="D449" s="685">
        <f>+D450</f>
        <v>103487326</v>
      </c>
      <c r="E449" s="685">
        <f t="shared" ref="E449:T449" si="526">+E450</f>
        <v>0</v>
      </c>
      <c r="F449" s="685">
        <f t="shared" si="526"/>
        <v>0</v>
      </c>
      <c r="G449" s="685">
        <f t="shared" si="526"/>
        <v>0</v>
      </c>
      <c r="H449" s="685">
        <f t="shared" si="526"/>
        <v>0</v>
      </c>
      <c r="I449" s="685">
        <f t="shared" si="526"/>
        <v>0</v>
      </c>
      <c r="J449" s="685">
        <f t="shared" si="526"/>
        <v>21442291</v>
      </c>
      <c r="K449" s="685">
        <f t="shared" si="526"/>
        <v>23316038</v>
      </c>
      <c r="L449" s="685">
        <f t="shared" si="526"/>
        <v>23911043</v>
      </c>
      <c r="M449" s="685">
        <f t="shared" si="526"/>
        <v>68669372</v>
      </c>
      <c r="N449" s="685">
        <f t="shared" si="526"/>
        <v>34817954</v>
      </c>
      <c r="O449" s="685">
        <f t="shared" si="526"/>
        <v>0</v>
      </c>
      <c r="P449" s="685">
        <f t="shared" si="526"/>
        <v>0</v>
      </c>
      <c r="Q449" s="685">
        <f t="shared" si="526"/>
        <v>0</v>
      </c>
      <c r="R449" s="685">
        <f t="shared" si="526"/>
        <v>0</v>
      </c>
      <c r="S449" s="685">
        <f t="shared" si="526"/>
        <v>0</v>
      </c>
      <c r="T449" s="685">
        <f t="shared" si="526"/>
        <v>0</v>
      </c>
      <c r="U449" s="535">
        <f>+U450</f>
        <v>0</v>
      </c>
      <c r="V449" s="2514"/>
      <c r="W449" s="1903">
        <f>+O449+P449+Q449+R449</f>
        <v>0</v>
      </c>
    </row>
    <row r="450" spans="1:23" ht="12.75" customHeight="1">
      <c r="A450" s="2551"/>
      <c r="B450" s="756" t="s">
        <v>36</v>
      </c>
      <c r="C450" s="2540" t="s">
        <v>105</v>
      </c>
      <c r="D450" s="688">
        <f>+D451+D452</f>
        <v>103487326</v>
      </c>
      <c r="E450" s="688">
        <f t="shared" ref="E450:Q450" si="527">+E451+E452</f>
        <v>0</v>
      </c>
      <c r="F450" s="688">
        <f t="shared" si="527"/>
        <v>0</v>
      </c>
      <c r="G450" s="688">
        <f t="shared" si="527"/>
        <v>0</v>
      </c>
      <c r="H450" s="688">
        <f t="shared" si="527"/>
        <v>0</v>
      </c>
      <c r="I450" s="688">
        <f t="shared" si="527"/>
        <v>0</v>
      </c>
      <c r="J450" s="688">
        <f t="shared" si="527"/>
        <v>21442291</v>
      </c>
      <c r="K450" s="688">
        <f t="shared" si="527"/>
        <v>23316038</v>
      </c>
      <c r="L450" s="688">
        <f t="shared" si="527"/>
        <v>23911043</v>
      </c>
      <c r="M450" s="688">
        <f t="shared" ref="M450" si="528">+M451+M452</f>
        <v>68669372</v>
      </c>
      <c r="N450" s="688">
        <f t="shared" si="527"/>
        <v>34817954</v>
      </c>
      <c r="O450" s="688">
        <f t="shared" si="527"/>
        <v>0</v>
      </c>
      <c r="P450" s="688">
        <f t="shared" si="527"/>
        <v>0</v>
      </c>
      <c r="Q450" s="688">
        <f t="shared" si="527"/>
        <v>0</v>
      </c>
      <c r="R450" s="688">
        <f t="shared" ref="R450:T450" si="529">+R451+R452</f>
        <v>0</v>
      </c>
      <c r="S450" s="688">
        <f t="shared" si="529"/>
        <v>0</v>
      </c>
      <c r="T450" s="688">
        <f t="shared" si="529"/>
        <v>0</v>
      </c>
      <c r="U450" s="557">
        <f>+U451+U452</f>
        <v>0</v>
      </c>
      <c r="V450" s="2514"/>
    </row>
    <row r="451" spans="1:23">
      <c r="A451" s="2551"/>
      <c r="B451" s="789" t="s">
        <v>24</v>
      </c>
      <c r="C451" s="2572"/>
      <c r="D451" s="520">
        <f t="shared" ref="D451:D452" si="530">SUM(M451:T451)</f>
        <v>97588249</v>
      </c>
      <c r="E451" s="510">
        <f>+F451+G451+H451</f>
        <v>0</v>
      </c>
      <c r="F451" s="588">
        <v>0</v>
      </c>
      <c r="G451" s="588"/>
      <c r="H451" s="588">
        <v>0</v>
      </c>
      <c r="I451" s="587">
        <f>9525-9525</f>
        <v>0</v>
      </c>
      <c r="J451" s="587">
        <v>21442291</v>
      </c>
      <c r="K451" s="587">
        <f>22746057-19</f>
        <v>22746038</v>
      </c>
      <c r="L451" s="588">
        <f>20962965-1922</f>
        <v>20961043</v>
      </c>
      <c r="M451" s="504">
        <f t="shared" ref="M451:M452" si="531">+E451+I451+J451+K451+L451</f>
        <v>65149372</v>
      </c>
      <c r="N451" s="588">
        <f>32589742-150865</f>
        <v>32438877</v>
      </c>
      <c r="O451" s="588">
        <v>0</v>
      </c>
      <c r="P451" s="588">
        <v>0</v>
      </c>
      <c r="Q451" s="588"/>
      <c r="R451" s="588"/>
      <c r="S451" s="588"/>
      <c r="T451" s="588"/>
      <c r="U451" s="462">
        <f t="shared" ref="U451" si="532">SUM(O451:T451)</f>
        <v>0</v>
      </c>
      <c r="V451" s="2514"/>
    </row>
    <row r="452" spans="1:23">
      <c r="A452" s="2551"/>
      <c r="B452" s="790" t="s">
        <v>27</v>
      </c>
      <c r="C452" s="2573"/>
      <c r="D452" s="520">
        <f t="shared" si="530"/>
        <v>5899077</v>
      </c>
      <c r="E452" s="1068"/>
      <c r="F452" s="1533"/>
      <c r="G452" s="1533"/>
      <c r="H452" s="1533"/>
      <c r="I452" s="1770"/>
      <c r="J452" s="1770"/>
      <c r="K452" s="1770">
        <v>570000</v>
      </c>
      <c r="L452" s="1533">
        <v>2950000</v>
      </c>
      <c r="M452" s="504">
        <f t="shared" si="531"/>
        <v>3520000</v>
      </c>
      <c r="N452" s="1533">
        <f>2677528-298451</f>
        <v>2379077</v>
      </c>
      <c r="O452" s="1533"/>
      <c r="P452" s="1533"/>
      <c r="Q452" s="542"/>
      <c r="R452" s="542"/>
      <c r="S452" s="542"/>
      <c r="T452" s="542"/>
      <c r="U452" s="462">
        <f t="shared" ref="U452" si="533">SUM(O452:T452)</f>
        <v>0</v>
      </c>
      <c r="V452" s="2309"/>
    </row>
    <row r="453" spans="1:23" ht="10.5" customHeight="1">
      <c r="A453" s="2551"/>
      <c r="B453" s="755" t="s">
        <v>34</v>
      </c>
      <c r="C453" s="736"/>
      <c r="D453" s="685">
        <f>+D454</f>
        <v>5899077</v>
      </c>
      <c r="E453" s="685">
        <f t="shared" ref="E453:T454" si="534">+E454</f>
        <v>0</v>
      </c>
      <c r="F453" s="685">
        <f t="shared" si="534"/>
        <v>0</v>
      </c>
      <c r="G453" s="685">
        <f t="shared" si="534"/>
        <v>0</v>
      </c>
      <c r="H453" s="685">
        <f t="shared" si="534"/>
        <v>0</v>
      </c>
      <c r="I453" s="685">
        <f t="shared" si="534"/>
        <v>0</v>
      </c>
      <c r="J453" s="685">
        <f t="shared" si="534"/>
        <v>0</v>
      </c>
      <c r="K453" s="685">
        <f t="shared" si="534"/>
        <v>570000</v>
      </c>
      <c r="L453" s="685">
        <f t="shared" si="534"/>
        <v>2950000</v>
      </c>
      <c r="M453" s="685">
        <f t="shared" si="534"/>
        <v>3520000</v>
      </c>
      <c r="N453" s="685">
        <f t="shared" si="534"/>
        <v>2379077</v>
      </c>
      <c r="O453" s="685">
        <f t="shared" si="534"/>
        <v>0</v>
      </c>
      <c r="P453" s="685">
        <f t="shared" si="534"/>
        <v>0</v>
      </c>
      <c r="Q453" s="1771">
        <f t="shared" si="534"/>
        <v>0</v>
      </c>
      <c r="R453" s="1771">
        <f t="shared" si="534"/>
        <v>0</v>
      </c>
      <c r="S453" s="1771">
        <f t="shared" si="534"/>
        <v>0</v>
      </c>
      <c r="T453" s="1771">
        <f t="shared" si="534"/>
        <v>0</v>
      </c>
      <c r="U453" s="2567" t="s">
        <v>35</v>
      </c>
      <c r="V453" s="2574" t="s">
        <v>129</v>
      </c>
    </row>
    <row r="454" spans="1:23" ht="12.75" customHeight="1">
      <c r="A454" s="2551"/>
      <c r="B454" s="756" t="s">
        <v>36</v>
      </c>
      <c r="C454" s="2548" t="s">
        <v>105</v>
      </c>
      <c r="D454" s="688">
        <f>+D455</f>
        <v>5899077</v>
      </c>
      <c r="E454" s="688">
        <f t="shared" si="534"/>
        <v>0</v>
      </c>
      <c r="F454" s="688">
        <f t="shared" si="534"/>
        <v>0</v>
      </c>
      <c r="G454" s="688">
        <f t="shared" si="534"/>
        <v>0</v>
      </c>
      <c r="H454" s="688">
        <f t="shared" si="534"/>
        <v>0</v>
      </c>
      <c r="I454" s="688">
        <f t="shared" si="534"/>
        <v>0</v>
      </c>
      <c r="J454" s="688">
        <f t="shared" si="534"/>
        <v>0</v>
      </c>
      <c r="K454" s="688">
        <f t="shared" si="534"/>
        <v>570000</v>
      </c>
      <c r="L454" s="688">
        <f t="shared" si="534"/>
        <v>2950000</v>
      </c>
      <c r="M454" s="688">
        <f t="shared" si="534"/>
        <v>3520000</v>
      </c>
      <c r="N454" s="688">
        <f t="shared" si="534"/>
        <v>2379077</v>
      </c>
      <c r="O454" s="688">
        <f t="shared" si="534"/>
        <v>0</v>
      </c>
      <c r="P454" s="688">
        <f t="shared" si="534"/>
        <v>0</v>
      </c>
      <c r="Q454" s="1772">
        <f t="shared" si="534"/>
        <v>0</v>
      </c>
      <c r="R454" s="1772">
        <f t="shared" si="534"/>
        <v>0</v>
      </c>
      <c r="S454" s="1772">
        <f t="shared" si="534"/>
        <v>0</v>
      </c>
      <c r="T454" s="1772">
        <f t="shared" si="534"/>
        <v>0</v>
      </c>
      <c r="U454" s="2568"/>
      <c r="V454" s="2514"/>
    </row>
    <row r="455" spans="1:23" ht="13.5" thickBot="1">
      <c r="A455" s="2552"/>
      <c r="B455" s="785" t="s">
        <v>27</v>
      </c>
      <c r="C455" s="2549"/>
      <c r="D455" s="591">
        <f>SUM(M455:T455)</f>
        <v>5899077</v>
      </c>
      <c r="E455" s="524"/>
      <c r="F455" s="2114"/>
      <c r="G455" s="2114"/>
      <c r="H455" s="2114"/>
      <c r="I455" s="2115"/>
      <c r="J455" s="2115"/>
      <c r="K455" s="2115">
        <v>570000</v>
      </c>
      <c r="L455" s="552">
        <v>2950000</v>
      </c>
      <c r="M455" s="524">
        <f>L455+E455+I455+J455+K455</f>
        <v>3520000</v>
      </c>
      <c r="N455" s="552">
        <f>2857528-180000-298451</f>
        <v>2379077</v>
      </c>
      <c r="O455" s="552"/>
      <c r="P455" s="552"/>
      <c r="Q455" s="552"/>
      <c r="R455" s="552"/>
      <c r="S455" s="552"/>
      <c r="T455" s="552"/>
      <c r="U455" s="2569"/>
      <c r="V455" s="2515"/>
    </row>
    <row r="456" spans="1:23" ht="13.5" customHeight="1">
      <c r="A456" s="2550" t="s">
        <v>149</v>
      </c>
      <c r="B456" s="781" t="s">
        <v>150</v>
      </c>
      <c r="C456" s="758" t="s">
        <v>102</v>
      </c>
      <c r="D456" s="760"/>
      <c r="E456" s="760"/>
      <c r="F456" s="783"/>
      <c r="G456" s="783"/>
      <c r="H456" s="760"/>
      <c r="I456" s="760"/>
      <c r="J456" s="760"/>
      <c r="K456" s="760"/>
      <c r="L456" s="760"/>
      <c r="M456" s="760"/>
      <c r="N456" s="760"/>
      <c r="O456" s="760"/>
      <c r="P456" s="784"/>
      <c r="Q456" s="784"/>
      <c r="R456" s="784"/>
      <c r="S456" s="784"/>
      <c r="T456" s="784"/>
      <c r="U456" s="583"/>
      <c r="V456" s="2513" t="s">
        <v>108</v>
      </c>
    </row>
    <row r="457" spans="1:23">
      <c r="A457" s="2551"/>
      <c r="B457" s="755" t="s">
        <v>22</v>
      </c>
      <c r="C457" s="736"/>
      <c r="D457" s="685">
        <f>+D458</f>
        <v>1743306</v>
      </c>
      <c r="E457" s="685">
        <f t="shared" ref="E457:P458" si="535">+E458</f>
        <v>0</v>
      </c>
      <c r="F457" s="685">
        <f t="shared" si="535"/>
        <v>0</v>
      </c>
      <c r="G457" s="685">
        <f t="shared" si="535"/>
        <v>0</v>
      </c>
      <c r="H457" s="685">
        <f t="shared" si="535"/>
        <v>0</v>
      </c>
      <c r="I457" s="685">
        <f t="shared" si="535"/>
        <v>0</v>
      </c>
      <c r="J457" s="685">
        <f t="shared" si="535"/>
        <v>0</v>
      </c>
      <c r="K457" s="685">
        <f t="shared" si="535"/>
        <v>354120</v>
      </c>
      <c r="L457" s="685">
        <f t="shared" si="535"/>
        <v>0</v>
      </c>
      <c r="M457" s="685">
        <f t="shared" si="535"/>
        <v>354120</v>
      </c>
      <c r="N457" s="685">
        <f t="shared" si="535"/>
        <v>0</v>
      </c>
      <c r="O457" s="685">
        <f t="shared" si="535"/>
        <v>1389186</v>
      </c>
      <c r="P457" s="685">
        <f t="shared" si="535"/>
        <v>0</v>
      </c>
      <c r="Q457" s="685"/>
      <c r="R457" s="685"/>
      <c r="S457" s="685"/>
      <c r="T457" s="685"/>
      <c r="U457" s="535">
        <f>+U458</f>
        <v>1389186</v>
      </c>
      <c r="V457" s="2514"/>
      <c r="W457" s="1903">
        <f>+O457+P457+Q457+R457</f>
        <v>1389186</v>
      </c>
    </row>
    <row r="458" spans="1:23">
      <c r="A458" s="2551"/>
      <c r="B458" s="756" t="s">
        <v>36</v>
      </c>
      <c r="C458" s="2540" t="s">
        <v>105</v>
      </c>
      <c r="D458" s="688">
        <f>+D459</f>
        <v>1743306</v>
      </c>
      <c r="E458" s="688">
        <f t="shared" si="535"/>
        <v>0</v>
      </c>
      <c r="F458" s="688">
        <f t="shared" si="535"/>
        <v>0</v>
      </c>
      <c r="G458" s="688">
        <f t="shared" si="535"/>
        <v>0</v>
      </c>
      <c r="H458" s="688">
        <f t="shared" si="535"/>
        <v>0</v>
      </c>
      <c r="I458" s="688">
        <f t="shared" si="535"/>
        <v>0</v>
      </c>
      <c r="J458" s="688">
        <f t="shared" si="535"/>
        <v>0</v>
      </c>
      <c r="K458" s="688">
        <f t="shared" si="535"/>
        <v>354120</v>
      </c>
      <c r="L458" s="688">
        <f t="shared" si="535"/>
        <v>0</v>
      </c>
      <c r="M458" s="688">
        <f t="shared" si="535"/>
        <v>354120</v>
      </c>
      <c r="N458" s="688">
        <f t="shared" si="535"/>
        <v>0</v>
      </c>
      <c r="O458" s="688">
        <f t="shared" si="535"/>
        <v>1389186</v>
      </c>
      <c r="P458" s="688">
        <f t="shared" si="535"/>
        <v>0</v>
      </c>
      <c r="Q458" s="688"/>
      <c r="R458" s="688"/>
      <c r="S458" s="688"/>
      <c r="T458" s="688"/>
      <c r="U458" s="557">
        <f>+U459</f>
        <v>1389186</v>
      </c>
      <c r="V458" s="2514"/>
    </row>
    <row r="459" spans="1:23" ht="13.5" thickBot="1">
      <c r="A459" s="2552"/>
      <c r="B459" s="785" t="s">
        <v>24</v>
      </c>
      <c r="C459" s="2575"/>
      <c r="D459" s="520">
        <f>SUM(M459:T459)</f>
        <v>1743306</v>
      </c>
      <c r="E459" s="510">
        <f>+F459+G459+H459</f>
        <v>0</v>
      </c>
      <c r="F459" s="588">
        <v>0</v>
      </c>
      <c r="G459" s="588"/>
      <c r="H459" s="588">
        <v>0</v>
      </c>
      <c r="I459" s="587">
        <f>9525-9525</f>
        <v>0</v>
      </c>
      <c r="J459" s="587"/>
      <c r="K459" s="587">
        <v>354120</v>
      </c>
      <c r="L459" s="588">
        <f>1389186-1389186</f>
        <v>0</v>
      </c>
      <c r="M459" s="524">
        <f>L459+E459+I459+J459+K459</f>
        <v>354120</v>
      </c>
      <c r="N459" s="588">
        <f>149500-149500</f>
        <v>0</v>
      </c>
      <c r="O459" s="588">
        <f>1200000+39686+149500</f>
        <v>1389186</v>
      </c>
      <c r="P459" s="588">
        <v>0</v>
      </c>
      <c r="Q459" s="588"/>
      <c r="R459" s="588"/>
      <c r="S459" s="588"/>
      <c r="T459" s="588"/>
      <c r="U459" s="462">
        <f t="shared" ref="U459" si="536">SUM(O459:T459)</f>
        <v>1389186</v>
      </c>
      <c r="V459" s="2514"/>
    </row>
    <row r="460" spans="1:23" ht="23.25" customHeight="1">
      <c r="A460" s="2550" t="s">
        <v>111</v>
      </c>
      <c r="B460" s="781" t="s">
        <v>151</v>
      </c>
      <c r="C460" s="753" t="s">
        <v>102</v>
      </c>
      <c r="D460" s="690"/>
      <c r="E460" s="489"/>
      <c r="F460" s="490"/>
      <c r="G460" s="490"/>
      <c r="H460" s="489"/>
      <c r="I460" s="489"/>
      <c r="J460" s="489"/>
      <c r="K460" s="489"/>
      <c r="L460" s="489"/>
      <c r="M460" s="491"/>
      <c r="N460" s="491"/>
      <c r="O460" s="491"/>
      <c r="P460" s="491"/>
      <c r="Q460" s="491"/>
      <c r="R460" s="491"/>
      <c r="S460" s="1773"/>
      <c r="T460" s="628"/>
      <c r="U460" s="583"/>
      <c r="V460" s="2513" t="s">
        <v>108</v>
      </c>
    </row>
    <row r="461" spans="1:23">
      <c r="A461" s="2551"/>
      <c r="B461" s="755" t="s">
        <v>22</v>
      </c>
      <c r="C461" s="736"/>
      <c r="D461" s="685">
        <f>+D462</f>
        <v>395660</v>
      </c>
      <c r="E461" s="685">
        <f t="shared" ref="E461:P461" si="537">+E462</f>
        <v>0</v>
      </c>
      <c r="F461" s="685">
        <f t="shared" si="537"/>
        <v>0</v>
      </c>
      <c r="G461" s="685">
        <f t="shared" si="537"/>
        <v>0</v>
      </c>
      <c r="H461" s="685">
        <f t="shared" si="537"/>
        <v>0</v>
      </c>
      <c r="I461" s="685">
        <f t="shared" si="537"/>
        <v>228400</v>
      </c>
      <c r="J461" s="685">
        <f t="shared" si="537"/>
        <v>3000</v>
      </c>
      <c r="K461" s="685">
        <f t="shared" si="537"/>
        <v>22878</v>
      </c>
      <c r="L461" s="685">
        <f t="shared" si="537"/>
        <v>137917</v>
      </c>
      <c r="M461" s="685">
        <f t="shared" si="537"/>
        <v>392195</v>
      </c>
      <c r="N461" s="685">
        <f t="shared" si="537"/>
        <v>3465</v>
      </c>
      <c r="O461" s="685">
        <f t="shared" si="537"/>
        <v>0</v>
      </c>
      <c r="P461" s="685">
        <f t="shared" si="537"/>
        <v>0</v>
      </c>
      <c r="Q461" s="685"/>
      <c r="R461" s="685"/>
      <c r="S461" s="685"/>
      <c r="T461" s="685"/>
      <c r="U461" s="1078">
        <f>+U462</f>
        <v>0</v>
      </c>
      <c r="V461" s="2514"/>
      <c r="W461" s="1903">
        <f>+O461+P461+Q461+R461</f>
        <v>0</v>
      </c>
    </row>
    <row r="462" spans="1:23">
      <c r="A462" s="2551"/>
      <c r="B462" s="756" t="s">
        <v>36</v>
      </c>
      <c r="C462" s="2540" t="s">
        <v>105</v>
      </c>
      <c r="D462" s="688">
        <f>+D463+D464</f>
        <v>395660</v>
      </c>
      <c r="E462" s="688">
        <f t="shared" ref="E462:Q462" si="538">+E463+E464</f>
        <v>0</v>
      </c>
      <c r="F462" s="688">
        <f t="shared" si="538"/>
        <v>0</v>
      </c>
      <c r="G462" s="688">
        <f t="shared" si="538"/>
        <v>0</v>
      </c>
      <c r="H462" s="688">
        <f t="shared" si="538"/>
        <v>0</v>
      </c>
      <c r="I462" s="688">
        <f t="shared" si="538"/>
        <v>228400</v>
      </c>
      <c r="J462" s="688">
        <f t="shared" si="538"/>
        <v>3000</v>
      </c>
      <c r="K462" s="688">
        <f t="shared" si="538"/>
        <v>22878</v>
      </c>
      <c r="L462" s="688">
        <f t="shared" si="538"/>
        <v>137917</v>
      </c>
      <c r="M462" s="688">
        <f t="shared" ref="M462" si="539">+M463+M464</f>
        <v>392195</v>
      </c>
      <c r="N462" s="688">
        <f t="shared" si="538"/>
        <v>3465</v>
      </c>
      <c r="O462" s="688">
        <f t="shared" si="538"/>
        <v>0</v>
      </c>
      <c r="P462" s="688">
        <f t="shared" si="538"/>
        <v>0</v>
      </c>
      <c r="Q462" s="688">
        <f t="shared" si="538"/>
        <v>0</v>
      </c>
      <c r="R462" s="688"/>
      <c r="S462" s="688"/>
      <c r="T462" s="688"/>
      <c r="U462" s="557">
        <f>+U463</f>
        <v>0</v>
      </c>
      <c r="V462" s="2514"/>
    </row>
    <row r="463" spans="1:23">
      <c r="A463" s="2551"/>
      <c r="B463" s="789" t="s">
        <v>24</v>
      </c>
      <c r="C463" s="2572"/>
      <c r="D463" s="588">
        <f>+E463+I463+J463+K463+L463+N463</f>
        <v>338657</v>
      </c>
      <c r="E463" s="510">
        <f>+F463+G463+H463</f>
        <v>0</v>
      </c>
      <c r="F463" s="588">
        <v>0</v>
      </c>
      <c r="G463" s="588"/>
      <c r="H463" s="588">
        <v>0</v>
      </c>
      <c r="I463" s="689">
        <v>228400</v>
      </c>
      <c r="J463" s="549">
        <f>316600-313600</f>
        <v>3000</v>
      </c>
      <c r="K463" s="587">
        <v>0</v>
      </c>
      <c r="L463" s="588">
        <f>350000-212083-34125</f>
        <v>103792</v>
      </c>
      <c r="M463" s="504">
        <f t="shared" ref="M463:M464" si="540">+E463+I463+J463+K463+L463</f>
        <v>335192</v>
      </c>
      <c r="N463" s="588">
        <f>5665-2200</f>
        <v>3465</v>
      </c>
      <c r="O463" s="588">
        <v>0</v>
      </c>
      <c r="P463" s="588">
        <v>0</v>
      </c>
      <c r="Q463" s="588"/>
      <c r="R463" s="588"/>
      <c r="S463" s="588"/>
      <c r="T463" s="588"/>
      <c r="U463" s="462">
        <f t="shared" ref="U463:U464" si="541">SUM(O463:T463)</f>
        <v>0</v>
      </c>
      <c r="V463" s="2514"/>
    </row>
    <row r="464" spans="1:23">
      <c r="A464" s="2551"/>
      <c r="B464" s="790" t="s">
        <v>27</v>
      </c>
      <c r="C464" s="2573"/>
      <c r="D464" s="520">
        <f>SUM(M464:T464)</f>
        <v>57003</v>
      </c>
      <c r="E464" s="1068"/>
      <c r="F464" s="1533"/>
      <c r="G464" s="1533"/>
      <c r="H464" s="1533"/>
      <c r="I464" s="1770"/>
      <c r="J464" s="1770"/>
      <c r="K464" s="1770">
        <v>22878</v>
      </c>
      <c r="L464" s="1533">
        <v>34125</v>
      </c>
      <c r="M464" s="504">
        <f t="shared" si="540"/>
        <v>57003</v>
      </c>
      <c r="N464" s="1533"/>
      <c r="O464" s="1533"/>
      <c r="P464" s="1533"/>
      <c r="Q464" s="542"/>
      <c r="R464" s="542"/>
      <c r="S464" s="542"/>
      <c r="T464" s="542"/>
      <c r="U464" s="462">
        <f t="shared" si="541"/>
        <v>0</v>
      </c>
      <c r="V464" s="2309"/>
    </row>
    <row r="465" spans="1:23">
      <c r="A465" s="2551"/>
      <c r="B465" s="755" t="s">
        <v>34</v>
      </c>
      <c r="C465" s="736"/>
      <c r="D465" s="685">
        <f>+D466</f>
        <v>57003</v>
      </c>
      <c r="E465" s="685">
        <f t="shared" ref="E465:Q466" si="542">+E466</f>
        <v>0</v>
      </c>
      <c r="F465" s="685">
        <f t="shared" si="542"/>
        <v>0</v>
      </c>
      <c r="G465" s="685">
        <f t="shared" si="542"/>
        <v>0</v>
      </c>
      <c r="H465" s="685">
        <f t="shared" si="542"/>
        <v>0</v>
      </c>
      <c r="I465" s="685">
        <f t="shared" si="542"/>
        <v>0</v>
      </c>
      <c r="J465" s="685">
        <f t="shared" si="542"/>
        <v>0</v>
      </c>
      <c r="K465" s="685">
        <f t="shared" si="542"/>
        <v>22878</v>
      </c>
      <c r="L465" s="685">
        <f t="shared" si="542"/>
        <v>34125</v>
      </c>
      <c r="M465" s="685">
        <f t="shared" si="542"/>
        <v>57003</v>
      </c>
      <c r="N465" s="685">
        <f t="shared" si="542"/>
        <v>0</v>
      </c>
      <c r="O465" s="685">
        <f t="shared" si="542"/>
        <v>0</v>
      </c>
      <c r="P465" s="685">
        <f t="shared" si="542"/>
        <v>0</v>
      </c>
      <c r="Q465" s="1771">
        <f t="shared" si="542"/>
        <v>0</v>
      </c>
      <c r="R465" s="1771"/>
      <c r="S465" s="1771"/>
      <c r="T465" s="1771"/>
      <c r="U465" s="2576" t="s">
        <v>35</v>
      </c>
      <c r="V465" s="2574" t="s">
        <v>129</v>
      </c>
    </row>
    <row r="466" spans="1:23">
      <c r="A466" s="2551"/>
      <c r="B466" s="756" t="s">
        <v>36</v>
      </c>
      <c r="C466" s="2548" t="s">
        <v>105</v>
      </c>
      <c r="D466" s="688">
        <f>+D467</f>
        <v>57003</v>
      </c>
      <c r="E466" s="688">
        <f t="shared" si="542"/>
        <v>0</v>
      </c>
      <c r="F466" s="688">
        <f t="shared" si="542"/>
        <v>0</v>
      </c>
      <c r="G466" s="688">
        <f t="shared" si="542"/>
        <v>0</v>
      </c>
      <c r="H466" s="688">
        <f t="shared" si="542"/>
        <v>0</v>
      </c>
      <c r="I466" s="688">
        <f t="shared" si="542"/>
        <v>0</v>
      </c>
      <c r="J466" s="688">
        <f t="shared" si="542"/>
        <v>0</v>
      </c>
      <c r="K466" s="688">
        <f t="shared" si="542"/>
        <v>22878</v>
      </c>
      <c r="L466" s="688">
        <f t="shared" si="542"/>
        <v>34125</v>
      </c>
      <c r="M466" s="688">
        <f t="shared" si="542"/>
        <v>57003</v>
      </c>
      <c r="N466" s="688">
        <f t="shared" si="542"/>
        <v>0</v>
      </c>
      <c r="O466" s="688">
        <f t="shared" si="542"/>
        <v>0</v>
      </c>
      <c r="P466" s="688">
        <f t="shared" si="542"/>
        <v>0</v>
      </c>
      <c r="Q466" s="1772">
        <f t="shared" si="542"/>
        <v>0</v>
      </c>
      <c r="R466" s="1772"/>
      <c r="S466" s="1772"/>
      <c r="T466" s="1772"/>
      <c r="U466" s="2577"/>
      <c r="V466" s="2514"/>
    </row>
    <row r="467" spans="1:23" ht="13.5" thickBot="1">
      <c r="A467" s="2552"/>
      <c r="B467" s="785" t="s">
        <v>27</v>
      </c>
      <c r="C467" s="2549"/>
      <c r="D467" s="520">
        <f>SUM(M467:T467)</f>
        <v>57003</v>
      </c>
      <c r="E467" s="546"/>
      <c r="F467" s="1774"/>
      <c r="G467" s="1774"/>
      <c r="H467" s="1774"/>
      <c r="I467" s="1775"/>
      <c r="J467" s="1775"/>
      <c r="K467" s="1775">
        <v>22878</v>
      </c>
      <c r="L467" s="552">
        <v>34125</v>
      </c>
      <c r="M467" s="524">
        <f>L467+E467+I467+J467+K467</f>
        <v>57003</v>
      </c>
      <c r="N467" s="552"/>
      <c r="O467" s="552"/>
      <c r="P467" s="552"/>
      <c r="Q467" s="552"/>
      <c r="R467" s="552"/>
      <c r="S467" s="552"/>
      <c r="T467" s="552"/>
      <c r="U467" s="2578"/>
      <c r="V467" s="2515"/>
    </row>
    <row r="468" spans="1:23" s="2158" customFormat="1" ht="26.25" customHeight="1">
      <c r="A468" s="2550" t="s">
        <v>112</v>
      </c>
      <c r="B468" s="781" t="s">
        <v>412</v>
      </c>
      <c r="C468" s="753" t="s">
        <v>102</v>
      </c>
      <c r="D468" s="690"/>
      <c r="E468" s="489"/>
      <c r="F468" s="490"/>
      <c r="G468" s="490"/>
      <c r="H468" s="489"/>
      <c r="I468" s="489"/>
      <c r="J468" s="489"/>
      <c r="K468" s="489"/>
      <c r="L468" s="489"/>
      <c r="M468" s="491"/>
      <c r="N468" s="491"/>
      <c r="O468" s="491"/>
      <c r="P468" s="491"/>
      <c r="Q468" s="491"/>
      <c r="R468" s="491"/>
      <c r="S468" s="491"/>
      <c r="T468" s="629"/>
      <c r="U468" s="1773"/>
      <c r="V468" s="2513" t="s">
        <v>108</v>
      </c>
    </row>
    <row r="469" spans="1:23" s="2158" customFormat="1">
      <c r="A469" s="2551"/>
      <c r="B469" s="755" t="s">
        <v>22</v>
      </c>
      <c r="C469" s="736"/>
      <c r="D469" s="685">
        <f>+D470</f>
        <v>4410000</v>
      </c>
      <c r="E469" s="685"/>
      <c r="F469" s="685"/>
      <c r="G469" s="685"/>
      <c r="H469" s="685"/>
      <c r="I469" s="685"/>
      <c r="J469" s="685">
        <f>+J470</f>
        <v>951324</v>
      </c>
      <c r="K469" s="685">
        <f t="shared" ref="K469:R470" si="543">+K470</f>
        <v>919494</v>
      </c>
      <c r="L469" s="685">
        <f t="shared" si="543"/>
        <v>925672</v>
      </c>
      <c r="M469" s="685">
        <f t="shared" si="543"/>
        <v>0</v>
      </c>
      <c r="N469" s="685">
        <f t="shared" si="543"/>
        <v>0</v>
      </c>
      <c r="O469" s="685">
        <f t="shared" si="543"/>
        <v>0</v>
      </c>
      <c r="P469" s="685">
        <f t="shared" si="543"/>
        <v>4410000</v>
      </c>
      <c r="Q469" s="685">
        <f t="shared" si="543"/>
        <v>0</v>
      </c>
      <c r="R469" s="685">
        <f t="shared" si="543"/>
        <v>0</v>
      </c>
      <c r="S469" s="685"/>
      <c r="T469" s="685"/>
      <c r="U469" s="1795">
        <f>+U470</f>
        <v>4410000</v>
      </c>
      <c r="V469" s="2514"/>
    </row>
    <row r="470" spans="1:23" s="2158" customFormat="1">
      <c r="A470" s="2551"/>
      <c r="B470" s="756" t="s">
        <v>36</v>
      </c>
      <c r="C470" s="2548" t="s">
        <v>105</v>
      </c>
      <c r="D470" s="688">
        <f>+D471</f>
        <v>4410000</v>
      </c>
      <c r="E470" s="688"/>
      <c r="F470" s="688"/>
      <c r="G470" s="688"/>
      <c r="H470" s="688"/>
      <c r="I470" s="688"/>
      <c r="J470" s="688">
        <f>+J471</f>
        <v>951324</v>
      </c>
      <c r="K470" s="688">
        <f t="shared" si="543"/>
        <v>919494</v>
      </c>
      <c r="L470" s="688">
        <f t="shared" si="543"/>
        <v>925672</v>
      </c>
      <c r="M470" s="688">
        <f t="shared" si="543"/>
        <v>0</v>
      </c>
      <c r="N470" s="688">
        <f t="shared" si="543"/>
        <v>0</v>
      </c>
      <c r="O470" s="688">
        <f t="shared" si="543"/>
        <v>0</v>
      </c>
      <c r="P470" s="688">
        <f t="shared" si="543"/>
        <v>4410000</v>
      </c>
      <c r="Q470" s="688">
        <f t="shared" si="543"/>
        <v>0</v>
      </c>
      <c r="R470" s="688">
        <f t="shared" si="543"/>
        <v>0</v>
      </c>
      <c r="S470" s="688"/>
      <c r="T470" s="688"/>
      <c r="U470" s="657">
        <f>+U471</f>
        <v>4410000</v>
      </c>
      <c r="V470" s="2514"/>
    </row>
    <row r="471" spans="1:23" s="2158" customFormat="1" ht="13.5" thickBot="1">
      <c r="A471" s="2552"/>
      <c r="B471" s="785" t="s">
        <v>24</v>
      </c>
      <c r="C471" s="2549"/>
      <c r="D471" s="520">
        <f>SUM(M471:T471)</f>
        <v>4410000</v>
      </c>
      <c r="E471" s="546"/>
      <c r="F471" s="1774"/>
      <c r="G471" s="1774"/>
      <c r="H471" s="1774"/>
      <c r="I471" s="1776"/>
      <c r="J471" s="552">
        <f>969812-18488</f>
        <v>951324</v>
      </c>
      <c r="K471" s="1775">
        <f>1150000-230506</f>
        <v>919494</v>
      </c>
      <c r="L471" s="1774">
        <f>2150000-700000-500000-24328</f>
        <v>925672</v>
      </c>
      <c r="M471" s="524">
        <v>0</v>
      </c>
      <c r="N471" s="1774">
        <v>0</v>
      </c>
      <c r="O471" s="1774">
        <v>0</v>
      </c>
      <c r="P471" s="1774">
        <v>4410000</v>
      </c>
      <c r="Q471" s="1774"/>
      <c r="R471" s="1774"/>
      <c r="S471" s="540"/>
      <c r="T471" s="540"/>
      <c r="U471" s="462">
        <f t="shared" ref="U471" si="544">SUM(O471:T471)</f>
        <v>4410000</v>
      </c>
      <c r="V471" s="2514"/>
    </row>
    <row r="472" spans="1:23" ht="16.5" customHeight="1">
      <c r="A472" s="2550" t="s">
        <v>112</v>
      </c>
      <c r="B472" s="781" t="s">
        <v>335</v>
      </c>
      <c r="C472" s="753" t="s">
        <v>138</v>
      </c>
      <c r="D472" s="690"/>
      <c r="E472" s="489"/>
      <c r="F472" s="490"/>
      <c r="G472" s="490"/>
      <c r="H472" s="489"/>
      <c r="I472" s="489"/>
      <c r="J472" s="489"/>
      <c r="K472" s="489"/>
      <c r="L472" s="489"/>
      <c r="M472" s="491"/>
      <c r="N472" s="491"/>
      <c r="O472" s="491"/>
      <c r="P472" s="491"/>
      <c r="Q472" s="491"/>
      <c r="R472" s="491"/>
      <c r="S472" s="491"/>
      <c r="T472" s="629"/>
      <c r="U472" s="583"/>
      <c r="V472" s="2513" t="s">
        <v>129</v>
      </c>
    </row>
    <row r="473" spans="1:23">
      <c r="A473" s="2551"/>
      <c r="B473" s="755" t="s">
        <v>22</v>
      </c>
      <c r="C473" s="736"/>
      <c r="D473" s="685">
        <f>+D474</f>
        <v>15534490</v>
      </c>
      <c r="E473" s="685"/>
      <c r="F473" s="685"/>
      <c r="G473" s="685"/>
      <c r="H473" s="685"/>
      <c r="I473" s="685"/>
      <c r="J473" s="685">
        <f>+J474</f>
        <v>951324</v>
      </c>
      <c r="K473" s="685">
        <f t="shared" ref="K473:R474" si="545">+K474</f>
        <v>919494</v>
      </c>
      <c r="L473" s="685">
        <f t="shared" si="545"/>
        <v>925672</v>
      </c>
      <c r="M473" s="685">
        <f t="shared" si="545"/>
        <v>2796490</v>
      </c>
      <c r="N473" s="685">
        <f t="shared" si="545"/>
        <v>1178000</v>
      </c>
      <c r="O473" s="685">
        <f t="shared" si="545"/>
        <v>2560000</v>
      </c>
      <c r="P473" s="685">
        <f t="shared" si="545"/>
        <v>3000000</v>
      </c>
      <c r="Q473" s="685">
        <f t="shared" si="545"/>
        <v>3000000</v>
      </c>
      <c r="R473" s="685">
        <f t="shared" si="545"/>
        <v>3000000</v>
      </c>
      <c r="S473" s="685"/>
      <c r="T473" s="685"/>
      <c r="U473" s="1795">
        <f>+U474</f>
        <v>11560000</v>
      </c>
      <c r="V473" s="2514"/>
      <c r="W473" s="1903">
        <f>+O473+P473+Q473+R473</f>
        <v>11560000</v>
      </c>
    </row>
    <row r="474" spans="1:23">
      <c r="A474" s="2551"/>
      <c r="B474" s="756" t="s">
        <v>36</v>
      </c>
      <c r="C474" s="2548" t="s">
        <v>124</v>
      </c>
      <c r="D474" s="688">
        <f>+D475</f>
        <v>15534490</v>
      </c>
      <c r="E474" s="688"/>
      <c r="F474" s="688"/>
      <c r="G474" s="688"/>
      <c r="H474" s="688"/>
      <c r="I474" s="688"/>
      <c r="J474" s="688">
        <f>+J475</f>
        <v>951324</v>
      </c>
      <c r="K474" s="688">
        <f t="shared" si="545"/>
        <v>919494</v>
      </c>
      <c r="L474" s="688">
        <f t="shared" si="545"/>
        <v>925672</v>
      </c>
      <c r="M474" s="688">
        <f t="shared" si="545"/>
        <v>2796490</v>
      </c>
      <c r="N474" s="688">
        <f t="shared" si="545"/>
        <v>1178000</v>
      </c>
      <c r="O474" s="688">
        <f t="shared" si="545"/>
        <v>2560000</v>
      </c>
      <c r="P474" s="688">
        <f t="shared" si="545"/>
        <v>3000000</v>
      </c>
      <c r="Q474" s="688">
        <f t="shared" si="545"/>
        <v>3000000</v>
      </c>
      <c r="R474" s="688">
        <f t="shared" si="545"/>
        <v>3000000</v>
      </c>
      <c r="S474" s="688"/>
      <c r="T474" s="688"/>
      <c r="U474" s="657">
        <f>+U475</f>
        <v>11560000</v>
      </c>
      <c r="V474" s="2514"/>
    </row>
    <row r="475" spans="1:23" ht="13.5" thickBot="1">
      <c r="A475" s="2552"/>
      <c r="B475" s="785" t="s">
        <v>24</v>
      </c>
      <c r="C475" s="2549"/>
      <c r="D475" s="520">
        <f>SUM(M475:T475)</f>
        <v>15534490</v>
      </c>
      <c r="E475" s="546"/>
      <c r="F475" s="1774"/>
      <c r="G475" s="1774"/>
      <c r="H475" s="1774"/>
      <c r="I475" s="1776"/>
      <c r="J475" s="552">
        <f>969812-18488</f>
        <v>951324</v>
      </c>
      <c r="K475" s="1775">
        <f>1150000-230506</f>
        <v>919494</v>
      </c>
      <c r="L475" s="1774">
        <f>2150000-700000-500000-24328</f>
        <v>925672</v>
      </c>
      <c r="M475" s="524">
        <f>L475+E475+I475+J475+K475</f>
        <v>2796490</v>
      </c>
      <c r="N475" s="1774">
        <v>1178000</v>
      </c>
      <c r="O475" s="1774">
        <f>3000000-440000</f>
        <v>2560000</v>
      </c>
      <c r="P475" s="1774">
        <v>3000000</v>
      </c>
      <c r="Q475" s="1774">
        <v>3000000</v>
      </c>
      <c r="R475" s="1774">
        <v>3000000</v>
      </c>
      <c r="S475" s="540"/>
      <c r="T475" s="540"/>
      <c r="U475" s="462">
        <f t="shared" ref="U475" si="546">SUM(O475:T475)</f>
        <v>11560000</v>
      </c>
      <c r="V475" s="2515"/>
    </row>
    <row r="476" spans="1:23" ht="15.75" customHeight="1">
      <c r="A476" s="2550" t="s">
        <v>114</v>
      </c>
      <c r="B476" s="781" t="s">
        <v>330</v>
      </c>
      <c r="C476" s="753" t="s">
        <v>138</v>
      </c>
      <c r="D476" s="690"/>
      <c r="E476" s="489"/>
      <c r="F476" s="490"/>
      <c r="G476" s="490"/>
      <c r="H476" s="489"/>
      <c r="I476" s="489"/>
      <c r="J476" s="489"/>
      <c r="K476" s="489"/>
      <c r="L476" s="489"/>
      <c r="M476" s="491"/>
      <c r="N476" s="491"/>
      <c r="O476" s="491"/>
      <c r="P476" s="491"/>
      <c r="Q476" s="491"/>
      <c r="R476" s="491"/>
      <c r="S476" s="491"/>
      <c r="T476" s="629"/>
      <c r="U476" s="583"/>
      <c r="V476" s="2513" t="s">
        <v>129</v>
      </c>
    </row>
    <row r="477" spans="1:23">
      <c r="A477" s="2551"/>
      <c r="B477" s="755" t="s">
        <v>22</v>
      </c>
      <c r="C477" s="736"/>
      <c r="D477" s="685">
        <f>+D478</f>
        <v>634499447</v>
      </c>
      <c r="E477" s="685"/>
      <c r="F477" s="685"/>
      <c r="G477" s="685"/>
      <c r="H477" s="685"/>
      <c r="I477" s="685"/>
      <c r="J477" s="685"/>
      <c r="K477" s="685"/>
      <c r="L477" s="685">
        <f t="shared" ref="L477:U477" si="547">+L478</f>
        <v>77246948</v>
      </c>
      <c r="M477" s="685">
        <f t="shared" si="547"/>
        <v>77246948</v>
      </c>
      <c r="N477" s="685">
        <f t="shared" si="547"/>
        <v>79776281</v>
      </c>
      <c r="O477" s="685">
        <f t="shared" si="547"/>
        <v>80717218</v>
      </c>
      <c r="P477" s="685">
        <f t="shared" si="547"/>
        <v>80759000</v>
      </c>
      <c r="Q477" s="685">
        <f t="shared" si="547"/>
        <v>79000000</v>
      </c>
      <c r="R477" s="685">
        <f t="shared" si="547"/>
        <v>79000000</v>
      </c>
      <c r="S477" s="685">
        <f t="shared" si="547"/>
        <v>79000000</v>
      </c>
      <c r="T477" s="685">
        <f t="shared" si="547"/>
        <v>79000000</v>
      </c>
      <c r="U477" s="1078">
        <f t="shared" si="547"/>
        <v>477476218</v>
      </c>
      <c r="V477" s="2514"/>
      <c r="W477" s="1903">
        <f>+O477+P477+Q477+R477+158000000</f>
        <v>477476218</v>
      </c>
    </row>
    <row r="478" spans="1:23">
      <c r="A478" s="2551"/>
      <c r="B478" s="756" t="s">
        <v>36</v>
      </c>
      <c r="C478" s="2548" t="s">
        <v>124</v>
      </c>
      <c r="D478" s="688">
        <f>+D479+D480</f>
        <v>634499447</v>
      </c>
      <c r="E478" s="688"/>
      <c r="F478" s="688"/>
      <c r="G478" s="688"/>
      <c r="H478" s="688"/>
      <c r="I478" s="688"/>
      <c r="J478" s="688"/>
      <c r="K478" s="688"/>
      <c r="L478" s="688">
        <f t="shared" ref="L478:R478" si="548">+L479+L480</f>
        <v>77246948</v>
      </c>
      <c r="M478" s="688">
        <f t="shared" ref="M478" si="549">+M479+M480</f>
        <v>77246948</v>
      </c>
      <c r="N478" s="688">
        <f t="shared" si="548"/>
        <v>79776281</v>
      </c>
      <c r="O478" s="688">
        <f t="shared" si="548"/>
        <v>80717218</v>
      </c>
      <c r="P478" s="688">
        <f t="shared" si="548"/>
        <v>80759000</v>
      </c>
      <c r="Q478" s="688">
        <f t="shared" si="548"/>
        <v>79000000</v>
      </c>
      <c r="R478" s="688">
        <f t="shared" si="548"/>
        <v>79000000</v>
      </c>
      <c r="S478" s="688">
        <f t="shared" ref="S478:T478" si="550">+S479+S480</f>
        <v>79000000</v>
      </c>
      <c r="T478" s="688">
        <f t="shared" si="550"/>
        <v>79000000</v>
      </c>
      <c r="U478" s="557">
        <f>+U479+U480</f>
        <v>477476218</v>
      </c>
      <c r="V478" s="2514"/>
    </row>
    <row r="479" spans="1:23">
      <c r="A479" s="2551"/>
      <c r="B479" s="789" t="s">
        <v>24</v>
      </c>
      <c r="C479" s="2571"/>
      <c r="D479" s="520">
        <f>SUM(M479:T479)</f>
        <v>631406978</v>
      </c>
      <c r="E479" s="510"/>
      <c r="F479" s="588"/>
      <c r="G479" s="588"/>
      <c r="H479" s="588"/>
      <c r="I479" s="689"/>
      <c r="J479" s="549"/>
      <c r="K479" s="587"/>
      <c r="L479" s="588">
        <f>77000000+700000-658679</f>
        <v>77041321</v>
      </c>
      <c r="M479" s="504">
        <f t="shared" ref="M479:M480" si="551">+E479+I479+J479+K479+L479</f>
        <v>77041321</v>
      </c>
      <c r="N479" s="588">
        <v>78566657</v>
      </c>
      <c r="O479" s="588">
        <f>77000000+2000000+40000</f>
        <v>79040000</v>
      </c>
      <c r="P479" s="588">
        <f>79000000+1759000</f>
        <v>80759000</v>
      </c>
      <c r="Q479" s="588">
        <v>79000000</v>
      </c>
      <c r="R479" s="588">
        <v>79000000</v>
      </c>
      <c r="S479" s="588">
        <v>79000000</v>
      </c>
      <c r="T479" s="588">
        <v>79000000</v>
      </c>
      <c r="U479" s="462">
        <f t="shared" ref="U479:U480" si="552">SUM(O479:T479)</f>
        <v>475799000</v>
      </c>
      <c r="V479" s="2514"/>
    </row>
    <row r="480" spans="1:23">
      <c r="A480" s="2551"/>
      <c r="B480" s="790" t="s">
        <v>27</v>
      </c>
      <c r="C480" s="2188"/>
      <c r="D480" s="520">
        <f>SUM(M480:T480)</f>
        <v>3092469</v>
      </c>
      <c r="E480" s="1068"/>
      <c r="F480" s="1533"/>
      <c r="G480" s="1533"/>
      <c r="H480" s="1533"/>
      <c r="I480" s="1770"/>
      <c r="J480" s="1770"/>
      <c r="K480" s="1770"/>
      <c r="L480" s="1533">
        <f>220000-14373</f>
        <v>205627</v>
      </c>
      <c r="M480" s="504">
        <f t="shared" si="551"/>
        <v>205627</v>
      </c>
      <c r="N480" s="1533">
        <v>1209624</v>
      </c>
      <c r="O480" s="1533">
        <f>1447218+230000</f>
        <v>1677218</v>
      </c>
      <c r="P480" s="1533"/>
      <c r="Q480" s="1777">
        <v>0</v>
      </c>
      <c r="R480" s="1777"/>
      <c r="S480" s="1466"/>
      <c r="T480" s="1466"/>
      <c r="U480" s="462">
        <f t="shared" si="552"/>
        <v>1677218</v>
      </c>
      <c r="V480" s="2514"/>
    </row>
    <row r="481" spans="1:23">
      <c r="A481" s="2551"/>
      <c r="B481" s="755" t="s">
        <v>34</v>
      </c>
      <c r="C481" s="736"/>
      <c r="D481" s="685">
        <f>+D482</f>
        <v>43132469</v>
      </c>
      <c r="E481" s="685"/>
      <c r="F481" s="685">
        <f t="shared" ref="F481:R481" si="553">+F482</f>
        <v>0</v>
      </c>
      <c r="G481" s="685">
        <f t="shared" si="553"/>
        <v>0</v>
      </c>
      <c r="H481" s="685">
        <f t="shared" si="553"/>
        <v>0</v>
      </c>
      <c r="I481" s="685"/>
      <c r="J481" s="685"/>
      <c r="K481" s="685"/>
      <c r="L481" s="685">
        <f t="shared" si="553"/>
        <v>205627</v>
      </c>
      <c r="M481" s="685">
        <f t="shared" si="553"/>
        <v>205627</v>
      </c>
      <c r="N481" s="685">
        <f t="shared" si="553"/>
        <v>1209624</v>
      </c>
      <c r="O481" s="685">
        <f t="shared" si="553"/>
        <v>10217218</v>
      </c>
      <c r="P481" s="685">
        <f t="shared" si="553"/>
        <v>10500000</v>
      </c>
      <c r="Q481" s="1771">
        <f t="shared" si="553"/>
        <v>10500000</v>
      </c>
      <c r="R481" s="1771">
        <f t="shared" si="553"/>
        <v>10500000</v>
      </c>
      <c r="S481" s="1771"/>
      <c r="T481" s="1771"/>
      <c r="U481" s="2567" t="s">
        <v>35</v>
      </c>
      <c r="V481" s="2514"/>
    </row>
    <row r="482" spans="1:23">
      <c r="A482" s="2551"/>
      <c r="B482" s="756" t="s">
        <v>36</v>
      </c>
      <c r="C482" s="2548" t="s">
        <v>124</v>
      </c>
      <c r="D482" s="688">
        <f>+D483+D484</f>
        <v>43132469</v>
      </c>
      <c r="E482" s="688">
        <f t="shared" ref="E482:T482" si="554">+E483+E484</f>
        <v>0</v>
      </c>
      <c r="F482" s="688">
        <f t="shared" si="554"/>
        <v>0</v>
      </c>
      <c r="G482" s="688">
        <f t="shared" si="554"/>
        <v>0</v>
      </c>
      <c r="H482" s="688">
        <f t="shared" si="554"/>
        <v>0</v>
      </c>
      <c r="I482" s="688">
        <f t="shared" si="554"/>
        <v>0</v>
      </c>
      <c r="J482" s="688">
        <f t="shared" si="554"/>
        <v>0</v>
      </c>
      <c r="K482" s="688">
        <f t="shared" si="554"/>
        <v>0</v>
      </c>
      <c r="L482" s="688">
        <f t="shared" si="554"/>
        <v>205627</v>
      </c>
      <c r="M482" s="688">
        <f t="shared" si="554"/>
        <v>205627</v>
      </c>
      <c r="N482" s="688">
        <f t="shared" si="554"/>
        <v>1209624</v>
      </c>
      <c r="O482" s="688">
        <f t="shared" si="554"/>
        <v>10217218</v>
      </c>
      <c r="P482" s="688">
        <f t="shared" si="554"/>
        <v>10500000</v>
      </c>
      <c r="Q482" s="688">
        <f t="shared" si="554"/>
        <v>10500000</v>
      </c>
      <c r="R482" s="688">
        <f t="shared" si="554"/>
        <v>10500000</v>
      </c>
      <c r="S482" s="688">
        <f t="shared" si="554"/>
        <v>0</v>
      </c>
      <c r="T482" s="688">
        <f t="shared" si="554"/>
        <v>0</v>
      </c>
      <c r="U482" s="2568"/>
      <c r="V482" s="2514"/>
    </row>
    <row r="483" spans="1:23">
      <c r="A483" s="2551"/>
      <c r="B483" s="1880" t="s">
        <v>339</v>
      </c>
      <c r="C483" s="2570"/>
      <c r="D483" s="520">
        <f>SUM(M483:T483)</f>
        <v>40040000</v>
      </c>
      <c r="E483" s="1879"/>
      <c r="F483" s="1879"/>
      <c r="G483" s="1879"/>
      <c r="H483" s="1879"/>
      <c r="I483" s="1879"/>
      <c r="J483" s="1879"/>
      <c r="K483" s="1879"/>
      <c r="L483" s="1879"/>
      <c r="M483" s="1772"/>
      <c r="N483" s="1879"/>
      <c r="O483" s="520">
        <f>8500000+40000</f>
        <v>8540000</v>
      </c>
      <c r="P483" s="520">
        <v>10500000</v>
      </c>
      <c r="Q483" s="520">
        <v>10500000</v>
      </c>
      <c r="R483" s="520">
        <v>10500000</v>
      </c>
      <c r="S483" s="1879"/>
      <c r="T483" s="1879"/>
      <c r="U483" s="2568"/>
      <c r="V483" s="2514"/>
    </row>
    <row r="484" spans="1:23" ht="12" customHeight="1" thickBot="1">
      <c r="A484" s="2552"/>
      <c r="B484" s="785" t="s">
        <v>27</v>
      </c>
      <c r="C484" s="2549"/>
      <c r="D484" s="520">
        <f>SUM(M484:T484)</f>
        <v>3092469</v>
      </c>
      <c r="E484" s="546"/>
      <c r="F484" s="1774"/>
      <c r="G484" s="1774"/>
      <c r="H484" s="1774"/>
      <c r="I484" s="1775"/>
      <c r="J484" s="1775"/>
      <c r="K484" s="1775"/>
      <c r="L484" s="552">
        <f>220000-14373</f>
        <v>205627</v>
      </c>
      <c r="M484" s="524">
        <f>L484+E484+I484+J484+K484</f>
        <v>205627</v>
      </c>
      <c r="N484" s="552">
        <v>1209624</v>
      </c>
      <c r="O484" s="552">
        <f>1447218+230000</f>
        <v>1677218</v>
      </c>
      <c r="P484" s="552"/>
      <c r="Q484" s="552"/>
      <c r="R484" s="552"/>
      <c r="S484" s="552"/>
      <c r="T484" s="552"/>
      <c r="U484" s="2569"/>
      <c r="V484" s="2515"/>
    </row>
    <row r="485" spans="1:23" ht="26.25" customHeight="1">
      <c r="A485" s="2550" t="s">
        <v>115</v>
      </c>
      <c r="B485" s="781" t="s">
        <v>152</v>
      </c>
      <c r="C485" s="753" t="s">
        <v>138</v>
      </c>
      <c r="D485" s="782"/>
      <c r="E485" s="760"/>
      <c r="F485" s="783"/>
      <c r="G485" s="783"/>
      <c r="H485" s="760"/>
      <c r="I485" s="760"/>
      <c r="J485" s="760"/>
      <c r="K485" s="760"/>
      <c r="L485" s="760"/>
      <c r="M485" s="784"/>
      <c r="N485" s="784"/>
      <c r="O485" s="784"/>
      <c r="P485" s="784"/>
      <c r="Q485" s="784"/>
      <c r="R485" s="784"/>
      <c r="S485" s="784"/>
      <c r="T485" s="784"/>
      <c r="U485" s="583"/>
      <c r="V485" s="2513" t="s">
        <v>129</v>
      </c>
    </row>
    <row r="486" spans="1:23">
      <c r="A486" s="2551"/>
      <c r="B486" s="755" t="s">
        <v>22</v>
      </c>
      <c r="C486" s="736"/>
      <c r="D486" s="685">
        <f>+D487</f>
        <v>614997</v>
      </c>
      <c r="E486" s="685"/>
      <c r="F486" s="685"/>
      <c r="G486" s="685"/>
      <c r="H486" s="685"/>
      <c r="I486" s="685"/>
      <c r="J486" s="685"/>
      <c r="K486" s="685"/>
      <c r="L486" s="685">
        <f t="shared" ref="L486:N487" si="555">+L487</f>
        <v>180000</v>
      </c>
      <c r="M486" s="685">
        <f t="shared" si="555"/>
        <v>180000</v>
      </c>
      <c r="N486" s="685">
        <f t="shared" si="555"/>
        <v>434997</v>
      </c>
      <c r="O486" s="685"/>
      <c r="P486" s="685"/>
      <c r="Q486" s="685"/>
      <c r="R486" s="685"/>
      <c r="S486" s="685"/>
      <c r="T486" s="685"/>
      <c r="U486" s="535">
        <f>+U487</f>
        <v>0</v>
      </c>
      <c r="V486" s="2514"/>
      <c r="W486" s="1903">
        <f>+O486+P486+Q486+R486</f>
        <v>0</v>
      </c>
    </row>
    <row r="487" spans="1:23">
      <c r="A487" s="2551"/>
      <c r="B487" s="756" t="s">
        <v>36</v>
      </c>
      <c r="C487" s="2155" t="s">
        <v>124</v>
      </c>
      <c r="D487" s="688">
        <f>+D488</f>
        <v>614997</v>
      </c>
      <c r="E487" s="688"/>
      <c r="F487" s="688"/>
      <c r="G487" s="688"/>
      <c r="H487" s="688"/>
      <c r="I487" s="688"/>
      <c r="J487" s="688"/>
      <c r="K487" s="688"/>
      <c r="L487" s="688">
        <f t="shared" si="555"/>
        <v>180000</v>
      </c>
      <c r="M487" s="688">
        <f t="shared" si="555"/>
        <v>180000</v>
      </c>
      <c r="N487" s="688">
        <f t="shared" si="555"/>
        <v>434997</v>
      </c>
      <c r="O487" s="688"/>
      <c r="P487" s="688"/>
      <c r="Q487" s="688"/>
      <c r="R487" s="688"/>
      <c r="S487" s="688"/>
      <c r="T487" s="688"/>
      <c r="U487" s="557">
        <f>+U488</f>
        <v>0</v>
      </c>
      <c r="V487" s="2514"/>
    </row>
    <row r="488" spans="1:23" ht="13.5" thickBot="1">
      <c r="A488" s="2551"/>
      <c r="B488" s="789" t="s">
        <v>24</v>
      </c>
      <c r="C488" s="2156"/>
      <c r="D488" s="520">
        <f>SUM(M488:T488)</f>
        <v>614997</v>
      </c>
      <c r="E488" s="510"/>
      <c r="F488" s="588"/>
      <c r="G488" s="588"/>
      <c r="H488" s="588"/>
      <c r="I488" s="689"/>
      <c r="J488" s="549"/>
      <c r="K488" s="587"/>
      <c r="L488" s="588">
        <f>600000-420000</f>
        <v>180000</v>
      </c>
      <c r="M488" s="1068">
        <f>L488+E488+I488+J488+K488</f>
        <v>180000</v>
      </c>
      <c r="N488" s="588">
        <f>600000-165003</f>
        <v>434997</v>
      </c>
      <c r="O488" s="588"/>
      <c r="P488" s="588"/>
      <c r="Q488" s="588"/>
      <c r="R488" s="588"/>
      <c r="S488" s="588"/>
      <c r="T488" s="588"/>
      <c r="U488" s="462">
        <f t="shared" ref="U488" si="556">SUM(O488:T488)</f>
        <v>0</v>
      </c>
      <c r="V488" s="2514"/>
    </row>
    <row r="489" spans="1:23" s="2158" customFormat="1" ht="15.75" customHeight="1">
      <c r="A489" s="2550" t="s">
        <v>116</v>
      </c>
      <c r="B489" s="781" t="s">
        <v>153</v>
      </c>
      <c r="C489" s="753" t="s">
        <v>138</v>
      </c>
      <c r="D489" s="489"/>
      <c r="E489" s="489"/>
      <c r="F489" s="490"/>
      <c r="G489" s="490"/>
      <c r="H489" s="489"/>
      <c r="I489" s="489"/>
      <c r="J489" s="489"/>
      <c r="K489" s="489"/>
      <c r="L489" s="489"/>
      <c r="M489" s="491"/>
      <c r="N489" s="491"/>
      <c r="O489" s="491"/>
      <c r="P489" s="491"/>
      <c r="Q489" s="491"/>
      <c r="R489" s="491"/>
      <c r="S489" s="491"/>
      <c r="T489" s="491"/>
      <c r="U489" s="583"/>
      <c r="V489" s="2513" t="s">
        <v>108</v>
      </c>
    </row>
    <row r="490" spans="1:23" s="2158" customFormat="1">
      <c r="A490" s="2551"/>
      <c r="B490" s="755" t="s">
        <v>22</v>
      </c>
      <c r="C490" s="736"/>
      <c r="D490" s="685">
        <f>+D491</f>
        <v>101282660</v>
      </c>
      <c r="E490" s="685"/>
      <c r="F490" s="685"/>
      <c r="G490" s="685"/>
      <c r="H490" s="685"/>
      <c r="I490" s="685"/>
      <c r="J490" s="685">
        <f t="shared" ref="J490:R490" si="557">+J491</f>
        <v>13756407</v>
      </c>
      <c r="K490" s="685">
        <f t="shared" si="557"/>
        <v>10539236</v>
      </c>
      <c r="L490" s="685">
        <f t="shared" si="557"/>
        <v>18766825</v>
      </c>
      <c r="M490" s="685">
        <f t="shared" si="557"/>
        <v>43062468</v>
      </c>
      <c r="N490" s="685">
        <f t="shared" si="557"/>
        <v>6519337</v>
      </c>
      <c r="O490" s="685">
        <f t="shared" si="557"/>
        <v>10000000</v>
      </c>
      <c r="P490" s="685">
        <f t="shared" si="557"/>
        <v>14400000</v>
      </c>
      <c r="Q490" s="685">
        <f t="shared" si="557"/>
        <v>14300855</v>
      </c>
      <c r="R490" s="685">
        <f t="shared" si="557"/>
        <v>13000000</v>
      </c>
      <c r="S490" s="2310">
        <v>0</v>
      </c>
      <c r="T490" s="2310">
        <v>0</v>
      </c>
      <c r="U490" s="535">
        <f>+U491</f>
        <v>51700855</v>
      </c>
      <c r="V490" s="2514"/>
      <c r="W490" s="2159">
        <f>+O490+P490+Q490+R490</f>
        <v>51700855</v>
      </c>
    </row>
    <row r="491" spans="1:23" s="2158" customFormat="1">
      <c r="A491" s="2551"/>
      <c r="B491" s="756" t="s">
        <v>36</v>
      </c>
      <c r="C491" s="2548" t="s">
        <v>105</v>
      </c>
      <c r="D491" s="688">
        <f>+D492+D493</f>
        <v>101282660</v>
      </c>
      <c r="E491" s="688">
        <f t="shared" ref="E491:R491" si="558">+E492+E493</f>
        <v>0</v>
      </c>
      <c r="F491" s="688">
        <f t="shared" si="558"/>
        <v>0</v>
      </c>
      <c r="G491" s="688">
        <f t="shared" si="558"/>
        <v>0</v>
      </c>
      <c r="H491" s="688">
        <f t="shared" si="558"/>
        <v>0</v>
      </c>
      <c r="I491" s="688">
        <f t="shared" si="558"/>
        <v>0</v>
      </c>
      <c r="J491" s="688">
        <f t="shared" si="558"/>
        <v>13756407</v>
      </c>
      <c r="K491" s="688">
        <f t="shared" si="558"/>
        <v>10539236</v>
      </c>
      <c r="L491" s="688">
        <f t="shared" si="558"/>
        <v>18766825</v>
      </c>
      <c r="M491" s="688">
        <f t="shared" si="558"/>
        <v>43062468</v>
      </c>
      <c r="N491" s="688">
        <f t="shared" si="558"/>
        <v>6519337</v>
      </c>
      <c r="O491" s="688">
        <f t="shared" si="558"/>
        <v>10000000</v>
      </c>
      <c r="P491" s="688">
        <f t="shared" si="558"/>
        <v>14400000</v>
      </c>
      <c r="Q491" s="688">
        <f t="shared" si="558"/>
        <v>14300855</v>
      </c>
      <c r="R491" s="688">
        <f t="shared" si="558"/>
        <v>13000000</v>
      </c>
      <c r="S491" s="2311">
        <v>0</v>
      </c>
      <c r="T491" s="2311">
        <v>0</v>
      </c>
      <c r="U491" s="557">
        <f>+U492+U493</f>
        <v>51700855</v>
      </c>
      <c r="V491" s="2514"/>
    </row>
    <row r="492" spans="1:23" s="2158" customFormat="1">
      <c r="A492" s="2551"/>
      <c r="B492" s="2312" t="s">
        <v>24</v>
      </c>
      <c r="C492" s="2570"/>
      <c r="D492" s="507">
        <f>SUM(M492:T492)</f>
        <v>94231660</v>
      </c>
      <c r="E492" s="508"/>
      <c r="F492" s="540"/>
      <c r="G492" s="540"/>
      <c r="H492" s="540"/>
      <c r="I492" s="2313"/>
      <c r="J492" s="542">
        <f>16277106-2520699</f>
        <v>13756407</v>
      </c>
      <c r="K492" s="2314">
        <f>10500000+40350-1114</f>
        <v>10539236</v>
      </c>
      <c r="L492" s="540">
        <f>13364000+3000000+120000+3000000-717175</f>
        <v>18766825</v>
      </c>
      <c r="M492" s="1071">
        <f>L492+E492+I492+J492+K492</f>
        <v>43062468</v>
      </c>
      <c r="N492" s="542">
        <f>13738192-18000-6500000-700855</f>
        <v>6519337</v>
      </c>
      <c r="O492" s="542">
        <f>14122861+717175-2801143+961107-1000000-2000000-7051000</f>
        <v>2949000</v>
      </c>
      <c r="P492" s="542">
        <f>14518301-1518301+1400000</f>
        <v>14400000</v>
      </c>
      <c r="Q492" s="542">
        <f>15244216-2244216+1300855</f>
        <v>14300855</v>
      </c>
      <c r="R492" s="542">
        <f>11286227+1713773</f>
        <v>13000000</v>
      </c>
      <c r="S492" s="2315">
        <v>0</v>
      </c>
      <c r="T492" s="2315">
        <v>0</v>
      </c>
      <c r="U492" s="462">
        <f t="shared" ref="U492:U493" si="559">SUM(O492:T492)</f>
        <v>44649855</v>
      </c>
      <c r="V492" s="2514"/>
    </row>
    <row r="493" spans="1:23" s="2158" customFormat="1">
      <c r="A493" s="2551"/>
      <c r="B493" s="716" t="s">
        <v>134</v>
      </c>
      <c r="C493" s="2571"/>
      <c r="D493" s="520">
        <f>SUM(M493:T493)</f>
        <v>7051000</v>
      </c>
      <c r="E493" s="510"/>
      <c r="F493" s="549"/>
      <c r="G493" s="549"/>
      <c r="H493" s="549"/>
      <c r="I493" s="549"/>
      <c r="J493" s="549"/>
      <c r="K493" s="590"/>
      <c r="L493" s="549"/>
      <c r="M493" s="1488">
        <v>0</v>
      </c>
      <c r="N493" s="2316">
        <v>0</v>
      </c>
      <c r="O493" s="549">
        <v>7051000</v>
      </c>
      <c r="P493" s="2316">
        <v>0</v>
      </c>
      <c r="Q493" s="2316">
        <v>0</v>
      </c>
      <c r="R493" s="2316">
        <v>0</v>
      </c>
      <c r="S493" s="2316">
        <v>0</v>
      </c>
      <c r="T493" s="2316">
        <v>0</v>
      </c>
      <c r="U493" s="462">
        <f t="shared" si="559"/>
        <v>7051000</v>
      </c>
      <c r="V493" s="2514"/>
    </row>
    <row r="494" spans="1:23" s="2158" customFormat="1">
      <c r="A494" s="2551"/>
      <c r="B494" s="561" t="s">
        <v>34</v>
      </c>
      <c r="C494" s="736"/>
      <c r="D494" s="685">
        <f>+D495</f>
        <v>7051000</v>
      </c>
      <c r="E494" s="685"/>
      <c r="F494" s="685"/>
      <c r="G494" s="685"/>
      <c r="H494" s="685"/>
      <c r="I494" s="685"/>
      <c r="J494" s="685"/>
      <c r="K494" s="685"/>
      <c r="L494" s="685"/>
      <c r="M494" s="2310">
        <v>0</v>
      </c>
      <c r="N494" s="2310">
        <v>0</v>
      </c>
      <c r="O494" s="685">
        <f>+O495</f>
        <v>7051000</v>
      </c>
      <c r="P494" s="2310">
        <v>0</v>
      </c>
      <c r="Q494" s="2310">
        <v>0</v>
      </c>
      <c r="R494" s="2310">
        <v>0</v>
      </c>
      <c r="S494" s="2310">
        <v>0</v>
      </c>
      <c r="T494" s="2310">
        <v>0</v>
      </c>
      <c r="U494" s="2579" t="s">
        <v>35</v>
      </c>
      <c r="V494" s="2514"/>
    </row>
    <row r="495" spans="1:23" s="2158" customFormat="1">
      <c r="A495" s="2551"/>
      <c r="B495" s="584" t="s">
        <v>36</v>
      </c>
      <c r="C495" s="2548" t="s">
        <v>105</v>
      </c>
      <c r="D495" s="514">
        <f>+D496</f>
        <v>7051000</v>
      </c>
      <c r="E495" s="620"/>
      <c r="F495" s="536"/>
      <c r="G495" s="536"/>
      <c r="H495" s="619"/>
      <c r="I495" s="619"/>
      <c r="J495" s="619"/>
      <c r="K495" s="1041"/>
      <c r="L495" s="619"/>
      <c r="M495" s="1487"/>
      <c r="N495" s="2245">
        <v>0</v>
      </c>
      <c r="O495" s="619">
        <f>+O496</f>
        <v>7051000</v>
      </c>
      <c r="P495" s="2245">
        <v>0</v>
      </c>
      <c r="Q495" s="2245">
        <v>0</v>
      </c>
      <c r="R495" s="2245">
        <v>0</v>
      </c>
      <c r="S495" s="2317">
        <v>0</v>
      </c>
      <c r="T495" s="2245">
        <v>0</v>
      </c>
      <c r="U495" s="2580"/>
      <c r="V495" s="2514"/>
    </row>
    <row r="496" spans="1:23" s="2158" customFormat="1" ht="13.5" thickBot="1">
      <c r="A496" s="2552"/>
      <c r="B496" s="716" t="s">
        <v>25</v>
      </c>
      <c r="C496" s="2549"/>
      <c r="D496" s="592">
        <f>+M496+N496+O496+P496+Q496+R496+S496+T496</f>
        <v>7051000</v>
      </c>
      <c r="E496" s="546"/>
      <c r="F496" s="1774"/>
      <c r="G496" s="1774"/>
      <c r="H496" s="552"/>
      <c r="I496" s="552"/>
      <c r="J496" s="552"/>
      <c r="K496" s="1081"/>
      <c r="L496" s="552"/>
      <c r="M496" s="2241">
        <v>0</v>
      </c>
      <c r="N496" s="2318">
        <v>0</v>
      </c>
      <c r="O496" s="552">
        <v>7051000</v>
      </c>
      <c r="P496" s="2318">
        <v>0</v>
      </c>
      <c r="Q496" s="2318">
        <v>0</v>
      </c>
      <c r="R496" s="2318">
        <v>0</v>
      </c>
      <c r="S496" s="2319">
        <v>0</v>
      </c>
      <c r="T496" s="2318">
        <v>0</v>
      </c>
      <c r="U496" s="2581"/>
      <c r="V496" s="2515"/>
    </row>
    <row r="497" spans="1:23" s="2158" customFormat="1" ht="21" customHeight="1">
      <c r="A497" s="2550" t="s">
        <v>117</v>
      </c>
      <c r="B497" s="781" t="s">
        <v>154</v>
      </c>
      <c r="C497" s="753" t="s">
        <v>138</v>
      </c>
      <c r="D497" s="489"/>
      <c r="E497" s="489"/>
      <c r="F497" s="490"/>
      <c r="G497" s="490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91"/>
      <c r="T497" s="491"/>
      <c r="U497" s="583"/>
      <c r="V497" s="2513" t="s">
        <v>108</v>
      </c>
    </row>
    <row r="498" spans="1:23" s="2158" customFormat="1">
      <c r="A498" s="2551"/>
      <c r="B498" s="755" t="s">
        <v>22</v>
      </c>
      <c r="C498" s="736"/>
      <c r="D498" s="685">
        <f>+D499</f>
        <v>7862042</v>
      </c>
      <c r="E498" s="685"/>
      <c r="F498" s="685"/>
      <c r="G498" s="685"/>
      <c r="H498" s="685"/>
      <c r="I498" s="685"/>
      <c r="J498" s="685">
        <f t="shared" ref="J498:R498" si="560">+J499</f>
        <v>806409</v>
      </c>
      <c r="K498" s="685">
        <f t="shared" si="560"/>
        <v>831715</v>
      </c>
      <c r="L498" s="685">
        <f t="shared" si="560"/>
        <v>908119</v>
      </c>
      <c r="M498" s="685">
        <f t="shared" si="560"/>
        <v>2546243</v>
      </c>
      <c r="N498" s="685">
        <f t="shared" si="560"/>
        <v>935185</v>
      </c>
      <c r="O498" s="685">
        <f t="shared" si="560"/>
        <v>1091143</v>
      </c>
      <c r="P498" s="685">
        <f t="shared" si="560"/>
        <v>1091205</v>
      </c>
      <c r="Q498" s="685">
        <f t="shared" si="560"/>
        <v>1091665</v>
      </c>
      <c r="R498" s="685">
        <f t="shared" si="560"/>
        <v>1106601</v>
      </c>
      <c r="S498" s="685"/>
      <c r="T498" s="685"/>
      <c r="U498" s="535">
        <f>+U499</f>
        <v>4380614</v>
      </c>
      <c r="V498" s="2514"/>
      <c r="W498" s="2159">
        <f>+O498+P498+Q498+R498</f>
        <v>4380614</v>
      </c>
    </row>
    <row r="499" spans="1:23" s="2158" customFormat="1">
      <c r="A499" s="2551"/>
      <c r="B499" s="756" t="s">
        <v>36</v>
      </c>
      <c r="C499" s="2548" t="s">
        <v>105</v>
      </c>
      <c r="D499" s="688">
        <f>+D500+D501</f>
        <v>7862042</v>
      </c>
      <c r="E499" s="688">
        <f t="shared" ref="E499:R499" si="561">+E500+E501</f>
        <v>0</v>
      </c>
      <c r="F499" s="688">
        <f t="shared" si="561"/>
        <v>0</v>
      </c>
      <c r="G499" s="688">
        <f t="shared" si="561"/>
        <v>0</v>
      </c>
      <c r="H499" s="688">
        <f t="shared" si="561"/>
        <v>0</v>
      </c>
      <c r="I499" s="688">
        <f t="shared" si="561"/>
        <v>0</v>
      </c>
      <c r="J499" s="688">
        <f t="shared" si="561"/>
        <v>806409</v>
      </c>
      <c r="K499" s="688">
        <f t="shared" si="561"/>
        <v>831715</v>
      </c>
      <c r="L499" s="688">
        <f t="shared" si="561"/>
        <v>908119</v>
      </c>
      <c r="M499" s="688">
        <f t="shared" si="561"/>
        <v>2546243</v>
      </c>
      <c r="N499" s="688">
        <f t="shared" si="561"/>
        <v>935185</v>
      </c>
      <c r="O499" s="688">
        <f t="shared" si="561"/>
        <v>1091143</v>
      </c>
      <c r="P499" s="688">
        <f t="shared" si="561"/>
        <v>1091205</v>
      </c>
      <c r="Q499" s="688">
        <f t="shared" si="561"/>
        <v>1091665</v>
      </c>
      <c r="R499" s="688">
        <f t="shared" si="561"/>
        <v>1106601</v>
      </c>
      <c r="S499" s="688"/>
      <c r="T499" s="688"/>
      <c r="U499" s="557">
        <f>+U500+U501</f>
        <v>4380614</v>
      </c>
      <c r="V499" s="2514"/>
    </row>
    <row r="500" spans="1:23" s="2158" customFormat="1">
      <c r="A500" s="2551"/>
      <c r="B500" s="2312" t="s">
        <v>24</v>
      </c>
      <c r="C500" s="2570"/>
      <c r="D500" s="520">
        <f>SUM(M500:T500)</f>
        <v>6797995</v>
      </c>
      <c r="E500" s="510"/>
      <c r="F500" s="588"/>
      <c r="G500" s="588"/>
      <c r="H500" s="588"/>
      <c r="I500" s="689"/>
      <c r="J500" s="549">
        <v>806409</v>
      </c>
      <c r="K500" s="587">
        <f>846730-15015</f>
        <v>831715</v>
      </c>
      <c r="L500" s="588">
        <f>889066+20000-947</f>
        <v>908119</v>
      </c>
      <c r="M500" s="1068">
        <f>L500+E500+I500+J500+K500</f>
        <v>2546243</v>
      </c>
      <c r="N500" s="549">
        <f>933520+18000-16335</f>
        <v>935185</v>
      </c>
      <c r="O500" s="549">
        <f>980196+947+110000-1064047</f>
        <v>27096</v>
      </c>
      <c r="P500" s="549">
        <f>1029205+62000</f>
        <v>1091205</v>
      </c>
      <c r="Q500" s="549">
        <f>1080665+11000</f>
        <v>1091665</v>
      </c>
      <c r="R500" s="549">
        <f>1106601</f>
        <v>1106601</v>
      </c>
      <c r="S500" s="588"/>
      <c r="T500" s="588"/>
      <c r="U500" s="462">
        <f t="shared" ref="U500:U501" si="562">SUM(O500:T500)</f>
        <v>3316567</v>
      </c>
      <c r="V500" s="2514"/>
    </row>
    <row r="501" spans="1:23" s="2158" customFormat="1">
      <c r="A501" s="2551"/>
      <c r="B501" s="716" t="s">
        <v>134</v>
      </c>
      <c r="C501" s="2571"/>
      <c r="D501" s="520">
        <f>SUM(M501:T501)</f>
        <v>1064047</v>
      </c>
      <c r="E501" s="510"/>
      <c r="F501" s="549"/>
      <c r="G501" s="549"/>
      <c r="H501" s="549"/>
      <c r="I501" s="549"/>
      <c r="J501" s="549"/>
      <c r="K501" s="590"/>
      <c r="L501" s="549"/>
      <c r="M501" s="510"/>
      <c r="N501" s="549"/>
      <c r="O501" s="549">
        <v>1064047</v>
      </c>
      <c r="P501" s="549"/>
      <c r="Q501" s="549"/>
      <c r="R501" s="549"/>
      <c r="S501" s="549"/>
      <c r="T501" s="549"/>
      <c r="U501" s="462">
        <f t="shared" si="562"/>
        <v>1064047</v>
      </c>
      <c r="V501" s="2514"/>
    </row>
    <row r="502" spans="1:23" s="2158" customFormat="1">
      <c r="A502" s="2551"/>
      <c r="B502" s="561" t="s">
        <v>34</v>
      </c>
      <c r="C502" s="736"/>
      <c r="D502" s="685">
        <f>D503</f>
        <v>1064047</v>
      </c>
      <c r="E502" s="685"/>
      <c r="F502" s="685"/>
      <c r="G502" s="685"/>
      <c r="H502" s="685"/>
      <c r="I502" s="685"/>
      <c r="J502" s="685"/>
      <c r="K502" s="685"/>
      <c r="L502" s="685"/>
      <c r="M502" s="2310">
        <v>0</v>
      </c>
      <c r="N502" s="2310">
        <v>0</v>
      </c>
      <c r="O502" s="685">
        <f>+O503</f>
        <v>1064047</v>
      </c>
      <c r="P502" s="2310">
        <v>0</v>
      </c>
      <c r="Q502" s="2310">
        <v>0</v>
      </c>
      <c r="R502" s="2310">
        <v>0</v>
      </c>
      <c r="S502" s="2310">
        <v>0</v>
      </c>
      <c r="T502" s="2310">
        <v>0</v>
      </c>
      <c r="U502" s="2579" t="s">
        <v>35</v>
      </c>
      <c r="V502" s="2514"/>
    </row>
    <row r="503" spans="1:23" s="2158" customFormat="1">
      <c r="A503" s="2551"/>
      <c r="B503" s="584" t="s">
        <v>36</v>
      </c>
      <c r="C503" s="2548" t="s">
        <v>105</v>
      </c>
      <c r="D503" s="816">
        <f>+D504</f>
        <v>1064047</v>
      </c>
      <c r="E503" s="620"/>
      <c r="F503" s="536"/>
      <c r="G503" s="536"/>
      <c r="H503" s="619"/>
      <c r="I503" s="619"/>
      <c r="J503" s="619"/>
      <c r="K503" s="1041"/>
      <c r="L503" s="619"/>
      <c r="M503" s="2320">
        <v>0</v>
      </c>
      <c r="N503" s="2317">
        <v>0</v>
      </c>
      <c r="O503" s="2321">
        <f>+O504</f>
        <v>1064047</v>
      </c>
      <c r="P503" s="2317">
        <v>0</v>
      </c>
      <c r="Q503" s="2317">
        <v>0</v>
      </c>
      <c r="R503" s="2317">
        <v>0</v>
      </c>
      <c r="S503" s="2317">
        <v>0</v>
      </c>
      <c r="T503" s="2245">
        <v>0</v>
      </c>
      <c r="U503" s="2580"/>
      <c r="V503" s="2514"/>
    </row>
    <row r="504" spans="1:23" s="2158" customFormat="1" ht="13.5" thickBot="1">
      <c r="A504" s="2552"/>
      <c r="B504" s="716" t="s">
        <v>25</v>
      </c>
      <c r="C504" s="2549"/>
      <c r="D504" s="2322">
        <f>+M504+N504+O504+P504+Q504+R504+S504+T504</f>
        <v>1064047</v>
      </c>
      <c r="E504" s="546"/>
      <c r="F504" s="1774"/>
      <c r="G504" s="1774"/>
      <c r="H504" s="552"/>
      <c r="I504" s="552"/>
      <c r="J504" s="552"/>
      <c r="K504" s="1081"/>
      <c r="L504" s="552"/>
      <c r="M504" s="2323">
        <v>0</v>
      </c>
      <c r="N504" s="2319">
        <v>0</v>
      </c>
      <c r="O504" s="2324">
        <v>1064047</v>
      </c>
      <c r="P504" s="2319">
        <v>0</v>
      </c>
      <c r="Q504" s="2319">
        <v>0</v>
      </c>
      <c r="R504" s="2319">
        <v>0</v>
      </c>
      <c r="S504" s="2319">
        <v>0</v>
      </c>
      <c r="T504" s="2318">
        <v>0</v>
      </c>
      <c r="U504" s="2581"/>
      <c r="V504" s="2515"/>
    </row>
    <row r="505" spans="1:23" ht="16.5" customHeight="1">
      <c r="A505" s="2550" t="s">
        <v>118</v>
      </c>
      <c r="B505" s="781" t="s">
        <v>155</v>
      </c>
      <c r="C505" s="753" t="s">
        <v>102</v>
      </c>
      <c r="D505" s="690"/>
      <c r="E505" s="489"/>
      <c r="F505" s="490"/>
      <c r="G505" s="490"/>
      <c r="H505" s="489"/>
      <c r="I505" s="489"/>
      <c r="J505" s="489"/>
      <c r="K505" s="489"/>
      <c r="L505" s="489"/>
      <c r="M505" s="491"/>
      <c r="N505" s="491"/>
      <c r="O505" s="491"/>
      <c r="P505" s="491"/>
      <c r="Q505" s="491"/>
      <c r="R505" s="491"/>
      <c r="S505" s="491"/>
      <c r="T505" s="491"/>
      <c r="U505" s="583"/>
      <c r="V505" s="2513" t="s">
        <v>108</v>
      </c>
    </row>
    <row r="506" spans="1:23">
      <c r="A506" s="2551"/>
      <c r="B506" s="755" t="s">
        <v>22</v>
      </c>
      <c r="C506" s="736"/>
      <c r="D506" s="685">
        <f>+D507</f>
        <v>929629</v>
      </c>
      <c r="E506" s="685"/>
      <c r="F506" s="685"/>
      <c r="G506" s="685"/>
      <c r="H506" s="685"/>
      <c r="I506" s="685"/>
      <c r="J506" s="685"/>
      <c r="K506" s="685"/>
      <c r="L506" s="685">
        <f t="shared" ref="L506:R507" si="563">+L507</f>
        <v>128194</v>
      </c>
      <c r="M506" s="685">
        <f t="shared" si="563"/>
        <v>128194</v>
      </c>
      <c r="N506" s="685">
        <f t="shared" si="563"/>
        <v>147475</v>
      </c>
      <c r="O506" s="685">
        <f t="shared" si="563"/>
        <v>170000</v>
      </c>
      <c r="P506" s="685">
        <f t="shared" si="563"/>
        <v>150000</v>
      </c>
      <c r="Q506" s="685">
        <f t="shared" si="563"/>
        <v>165000</v>
      </c>
      <c r="R506" s="685">
        <f t="shared" si="563"/>
        <v>168960</v>
      </c>
      <c r="S506" s="685"/>
      <c r="T506" s="685"/>
      <c r="U506" s="535">
        <f>+U507</f>
        <v>653960</v>
      </c>
      <c r="V506" s="2514"/>
      <c r="W506" s="1903">
        <f>+O506+P506+Q506+R506</f>
        <v>653960</v>
      </c>
    </row>
    <row r="507" spans="1:23">
      <c r="A507" s="2551"/>
      <c r="B507" s="756" t="s">
        <v>36</v>
      </c>
      <c r="C507" s="2548" t="s">
        <v>105</v>
      </c>
      <c r="D507" s="688">
        <f>+D508</f>
        <v>929629</v>
      </c>
      <c r="E507" s="688"/>
      <c r="F507" s="688"/>
      <c r="G507" s="688"/>
      <c r="H507" s="688"/>
      <c r="I507" s="688"/>
      <c r="J507" s="688"/>
      <c r="K507" s="688"/>
      <c r="L507" s="688">
        <f t="shared" si="563"/>
        <v>128194</v>
      </c>
      <c r="M507" s="688">
        <f t="shared" si="563"/>
        <v>128194</v>
      </c>
      <c r="N507" s="688">
        <f t="shared" si="563"/>
        <v>147475</v>
      </c>
      <c r="O507" s="688">
        <f t="shared" si="563"/>
        <v>170000</v>
      </c>
      <c r="P507" s="688">
        <f t="shared" si="563"/>
        <v>150000</v>
      </c>
      <c r="Q507" s="688">
        <f t="shared" si="563"/>
        <v>165000</v>
      </c>
      <c r="R507" s="688">
        <f t="shared" si="563"/>
        <v>168960</v>
      </c>
      <c r="S507" s="688"/>
      <c r="T507" s="688"/>
      <c r="U507" s="557">
        <f>+U508</f>
        <v>653960</v>
      </c>
      <c r="V507" s="2514"/>
    </row>
    <row r="508" spans="1:23" ht="13.5" thickBot="1">
      <c r="A508" s="2552"/>
      <c r="B508" s="2116" t="s">
        <v>24</v>
      </c>
      <c r="C508" s="2549"/>
      <c r="D508" s="591">
        <f>SUM(M508:T508)</f>
        <v>929629</v>
      </c>
      <c r="E508" s="546"/>
      <c r="F508" s="1774"/>
      <c r="G508" s="1774"/>
      <c r="H508" s="1774"/>
      <c r="I508" s="1776"/>
      <c r="J508" s="552"/>
      <c r="K508" s="1775"/>
      <c r="L508" s="1774">
        <f>250000+80000-150160-51646</f>
        <v>128194</v>
      </c>
      <c r="M508" s="524">
        <f>L508+E508+I508+J508+K508</f>
        <v>128194</v>
      </c>
      <c r="N508" s="1774">
        <f>150000+150160+51646-147600-5283-50000-1448</f>
        <v>147475</v>
      </c>
      <c r="O508" s="1774">
        <f>150000+147600-127600</f>
        <v>170000</v>
      </c>
      <c r="P508" s="1774">
        <v>150000</v>
      </c>
      <c r="Q508" s="1774">
        <v>165000</v>
      </c>
      <c r="R508" s="1774">
        <f>168960</f>
        <v>168960</v>
      </c>
      <c r="S508" s="1774"/>
      <c r="T508" s="1774"/>
      <c r="U508" s="1066">
        <f t="shared" ref="U508" si="564">SUM(O508:T508)</f>
        <v>653960</v>
      </c>
      <c r="V508" s="2515"/>
    </row>
    <row r="509" spans="1:23" ht="13.5" customHeight="1">
      <c r="A509" s="2550" t="s">
        <v>119</v>
      </c>
      <c r="B509" s="781" t="s">
        <v>331</v>
      </c>
      <c r="C509" s="753" t="s">
        <v>138</v>
      </c>
      <c r="D509" s="690"/>
      <c r="E509" s="489"/>
      <c r="F509" s="490"/>
      <c r="G509" s="490"/>
      <c r="H509" s="489"/>
      <c r="I509" s="489"/>
      <c r="J509" s="489"/>
      <c r="K509" s="489"/>
      <c r="L509" s="489"/>
      <c r="M509" s="491"/>
      <c r="N509" s="491"/>
      <c r="O509" s="491"/>
      <c r="P509" s="491"/>
      <c r="Q509" s="491"/>
      <c r="R509" s="491"/>
      <c r="S509" s="491"/>
      <c r="T509" s="491"/>
      <c r="U509" s="583"/>
      <c r="V509" s="2513" t="s">
        <v>129</v>
      </c>
    </row>
    <row r="510" spans="1:23">
      <c r="A510" s="2551"/>
      <c r="B510" s="755" t="s">
        <v>22</v>
      </c>
      <c r="C510" s="736"/>
      <c r="D510" s="685">
        <f>+D511</f>
        <v>795000</v>
      </c>
      <c r="E510" s="685"/>
      <c r="F510" s="685"/>
      <c r="G510" s="685"/>
      <c r="H510" s="685"/>
      <c r="I510" s="685"/>
      <c r="J510" s="685"/>
      <c r="K510" s="685"/>
      <c r="L510" s="685">
        <f t="shared" ref="L510:T511" si="565">+L511</f>
        <v>0</v>
      </c>
      <c r="M510" s="685">
        <f t="shared" si="565"/>
        <v>0</v>
      </c>
      <c r="N510" s="685">
        <f t="shared" si="565"/>
        <v>0</v>
      </c>
      <c r="O510" s="685">
        <f t="shared" si="565"/>
        <v>120000</v>
      </c>
      <c r="P510" s="685">
        <f t="shared" si="565"/>
        <v>135000</v>
      </c>
      <c r="Q510" s="685">
        <f t="shared" si="565"/>
        <v>135000</v>
      </c>
      <c r="R510" s="685">
        <f t="shared" si="565"/>
        <v>135000</v>
      </c>
      <c r="S510" s="685">
        <f t="shared" si="565"/>
        <v>135000</v>
      </c>
      <c r="T510" s="685">
        <f t="shared" si="565"/>
        <v>135000</v>
      </c>
      <c r="U510" s="535">
        <f>+U511</f>
        <v>795000</v>
      </c>
      <c r="V510" s="2514"/>
      <c r="W510" s="1903">
        <f>+O510+P510+Q510+R510</f>
        <v>525000</v>
      </c>
    </row>
    <row r="511" spans="1:23">
      <c r="A511" s="2551"/>
      <c r="B511" s="756" t="s">
        <v>36</v>
      </c>
      <c r="C511" s="2548" t="s">
        <v>105</v>
      </c>
      <c r="D511" s="688">
        <f>+D512</f>
        <v>795000</v>
      </c>
      <c r="E511" s="688"/>
      <c r="F511" s="688"/>
      <c r="G511" s="688"/>
      <c r="H511" s="688"/>
      <c r="I511" s="688"/>
      <c r="J511" s="688"/>
      <c r="K511" s="688"/>
      <c r="L511" s="688">
        <f t="shared" si="565"/>
        <v>0</v>
      </c>
      <c r="M511" s="688">
        <f t="shared" si="565"/>
        <v>0</v>
      </c>
      <c r="N511" s="688">
        <f t="shared" si="565"/>
        <v>0</v>
      </c>
      <c r="O511" s="688">
        <f t="shared" si="565"/>
        <v>120000</v>
      </c>
      <c r="P511" s="688">
        <f t="shared" si="565"/>
        <v>135000</v>
      </c>
      <c r="Q511" s="688">
        <f t="shared" si="565"/>
        <v>135000</v>
      </c>
      <c r="R511" s="688">
        <f t="shared" si="565"/>
        <v>135000</v>
      </c>
      <c r="S511" s="688">
        <f t="shared" si="565"/>
        <v>135000</v>
      </c>
      <c r="T511" s="688">
        <f t="shared" si="565"/>
        <v>135000</v>
      </c>
      <c r="U511" s="557">
        <f>+U512</f>
        <v>795000</v>
      </c>
      <c r="V511" s="2514"/>
    </row>
    <row r="512" spans="1:23" ht="13.5" thickBot="1">
      <c r="A512" s="2552"/>
      <c r="B512" s="785" t="s">
        <v>24</v>
      </c>
      <c r="C512" s="2549"/>
      <c r="D512" s="592">
        <f>SUM(M512:T512)</f>
        <v>795000</v>
      </c>
      <c r="E512" s="546"/>
      <c r="F512" s="1774"/>
      <c r="G512" s="1774"/>
      <c r="H512" s="1774"/>
      <c r="I512" s="1776"/>
      <c r="J512" s="552"/>
      <c r="K512" s="1775"/>
      <c r="L512" s="1774">
        <v>0</v>
      </c>
      <c r="M512" s="546">
        <f>L512+E512+I512+J512+K512</f>
        <v>0</v>
      </c>
      <c r="N512" s="1774">
        <v>0</v>
      </c>
      <c r="O512" s="1774">
        <v>120000</v>
      </c>
      <c r="P512" s="1774">
        <v>135000</v>
      </c>
      <c r="Q512" s="1774">
        <v>135000</v>
      </c>
      <c r="R512" s="1774">
        <v>135000</v>
      </c>
      <c r="S512" s="1774">
        <v>135000</v>
      </c>
      <c r="T512" s="1774">
        <v>135000</v>
      </c>
      <c r="U512" s="1065">
        <f t="shared" ref="U512" si="566">SUM(O512:T512)</f>
        <v>795000</v>
      </c>
      <c r="V512" s="2515"/>
    </row>
  </sheetData>
  <mergeCells count="248">
    <mergeCell ref="A509:A512"/>
    <mergeCell ref="V509:V512"/>
    <mergeCell ref="C511:C512"/>
    <mergeCell ref="A505:A508"/>
    <mergeCell ref="V505:V508"/>
    <mergeCell ref="C507:C508"/>
    <mergeCell ref="A468:A471"/>
    <mergeCell ref="V468:V471"/>
    <mergeCell ref="C470:C471"/>
    <mergeCell ref="A497:A504"/>
    <mergeCell ref="V497:V504"/>
    <mergeCell ref="V489:V496"/>
    <mergeCell ref="C503:C504"/>
    <mergeCell ref="C495:C496"/>
    <mergeCell ref="U494:U496"/>
    <mergeCell ref="U502:U504"/>
    <mergeCell ref="A472:A475"/>
    <mergeCell ref="V472:V475"/>
    <mergeCell ref="C474:C475"/>
    <mergeCell ref="A476:A484"/>
    <mergeCell ref="V476:V484"/>
    <mergeCell ref="C478:C479"/>
    <mergeCell ref="U481:U484"/>
    <mergeCell ref="C482:C484"/>
    <mergeCell ref="A485:A488"/>
    <mergeCell ref="V485:V488"/>
    <mergeCell ref="C491:C493"/>
    <mergeCell ref="C499:C501"/>
    <mergeCell ref="A489:A496"/>
    <mergeCell ref="A444:A447"/>
    <mergeCell ref="V444:V447"/>
    <mergeCell ref="C446:C447"/>
    <mergeCell ref="A448:A455"/>
    <mergeCell ref="V448:V451"/>
    <mergeCell ref="C450:C452"/>
    <mergeCell ref="U453:U455"/>
    <mergeCell ref="V453:V455"/>
    <mergeCell ref="C454:C455"/>
    <mergeCell ref="A456:A459"/>
    <mergeCell ref="V456:V459"/>
    <mergeCell ref="C458:C459"/>
    <mergeCell ref="A460:A467"/>
    <mergeCell ref="V460:V463"/>
    <mergeCell ref="C462:C464"/>
    <mergeCell ref="U465:U467"/>
    <mergeCell ref="V465:V467"/>
    <mergeCell ref="C466:C467"/>
    <mergeCell ref="A436:A439"/>
    <mergeCell ref="V436:V439"/>
    <mergeCell ref="C438:C439"/>
    <mergeCell ref="A440:A443"/>
    <mergeCell ref="V440:V443"/>
    <mergeCell ref="C442:C443"/>
    <mergeCell ref="A424:A427"/>
    <mergeCell ref="V424:V427"/>
    <mergeCell ref="C426:C427"/>
    <mergeCell ref="A428:A435"/>
    <mergeCell ref="V428:V435"/>
    <mergeCell ref="C430:C432"/>
    <mergeCell ref="U433:U435"/>
    <mergeCell ref="C434:C435"/>
    <mergeCell ref="A405:A416"/>
    <mergeCell ref="V410:V419"/>
    <mergeCell ref="U414:U419"/>
    <mergeCell ref="A420:A423"/>
    <mergeCell ref="V420:V423"/>
    <mergeCell ref="C422:C423"/>
    <mergeCell ref="A386:A394"/>
    <mergeCell ref="V386:V394"/>
    <mergeCell ref="U392:U394"/>
    <mergeCell ref="A395:A403"/>
    <mergeCell ref="V395:V403"/>
    <mergeCell ref="C397:C400"/>
    <mergeCell ref="U401:U403"/>
    <mergeCell ref="C402:C403"/>
    <mergeCell ref="A377:A385"/>
    <mergeCell ref="V377:V385"/>
    <mergeCell ref="C379:C382"/>
    <mergeCell ref="U383:U385"/>
    <mergeCell ref="C384:C385"/>
    <mergeCell ref="U331:U332"/>
    <mergeCell ref="A343:A358"/>
    <mergeCell ref="V343:V357"/>
    <mergeCell ref="U353:U358"/>
    <mergeCell ref="A359:A376"/>
    <mergeCell ref="V359:V375"/>
    <mergeCell ref="C361:C364"/>
    <mergeCell ref="C369:C376"/>
    <mergeCell ref="A315:A323"/>
    <mergeCell ref="V315:V320"/>
    <mergeCell ref="U322:U323"/>
    <mergeCell ref="A324:A332"/>
    <mergeCell ref="V324:V329"/>
    <mergeCell ref="C326:C329"/>
    <mergeCell ref="V330:V332"/>
    <mergeCell ref="C331:C332"/>
    <mergeCell ref="U369:U376"/>
    <mergeCell ref="A334:A342"/>
    <mergeCell ref="V334:V339"/>
    <mergeCell ref="C336:C339"/>
    <mergeCell ref="V340:V342"/>
    <mergeCell ref="C341:C342"/>
    <mergeCell ref="U341:U342"/>
    <mergeCell ref="A266:A274"/>
    <mergeCell ref="V267:V271"/>
    <mergeCell ref="C268:C271"/>
    <mergeCell ref="V272:V274"/>
    <mergeCell ref="C273:C274"/>
    <mergeCell ref="A225:A233"/>
    <mergeCell ref="V226:V230"/>
    <mergeCell ref="C227:C230"/>
    <mergeCell ref="V231:V233"/>
    <mergeCell ref="C232:C233"/>
    <mergeCell ref="U232:U233"/>
    <mergeCell ref="A241:A249"/>
    <mergeCell ref="V241:V249"/>
    <mergeCell ref="C243:C246"/>
    <mergeCell ref="C248:C249"/>
    <mergeCell ref="U248:U249"/>
    <mergeCell ref="A234:A240"/>
    <mergeCell ref="V234:V240"/>
    <mergeCell ref="C236:C237"/>
    <mergeCell ref="C239:C240"/>
    <mergeCell ref="U239:U240"/>
    <mergeCell ref="A251:A265"/>
    <mergeCell ref="V252:V258"/>
    <mergeCell ref="C253:C258"/>
    <mergeCell ref="A216:A224"/>
    <mergeCell ref="V217:V221"/>
    <mergeCell ref="C218:C221"/>
    <mergeCell ref="V222:V224"/>
    <mergeCell ref="C223:C224"/>
    <mergeCell ref="U223:U224"/>
    <mergeCell ref="A204:A215"/>
    <mergeCell ref="V205:V210"/>
    <mergeCell ref="C206:C210"/>
    <mergeCell ref="V211:V215"/>
    <mergeCell ref="C212:C215"/>
    <mergeCell ref="U212:U215"/>
    <mergeCell ref="V179:V183"/>
    <mergeCell ref="C180:C183"/>
    <mergeCell ref="A163:A171"/>
    <mergeCell ref="V164:V168"/>
    <mergeCell ref="C165:C168"/>
    <mergeCell ref="U169:U171"/>
    <mergeCell ref="V169:V171"/>
    <mergeCell ref="C170:C171"/>
    <mergeCell ref="A195:A203"/>
    <mergeCell ref="V196:V200"/>
    <mergeCell ref="C197:C200"/>
    <mergeCell ref="V201:V203"/>
    <mergeCell ref="C202:C203"/>
    <mergeCell ref="U202:U203"/>
    <mergeCell ref="A184:A194"/>
    <mergeCell ref="V185:V189"/>
    <mergeCell ref="C186:C189"/>
    <mergeCell ref="U190:U194"/>
    <mergeCell ref="V190:V194"/>
    <mergeCell ref="C191:C192"/>
    <mergeCell ref="C193:C194"/>
    <mergeCell ref="C159:C162"/>
    <mergeCell ref="C138:C141"/>
    <mergeCell ref="A303:A314"/>
    <mergeCell ref="C305:C309"/>
    <mergeCell ref="C311:C314"/>
    <mergeCell ref="A142:A150"/>
    <mergeCell ref="V143:V147"/>
    <mergeCell ref="C144:C147"/>
    <mergeCell ref="U148:U150"/>
    <mergeCell ref="U310:U314"/>
    <mergeCell ref="V310:V314"/>
    <mergeCell ref="V303:V309"/>
    <mergeCell ref="A291:A302"/>
    <mergeCell ref="C293:C297"/>
    <mergeCell ref="C299:C302"/>
    <mergeCell ref="A130:A141"/>
    <mergeCell ref="V131:V136"/>
    <mergeCell ref="C132:C136"/>
    <mergeCell ref="U137:U141"/>
    <mergeCell ref="V137:V141"/>
    <mergeCell ref="A172:A183"/>
    <mergeCell ref="V173:V178"/>
    <mergeCell ref="C174:C178"/>
    <mergeCell ref="U179:U183"/>
    <mergeCell ref="V298:V302"/>
    <mergeCell ref="U272:U274"/>
    <mergeCell ref="U284:U290"/>
    <mergeCell ref="V148:V150"/>
    <mergeCell ref="A121:A129"/>
    <mergeCell ref="V122:V126"/>
    <mergeCell ref="C123:C126"/>
    <mergeCell ref="U127:U129"/>
    <mergeCell ref="V127:V129"/>
    <mergeCell ref="C128:C129"/>
    <mergeCell ref="U298:U302"/>
    <mergeCell ref="V259:V265"/>
    <mergeCell ref="C260:C265"/>
    <mergeCell ref="U259:U265"/>
    <mergeCell ref="A275:A290"/>
    <mergeCell ref="V276:V283"/>
    <mergeCell ref="C277:C283"/>
    <mergeCell ref="V284:V290"/>
    <mergeCell ref="C285:C290"/>
    <mergeCell ref="V292:V297"/>
    <mergeCell ref="C149:C150"/>
    <mergeCell ref="A151:A162"/>
    <mergeCell ref="V151:V162"/>
    <mergeCell ref="C153:C157"/>
    <mergeCell ref="V103:V108"/>
    <mergeCell ref="C104:C108"/>
    <mergeCell ref="V110:V115"/>
    <mergeCell ref="U116:U120"/>
    <mergeCell ref="V116:V120"/>
    <mergeCell ref="C117:C120"/>
    <mergeCell ref="C111:C114"/>
    <mergeCell ref="A95:A108"/>
    <mergeCell ref="A79:A94"/>
    <mergeCell ref="V80:V87"/>
    <mergeCell ref="C81:C87"/>
    <mergeCell ref="U88:U93"/>
    <mergeCell ref="V88:V94"/>
    <mergeCell ref="C89:C94"/>
    <mergeCell ref="V96:V102"/>
    <mergeCell ref="C97:C102"/>
    <mergeCell ref="U103:U108"/>
    <mergeCell ref="A109:A120"/>
    <mergeCell ref="A65:A78"/>
    <mergeCell ref="V66:V72"/>
    <mergeCell ref="C67:C72"/>
    <mergeCell ref="U73:U78"/>
    <mergeCell ref="V73:V78"/>
    <mergeCell ref="C74:C78"/>
    <mergeCell ref="A4:V4"/>
    <mergeCell ref="C5:C7"/>
    <mergeCell ref="D5:D7"/>
    <mergeCell ref="U5:U7"/>
    <mergeCell ref="V5:V7"/>
    <mergeCell ref="O5:T6"/>
    <mergeCell ref="E5:N6"/>
    <mergeCell ref="V52:V58"/>
    <mergeCell ref="C53:C56"/>
    <mergeCell ref="A51:A64"/>
    <mergeCell ref="U59:U64"/>
    <mergeCell ref="V59:V64"/>
    <mergeCell ref="C60:C64"/>
    <mergeCell ref="A9:A34"/>
    <mergeCell ref="U23:U34"/>
    <mergeCell ref="U44:U50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29" orientation="landscape" useFirstPageNumber="1" r:id="rId1"/>
  <headerFooter alignWithMargins="0">
    <oddHeader>&amp;C&amp;"Arial,Kursywa"Wieloletnia prognoza finansowa  Województwa Zachodniopomorskiego na lata 2015 - 2038&amp;"Arial,Normalny"
_______________________________________________________________________________________________________________________________</oddHeader>
    <oddFooter>&amp;C&amp;8&amp;P</oddFooter>
  </headerFooter>
  <rowBreaks count="9" manualBreakCount="9">
    <brk id="50" max="21" man="1"/>
    <brk id="162" max="21" man="1"/>
    <brk id="203" max="21" man="1"/>
    <brk id="249" max="21" man="1"/>
    <brk id="314" max="21" man="1"/>
    <brk id="358" max="21" man="1"/>
    <brk id="403" max="21" man="1"/>
    <brk id="459" max="21" man="1"/>
    <brk id="508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207"/>
  <sheetViews>
    <sheetView showGridLines="0" view="pageBreakPreview" zoomScale="110" zoomScaleNormal="100" zoomScaleSheetLayoutView="110" workbookViewId="0"/>
  </sheetViews>
  <sheetFormatPr defaultRowHeight="12.75"/>
  <cols>
    <col min="1" max="1" width="4" style="2094" customWidth="1"/>
    <col min="2" max="2" width="55.85546875" style="2094" customWidth="1"/>
    <col min="3" max="3" width="10" style="2094" customWidth="1"/>
    <col min="4" max="4" width="13.85546875" style="2094" customWidth="1"/>
    <col min="5" max="6" width="10.28515625" style="2094" hidden="1" customWidth="1"/>
    <col min="7" max="8" width="10.42578125" style="2094" hidden="1" customWidth="1"/>
    <col min="9" max="9" width="10.28515625" style="2094" hidden="1" customWidth="1"/>
    <col min="10" max="10" width="10.85546875" style="2094" hidden="1" customWidth="1"/>
    <col min="11" max="11" width="10.28515625" style="2094" hidden="1" customWidth="1"/>
    <col min="12" max="12" width="10.7109375" style="2094" hidden="1" customWidth="1"/>
    <col min="13" max="13" width="13.140625" style="2094" customWidth="1"/>
    <col min="14" max="14" width="11.42578125" style="2094" customWidth="1"/>
    <col min="15" max="15" width="10.28515625" style="2094" customWidth="1"/>
    <col min="16" max="16" width="9.85546875" style="2094" customWidth="1"/>
    <col min="17" max="17" width="9.42578125" style="2094" customWidth="1"/>
    <col min="18" max="20" width="9.85546875" style="2094" customWidth="1"/>
    <col min="21" max="21" width="12.140625" style="2094" customWidth="1"/>
    <col min="22" max="22" width="15.28515625" style="2094" customWidth="1"/>
    <col min="23" max="23" width="14" style="1898" hidden="1" customWidth="1"/>
    <col min="24" max="24" width="12.140625" style="1898" hidden="1" customWidth="1"/>
    <col min="25" max="25" width="9.5703125" style="1898" hidden="1" customWidth="1"/>
    <col min="26" max="26" width="14.28515625" style="1898" customWidth="1"/>
    <col min="27" max="27" width="12" style="1898" customWidth="1"/>
    <col min="28" max="29" width="9.140625" style="1898"/>
    <col min="30" max="30" width="12.5703125" style="1898" customWidth="1"/>
    <col min="31" max="16384" width="9.140625" style="1898"/>
  </cols>
  <sheetData>
    <row r="1" spans="1:24" ht="17.25" customHeight="1">
      <c r="O1" s="795"/>
      <c r="T1" s="375" t="s">
        <v>156</v>
      </c>
      <c r="U1" s="377"/>
      <c r="V1" s="378"/>
      <c r="W1" s="378"/>
    </row>
    <row r="2" spans="1:24" ht="6.75" customHeight="1">
      <c r="D2" s="1258"/>
      <c r="E2" s="1258"/>
      <c r="F2" s="1258"/>
      <c r="G2" s="1258"/>
      <c r="H2" s="1258"/>
      <c r="I2" s="1258"/>
      <c r="J2" s="1258"/>
      <c r="K2" s="1258"/>
      <c r="L2" s="1258"/>
      <c r="M2" s="1258"/>
      <c r="N2" s="1258"/>
      <c r="O2" s="1258"/>
      <c r="P2" s="1258"/>
      <c r="Q2" s="1258"/>
      <c r="R2" s="1258"/>
      <c r="S2" s="1258"/>
      <c r="T2" s="1258"/>
      <c r="U2" s="1258"/>
      <c r="V2" s="378"/>
      <c r="W2" s="378"/>
    </row>
    <row r="3" spans="1:24" ht="34.5" customHeight="1" thickBot="1">
      <c r="A3" s="2444" t="s">
        <v>157</v>
      </c>
      <c r="B3" s="2444"/>
      <c r="C3" s="2444"/>
      <c r="D3" s="2444"/>
      <c r="E3" s="2444"/>
      <c r="F3" s="2444"/>
      <c r="G3" s="2444"/>
      <c r="H3" s="2444"/>
      <c r="I3" s="2444"/>
      <c r="J3" s="2444"/>
      <c r="K3" s="2444"/>
      <c r="L3" s="2444"/>
      <c r="M3" s="2444"/>
      <c r="N3" s="2444"/>
      <c r="O3" s="2444"/>
      <c r="P3" s="2444"/>
      <c r="Q3" s="2444"/>
      <c r="R3" s="2444"/>
      <c r="S3" s="2444"/>
      <c r="T3" s="2444"/>
      <c r="U3" s="2444"/>
      <c r="V3" s="2444"/>
    </row>
    <row r="4" spans="1:24" ht="22.5" customHeight="1">
      <c r="A4" s="380"/>
      <c r="B4" s="381"/>
      <c r="C4" s="2445" t="s">
        <v>91</v>
      </c>
      <c r="D4" s="2370" t="s">
        <v>158</v>
      </c>
      <c r="E4" s="2463" t="s">
        <v>3</v>
      </c>
      <c r="F4" s="2464"/>
      <c r="G4" s="2464"/>
      <c r="H4" s="2464"/>
      <c r="I4" s="2464"/>
      <c r="J4" s="2464"/>
      <c r="K4" s="2464"/>
      <c r="L4" s="2464"/>
      <c r="M4" s="2464"/>
      <c r="N4" s="2465"/>
      <c r="O4" s="2373" t="s">
        <v>93</v>
      </c>
      <c r="P4" s="2374"/>
      <c r="Q4" s="2374"/>
      <c r="R4" s="2374"/>
      <c r="S4" s="2374"/>
      <c r="T4" s="2586"/>
      <c r="U4" s="2590" t="s">
        <v>318</v>
      </c>
      <c r="V4" s="2375" t="s">
        <v>94</v>
      </c>
    </row>
    <row r="5" spans="1:24" ht="17.25" customHeight="1">
      <c r="A5" s="2096" t="s">
        <v>95</v>
      </c>
      <c r="B5" s="2091" t="s">
        <v>96</v>
      </c>
      <c r="C5" s="2446"/>
      <c r="D5" s="2371"/>
      <c r="E5" s="2466"/>
      <c r="F5" s="2467"/>
      <c r="G5" s="2467"/>
      <c r="H5" s="2467"/>
      <c r="I5" s="2467"/>
      <c r="J5" s="2467"/>
      <c r="K5" s="2467"/>
      <c r="L5" s="2467"/>
      <c r="M5" s="2467"/>
      <c r="N5" s="2468"/>
      <c r="O5" s="2587"/>
      <c r="P5" s="2588"/>
      <c r="Q5" s="2588"/>
      <c r="R5" s="2588"/>
      <c r="S5" s="2588"/>
      <c r="T5" s="2589"/>
      <c r="U5" s="2591"/>
      <c r="V5" s="2376"/>
    </row>
    <row r="6" spans="1:24" ht="32.25" customHeight="1" thickBot="1">
      <c r="A6" s="382"/>
      <c r="B6" s="383"/>
      <c r="C6" s="2447"/>
      <c r="D6" s="2372"/>
      <c r="E6" s="2092" t="s">
        <v>6</v>
      </c>
      <c r="F6" s="384" t="s">
        <v>7</v>
      </c>
      <c r="G6" s="384" t="s">
        <v>8</v>
      </c>
      <c r="H6" s="384" t="s">
        <v>9</v>
      </c>
      <c r="I6" s="2098" t="s">
        <v>10</v>
      </c>
      <c r="J6" s="2098" t="s">
        <v>11</v>
      </c>
      <c r="K6" s="2098" t="s">
        <v>12</v>
      </c>
      <c r="L6" s="2098" t="s">
        <v>13</v>
      </c>
      <c r="M6" s="2097" t="s">
        <v>323</v>
      </c>
      <c r="N6" s="2098" t="s">
        <v>14</v>
      </c>
      <c r="O6" s="2098" t="s">
        <v>15</v>
      </c>
      <c r="P6" s="2098" t="s">
        <v>16</v>
      </c>
      <c r="Q6" s="2098" t="s">
        <v>17</v>
      </c>
      <c r="R6" s="2098" t="s">
        <v>18</v>
      </c>
      <c r="S6" s="1666" t="s">
        <v>315</v>
      </c>
      <c r="T6" s="1666" t="s">
        <v>322</v>
      </c>
      <c r="U6" s="2592"/>
      <c r="V6" s="2377"/>
    </row>
    <row r="7" spans="1:24" ht="13.5" customHeight="1" thickBot="1">
      <c r="A7" s="796">
        <v>1</v>
      </c>
      <c r="B7" s="797">
        <v>2</v>
      </c>
      <c r="C7" s="798" t="s">
        <v>159</v>
      </c>
      <c r="D7" s="799" t="s">
        <v>160</v>
      </c>
      <c r="E7" s="800"/>
      <c r="F7" s="800"/>
      <c r="G7" s="801"/>
      <c r="H7" s="801"/>
      <c r="I7" s="800"/>
      <c r="J7" s="800"/>
      <c r="K7" s="800"/>
      <c r="L7" s="800"/>
      <c r="M7" s="802">
        <v>5</v>
      </c>
      <c r="N7" s="802">
        <v>6</v>
      </c>
      <c r="O7" s="802">
        <v>7</v>
      </c>
      <c r="P7" s="802">
        <v>8</v>
      </c>
      <c r="Q7" s="802">
        <v>9</v>
      </c>
      <c r="R7" s="802">
        <v>10</v>
      </c>
      <c r="S7" s="802">
        <v>11</v>
      </c>
      <c r="T7" s="802">
        <v>12</v>
      </c>
      <c r="U7" s="803">
        <v>13</v>
      </c>
      <c r="V7" s="804">
        <v>14</v>
      </c>
    </row>
    <row r="8" spans="1:24" ht="13.5" customHeight="1">
      <c r="A8" s="805"/>
      <c r="B8" s="1099" t="s">
        <v>97</v>
      </c>
      <c r="C8" s="1107"/>
      <c r="D8" s="1100">
        <f>+D9+D10</f>
        <v>125448668</v>
      </c>
      <c r="E8" s="1100">
        <f>+E9+E10</f>
        <v>15635931</v>
      </c>
      <c r="F8" s="1100">
        <f t="shared" ref="F8:R8" si="0">+F9+F10</f>
        <v>363151</v>
      </c>
      <c r="G8" s="1100">
        <f t="shared" si="0"/>
        <v>6462295</v>
      </c>
      <c r="H8" s="1100">
        <f t="shared" si="0"/>
        <v>13677932</v>
      </c>
      <c r="I8" s="1100">
        <f t="shared" si="0"/>
        <v>11992258</v>
      </c>
      <c r="J8" s="1100">
        <f t="shared" si="0"/>
        <v>11111940</v>
      </c>
      <c r="K8" s="1100">
        <f t="shared" si="0"/>
        <v>13483634</v>
      </c>
      <c r="L8" s="1100">
        <f t="shared" si="0"/>
        <v>17445722</v>
      </c>
      <c r="M8" s="1100">
        <f t="shared" ref="M8:N8" si="1">+M9+M10</f>
        <v>69669485</v>
      </c>
      <c r="N8" s="1100">
        <f t="shared" si="1"/>
        <v>27923523</v>
      </c>
      <c r="O8" s="1100">
        <f t="shared" si="0"/>
        <v>23673660</v>
      </c>
      <c r="P8" s="1100">
        <f t="shared" si="0"/>
        <v>1394000</v>
      </c>
      <c r="Q8" s="1100">
        <f t="shared" si="0"/>
        <v>1394000</v>
      </c>
      <c r="R8" s="1100">
        <f t="shared" si="0"/>
        <v>1394000</v>
      </c>
      <c r="S8" s="1100">
        <f t="shared" ref="S8:T8" si="2">+S9+S10</f>
        <v>0</v>
      </c>
      <c r="T8" s="1100">
        <f t="shared" si="2"/>
        <v>0</v>
      </c>
      <c r="U8" s="806">
        <f>+U9+U10</f>
        <v>27855660</v>
      </c>
      <c r="V8" s="2089"/>
      <c r="W8" s="1258">
        <f>+O8+P8+Q8+R8</f>
        <v>27855660</v>
      </c>
      <c r="X8" s="1258" t="e">
        <f>+V21+V28+V40+V52+V64+#REF!+V112+V124</f>
        <v>#REF!</v>
      </c>
    </row>
    <row r="9" spans="1:24" ht="13.5" customHeight="1">
      <c r="A9" s="805"/>
      <c r="B9" s="1093" t="s">
        <v>98</v>
      </c>
      <c r="C9" s="1094"/>
      <c r="D9" s="1095">
        <f>+D23+D30+D42+D54+D102+D114+D150+D162+D174+D186+D66+D78+D90+D138</f>
        <v>125056890</v>
      </c>
      <c r="E9" s="1095">
        <f t="shared" ref="E9:R9" si="3">+E23+E30+E42+E54+E102+E114+E150+E162+E174+E186+E66+E78+E90+E138</f>
        <v>15465947</v>
      </c>
      <c r="F9" s="1095">
        <f t="shared" si="3"/>
        <v>350694</v>
      </c>
      <c r="G9" s="1095">
        <f t="shared" si="3"/>
        <v>6377041</v>
      </c>
      <c r="H9" s="1095">
        <f t="shared" si="3"/>
        <v>13605659</v>
      </c>
      <c r="I9" s="1095">
        <f t="shared" si="3"/>
        <v>11977277</v>
      </c>
      <c r="J9" s="1095">
        <f t="shared" si="3"/>
        <v>11072629</v>
      </c>
      <c r="K9" s="1095">
        <f t="shared" si="3"/>
        <v>13483634</v>
      </c>
      <c r="L9" s="1095">
        <f t="shared" si="3"/>
        <v>17378220</v>
      </c>
      <c r="M9" s="1095">
        <f t="shared" ref="M9:N9" si="4">+M23+M30+M42+M54+M102+M114+M150+M162+M174+M186+M66+M78+M90+M138</f>
        <v>69377707</v>
      </c>
      <c r="N9" s="1095">
        <f t="shared" si="4"/>
        <v>27823523</v>
      </c>
      <c r="O9" s="1095">
        <f t="shared" si="3"/>
        <v>23673660</v>
      </c>
      <c r="P9" s="1095">
        <f t="shared" si="3"/>
        <v>1394000</v>
      </c>
      <c r="Q9" s="1095">
        <f t="shared" si="3"/>
        <v>1394000</v>
      </c>
      <c r="R9" s="1095">
        <f t="shared" si="3"/>
        <v>1394000</v>
      </c>
      <c r="S9" s="1095">
        <f t="shared" ref="S9:T9" si="5">+S23+S30+S42+S54+S102+S114+S150+S162+S174+S186+S66+S78+S90+S138</f>
        <v>0</v>
      </c>
      <c r="T9" s="1095">
        <f t="shared" si="5"/>
        <v>0</v>
      </c>
      <c r="U9" s="397">
        <f>SUM(O9:R9)</f>
        <v>27855660</v>
      </c>
      <c r="V9" s="2089"/>
      <c r="W9" s="1258"/>
      <c r="X9" s="1258"/>
    </row>
    <row r="10" spans="1:24" ht="13.5" customHeight="1">
      <c r="A10" s="805"/>
      <c r="B10" s="1096" t="s">
        <v>21</v>
      </c>
      <c r="C10" s="1097"/>
      <c r="D10" s="1098">
        <f>D126</f>
        <v>391778</v>
      </c>
      <c r="E10" s="1098">
        <f t="shared" ref="E10:R10" si="6">E126</f>
        <v>169984</v>
      </c>
      <c r="F10" s="1098">
        <f t="shared" si="6"/>
        <v>12457</v>
      </c>
      <c r="G10" s="1098">
        <f t="shared" si="6"/>
        <v>85254</v>
      </c>
      <c r="H10" s="1098">
        <f t="shared" si="6"/>
        <v>72273</v>
      </c>
      <c r="I10" s="1098">
        <f t="shared" si="6"/>
        <v>14981</v>
      </c>
      <c r="J10" s="1098">
        <f t="shared" si="6"/>
        <v>39311</v>
      </c>
      <c r="K10" s="1098">
        <f t="shared" si="6"/>
        <v>0</v>
      </c>
      <c r="L10" s="1098">
        <f t="shared" si="6"/>
        <v>67502</v>
      </c>
      <c r="M10" s="1098">
        <f t="shared" ref="M10:N10" si="7">M126</f>
        <v>291778</v>
      </c>
      <c r="N10" s="1098">
        <f t="shared" si="7"/>
        <v>100000</v>
      </c>
      <c r="O10" s="1098">
        <f t="shared" si="6"/>
        <v>0</v>
      </c>
      <c r="P10" s="1098">
        <f t="shared" si="6"/>
        <v>0</v>
      </c>
      <c r="Q10" s="1098">
        <f t="shared" si="6"/>
        <v>0</v>
      </c>
      <c r="R10" s="1098">
        <f t="shared" si="6"/>
        <v>0</v>
      </c>
      <c r="S10" s="1098">
        <f t="shared" ref="S10:T10" si="8">S126</f>
        <v>0</v>
      </c>
      <c r="T10" s="1098">
        <f t="shared" si="8"/>
        <v>0</v>
      </c>
      <c r="U10" s="397">
        <f>SUM(O10:R10)</f>
        <v>0</v>
      </c>
      <c r="V10" s="2089"/>
    </row>
    <row r="11" spans="1:24" ht="13.5" customHeight="1">
      <c r="A11" s="805"/>
      <c r="B11" s="452" t="s">
        <v>22</v>
      </c>
      <c r="C11" s="428"/>
      <c r="D11" s="453">
        <f>+D12+D15</f>
        <v>125448668</v>
      </c>
      <c r="E11" s="453">
        <f t="shared" ref="E11:R11" si="9">E12+E15</f>
        <v>15635931</v>
      </c>
      <c r="F11" s="453">
        <f t="shared" si="9"/>
        <v>363151</v>
      </c>
      <c r="G11" s="453">
        <f t="shared" si="9"/>
        <v>6462295</v>
      </c>
      <c r="H11" s="453">
        <f t="shared" si="9"/>
        <v>13677932</v>
      </c>
      <c r="I11" s="453">
        <f t="shared" si="9"/>
        <v>11992258</v>
      </c>
      <c r="J11" s="453">
        <f t="shared" si="9"/>
        <v>11111940</v>
      </c>
      <c r="K11" s="453">
        <f t="shared" si="9"/>
        <v>13483634</v>
      </c>
      <c r="L11" s="453">
        <f t="shared" si="9"/>
        <v>17445722</v>
      </c>
      <c r="M11" s="453">
        <f t="shared" ref="M11:N11" si="10">M12+M15</f>
        <v>69669485</v>
      </c>
      <c r="N11" s="453">
        <f t="shared" si="10"/>
        <v>27923523</v>
      </c>
      <c r="O11" s="453">
        <f t="shared" si="9"/>
        <v>23673660</v>
      </c>
      <c r="P11" s="453">
        <f t="shared" si="9"/>
        <v>1394000</v>
      </c>
      <c r="Q11" s="453">
        <f t="shared" si="9"/>
        <v>1394000</v>
      </c>
      <c r="R11" s="453">
        <f t="shared" si="9"/>
        <v>1394000</v>
      </c>
      <c r="S11" s="453">
        <f t="shared" ref="S11:T11" si="11">S12+S15</f>
        <v>0</v>
      </c>
      <c r="T11" s="453">
        <f t="shared" si="11"/>
        <v>0</v>
      </c>
      <c r="U11" s="454">
        <f>U12+U15</f>
        <v>27855660</v>
      </c>
      <c r="V11" s="739"/>
      <c r="W11" s="1258"/>
      <c r="X11" s="1258" t="e">
        <f>+#REF!+V42+V54+#REF!+V102+V114+V150</f>
        <v>#REF!</v>
      </c>
    </row>
    <row r="12" spans="1:24" s="1064" customFormat="1" ht="13.5" customHeight="1">
      <c r="A12" s="805"/>
      <c r="B12" s="1259" t="s">
        <v>36</v>
      </c>
      <c r="C12" s="1260"/>
      <c r="D12" s="1261">
        <f>D13+D14</f>
        <v>15563021</v>
      </c>
      <c r="E12" s="1261">
        <f t="shared" ref="E12:R12" si="12">E13+E14</f>
        <v>2345391</v>
      </c>
      <c r="F12" s="1261">
        <f t="shared" si="12"/>
        <v>54471</v>
      </c>
      <c r="G12" s="1261">
        <f t="shared" si="12"/>
        <v>969344</v>
      </c>
      <c r="H12" s="1261">
        <f t="shared" si="12"/>
        <v>2051691</v>
      </c>
      <c r="I12" s="1261">
        <f t="shared" si="12"/>
        <v>1798839</v>
      </c>
      <c r="J12" s="1261">
        <f t="shared" si="12"/>
        <v>1666792</v>
      </c>
      <c r="K12" s="1261">
        <f t="shared" si="12"/>
        <v>1771442</v>
      </c>
      <c r="L12" s="1261">
        <f t="shared" si="12"/>
        <v>2382607</v>
      </c>
      <c r="M12" s="1261">
        <f t="shared" ref="M12:N12" si="13">M13+M14</f>
        <v>9965071</v>
      </c>
      <c r="N12" s="1261">
        <f t="shared" si="13"/>
        <v>2655818</v>
      </c>
      <c r="O12" s="1261">
        <f t="shared" si="12"/>
        <v>2284721</v>
      </c>
      <c r="P12" s="1261">
        <f t="shared" si="12"/>
        <v>219137</v>
      </c>
      <c r="Q12" s="1261">
        <f t="shared" si="12"/>
        <v>219137</v>
      </c>
      <c r="R12" s="1261">
        <f t="shared" si="12"/>
        <v>219137</v>
      </c>
      <c r="S12" s="1261">
        <f t="shared" ref="S12:T12" si="14">S13+S14</f>
        <v>0</v>
      </c>
      <c r="T12" s="1261">
        <f t="shared" si="14"/>
        <v>0</v>
      </c>
      <c r="U12" s="1262">
        <f>U13+U14</f>
        <v>2942132</v>
      </c>
      <c r="V12" s="2089"/>
    </row>
    <row r="13" spans="1:24" ht="13.5" customHeight="1">
      <c r="A13" s="805"/>
      <c r="B13" s="414" t="s">
        <v>24</v>
      </c>
      <c r="C13" s="415"/>
      <c r="D13" s="1263">
        <f>D44+D56+D116+D128+D80+D68+D188+D92+D140</f>
        <v>12053925</v>
      </c>
      <c r="E13" s="1263">
        <f t="shared" ref="E13:R13" si="15">E44+E56+E116+E128+E80+E68+E188+E92+E140</f>
        <v>1905874</v>
      </c>
      <c r="F13" s="1263">
        <f t="shared" si="15"/>
        <v>50367</v>
      </c>
      <c r="G13" s="1263">
        <f t="shared" si="15"/>
        <v>675169</v>
      </c>
      <c r="H13" s="1263">
        <f t="shared" si="15"/>
        <v>1180338</v>
      </c>
      <c r="I13" s="1263">
        <f t="shared" si="15"/>
        <v>1358146</v>
      </c>
      <c r="J13" s="1263">
        <f t="shared" si="15"/>
        <v>1355818</v>
      </c>
      <c r="K13" s="1263">
        <f t="shared" si="15"/>
        <v>1392225</v>
      </c>
      <c r="L13" s="1263">
        <f t="shared" si="15"/>
        <v>1657448</v>
      </c>
      <c r="M13" s="1263">
        <f t="shared" ref="M13:N13" si="16">M44+M56+M116+M128+M80+M68+M188+M92+M140</f>
        <v>7669511</v>
      </c>
      <c r="N13" s="1263">
        <f t="shared" si="16"/>
        <v>1821431</v>
      </c>
      <c r="O13" s="1263">
        <f t="shared" si="15"/>
        <v>1905572</v>
      </c>
      <c r="P13" s="1263">
        <f t="shared" si="15"/>
        <v>219137</v>
      </c>
      <c r="Q13" s="1263">
        <f t="shared" si="15"/>
        <v>219137</v>
      </c>
      <c r="R13" s="1263">
        <f t="shared" si="15"/>
        <v>219137</v>
      </c>
      <c r="S13" s="1263">
        <f t="shared" ref="S13:T13" si="17">S44+S56+S116+S128+S80+S68+S188+S92+S140</f>
        <v>0</v>
      </c>
      <c r="T13" s="1263">
        <f t="shared" si="17"/>
        <v>0</v>
      </c>
      <c r="U13" s="1264">
        <f>SUM(O13:T13)</f>
        <v>2562983</v>
      </c>
      <c r="V13" s="2089"/>
      <c r="W13" s="1258"/>
    </row>
    <row r="14" spans="1:24" ht="13.5" customHeight="1">
      <c r="A14" s="805"/>
      <c r="B14" s="424" t="s">
        <v>25</v>
      </c>
      <c r="C14" s="415"/>
      <c r="D14" s="1265">
        <f>D45+D57+D105+D117+D153+D33+D81+D69</f>
        <v>3509096</v>
      </c>
      <c r="E14" s="1265">
        <f>E45+E57+E105+E117+E153+E33+E81+E69</f>
        <v>439517</v>
      </c>
      <c r="F14" s="1265">
        <f t="shared" ref="F14:R14" si="18">F45+F57+F105+F117+F153+F33+F81+F69</f>
        <v>4104</v>
      </c>
      <c r="G14" s="1265">
        <f t="shared" si="18"/>
        <v>294175</v>
      </c>
      <c r="H14" s="1265">
        <f t="shared" si="18"/>
        <v>871353</v>
      </c>
      <c r="I14" s="1265">
        <f t="shared" si="18"/>
        <v>440693</v>
      </c>
      <c r="J14" s="1265">
        <f t="shared" si="18"/>
        <v>310974</v>
      </c>
      <c r="K14" s="1265">
        <f t="shared" si="18"/>
        <v>379217</v>
      </c>
      <c r="L14" s="1265">
        <f t="shared" si="18"/>
        <v>725159</v>
      </c>
      <c r="M14" s="1265">
        <f t="shared" ref="M14:N14" si="19">M45+M57+M105+M117+M153+M33+M81+M69</f>
        <v>2295560</v>
      </c>
      <c r="N14" s="1265">
        <f t="shared" si="19"/>
        <v>834387</v>
      </c>
      <c r="O14" s="1265">
        <f t="shared" si="18"/>
        <v>379149</v>
      </c>
      <c r="P14" s="1265">
        <f t="shared" si="18"/>
        <v>0</v>
      </c>
      <c r="Q14" s="1265">
        <f t="shared" si="18"/>
        <v>0</v>
      </c>
      <c r="R14" s="1265">
        <f t="shared" si="18"/>
        <v>0</v>
      </c>
      <c r="S14" s="1265">
        <f t="shared" ref="S14:T14" si="20">S45+S57+S105+S117+S153+S33+S81+S69</f>
        <v>0</v>
      </c>
      <c r="T14" s="1265">
        <f t="shared" si="20"/>
        <v>0</v>
      </c>
      <c r="U14" s="1264">
        <f>SUM(O14:T14)</f>
        <v>379149</v>
      </c>
      <c r="V14" s="2089"/>
      <c r="W14" s="1258"/>
    </row>
    <row r="15" spans="1:24" s="1064" customFormat="1" ht="13.5" customHeight="1">
      <c r="A15" s="805"/>
      <c r="B15" s="1266" t="s">
        <v>30</v>
      </c>
      <c r="C15" s="406"/>
      <c r="D15" s="1261">
        <f>D16</f>
        <v>109885647</v>
      </c>
      <c r="E15" s="1261">
        <f t="shared" ref="E15:T15" si="21">E16</f>
        <v>13290540</v>
      </c>
      <c r="F15" s="1261">
        <f t="shared" si="21"/>
        <v>308680</v>
      </c>
      <c r="G15" s="1261">
        <f t="shared" si="21"/>
        <v>5492951</v>
      </c>
      <c r="H15" s="1261">
        <f t="shared" si="21"/>
        <v>11626241</v>
      </c>
      <c r="I15" s="1261">
        <f t="shared" si="21"/>
        <v>10193419</v>
      </c>
      <c r="J15" s="1261">
        <f t="shared" si="21"/>
        <v>9445148</v>
      </c>
      <c r="K15" s="1261">
        <f t="shared" si="21"/>
        <v>11712192</v>
      </c>
      <c r="L15" s="1261">
        <f t="shared" si="21"/>
        <v>15063115</v>
      </c>
      <c r="M15" s="1261">
        <f t="shared" si="21"/>
        <v>59704414</v>
      </c>
      <c r="N15" s="1261">
        <f t="shared" si="21"/>
        <v>25267705</v>
      </c>
      <c r="O15" s="1261">
        <f t="shared" si="21"/>
        <v>21388939</v>
      </c>
      <c r="P15" s="1261">
        <f t="shared" si="21"/>
        <v>1174863</v>
      </c>
      <c r="Q15" s="1261">
        <f t="shared" si="21"/>
        <v>1174863</v>
      </c>
      <c r="R15" s="1261">
        <f t="shared" si="21"/>
        <v>1174863</v>
      </c>
      <c r="S15" s="1261">
        <f t="shared" si="21"/>
        <v>0</v>
      </c>
      <c r="T15" s="1261">
        <f t="shared" si="21"/>
        <v>0</v>
      </c>
      <c r="U15" s="1262">
        <f>U16</f>
        <v>24913528</v>
      </c>
      <c r="V15" s="2089"/>
    </row>
    <row r="16" spans="1:24" ht="13.5" customHeight="1">
      <c r="A16" s="805"/>
      <c r="B16" s="1267" t="s">
        <v>33</v>
      </c>
      <c r="C16" s="1268"/>
      <c r="D16" s="807">
        <f>+D47+D59+D107+D119+D155+D35+D167+D179+D25+D131+D83+D71+D191+D95+D143</f>
        <v>109885647</v>
      </c>
      <c r="E16" s="807">
        <f t="shared" ref="E16:R16" si="22">+E47+E59+E107+E119+E155+E35+E167+E179+E25+E131+E83+E71+E191+E95+E143</f>
        <v>13290540</v>
      </c>
      <c r="F16" s="807">
        <f t="shared" si="22"/>
        <v>308680</v>
      </c>
      <c r="G16" s="807">
        <f t="shared" si="22"/>
        <v>5492951</v>
      </c>
      <c r="H16" s="807">
        <f t="shared" si="22"/>
        <v>11626241</v>
      </c>
      <c r="I16" s="807">
        <f t="shared" si="22"/>
        <v>10193419</v>
      </c>
      <c r="J16" s="807">
        <f t="shared" si="22"/>
        <v>9445148</v>
      </c>
      <c r="K16" s="807">
        <f t="shared" si="22"/>
        <v>11712192</v>
      </c>
      <c r="L16" s="807">
        <f t="shared" si="22"/>
        <v>15063115</v>
      </c>
      <c r="M16" s="807">
        <f t="shared" ref="M16:N16" si="23">+M47+M59+M107+M119+M155+M35+M167+M179+M25+M131+M83+M71+M191+M95+M143</f>
        <v>59704414</v>
      </c>
      <c r="N16" s="807">
        <f t="shared" si="23"/>
        <v>25267705</v>
      </c>
      <c r="O16" s="807">
        <f t="shared" si="22"/>
        <v>21388939</v>
      </c>
      <c r="P16" s="807">
        <f t="shared" si="22"/>
        <v>1174863</v>
      </c>
      <c r="Q16" s="807">
        <f t="shared" si="22"/>
        <v>1174863</v>
      </c>
      <c r="R16" s="807">
        <f t="shared" si="22"/>
        <v>1174863</v>
      </c>
      <c r="S16" s="807">
        <f t="shared" ref="S16:T16" si="24">+S47+S59+S107+S119+S155+S35+S167+S179+S25+S131+S83+S71+S191+S95+S143</f>
        <v>0</v>
      </c>
      <c r="T16" s="807">
        <f t="shared" si="24"/>
        <v>0</v>
      </c>
      <c r="U16" s="1264">
        <f>SUM(O16:T16)</f>
        <v>24913528</v>
      </c>
      <c r="V16" s="739"/>
      <c r="W16" s="1258"/>
    </row>
    <row r="17" spans="1:24" ht="13.5" customHeight="1">
      <c r="A17" s="805"/>
      <c r="B17" s="427" t="s">
        <v>34</v>
      </c>
      <c r="C17" s="428"/>
      <c r="D17" s="453">
        <f>D18+D20</f>
        <v>113394743</v>
      </c>
      <c r="E17" s="453">
        <f t="shared" ref="E17:P17" si="25">E18+E20</f>
        <v>13730057</v>
      </c>
      <c r="F17" s="453">
        <f t="shared" si="25"/>
        <v>312784</v>
      </c>
      <c r="G17" s="453">
        <f t="shared" si="25"/>
        <v>5787126</v>
      </c>
      <c r="H17" s="453">
        <f t="shared" si="25"/>
        <v>12497594</v>
      </c>
      <c r="I17" s="453">
        <f t="shared" si="25"/>
        <v>10634112</v>
      </c>
      <c r="J17" s="453">
        <f t="shared" si="25"/>
        <v>9815114</v>
      </c>
      <c r="K17" s="453">
        <f t="shared" si="25"/>
        <v>12579843</v>
      </c>
      <c r="L17" s="453">
        <f t="shared" si="25"/>
        <v>15045233</v>
      </c>
      <c r="M17" s="453">
        <f t="shared" ref="M17:N17" si="26">M18+M20</f>
        <v>61804359</v>
      </c>
      <c r="N17" s="453">
        <f t="shared" si="26"/>
        <v>27833199</v>
      </c>
      <c r="O17" s="453">
        <f t="shared" si="25"/>
        <v>20232596</v>
      </c>
      <c r="P17" s="453">
        <f t="shared" si="25"/>
        <v>1174863</v>
      </c>
      <c r="Q17" s="453">
        <f>Q18+Q20</f>
        <v>1174863</v>
      </c>
      <c r="R17" s="453">
        <f>R18+R20</f>
        <v>1174863</v>
      </c>
      <c r="S17" s="453">
        <f t="shared" ref="S17:T17" si="27">S18+S20</f>
        <v>0</v>
      </c>
      <c r="T17" s="453">
        <f t="shared" si="27"/>
        <v>0</v>
      </c>
      <c r="U17" s="2596" t="s">
        <v>77</v>
      </c>
      <c r="V17" s="2089"/>
    </row>
    <row r="18" spans="1:24" ht="13.5" customHeight="1">
      <c r="A18" s="805"/>
      <c r="B18" s="1259" t="s">
        <v>36</v>
      </c>
      <c r="C18" s="433"/>
      <c r="D18" s="1269">
        <f>D19</f>
        <v>3509096</v>
      </c>
      <c r="E18" s="1269">
        <f t="shared" ref="E18:T18" si="28">E19</f>
        <v>439517</v>
      </c>
      <c r="F18" s="1269">
        <f t="shared" si="28"/>
        <v>4104</v>
      </c>
      <c r="G18" s="1269">
        <f t="shared" si="28"/>
        <v>294175</v>
      </c>
      <c r="H18" s="1269">
        <f t="shared" si="28"/>
        <v>871353</v>
      </c>
      <c r="I18" s="1269">
        <f t="shared" si="28"/>
        <v>440693</v>
      </c>
      <c r="J18" s="1269">
        <f t="shared" si="28"/>
        <v>310624</v>
      </c>
      <c r="K18" s="1269">
        <f t="shared" si="28"/>
        <v>379217</v>
      </c>
      <c r="L18" s="1269">
        <f t="shared" si="28"/>
        <v>725159</v>
      </c>
      <c r="M18" s="1269">
        <f t="shared" si="28"/>
        <v>2295210</v>
      </c>
      <c r="N18" s="1269">
        <f t="shared" si="28"/>
        <v>834387</v>
      </c>
      <c r="O18" s="1269">
        <f t="shared" si="28"/>
        <v>379499</v>
      </c>
      <c r="P18" s="1269">
        <f t="shared" si="28"/>
        <v>0</v>
      </c>
      <c r="Q18" s="1269">
        <f t="shared" si="28"/>
        <v>0</v>
      </c>
      <c r="R18" s="1269">
        <f t="shared" si="28"/>
        <v>0</v>
      </c>
      <c r="S18" s="1269">
        <f t="shared" si="28"/>
        <v>0</v>
      </c>
      <c r="T18" s="1269">
        <f t="shared" si="28"/>
        <v>0</v>
      </c>
      <c r="U18" s="2597"/>
      <c r="V18" s="2089"/>
    </row>
    <row r="19" spans="1:24" ht="13.5" customHeight="1">
      <c r="A19" s="805"/>
      <c r="B19" s="424" t="s">
        <v>25</v>
      </c>
      <c r="C19" s="435"/>
      <c r="D19" s="807">
        <f>+D50+D62+D110+D122+D158+D38+D86+D74</f>
        <v>3509096</v>
      </c>
      <c r="E19" s="807">
        <f>+E50+E62+E110+E122+E158+E38+E86+E74</f>
        <v>439517</v>
      </c>
      <c r="F19" s="807">
        <f t="shared" ref="F19:R19" si="29">+F50+F62+F110+F122+F158+F38+F86+F74</f>
        <v>4104</v>
      </c>
      <c r="G19" s="807">
        <f t="shared" si="29"/>
        <v>294175</v>
      </c>
      <c r="H19" s="807">
        <f t="shared" si="29"/>
        <v>871353</v>
      </c>
      <c r="I19" s="807">
        <f t="shared" si="29"/>
        <v>440693</v>
      </c>
      <c r="J19" s="807">
        <f t="shared" si="29"/>
        <v>310624</v>
      </c>
      <c r="K19" s="807">
        <f t="shared" si="29"/>
        <v>379217</v>
      </c>
      <c r="L19" s="807">
        <f t="shared" si="29"/>
        <v>725159</v>
      </c>
      <c r="M19" s="807">
        <f t="shared" ref="M19:N19" si="30">+M50+M62+M110+M122+M158+M38+M86+M74</f>
        <v>2295210</v>
      </c>
      <c r="N19" s="807">
        <f t="shared" si="30"/>
        <v>834387</v>
      </c>
      <c r="O19" s="807">
        <f t="shared" si="29"/>
        <v>379499</v>
      </c>
      <c r="P19" s="807">
        <f t="shared" si="29"/>
        <v>0</v>
      </c>
      <c r="Q19" s="807">
        <f t="shared" si="29"/>
        <v>0</v>
      </c>
      <c r="R19" s="807">
        <f t="shared" si="29"/>
        <v>0</v>
      </c>
      <c r="S19" s="807">
        <f t="shared" ref="S19:T19" si="31">+S50+S62+S110+S122+S158+S38+S86+S74</f>
        <v>0</v>
      </c>
      <c r="T19" s="807">
        <f t="shared" si="31"/>
        <v>0</v>
      </c>
      <c r="U19" s="2597"/>
      <c r="V19" s="2089"/>
    </row>
    <row r="20" spans="1:24" ht="12" customHeight="1">
      <c r="A20" s="805"/>
      <c r="B20" s="1270" t="s">
        <v>30</v>
      </c>
      <c r="C20" s="438"/>
      <c r="D20" s="1271">
        <f>D21</f>
        <v>109885647</v>
      </c>
      <c r="E20" s="1271">
        <f t="shared" ref="E20:T20" si="32">E21</f>
        <v>13290540</v>
      </c>
      <c r="F20" s="1271">
        <f t="shared" si="32"/>
        <v>308680</v>
      </c>
      <c r="G20" s="1271">
        <f t="shared" si="32"/>
        <v>5492951</v>
      </c>
      <c r="H20" s="1271">
        <f t="shared" si="32"/>
        <v>11626241</v>
      </c>
      <c r="I20" s="1271">
        <f t="shared" si="32"/>
        <v>10193419</v>
      </c>
      <c r="J20" s="1271">
        <f t="shared" si="32"/>
        <v>9504490</v>
      </c>
      <c r="K20" s="1271">
        <f t="shared" si="32"/>
        <v>12200626</v>
      </c>
      <c r="L20" s="1271">
        <f t="shared" si="32"/>
        <v>14320074</v>
      </c>
      <c r="M20" s="1271">
        <f t="shared" si="32"/>
        <v>59509149</v>
      </c>
      <c r="N20" s="1271">
        <f t="shared" si="32"/>
        <v>26998812</v>
      </c>
      <c r="O20" s="1271">
        <f t="shared" si="32"/>
        <v>19853097</v>
      </c>
      <c r="P20" s="1271">
        <f t="shared" si="32"/>
        <v>1174863</v>
      </c>
      <c r="Q20" s="1271">
        <f t="shared" si="32"/>
        <v>1174863</v>
      </c>
      <c r="R20" s="1271">
        <f t="shared" si="32"/>
        <v>1174863</v>
      </c>
      <c r="S20" s="1271">
        <f t="shared" si="32"/>
        <v>0</v>
      </c>
      <c r="T20" s="1271">
        <f t="shared" si="32"/>
        <v>0</v>
      </c>
      <c r="U20" s="2597"/>
      <c r="V20" s="2089"/>
    </row>
    <row r="21" spans="1:24" ht="13.5" customHeight="1" thickBot="1">
      <c r="A21" s="805"/>
      <c r="B21" s="1272" t="s">
        <v>33</v>
      </c>
      <c r="C21" s="1273"/>
      <c r="D21" s="807">
        <f>+D52+D64+D112+D124+D160+D40+D172+D184+D28+D136+D88+D76+D196+D100+D148</f>
        <v>109885647</v>
      </c>
      <c r="E21" s="807">
        <f t="shared" ref="E21:R21" si="33">+E52+E64+E112+E124+E160+E40+E172+E184+E28+E136+E88+E76+E196+E100+E148</f>
        <v>13290540</v>
      </c>
      <c r="F21" s="807">
        <f t="shared" si="33"/>
        <v>308680</v>
      </c>
      <c r="G21" s="807">
        <f t="shared" si="33"/>
        <v>5492951</v>
      </c>
      <c r="H21" s="807">
        <f t="shared" si="33"/>
        <v>11626241</v>
      </c>
      <c r="I21" s="807">
        <f t="shared" si="33"/>
        <v>10193419</v>
      </c>
      <c r="J21" s="807">
        <f t="shared" si="33"/>
        <v>9504490</v>
      </c>
      <c r="K21" s="807">
        <f t="shared" si="33"/>
        <v>12200626</v>
      </c>
      <c r="L21" s="807">
        <f t="shared" si="33"/>
        <v>14320074</v>
      </c>
      <c r="M21" s="807">
        <f t="shared" ref="M21:N21" si="34">+M52+M64+M112+M124+M160+M40+M172+M184+M28+M136+M88+M76+M196+M100+M148</f>
        <v>59509149</v>
      </c>
      <c r="N21" s="807">
        <f t="shared" si="34"/>
        <v>26998812</v>
      </c>
      <c r="O21" s="807">
        <f t="shared" si="33"/>
        <v>19853097</v>
      </c>
      <c r="P21" s="807">
        <f t="shared" si="33"/>
        <v>1174863</v>
      </c>
      <c r="Q21" s="807">
        <f t="shared" si="33"/>
        <v>1174863</v>
      </c>
      <c r="R21" s="807">
        <f t="shared" si="33"/>
        <v>1174863</v>
      </c>
      <c r="S21" s="1797">
        <f t="shared" ref="S21:T21" si="35">+S52+S64+S112+S124+S160+S40+S172+S184+S28+S136+S88+S76+S196+S100+S148</f>
        <v>0</v>
      </c>
      <c r="T21" s="1798">
        <f t="shared" si="35"/>
        <v>0</v>
      </c>
      <c r="U21" s="2598"/>
      <c r="V21" s="808"/>
      <c r="W21" s="1258">
        <f>D21-D16</f>
        <v>0</v>
      </c>
    </row>
    <row r="22" spans="1:24" ht="27.75" customHeight="1">
      <c r="A22" s="2599" t="s">
        <v>82</v>
      </c>
      <c r="B22" s="548" t="s">
        <v>166</v>
      </c>
      <c r="C22" s="528" t="s">
        <v>138</v>
      </c>
      <c r="D22" s="488"/>
      <c r="E22" s="489"/>
      <c r="F22" s="490"/>
      <c r="G22" s="489"/>
      <c r="H22" s="489"/>
      <c r="I22" s="489"/>
      <c r="J22" s="489"/>
      <c r="K22" s="489"/>
      <c r="L22" s="489"/>
      <c r="M22" s="489"/>
      <c r="N22" s="489"/>
      <c r="O22" s="593"/>
      <c r="P22" s="489"/>
      <c r="Q22" s="491"/>
      <c r="R22" s="491"/>
      <c r="S22" s="582"/>
      <c r="T22" s="582"/>
      <c r="U22" s="809"/>
      <c r="V22" s="2582" t="s">
        <v>167</v>
      </c>
    </row>
    <row r="23" spans="1:24" ht="13.5" customHeight="1">
      <c r="A23" s="2429"/>
      <c r="B23" s="554" t="s">
        <v>22</v>
      </c>
      <c r="C23" s="428"/>
      <c r="D23" s="518">
        <f>+D24</f>
        <v>2230049</v>
      </c>
      <c r="E23" s="518">
        <f t="shared" ref="E23:T23" si="36">+E24</f>
        <v>0</v>
      </c>
      <c r="F23" s="518">
        <f t="shared" si="36"/>
        <v>0</v>
      </c>
      <c r="G23" s="518">
        <f t="shared" si="36"/>
        <v>0</v>
      </c>
      <c r="H23" s="518">
        <f t="shared" si="36"/>
        <v>0</v>
      </c>
      <c r="I23" s="518">
        <f t="shared" si="36"/>
        <v>0</v>
      </c>
      <c r="J23" s="518">
        <f t="shared" si="36"/>
        <v>0</v>
      </c>
      <c r="K23" s="518">
        <f t="shared" si="36"/>
        <v>0</v>
      </c>
      <c r="L23" s="518">
        <f t="shared" si="36"/>
        <v>1074883</v>
      </c>
      <c r="M23" s="518">
        <f t="shared" si="36"/>
        <v>1074883</v>
      </c>
      <c r="N23" s="518">
        <f t="shared" si="36"/>
        <v>1141623</v>
      </c>
      <c r="O23" s="518">
        <f t="shared" si="36"/>
        <v>13543</v>
      </c>
      <c r="P23" s="518">
        <f t="shared" si="36"/>
        <v>0</v>
      </c>
      <c r="Q23" s="518">
        <f t="shared" si="36"/>
        <v>0</v>
      </c>
      <c r="R23" s="518">
        <f t="shared" si="36"/>
        <v>0</v>
      </c>
      <c r="S23" s="518">
        <f t="shared" si="36"/>
        <v>0</v>
      </c>
      <c r="T23" s="518">
        <f t="shared" si="36"/>
        <v>0</v>
      </c>
      <c r="U23" s="535">
        <f>+U24</f>
        <v>13543</v>
      </c>
      <c r="V23" s="2583"/>
      <c r="W23" s="1258">
        <f>+O23+P23+Q23+R23</f>
        <v>13543</v>
      </c>
      <c r="X23" s="1258"/>
    </row>
    <row r="24" spans="1:24" ht="11.25" customHeight="1">
      <c r="A24" s="2429"/>
      <c r="B24" s="605" t="s">
        <v>30</v>
      </c>
      <c r="C24" s="2600" t="s">
        <v>168</v>
      </c>
      <c r="D24" s="513">
        <f t="shared" ref="D24:U24" si="37">+D25</f>
        <v>2230049</v>
      </c>
      <c r="E24" s="514">
        <f t="shared" si="37"/>
        <v>0</v>
      </c>
      <c r="F24" s="514">
        <f t="shared" si="37"/>
        <v>0</v>
      </c>
      <c r="G24" s="635">
        <f t="shared" si="37"/>
        <v>0</v>
      </c>
      <c r="H24" s="635">
        <f t="shared" si="37"/>
        <v>0</v>
      </c>
      <c r="I24" s="635">
        <f t="shared" si="37"/>
        <v>0</v>
      </c>
      <c r="J24" s="514">
        <f t="shared" si="37"/>
        <v>0</v>
      </c>
      <c r="K24" s="514">
        <f t="shared" si="37"/>
        <v>0</v>
      </c>
      <c r="L24" s="635">
        <f t="shared" si="37"/>
        <v>1074883</v>
      </c>
      <c r="M24" s="635">
        <f t="shared" si="37"/>
        <v>1074883</v>
      </c>
      <c r="N24" s="1043">
        <f t="shared" si="37"/>
        <v>1141623</v>
      </c>
      <c r="O24" s="1043">
        <f t="shared" si="37"/>
        <v>13543</v>
      </c>
      <c r="P24" s="635">
        <f t="shared" si="37"/>
        <v>0</v>
      </c>
      <c r="Q24" s="635">
        <f t="shared" si="37"/>
        <v>0</v>
      </c>
      <c r="R24" s="635">
        <f t="shared" si="37"/>
        <v>0</v>
      </c>
      <c r="S24" s="635">
        <f t="shared" si="37"/>
        <v>0</v>
      </c>
      <c r="T24" s="635">
        <f t="shared" si="37"/>
        <v>0</v>
      </c>
      <c r="U24" s="810">
        <f t="shared" si="37"/>
        <v>13543</v>
      </c>
      <c r="V24" s="2583"/>
    </row>
    <row r="25" spans="1:24" ht="13.5" customHeight="1">
      <c r="A25" s="2429"/>
      <c r="B25" s="2094" t="s">
        <v>33</v>
      </c>
      <c r="C25" s="2601"/>
      <c r="D25" s="521">
        <f>SUM(M25:R25)</f>
        <v>2230049</v>
      </c>
      <c r="E25" s="510">
        <f>+F25+G25+H25</f>
        <v>0</v>
      </c>
      <c r="F25" s="511">
        <v>0</v>
      </c>
      <c r="G25" s="510">
        <v>0</v>
      </c>
      <c r="H25" s="510">
        <v>0</v>
      </c>
      <c r="I25" s="510">
        <v>0</v>
      </c>
      <c r="J25" s="510">
        <v>0</v>
      </c>
      <c r="K25" s="510">
        <v>0</v>
      </c>
      <c r="L25" s="510">
        <f>1125736-50853</f>
        <v>1074883</v>
      </c>
      <c r="M25" s="510">
        <f>+L25+K25+J25+I25+E25</f>
        <v>1074883</v>
      </c>
      <c r="N25" s="510">
        <f>1115748+50853-21548-3430</f>
        <v>1141623</v>
      </c>
      <c r="O25" s="510">
        <f>21548-8005</f>
        <v>13543</v>
      </c>
      <c r="P25" s="510">
        <v>0</v>
      </c>
      <c r="Q25" s="510">
        <v>0</v>
      </c>
      <c r="R25" s="510">
        <v>0</v>
      </c>
      <c r="S25" s="510">
        <v>0</v>
      </c>
      <c r="T25" s="510">
        <v>0</v>
      </c>
      <c r="U25" s="811">
        <f>SUM(O25:T25)</f>
        <v>13543</v>
      </c>
      <c r="V25" s="2583"/>
    </row>
    <row r="26" spans="1:24" ht="13.5" customHeight="1">
      <c r="A26" s="2430"/>
      <c r="B26" s="2094" t="s">
        <v>34</v>
      </c>
      <c r="C26" s="603"/>
      <c r="D26" s="604">
        <f>+D27</f>
        <v>2230049</v>
      </c>
      <c r="E26" s="604">
        <f t="shared" ref="E26:T27" si="38">+E27</f>
        <v>0</v>
      </c>
      <c r="F26" s="604">
        <f t="shared" si="38"/>
        <v>0</v>
      </c>
      <c r="G26" s="604">
        <f t="shared" si="38"/>
        <v>0</v>
      </c>
      <c r="H26" s="604">
        <f t="shared" si="38"/>
        <v>0</v>
      </c>
      <c r="I26" s="604">
        <f t="shared" si="38"/>
        <v>0</v>
      </c>
      <c r="J26" s="604">
        <f t="shared" si="38"/>
        <v>0</v>
      </c>
      <c r="K26" s="604">
        <f t="shared" si="38"/>
        <v>0</v>
      </c>
      <c r="L26" s="604">
        <f t="shared" si="38"/>
        <v>1125736</v>
      </c>
      <c r="M26" s="604">
        <f t="shared" si="38"/>
        <v>1125736</v>
      </c>
      <c r="N26" s="604">
        <f t="shared" si="38"/>
        <v>1104313</v>
      </c>
      <c r="O26" s="604">
        <f t="shared" si="38"/>
        <v>0</v>
      </c>
      <c r="P26" s="604">
        <f t="shared" si="38"/>
        <v>0</v>
      </c>
      <c r="Q26" s="604">
        <f t="shared" si="38"/>
        <v>0</v>
      </c>
      <c r="R26" s="604">
        <f t="shared" si="38"/>
        <v>0</v>
      </c>
      <c r="S26" s="604">
        <f t="shared" si="38"/>
        <v>0</v>
      </c>
      <c r="T26" s="604">
        <f t="shared" si="38"/>
        <v>0</v>
      </c>
      <c r="U26" s="812" t="s">
        <v>77</v>
      </c>
      <c r="V26" s="2594"/>
    </row>
    <row r="27" spans="1:24" ht="11.25" customHeight="1">
      <c r="A27" s="2430"/>
      <c r="B27" s="605" t="s">
        <v>30</v>
      </c>
      <c r="C27" s="2602" t="s">
        <v>169</v>
      </c>
      <c r="D27" s="513">
        <f>+D28</f>
        <v>2230049</v>
      </c>
      <c r="E27" s="514">
        <f t="shared" si="38"/>
        <v>0</v>
      </c>
      <c r="F27" s="514">
        <f t="shared" si="38"/>
        <v>0</v>
      </c>
      <c r="G27" s="514">
        <f t="shared" si="38"/>
        <v>0</v>
      </c>
      <c r="H27" s="514">
        <f t="shared" si="38"/>
        <v>0</v>
      </c>
      <c r="I27" s="514">
        <f t="shared" si="38"/>
        <v>0</v>
      </c>
      <c r="J27" s="514">
        <f t="shared" si="38"/>
        <v>0</v>
      </c>
      <c r="K27" s="514">
        <f t="shared" si="38"/>
        <v>0</v>
      </c>
      <c r="L27" s="514">
        <f t="shared" si="38"/>
        <v>1125736</v>
      </c>
      <c r="M27" s="514">
        <f t="shared" si="38"/>
        <v>1125736</v>
      </c>
      <c r="N27" s="514">
        <f t="shared" si="38"/>
        <v>1104313</v>
      </c>
      <c r="O27" s="514">
        <f t="shared" si="38"/>
        <v>0</v>
      </c>
      <c r="P27" s="514">
        <f t="shared" si="38"/>
        <v>0</v>
      </c>
      <c r="Q27" s="514">
        <f t="shared" si="38"/>
        <v>0</v>
      </c>
      <c r="R27" s="514">
        <f t="shared" si="38"/>
        <v>0</v>
      </c>
      <c r="S27" s="514">
        <f t="shared" si="38"/>
        <v>0</v>
      </c>
      <c r="T27" s="514">
        <f t="shared" si="38"/>
        <v>0</v>
      </c>
      <c r="U27" s="813"/>
      <c r="V27" s="2594"/>
    </row>
    <row r="28" spans="1:24" ht="13.5" customHeight="1" thickBot="1">
      <c r="A28" s="2431"/>
      <c r="B28" s="545" t="s">
        <v>33</v>
      </c>
      <c r="C28" s="2603"/>
      <c r="D28" s="591">
        <f>SUM(M28:R28)</f>
        <v>2230049</v>
      </c>
      <c r="E28" s="546">
        <f>+F28+G28+H28</f>
        <v>0</v>
      </c>
      <c r="F28" s="547"/>
      <c r="G28" s="546">
        <v>0</v>
      </c>
      <c r="H28" s="546">
        <v>0</v>
      </c>
      <c r="I28" s="546">
        <v>0</v>
      </c>
      <c r="J28" s="546">
        <v>0</v>
      </c>
      <c r="K28" s="546">
        <v>0</v>
      </c>
      <c r="L28" s="546">
        <v>1125736</v>
      </c>
      <c r="M28" s="510">
        <f>+L28+K28+J28+I28+E28</f>
        <v>1125736</v>
      </c>
      <c r="N28" s="546">
        <f>1115748-11435</f>
        <v>1104313</v>
      </c>
      <c r="O28" s="546">
        <v>0</v>
      </c>
      <c r="P28" s="526">
        <v>0</v>
      </c>
      <c r="Q28" s="526">
        <v>0</v>
      </c>
      <c r="R28" s="526">
        <v>0</v>
      </c>
      <c r="S28" s="526">
        <v>0</v>
      </c>
      <c r="T28" s="526">
        <v>0</v>
      </c>
      <c r="U28" s="811"/>
      <c r="V28" s="2595"/>
    </row>
    <row r="29" spans="1:24" ht="30.75" customHeight="1">
      <c r="A29" s="2593" t="s">
        <v>83</v>
      </c>
      <c r="B29" s="548" t="s">
        <v>170</v>
      </c>
      <c r="C29" s="528" t="s">
        <v>138</v>
      </c>
      <c r="D29" s="529"/>
      <c r="E29" s="531"/>
      <c r="F29" s="530"/>
      <c r="G29" s="531"/>
      <c r="H29" s="531"/>
      <c r="I29" s="489"/>
      <c r="J29" s="489"/>
      <c r="K29" s="489"/>
      <c r="L29" s="489"/>
      <c r="M29" s="491"/>
      <c r="N29" s="491"/>
      <c r="O29" s="491"/>
      <c r="P29" s="491"/>
      <c r="Q29" s="491"/>
      <c r="R29" s="491"/>
      <c r="S29" s="582"/>
      <c r="T29" s="582"/>
      <c r="U29" s="809"/>
      <c r="V29" s="2582" t="s">
        <v>171</v>
      </c>
    </row>
    <row r="30" spans="1:24" ht="13.5" customHeight="1">
      <c r="A30" s="2481"/>
      <c r="B30" s="554" t="s">
        <v>22</v>
      </c>
      <c r="C30" s="428"/>
      <c r="D30" s="533">
        <f t="shared" ref="D30:O30" si="39">+D31+D34</f>
        <v>4996620</v>
      </c>
      <c r="E30" s="534">
        <f t="shared" si="39"/>
        <v>0</v>
      </c>
      <c r="F30" s="534">
        <f t="shared" si="39"/>
        <v>13683</v>
      </c>
      <c r="G30" s="534">
        <f t="shared" si="39"/>
        <v>777748</v>
      </c>
      <c r="H30" s="534">
        <f t="shared" si="39"/>
        <v>1646616</v>
      </c>
      <c r="I30" s="534">
        <f t="shared" si="39"/>
        <v>0</v>
      </c>
      <c r="J30" s="534">
        <f t="shared" si="39"/>
        <v>0</v>
      </c>
      <c r="K30" s="534">
        <f t="shared" si="39"/>
        <v>43489</v>
      </c>
      <c r="L30" s="534">
        <f t="shared" si="39"/>
        <v>1828151</v>
      </c>
      <c r="M30" s="534">
        <f t="shared" ref="M30" si="40">+M31+M34</f>
        <v>1871640</v>
      </c>
      <c r="N30" s="534">
        <f t="shared" si="39"/>
        <v>1915682</v>
      </c>
      <c r="O30" s="534">
        <f t="shared" si="39"/>
        <v>1209298</v>
      </c>
      <c r="P30" s="534"/>
      <c r="Q30" s="534"/>
      <c r="R30" s="534"/>
      <c r="S30" s="534"/>
      <c r="T30" s="534"/>
      <c r="U30" s="535">
        <f>+U31+U34</f>
        <v>1209298</v>
      </c>
      <c r="V30" s="2583"/>
      <c r="W30" s="1258">
        <f>+O30+P30+Q30+R30</f>
        <v>1209298</v>
      </c>
      <c r="X30" s="1258"/>
    </row>
    <row r="31" spans="1:24" ht="13.5" customHeight="1">
      <c r="A31" s="2481"/>
      <c r="B31" s="555" t="s">
        <v>36</v>
      </c>
      <c r="C31" s="2433" t="s">
        <v>172</v>
      </c>
      <c r="D31" s="536">
        <f t="shared" ref="D31:O31" si="41">+D32+D33</f>
        <v>749493</v>
      </c>
      <c r="E31" s="536">
        <f t="shared" si="41"/>
        <v>0</v>
      </c>
      <c r="F31" s="536">
        <f t="shared" si="41"/>
        <v>2052</v>
      </c>
      <c r="G31" s="536">
        <f t="shared" si="41"/>
        <v>116662</v>
      </c>
      <c r="H31" s="536">
        <f t="shared" si="41"/>
        <v>246992</v>
      </c>
      <c r="I31" s="536">
        <f t="shared" si="41"/>
        <v>0</v>
      </c>
      <c r="J31" s="536">
        <f t="shared" si="41"/>
        <v>0</v>
      </c>
      <c r="K31" s="536">
        <f t="shared" si="41"/>
        <v>6523</v>
      </c>
      <c r="L31" s="536">
        <f t="shared" si="41"/>
        <v>274223</v>
      </c>
      <c r="M31" s="536">
        <f t="shared" ref="M31" si="42">+M32+M33</f>
        <v>280746</v>
      </c>
      <c r="N31" s="536">
        <f t="shared" si="41"/>
        <v>287352</v>
      </c>
      <c r="O31" s="536">
        <f t="shared" si="41"/>
        <v>181395</v>
      </c>
      <c r="P31" s="536"/>
      <c r="Q31" s="536"/>
      <c r="R31" s="536"/>
      <c r="S31" s="536"/>
      <c r="T31" s="536"/>
      <c r="U31" s="810">
        <f>+U32+U33</f>
        <v>181395</v>
      </c>
      <c r="V31" s="2583"/>
    </row>
    <row r="32" spans="1:24" ht="13.5" hidden="1" customHeight="1">
      <c r="A32" s="2481"/>
      <c r="B32" s="539" t="s">
        <v>24</v>
      </c>
      <c r="C32" s="2435"/>
      <c r="D32" s="520">
        <f>+E32+I32+J32+K32+L32</f>
        <v>0</v>
      </c>
      <c r="E32" s="510">
        <f>+F32+G32+H32</f>
        <v>0</v>
      </c>
      <c r="F32" s="511">
        <v>0</v>
      </c>
      <c r="G32" s="549"/>
      <c r="H32" s="549"/>
      <c r="I32" s="549"/>
      <c r="J32" s="549">
        <v>0</v>
      </c>
      <c r="K32" s="510">
        <v>0</v>
      </c>
      <c r="L32" s="510">
        <v>0</v>
      </c>
      <c r="M32" s="510"/>
      <c r="N32" s="510"/>
      <c r="O32" s="510"/>
      <c r="P32" s="599"/>
      <c r="Q32" s="599"/>
      <c r="R32" s="599"/>
      <c r="S32" s="599"/>
      <c r="T32" s="599"/>
      <c r="U32" s="811"/>
      <c r="V32" s="2583"/>
    </row>
    <row r="33" spans="1:23" ht="12.75" customHeight="1">
      <c r="A33" s="2481"/>
      <c r="B33" s="539" t="s">
        <v>25</v>
      </c>
      <c r="C33" s="2435"/>
      <c r="D33" s="521">
        <f>SUM(M33:R33)</f>
        <v>749493</v>
      </c>
      <c r="E33" s="510">
        <v>0</v>
      </c>
      <c r="F33" s="516">
        <v>2052</v>
      </c>
      <c r="G33" s="508">
        <v>116662</v>
      </c>
      <c r="H33" s="542">
        <v>246992</v>
      </c>
      <c r="I33" s="542">
        <v>0</v>
      </c>
      <c r="J33" s="508">
        <v>0</v>
      </c>
      <c r="K33" s="508">
        <v>6523</v>
      </c>
      <c r="L33" s="508">
        <v>274223</v>
      </c>
      <c r="M33" s="510">
        <f>+L33+K33+J33+I33+E33</f>
        <v>280746</v>
      </c>
      <c r="N33" s="508">
        <f>337614-40727-9535</f>
        <v>287352</v>
      </c>
      <c r="O33" s="508">
        <f>131640+40727+9028</f>
        <v>181395</v>
      </c>
      <c r="P33" s="508"/>
      <c r="Q33" s="508"/>
      <c r="R33" s="508"/>
      <c r="S33" s="508"/>
      <c r="T33" s="508"/>
      <c r="U33" s="811">
        <f>SUM(O33:T33)</f>
        <v>181395</v>
      </c>
      <c r="V33" s="2583"/>
    </row>
    <row r="34" spans="1:23" ht="13.5" customHeight="1">
      <c r="A34" s="2481"/>
      <c r="B34" s="605" t="s">
        <v>30</v>
      </c>
      <c r="C34" s="2435"/>
      <c r="D34" s="513">
        <f t="shared" ref="D34:O34" si="43">+D35</f>
        <v>4247127</v>
      </c>
      <c r="E34" s="514">
        <f t="shared" si="43"/>
        <v>0</v>
      </c>
      <c r="F34" s="514">
        <f t="shared" si="43"/>
        <v>11631</v>
      </c>
      <c r="G34" s="514">
        <f t="shared" si="43"/>
        <v>661086</v>
      </c>
      <c r="H34" s="514">
        <f t="shared" si="43"/>
        <v>1399624</v>
      </c>
      <c r="I34" s="514">
        <f t="shared" si="43"/>
        <v>0</v>
      </c>
      <c r="J34" s="514">
        <f t="shared" si="43"/>
        <v>0</v>
      </c>
      <c r="K34" s="514">
        <f t="shared" si="43"/>
        <v>36966</v>
      </c>
      <c r="L34" s="514">
        <f t="shared" si="43"/>
        <v>1553928</v>
      </c>
      <c r="M34" s="514">
        <f t="shared" si="43"/>
        <v>1590894</v>
      </c>
      <c r="N34" s="514">
        <f t="shared" si="43"/>
        <v>1628330</v>
      </c>
      <c r="O34" s="514">
        <f t="shared" si="43"/>
        <v>1027903</v>
      </c>
      <c r="P34" s="514"/>
      <c r="Q34" s="514"/>
      <c r="R34" s="514"/>
      <c r="S34" s="514"/>
      <c r="T34" s="514"/>
      <c r="U34" s="813">
        <f>+U35</f>
        <v>1027903</v>
      </c>
      <c r="V34" s="2583"/>
    </row>
    <row r="35" spans="1:23" ht="13.5" customHeight="1" collapsed="1">
      <c r="A35" s="2481"/>
      <c r="B35" s="544" t="s">
        <v>33</v>
      </c>
      <c r="C35" s="2436"/>
      <c r="D35" s="521">
        <f>SUM(M35:R35)</f>
        <v>4247127</v>
      </c>
      <c r="E35" s="508">
        <v>0</v>
      </c>
      <c r="F35" s="516">
        <v>11631</v>
      </c>
      <c r="G35" s="542">
        <v>661086</v>
      </c>
      <c r="H35" s="542">
        <v>1399624</v>
      </c>
      <c r="I35" s="542">
        <v>0</v>
      </c>
      <c r="J35" s="542">
        <v>0</v>
      </c>
      <c r="K35" s="542">
        <v>36966</v>
      </c>
      <c r="L35" s="508">
        <v>1553928</v>
      </c>
      <c r="M35" s="510">
        <f>+L35+K35+J35+I35+E35</f>
        <v>1590894</v>
      </c>
      <c r="N35" s="508">
        <f>1913146-230784-54032</f>
        <v>1628330</v>
      </c>
      <c r="O35" s="508">
        <f>745960+230784+51159</f>
        <v>1027903</v>
      </c>
      <c r="P35" s="510"/>
      <c r="Q35" s="510"/>
      <c r="R35" s="510"/>
      <c r="S35" s="510"/>
      <c r="T35" s="510"/>
      <c r="U35" s="811">
        <f>SUM(O35:T35)</f>
        <v>1027903</v>
      </c>
      <c r="V35" s="2583"/>
      <c r="W35" s="1258"/>
    </row>
    <row r="36" spans="1:23" ht="12.75" customHeight="1">
      <c r="A36" s="2562"/>
      <c r="B36" s="561" t="s">
        <v>34</v>
      </c>
      <c r="C36" s="603"/>
      <c r="D36" s="518">
        <f t="shared" ref="D36:O36" si="44">+D37+D39</f>
        <v>4996620</v>
      </c>
      <c r="E36" s="496">
        <f t="shared" si="44"/>
        <v>0</v>
      </c>
      <c r="F36" s="496">
        <f t="shared" si="44"/>
        <v>13683</v>
      </c>
      <c r="G36" s="496">
        <f t="shared" si="44"/>
        <v>777748</v>
      </c>
      <c r="H36" s="496">
        <f t="shared" si="44"/>
        <v>1646616</v>
      </c>
      <c r="I36" s="496">
        <f t="shared" si="44"/>
        <v>0</v>
      </c>
      <c r="J36" s="496">
        <f t="shared" si="44"/>
        <v>0</v>
      </c>
      <c r="K36" s="496">
        <f t="shared" si="44"/>
        <v>406023</v>
      </c>
      <c r="L36" s="496">
        <f t="shared" si="44"/>
        <v>1542423</v>
      </c>
      <c r="M36" s="496">
        <f t="shared" ref="M36" si="45">+M37+M39</f>
        <v>1948446</v>
      </c>
      <c r="N36" s="496">
        <f t="shared" si="44"/>
        <v>1890035</v>
      </c>
      <c r="O36" s="496">
        <f t="shared" si="44"/>
        <v>1158139</v>
      </c>
      <c r="P36" s="814"/>
      <c r="Q36" s="814"/>
      <c r="R36" s="814"/>
      <c r="S36" s="814"/>
      <c r="T36" s="814"/>
      <c r="U36" s="2437" t="s">
        <v>77</v>
      </c>
      <c r="V36" s="2594"/>
      <c r="W36" s="1258"/>
    </row>
    <row r="37" spans="1:23" ht="13.5" customHeight="1">
      <c r="A37" s="2562"/>
      <c r="B37" s="555" t="s">
        <v>36</v>
      </c>
      <c r="C37" s="2490" t="s">
        <v>169</v>
      </c>
      <c r="D37" s="519">
        <f>+D38</f>
        <v>749493</v>
      </c>
      <c r="E37" s="519">
        <f t="shared" ref="E37:O37" si="46">+E38</f>
        <v>0</v>
      </c>
      <c r="F37" s="519">
        <f t="shared" si="46"/>
        <v>2052</v>
      </c>
      <c r="G37" s="519">
        <f t="shared" si="46"/>
        <v>116662</v>
      </c>
      <c r="H37" s="519">
        <f t="shared" si="46"/>
        <v>246992</v>
      </c>
      <c r="I37" s="519">
        <f t="shared" si="46"/>
        <v>0</v>
      </c>
      <c r="J37" s="519">
        <f t="shared" si="46"/>
        <v>0</v>
      </c>
      <c r="K37" s="519">
        <f t="shared" si="46"/>
        <v>6523</v>
      </c>
      <c r="L37" s="519">
        <f t="shared" si="46"/>
        <v>274223</v>
      </c>
      <c r="M37" s="519">
        <f t="shared" si="46"/>
        <v>280746</v>
      </c>
      <c r="N37" s="519">
        <f t="shared" si="46"/>
        <v>287352</v>
      </c>
      <c r="O37" s="519">
        <f t="shared" si="46"/>
        <v>181395</v>
      </c>
      <c r="P37" s="514"/>
      <c r="Q37" s="514"/>
      <c r="R37" s="514"/>
      <c r="S37" s="514"/>
      <c r="T37" s="514"/>
      <c r="U37" s="2438"/>
      <c r="V37" s="2594"/>
    </row>
    <row r="38" spans="1:23" ht="13.5" customHeight="1">
      <c r="A38" s="2562"/>
      <c r="B38" s="539" t="s">
        <v>25</v>
      </c>
      <c r="C38" s="2435"/>
      <c r="D38" s="521">
        <f>SUM(M38:R38)</f>
        <v>749493</v>
      </c>
      <c r="E38" s="510">
        <v>0</v>
      </c>
      <c r="F38" s="516">
        <v>2052</v>
      </c>
      <c r="G38" s="508">
        <v>116662</v>
      </c>
      <c r="H38" s="542">
        <v>246992</v>
      </c>
      <c r="I38" s="542">
        <v>0</v>
      </c>
      <c r="J38" s="521">
        <v>0</v>
      </c>
      <c r="K38" s="521">
        <v>6523</v>
      </c>
      <c r="L38" s="521">
        <v>274223</v>
      </c>
      <c r="M38" s="510">
        <f>+L38+K38+J38+I38+E38</f>
        <v>280746</v>
      </c>
      <c r="N38" s="521">
        <f>337614-40727-9535</f>
        <v>287352</v>
      </c>
      <c r="O38" s="521">
        <f>131640+40727+9028</f>
        <v>181395</v>
      </c>
      <c r="P38" s="815"/>
      <c r="Q38" s="815"/>
      <c r="R38" s="815"/>
      <c r="S38" s="815"/>
      <c r="T38" s="815"/>
      <c r="U38" s="2438"/>
      <c r="V38" s="2594"/>
    </row>
    <row r="39" spans="1:23" ht="12" customHeight="1">
      <c r="A39" s="2562"/>
      <c r="B39" s="605" t="s">
        <v>30</v>
      </c>
      <c r="C39" s="2494"/>
      <c r="D39" s="513">
        <f t="shared" ref="D39:O39" si="47">+D40</f>
        <v>4247127</v>
      </c>
      <c r="E39" s="514">
        <f t="shared" si="47"/>
        <v>0</v>
      </c>
      <c r="F39" s="514">
        <f t="shared" si="47"/>
        <v>11631</v>
      </c>
      <c r="G39" s="514">
        <f t="shared" si="47"/>
        <v>661086</v>
      </c>
      <c r="H39" s="514">
        <f t="shared" si="47"/>
        <v>1399624</v>
      </c>
      <c r="I39" s="514">
        <f t="shared" si="47"/>
        <v>0</v>
      </c>
      <c r="J39" s="514">
        <f t="shared" si="47"/>
        <v>0</v>
      </c>
      <c r="K39" s="514">
        <f t="shared" si="47"/>
        <v>399500</v>
      </c>
      <c r="L39" s="514">
        <f t="shared" si="47"/>
        <v>1268200</v>
      </c>
      <c r="M39" s="514">
        <f t="shared" si="47"/>
        <v>1667700</v>
      </c>
      <c r="N39" s="514">
        <f t="shared" si="47"/>
        <v>1602683</v>
      </c>
      <c r="O39" s="514">
        <f t="shared" si="47"/>
        <v>976744</v>
      </c>
      <c r="P39" s="816"/>
      <c r="Q39" s="816"/>
      <c r="R39" s="816"/>
      <c r="S39" s="816"/>
      <c r="T39" s="816"/>
      <c r="U39" s="2438"/>
      <c r="V39" s="2594"/>
    </row>
    <row r="40" spans="1:23" ht="13.5" customHeight="1" thickBot="1">
      <c r="A40" s="2563"/>
      <c r="B40" s="545" t="s">
        <v>33</v>
      </c>
      <c r="C40" s="2495"/>
      <c r="D40" s="591">
        <f>SUM(M40:R40)</f>
        <v>4247127</v>
      </c>
      <c r="E40" s="546">
        <v>0</v>
      </c>
      <c r="F40" s="547">
        <v>11631</v>
      </c>
      <c r="G40" s="552">
        <v>661086</v>
      </c>
      <c r="H40" s="552">
        <v>1399624</v>
      </c>
      <c r="I40" s="552">
        <v>0</v>
      </c>
      <c r="J40" s="546">
        <v>0</v>
      </c>
      <c r="K40" s="546">
        <v>399500</v>
      </c>
      <c r="L40" s="546">
        <v>1268200</v>
      </c>
      <c r="M40" s="510">
        <f>+L40+K40+J40+I40+E40</f>
        <v>1667700</v>
      </c>
      <c r="N40" s="546">
        <f>1836340-230784-2873</f>
        <v>1602683</v>
      </c>
      <c r="O40" s="546">
        <f>745960+230784</f>
        <v>976744</v>
      </c>
      <c r="P40" s="817"/>
      <c r="Q40" s="817"/>
      <c r="R40" s="817"/>
      <c r="S40" s="817"/>
      <c r="T40" s="817"/>
      <c r="U40" s="2439"/>
      <c r="V40" s="2595"/>
    </row>
    <row r="41" spans="1:23" ht="29.25" customHeight="1">
      <c r="A41" s="2593" t="s">
        <v>84</v>
      </c>
      <c r="B41" s="548" t="s">
        <v>173</v>
      </c>
      <c r="C41" s="528" t="s">
        <v>138</v>
      </c>
      <c r="D41" s="529"/>
      <c r="E41" s="531"/>
      <c r="F41" s="530"/>
      <c r="G41" s="531"/>
      <c r="H41" s="531"/>
      <c r="I41" s="489"/>
      <c r="J41" s="489"/>
      <c r="K41" s="489"/>
      <c r="L41" s="489"/>
      <c r="M41" s="491"/>
      <c r="N41" s="491"/>
      <c r="O41" s="491"/>
      <c r="P41" s="491"/>
      <c r="Q41" s="491"/>
      <c r="R41" s="491"/>
      <c r="S41" s="491"/>
      <c r="T41" s="491"/>
      <c r="U41" s="818"/>
      <c r="V41" s="2582" t="s">
        <v>171</v>
      </c>
    </row>
    <row r="42" spans="1:23" ht="13.5" customHeight="1">
      <c r="A42" s="2481"/>
      <c r="B42" s="554" t="s">
        <v>22</v>
      </c>
      <c r="C42" s="428"/>
      <c r="D42" s="533">
        <f t="shared" ref="D42:N42" si="48">+D43+D46</f>
        <v>1957551</v>
      </c>
      <c r="E42" s="534">
        <f t="shared" si="48"/>
        <v>8647</v>
      </c>
      <c r="F42" s="534">
        <f t="shared" si="48"/>
        <v>13683</v>
      </c>
      <c r="G42" s="534">
        <f t="shared" si="48"/>
        <v>777748</v>
      </c>
      <c r="H42" s="534">
        <f t="shared" si="48"/>
        <v>1646616</v>
      </c>
      <c r="I42" s="534">
        <f t="shared" si="48"/>
        <v>288268</v>
      </c>
      <c r="J42" s="534">
        <f t="shared" si="48"/>
        <v>371588</v>
      </c>
      <c r="K42" s="534">
        <f t="shared" si="48"/>
        <v>465213</v>
      </c>
      <c r="L42" s="534">
        <f t="shared" si="48"/>
        <v>412482</v>
      </c>
      <c r="M42" s="534">
        <f t="shared" ref="M42" si="49">+M43+M46</f>
        <v>1546198</v>
      </c>
      <c r="N42" s="534">
        <f t="shared" si="48"/>
        <v>411353</v>
      </c>
      <c r="O42" s="534"/>
      <c r="P42" s="534"/>
      <c r="Q42" s="534"/>
      <c r="R42" s="534"/>
      <c r="S42" s="534"/>
      <c r="T42" s="534"/>
      <c r="U42" s="535">
        <f>+U43+U46</f>
        <v>0</v>
      </c>
      <c r="V42" s="2583"/>
      <c r="W42" s="1258">
        <f>+O42+P42+Q42+R42</f>
        <v>0</v>
      </c>
    </row>
    <row r="43" spans="1:23" ht="13.5" customHeight="1">
      <c r="A43" s="2481"/>
      <c r="B43" s="555" t="s">
        <v>36</v>
      </c>
      <c r="C43" s="2605" t="s">
        <v>174</v>
      </c>
      <c r="D43" s="536">
        <f t="shared" ref="D43:N43" si="50">+D44+D45</f>
        <v>293633</v>
      </c>
      <c r="E43" s="536">
        <f t="shared" si="50"/>
        <v>1297</v>
      </c>
      <c r="F43" s="536">
        <f t="shared" si="50"/>
        <v>2052</v>
      </c>
      <c r="G43" s="536">
        <f t="shared" si="50"/>
        <v>116662</v>
      </c>
      <c r="H43" s="536">
        <f t="shared" si="50"/>
        <v>246992</v>
      </c>
      <c r="I43" s="536">
        <f t="shared" si="50"/>
        <v>43240</v>
      </c>
      <c r="J43" s="536">
        <f t="shared" si="50"/>
        <v>55738</v>
      </c>
      <c r="K43" s="536">
        <f t="shared" si="50"/>
        <v>69782</v>
      </c>
      <c r="L43" s="536">
        <f t="shared" si="50"/>
        <v>61873</v>
      </c>
      <c r="M43" s="536">
        <f t="shared" ref="M43" si="51">+M44+M45</f>
        <v>231930</v>
      </c>
      <c r="N43" s="536">
        <f t="shared" si="50"/>
        <v>61703</v>
      </c>
      <c r="O43" s="536"/>
      <c r="P43" s="536"/>
      <c r="Q43" s="536"/>
      <c r="R43" s="536"/>
      <c r="S43" s="536"/>
      <c r="T43" s="536"/>
      <c r="U43" s="810">
        <f>+U44+U45</f>
        <v>0</v>
      </c>
      <c r="V43" s="2583"/>
    </row>
    <row r="44" spans="1:23" ht="13.5" customHeight="1">
      <c r="A44" s="2481"/>
      <c r="B44" s="539" t="s">
        <v>24</v>
      </c>
      <c r="C44" s="2606"/>
      <c r="D44" s="521">
        <f t="shared" ref="D44:D45" si="52">SUM(M44:R44)</f>
        <v>0</v>
      </c>
      <c r="E44" s="510">
        <f>+F44+G44+H44</f>
        <v>0</v>
      </c>
      <c r="F44" s="511">
        <v>0</v>
      </c>
      <c r="G44" s="549"/>
      <c r="H44" s="549"/>
      <c r="I44" s="542"/>
      <c r="J44" s="549">
        <v>0</v>
      </c>
      <c r="K44" s="510">
        <v>0</v>
      </c>
      <c r="L44" s="510">
        <v>0</v>
      </c>
      <c r="M44" s="510">
        <f>+L44+K44+J44+I44+E44</f>
        <v>0</v>
      </c>
      <c r="N44" s="510"/>
      <c r="O44" s="510"/>
      <c r="P44" s="510"/>
      <c r="Q44" s="510"/>
      <c r="R44" s="510"/>
      <c r="S44" s="510"/>
      <c r="T44" s="510"/>
      <c r="U44" s="811">
        <f t="shared" ref="U44:U45" si="53">SUM(O44:T44)</f>
        <v>0</v>
      </c>
      <c r="V44" s="2583"/>
    </row>
    <row r="45" spans="1:23" ht="12.75" customHeight="1">
      <c r="A45" s="2481"/>
      <c r="B45" s="539" t="s">
        <v>25</v>
      </c>
      <c r="C45" s="2606"/>
      <c r="D45" s="521">
        <f t="shared" si="52"/>
        <v>293633</v>
      </c>
      <c r="E45" s="510">
        <v>1297</v>
      </c>
      <c r="F45" s="516">
        <v>2052</v>
      </c>
      <c r="G45" s="508">
        <v>116662</v>
      </c>
      <c r="H45" s="508">
        <v>246992</v>
      </c>
      <c r="I45" s="542">
        <f>43240</f>
        <v>43240</v>
      </c>
      <c r="J45" s="508">
        <v>55738</v>
      </c>
      <c r="K45" s="508">
        <v>69782</v>
      </c>
      <c r="L45" s="508">
        <f>61872+1</f>
        <v>61873</v>
      </c>
      <c r="M45" s="510">
        <f>+L45+K45+J45+I45+E45</f>
        <v>231930</v>
      </c>
      <c r="N45" s="510">
        <f>79440-17265-472</f>
        <v>61703</v>
      </c>
      <c r="O45" s="508"/>
      <c r="P45" s="508"/>
      <c r="Q45" s="508"/>
      <c r="R45" s="508"/>
      <c r="S45" s="508"/>
      <c r="T45" s="508"/>
      <c r="U45" s="811">
        <f t="shared" si="53"/>
        <v>0</v>
      </c>
      <c r="V45" s="2583"/>
    </row>
    <row r="46" spans="1:23" ht="13.5" customHeight="1">
      <c r="A46" s="2481"/>
      <c r="B46" s="555" t="s">
        <v>30</v>
      </c>
      <c r="C46" s="2606"/>
      <c r="D46" s="513">
        <f>+D47</f>
        <v>1663918</v>
      </c>
      <c r="E46" s="514">
        <f t="shared" ref="E46:U46" si="54">+E47</f>
        <v>7350</v>
      </c>
      <c r="F46" s="514">
        <f t="shared" si="54"/>
        <v>11631</v>
      </c>
      <c r="G46" s="514">
        <f t="shared" si="54"/>
        <v>661086</v>
      </c>
      <c r="H46" s="514">
        <f t="shared" si="54"/>
        <v>1399624</v>
      </c>
      <c r="I46" s="536">
        <f t="shared" si="54"/>
        <v>245028</v>
      </c>
      <c r="J46" s="514">
        <f t="shared" si="54"/>
        <v>315850</v>
      </c>
      <c r="K46" s="514">
        <f t="shared" si="54"/>
        <v>395431</v>
      </c>
      <c r="L46" s="514">
        <f t="shared" si="54"/>
        <v>350609</v>
      </c>
      <c r="M46" s="514">
        <f t="shared" si="54"/>
        <v>1314268</v>
      </c>
      <c r="N46" s="514">
        <f t="shared" si="54"/>
        <v>349650</v>
      </c>
      <c r="O46" s="514"/>
      <c r="P46" s="514"/>
      <c r="Q46" s="514"/>
      <c r="R46" s="514"/>
      <c r="S46" s="514"/>
      <c r="T46" s="514"/>
      <c r="U46" s="813">
        <f t="shared" si="54"/>
        <v>0</v>
      </c>
      <c r="V46" s="2583"/>
    </row>
    <row r="47" spans="1:23" ht="13.5" customHeight="1" collapsed="1">
      <c r="A47" s="2481"/>
      <c r="B47" s="539" t="s">
        <v>33</v>
      </c>
      <c r="C47" s="2607"/>
      <c r="D47" s="521">
        <f>SUM(M47:R47)</f>
        <v>1663918</v>
      </c>
      <c r="E47" s="508">
        <v>7350</v>
      </c>
      <c r="F47" s="516">
        <v>11631</v>
      </c>
      <c r="G47" s="508">
        <v>661086</v>
      </c>
      <c r="H47" s="508">
        <v>1399624</v>
      </c>
      <c r="I47" s="542">
        <f>245028</f>
        <v>245028</v>
      </c>
      <c r="J47" s="542">
        <v>315850</v>
      </c>
      <c r="K47" s="508">
        <v>395431</v>
      </c>
      <c r="L47" s="508">
        <f>350611-2</f>
        <v>350609</v>
      </c>
      <c r="M47" s="510">
        <f>+L47+K47+J47+I47+E47</f>
        <v>1314268</v>
      </c>
      <c r="N47" s="508">
        <f>450160-97835-2675</f>
        <v>349650</v>
      </c>
      <c r="O47" s="508"/>
      <c r="P47" s="510"/>
      <c r="Q47" s="510"/>
      <c r="R47" s="510"/>
      <c r="S47" s="510"/>
      <c r="T47" s="510"/>
      <c r="U47" s="811">
        <f>SUM(O47:T47)</f>
        <v>0</v>
      </c>
      <c r="V47" s="2583"/>
    </row>
    <row r="48" spans="1:23" ht="13.5" customHeight="1">
      <c r="A48" s="2562"/>
      <c r="B48" s="554" t="s">
        <v>34</v>
      </c>
      <c r="C48" s="603"/>
      <c r="D48" s="518">
        <f t="shared" ref="D48:N48" si="55">+D49+D51</f>
        <v>1957551</v>
      </c>
      <c r="E48" s="496">
        <f t="shared" si="55"/>
        <v>8647</v>
      </c>
      <c r="F48" s="496">
        <f t="shared" si="55"/>
        <v>13683</v>
      </c>
      <c r="G48" s="496">
        <f t="shared" si="55"/>
        <v>777748</v>
      </c>
      <c r="H48" s="496">
        <f t="shared" si="55"/>
        <v>1646616</v>
      </c>
      <c r="I48" s="534">
        <f t="shared" si="55"/>
        <v>288268</v>
      </c>
      <c r="J48" s="496">
        <f t="shared" si="55"/>
        <v>371588</v>
      </c>
      <c r="K48" s="496">
        <f t="shared" si="55"/>
        <v>465213</v>
      </c>
      <c r="L48" s="496">
        <f t="shared" si="55"/>
        <v>412482</v>
      </c>
      <c r="M48" s="496">
        <f t="shared" ref="M48" si="56">+M49+M51</f>
        <v>1546198</v>
      </c>
      <c r="N48" s="496">
        <f t="shared" si="55"/>
        <v>411353</v>
      </c>
      <c r="O48" s="814"/>
      <c r="P48" s="814"/>
      <c r="Q48" s="814"/>
      <c r="R48" s="814"/>
      <c r="S48" s="814"/>
      <c r="T48" s="814"/>
      <c r="U48" s="2437" t="s">
        <v>77</v>
      </c>
      <c r="V48" s="2594"/>
    </row>
    <row r="49" spans="1:24" ht="13.5" customHeight="1">
      <c r="A49" s="2562"/>
      <c r="B49" s="555" t="s">
        <v>36</v>
      </c>
      <c r="C49" s="2608" t="s">
        <v>175</v>
      </c>
      <c r="D49" s="519">
        <f>+D50</f>
        <v>293633</v>
      </c>
      <c r="E49" s="519">
        <f t="shared" ref="E49:N49" si="57">+E50</f>
        <v>1297</v>
      </c>
      <c r="F49" s="519">
        <f t="shared" si="57"/>
        <v>2052</v>
      </c>
      <c r="G49" s="519">
        <f t="shared" si="57"/>
        <v>116662</v>
      </c>
      <c r="H49" s="519">
        <f t="shared" si="57"/>
        <v>246992</v>
      </c>
      <c r="I49" s="536">
        <f t="shared" si="57"/>
        <v>43240</v>
      </c>
      <c r="J49" s="519">
        <f t="shared" si="57"/>
        <v>55738</v>
      </c>
      <c r="K49" s="519">
        <f t="shared" si="57"/>
        <v>69782</v>
      </c>
      <c r="L49" s="519">
        <f t="shared" si="57"/>
        <v>61873</v>
      </c>
      <c r="M49" s="519">
        <f t="shared" si="57"/>
        <v>231930</v>
      </c>
      <c r="N49" s="519">
        <f t="shared" si="57"/>
        <v>61703</v>
      </c>
      <c r="O49" s="819"/>
      <c r="P49" s="514"/>
      <c r="Q49" s="514"/>
      <c r="R49" s="514"/>
      <c r="S49" s="514"/>
      <c r="T49" s="514"/>
      <c r="U49" s="2438"/>
      <c r="V49" s="2594"/>
    </row>
    <row r="50" spans="1:24" ht="13.5" customHeight="1">
      <c r="A50" s="2562"/>
      <c r="B50" s="539" t="s">
        <v>25</v>
      </c>
      <c r="C50" s="2606"/>
      <c r="D50" s="521">
        <f>SUM(M50:R50)</f>
        <v>293633</v>
      </c>
      <c r="E50" s="510">
        <v>1297</v>
      </c>
      <c r="F50" s="516">
        <v>2052</v>
      </c>
      <c r="G50" s="508">
        <v>116662</v>
      </c>
      <c r="H50" s="542">
        <v>246992</v>
      </c>
      <c r="I50" s="542">
        <f>43240</f>
        <v>43240</v>
      </c>
      <c r="J50" s="521">
        <v>55738</v>
      </c>
      <c r="K50" s="521">
        <v>69782</v>
      </c>
      <c r="L50" s="521">
        <f>61872+1</f>
        <v>61873</v>
      </c>
      <c r="M50" s="510">
        <f>+L50+K50+J50+I50+E50</f>
        <v>231930</v>
      </c>
      <c r="N50" s="510">
        <f>79440-17265-472</f>
        <v>61703</v>
      </c>
      <c r="O50" s="815"/>
      <c r="P50" s="815"/>
      <c r="Q50" s="815"/>
      <c r="R50" s="815"/>
      <c r="S50" s="815"/>
      <c r="T50" s="815"/>
      <c r="U50" s="2438"/>
      <c r="V50" s="2594"/>
    </row>
    <row r="51" spans="1:24" ht="12" customHeight="1">
      <c r="A51" s="2562"/>
      <c r="B51" s="555" t="s">
        <v>30</v>
      </c>
      <c r="C51" s="2609"/>
      <c r="D51" s="513">
        <f t="shared" ref="D51:N51" si="58">+D52</f>
        <v>1663918</v>
      </c>
      <c r="E51" s="514">
        <f t="shared" si="58"/>
        <v>7350</v>
      </c>
      <c r="F51" s="514">
        <f t="shared" si="58"/>
        <v>11631</v>
      </c>
      <c r="G51" s="514">
        <f t="shared" si="58"/>
        <v>661086</v>
      </c>
      <c r="H51" s="514">
        <f t="shared" si="58"/>
        <v>1399624</v>
      </c>
      <c r="I51" s="536">
        <f t="shared" si="58"/>
        <v>245028</v>
      </c>
      <c r="J51" s="514">
        <f t="shared" si="58"/>
        <v>315850</v>
      </c>
      <c r="K51" s="514">
        <f t="shared" si="58"/>
        <v>395431</v>
      </c>
      <c r="L51" s="514">
        <f t="shared" si="58"/>
        <v>350609</v>
      </c>
      <c r="M51" s="514">
        <f t="shared" si="58"/>
        <v>1314268</v>
      </c>
      <c r="N51" s="514">
        <f t="shared" si="58"/>
        <v>349650</v>
      </c>
      <c r="O51" s="816"/>
      <c r="P51" s="816"/>
      <c r="Q51" s="816"/>
      <c r="R51" s="816"/>
      <c r="S51" s="816"/>
      <c r="T51" s="816"/>
      <c r="U51" s="2438"/>
      <c r="V51" s="2594"/>
    </row>
    <row r="52" spans="1:24" ht="13.5" customHeight="1" thickBot="1">
      <c r="A52" s="2563"/>
      <c r="B52" s="648" t="s">
        <v>33</v>
      </c>
      <c r="C52" s="2610"/>
      <c r="D52" s="592">
        <f>SUM(M52:R52)</f>
        <v>1663918</v>
      </c>
      <c r="E52" s="546">
        <v>7350</v>
      </c>
      <c r="F52" s="547">
        <v>11631</v>
      </c>
      <c r="G52" s="552">
        <v>661086</v>
      </c>
      <c r="H52" s="552">
        <v>1399624</v>
      </c>
      <c r="I52" s="552">
        <f>245028</f>
        <v>245028</v>
      </c>
      <c r="J52" s="546">
        <v>315850</v>
      </c>
      <c r="K52" s="546">
        <v>395431</v>
      </c>
      <c r="L52" s="546">
        <f>350611-2</f>
        <v>350609</v>
      </c>
      <c r="M52" s="546">
        <f>+L52+K52+J52+I52+E52</f>
        <v>1314268</v>
      </c>
      <c r="N52" s="546">
        <f>450160-97835-2675</f>
        <v>349650</v>
      </c>
      <c r="O52" s="817"/>
      <c r="P52" s="817"/>
      <c r="Q52" s="817"/>
      <c r="R52" s="817"/>
      <c r="S52" s="817"/>
      <c r="T52" s="546"/>
      <c r="U52" s="2439"/>
      <c r="V52" s="2595"/>
    </row>
    <row r="53" spans="1:24" ht="26.25" customHeight="1">
      <c r="A53" s="2429" t="s">
        <v>85</v>
      </c>
      <c r="B53" s="820" t="s">
        <v>176</v>
      </c>
      <c r="C53" s="821" t="s">
        <v>138</v>
      </c>
      <c r="D53" s="578"/>
      <c r="E53" s="580"/>
      <c r="F53" s="579"/>
      <c r="G53" s="580"/>
      <c r="H53" s="580"/>
      <c r="I53" s="581"/>
      <c r="J53" s="581"/>
      <c r="K53" s="581"/>
      <c r="L53" s="581"/>
      <c r="M53" s="582"/>
      <c r="N53" s="582"/>
      <c r="O53" s="582"/>
      <c r="P53" s="582"/>
      <c r="Q53" s="582"/>
      <c r="R53" s="582"/>
      <c r="S53" s="582"/>
      <c r="T53" s="582"/>
      <c r="U53" s="809"/>
      <c r="V53" s="2583" t="s">
        <v>167</v>
      </c>
      <c r="W53" s="1258"/>
    </row>
    <row r="54" spans="1:24" ht="13.5" customHeight="1">
      <c r="A54" s="2429"/>
      <c r="B54" s="554" t="s">
        <v>22</v>
      </c>
      <c r="C54" s="428"/>
      <c r="D54" s="533">
        <f t="shared" ref="D54:P54" si="59">+D55+D58</f>
        <v>10659590</v>
      </c>
      <c r="E54" s="534">
        <f t="shared" si="59"/>
        <v>3153547</v>
      </c>
      <c r="F54" s="534">
        <f t="shared" si="59"/>
        <v>0</v>
      </c>
      <c r="G54" s="534">
        <f t="shared" si="59"/>
        <v>412104</v>
      </c>
      <c r="H54" s="534">
        <f t="shared" si="59"/>
        <v>2741443</v>
      </c>
      <c r="I54" s="534">
        <f t="shared" si="59"/>
        <v>2649213</v>
      </c>
      <c r="J54" s="534">
        <f t="shared" si="59"/>
        <v>1081713</v>
      </c>
      <c r="K54" s="534">
        <f t="shared" si="59"/>
        <v>1709269</v>
      </c>
      <c r="L54" s="534">
        <f t="shared" si="59"/>
        <v>2046200</v>
      </c>
      <c r="M54" s="534">
        <f t="shared" ref="M54" si="60">+M55+M58</f>
        <v>10639942</v>
      </c>
      <c r="N54" s="534">
        <f t="shared" si="59"/>
        <v>19648</v>
      </c>
      <c r="O54" s="534">
        <f t="shared" si="59"/>
        <v>0</v>
      </c>
      <c r="P54" s="534">
        <f t="shared" si="59"/>
        <v>0</v>
      </c>
      <c r="Q54" s="534"/>
      <c r="R54" s="534"/>
      <c r="S54" s="534"/>
      <c r="T54" s="534"/>
      <c r="U54" s="535">
        <f>+U55+U58</f>
        <v>0</v>
      </c>
      <c r="V54" s="2583"/>
      <c r="W54" s="1258">
        <f>+O54+P54+Q54+R54</f>
        <v>0</v>
      </c>
      <c r="X54" s="1258"/>
    </row>
    <row r="55" spans="1:24" ht="13.5" customHeight="1">
      <c r="A55" s="2429"/>
      <c r="B55" s="555" t="s">
        <v>36</v>
      </c>
      <c r="C55" s="2433" t="s">
        <v>177</v>
      </c>
      <c r="D55" s="536">
        <f t="shared" ref="D55:P55" si="61">+D56+D57</f>
        <v>1598948</v>
      </c>
      <c r="E55" s="536">
        <f t="shared" si="61"/>
        <v>473034</v>
      </c>
      <c r="F55" s="536">
        <f t="shared" si="61"/>
        <v>0</v>
      </c>
      <c r="G55" s="536">
        <f t="shared" si="61"/>
        <v>61816</v>
      </c>
      <c r="H55" s="536">
        <f t="shared" si="61"/>
        <v>411218</v>
      </c>
      <c r="I55" s="536">
        <f t="shared" si="61"/>
        <v>397382</v>
      </c>
      <c r="J55" s="536">
        <f t="shared" si="61"/>
        <v>162258</v>
      </c>
      <c r="K55" s="536">
        <f t="shared" si="61"/>
        <v>256392</v>
      </c>
      <c r="L55" s="536">
        <f t="shared" si="61"/>
        <v>306930</v>
      </c>
      <c r="M55" s="536">
        <f t="shared" ref="M55" si="62">+M56+M57</f>
        <v>1595996</v>
      </c>
      <c r="N55" s="536">
        <f t="shared" si="61"/>
        <v>2952</v>
      </c>
      <c r="O55" s="536">
        <f t="shared" si="61"/>
        <v>0</v>
      </c>
      <c r="P55" s="536">
        <f t="shared" si="61"/>
        <v>0</v>
      </c>
      <c r="Q55" s="536"/>
      <c r="R55" s="536"/>
      <c r="S55" s="536"/>
      <c r="T55" s="536"/>
      <c r="U55" s="557">
        <f>+U56+U57</f>
        <v>0</v>
      </c>
      <c r="V55" s="2583"/>
    </row>
    <row r="56" spans="1:24" ht="13.5" customHeight="1">
      <c r="A56" s="2429"/>
      <c r="B56" s="539" t="s">
        <v>24</v>
      </c>
      <c r="C56" s="2435"/>
      <c r="D56" s="521">
        <f t="shared" ref="D56:D57" si="63">SUM(M56:R56)</f>
        <v>799474</v>
      </c>
      <c r="E56" s="510">
        <f>+F56+G56+H56</f>
        <v>236517</v>
      </c>
      <c r="F56" s="511">
        <v>0</v>
      </c>
      <c r="G56" s="510">
        <v>30908</v>
      </c>
      <c r="H56" s="549">
        <v>205609</v>
      </c>
      <c r="I56" s="549">
        <f>205928-7237</f>
        <v>198691</v>
      </c>
      <c r="J56" s="549">
        <f>103898-17359-5410</f>
        <v>81129</v>
      </c>
      <c r="K56" s="510">
        <v>128196</v>
      </c>
      <c r="L56" s="510">
        <f>171300-1627-16208</f>
        <v>153465</v>
      </c>
      <c r="M56" s="510">
        <f>+L56+K56+J56+I56+E56</f>
        <v>797998</v>
      </c>
      <c r="N56" s="510">
        <f>1627-151</f>
        <v>1476</v>
      </c>
      <c r="O56" s="510">
        <v>0</v>
      </c>
      <c r="P56" s="510">
        <v>0</v>
      </c>
      <c r="Q56" s="510"/>
      <c r="R56" s="510"/>
      <c r="S56" s="510"/>
      <c r="T56" s="510"/>
      <c r="U56" s="811">
        <f t="shared" ref="U56:U57" si="64">SUM(O56:T56)</f>
        <v>0</v>
      </c>
      <c r="V56" s="2583"/>
    </row>
    <row r="57" spans="1:24" ht="13.5" customHeight="1">
      <c r="A57" s="2429"/>
      <c r="B57" s="539" t="s">
        <v>25</v>
      </c>
      <c r="C57" s="2435"/>
      <c r="D57" s="521">
        <f t="shared" si="63"/>
        <v>799474</v>
      </c>
      <c r="E57" s="510">
        <f>+F57+G57+H57</f>
        <v>236517</v>
      </c>
      <c r="F57" s="516"/>
      <c r="G57" s="508">
        <v>30908</v>
      </c>
      <c r="H57" s="549">
        <v>205609</v>
      </c>
      <c r="I57" s="542">
        <f>205928-7237</f>
        <v>198691</v>
      </c>
      <c r="J57" s="542">
        <f>103898-17359-5410</f>
        <v>81129</v>
      </c>
      <c r="K57" s="508">
        <v>128196</v>
      </c>
      <c r="L57" s="508">
        <f>171300-1627-16208</f>
        <v>153465</v>
      </c>
      <c r="M57" s="510">
        <f>+L57+K57+J57+I57+E57</f>
        <v>797998</v>
      </c>
      <c r="N57" s="508">
        <f>1627-151</f>
        <v>1476</v>
      </c>
      <c r="O57" s="508">
        <v>0</v>
      </c>
      <c r="P57" s="508">
        <v>0</v>
      </c>
      <c r="Q57" s="508"/>
      <c r="R57" s="508"/>
      <c r="S57" s="508"/>
      <c r="T57" s="508"/>
      <c r="U57" s="811">
        <f t="shared" si="64"/>
        <v>0</v>
      </c>
      <c r="V57" s="2583"/>
    </row>
    <row r="58" spans="1:24" ht="12.75" customHeight="1">
      <c r="A58" s="2429"/>
      <c r="B58" s="605" t="s">
        <v>30</v>
      </c>
      <c r="C58" s="2435"/>
      <c r="D58" s="513">
        <f>+D59</f>
        <v>9060642</v>
      </c>
      <c r="E58" s="514">
        <f t="shared" ref="E58:U58" si="65">+E59</f>
        <v>2680513</v>
      </c>
      <c r="F58" s="514">
        <f t="shared" si="65"/>
        <v>0</v>
      </c>
      <c r="G58" s="514">
        <f t="shared" si="65"/>
        <v>350288</v>
      </c>
      <c r="H58" s="514">
        <f t="shared" si="65"/>
        <v>2330225</v>
      </c>
      <c r="I58" s="514">
        <f t="shared" si="65"/>
        <v>2251831</v>
      </c>
      <c r="J58" s="514">
        <f t="shared" si="65"/>
        <v>919455</v>
      </c>
      <c r="K58" s="514">
        <f t="shared" si="65"/>
        <v>1452877</v>
      </c>
      <c r="L58" s="514">
        <f t="shared" si="65"/>
        <v>1739270</v>
      </c>
      <c r="M58" s="514">
        <f t="shared" si="65"/>
        <v>9043946</v>
      </c>
      <c r="N58" s="514">
        <f t="shared" si="65"/>
        <v>16696</v>
      </c>
      <c r="O58" s="514">
        <f t="shared" si="65"/>
        <v>0</v>
      </c>
      <c r="P58" s="514">
        <f t="shared" si="65"/>
        <v>0</v>
      </c>
      <c r="Q58" s="514"/>
      <c r="R58" s="514"/>
      <c r="S58" s="514"/>
      <c r="T58" s="514"/>
      <c r="U58" s="515">
        <f t="shared" si="65"/>
        <v>0</v>
      </c>
      <c r="V58" s="2583"/>
    </row>
    <row r="59" spans="1:24" ht="13.5" customHeight="1">
      <c r="A59" s="2429"/>
      <c r="B59" s="544" t="s">
        <v>33</v>
      </c>
      <c r="C59" s="2435"/>
      <c r="D59" s="521">
        <f>SUM(M59:R59)</f>
        <v>9060642</v>
      </c>
      <c r="E59" s="508">
        <f>+F59+G59+H59</f>
        <v>2680513</v>
      </c>
      <c r="F59" s="516">
        <v>0</v>
      </c>
      <c r="G59" s="508">
        <v>350288</v>
      </c>
      <c r="H59" s="542">
        <v>2330225</v>
      </c>
      <c r="I59" s="542">
        <f>2333861-82030</f>
        <v>2251831</v>
      </c>
      <c r="J59" s="542">
        <f>1177506-196725-61326</f>
        <v>919455</v>
      </c>
      <c r="K59" s="508">
        <v>1452877</v>
      </c>
      <c r="L59" s="508">
        <f>1941418-18449-183699</f>
        <v>1739270</v>
      </c>
      <c r="M59" s="510">
        <f>+L59+K59+J59+I59+E59</f>
        <v>9043946</v>
      </c>
      <c r="N59" s="508">
        <f>18449-1753</f>
        <v>16696</v>
      </c>
      <c r="O59" s="508">
        <v>0</v>
      </c>
      <c r="P59" s="510">
        <v>0</v>
      </c>
      <c r="Q59" s="510"/>
      <c r="R59" s="510"/>
      <c r="S59" s="510"/>
      <c r="T59" s="510"/>
      <c r="U59" s="811">
        <f>SUM(O59:T59)</f>
        <v>0</v>
      </c>
      <c r="V59" s="2583"/>
    </row>
    <row r="60" spans="1:24" ht="13.5" customHeight="1">
      <c r="A60" s="2604"/>
      <c r="B60" s="561" t="s">
        <v>34</v>
      </c>
      <c r="C60" s="428"/>
      <c r="D60" s="518">
        <f t="shared" ref="D60:L60" si="66">+D61+D63</f>
        <v>9860116</v>
      </c>
      <c r="E60" s="496">
        <f t="shared" si="66"/>
        <v>2917030</v>
      </c>
      <c r="F60" s="496">
        <f t="shared" si="66"/>
        <v>0</v>
      </c>
      <c r="G60" s="496">
        <f t="shared" si="66"/>
        <v>381196</v>
      </c>
      <c r="H60" s="496">
        <f t="shared" si="66"/>
        <v>2535834</v>
      </c>
      <c r="I60" s="496">
        <f t="shared" si="66"/>
        <v>2450522</v>
      </c>
      <c r="J60" s="496">
        <f t="shared" si="66"/>
        <v>1061910</v>
      </c>
      <c r="K60" s="496">
        <f t="shared" si="66"/>
        <v>1940864</v>
      </c>
      <c r="L60" s="496">
        <f t="shared" si="66"/>
        <v>1488314</v>
      </c>
      <c r="M60" s="496">
        <f t="shared" ref="M60" si="67">+M61+M63</f>
        <v>9858640</v>
      </c>
      <c r="N60" s="496">
        <f>+N61+N63</f>
        <v>1476</v>
      </c>
      <c r="O60" s="496">
        <f>+O61+O63</f>
        <v>0</v>
      </c>
      <c r="P60" s="496">
        <f>+P61+P63</f>
        <v>0</v>
      </c>
      <c r="Q60" s="496"/>
      <c r="R60" s="496"/>
      <c r="S60" s="496"/>
      <c r="T60" s="496"/>
      <c r="U60" s="2437" t="s">
        <v>77</v>
      </c>
      <c r="V60" s="2594"/>
    </row>
    <row r="61" spans="1:24" ht="13.5" customHeight="1">
      <c r="A61" s="2430"/>
      <c r="B61" s="555" t="s">
        <v>36</v>
      </c>
      <c r="C61" s="2490" t="s">
        <v>169</v>
      </c>
      <c r="D61" s="519">
        <f t="shared" ref="D61:P61" si="68">+D62</f>
        <v>799474</v>
      </c>
      <c r="E61" s="519">
        <f t="shared" si="68"/>
        <v>236517</v>
      </c>
      <c r="F61" s="519">
        <f t="shared" si="68"/>
        <v>0</v>
      </c>
      <c r="G61" s="519">
        <f t="shared" si="68"/>
        <v>30908</v>
      </c>
      <c r="H61" s="519">
        <f t="shared" si="68"/>
        <v>205609</v>
      </c>
      <c r="I61" s="519">
        <f t="shared" si="68"/>
        <v>198691</v>
      </c>
      <c r="J61" s="519">
        <f t="shared" si="68"/>
        <v>81129</v>
      </c>
      <c r="K61" s="519">
        <f t="shared" si="68"/>
        <v>128196</v>
      </c>
      <c r="L61" s="519">
        <f t="shared" si="68"/>
        <v>153465</v>
      </c>
      <c r="M61" s="519">
        <f t="shared" si="68"/>
        <v>797998</v>
      </c>
      <c r="N61" s="519">
        <f t="shared" si="68"/>
        <v>1476</v>
      </c>
      <c r="O61" s="519">
        <f t="shared" si="68"/>
        <v>0</v>
      </c>
      <c r="P61" s="519">
        <f t="shared" si="68"/>
        <v>0</v>
      </c>
      <c r="Q61" s="519"/>
      <c r="R61" s="519"/>
      <c r="S61" s="519"/>
      <c r="T61" s="519"/>
      <c r="U61" s="2438"/>
      <c r="V61" s="2594"/>
    </row>
    <row r="62" spans="1:24" ht="13.5" customHeight="1">
      <c r="A62" s="2430"/>
      <c r="B62" s="539" t="s">
        <v>25</v>
      </c>
      <c r="C62" s="2435"/>
      <c r="D62" s="521">
        <f>SUM(M62:R62)</f>
        <v>799474</v>
      </c>
      <c r="E62" s="510">
        <f>+F62+G62+H62</f>
        <v>236517</v>
      </c>
      <c r="F62" s="521"/>
      <c r="G62" s="521">
        <v>30908</v>
      </c>
      <c r="H62" s="521">
        <v>205609</v>
      </c>
      <c r="I62" s="521">
        <f>205928-7237</f>
        <v>198691</v>
      </c>
      <c r="J62" s="521">
        <f>103898-17359-5410</f>
        <v>81129</v>
      </c>
      <c r="K62" s="521">
        <v>128196</v>
      </c>
      <c r="L62" s="521">
        <f>171300-1627-16208</f>
        <v>153465</v>
      </c>
      <c r="M62" s="510">
        <f>+L62+K62+J62+I62+E62</f>
        <v>797998</v>
      </c>
      <c r="N62" s="815">
        <f>1627-151</f>
        <v>1476</v>
      </c>
      <c r="O62" s="815">
        <v>0</v>
      </c>
      <c r="P62" s="815">
        <v>0</v>
      </c>
      <c r="Q62" s="815"/>
      <c r="R62" s="815"/>
      <c r="S62" s="815"/>
      <c r="T62" s="815"/>
      <c r="U62" s="2438"/>
      <c r="V62" s="2594"/>
    </row>
    <row r="63" spans="1:24" ht="12" customHeight="1">
      <c r="A63" s="2430"/>
      <c r="B63" s="605" t="s">
        <v>30</v>
      </c>
      <c r="C63" s="2494"/>
      <c r="D63" s="513">
        <f t="shared" ref="D63:P63" si="69">+D64</f>
        <v>9060642</v>
      </c>
      <c r="E63" s="514">
        <f t="shared" si="69"/>
        <v>2680513</v>
      </c>
      <c r="F63" s="514">
        <f t="shared" si="69"/>
        <v>0</v>
      </c>
      <c r="G63" s="514">
        <f t="shared" si="69"/>
        <v>350288</v>
      </c>
      <c r="H63" s="514">
        <f t="shared" si="69"/>
        <v>2330225</v>
      </c>
      <c r="I63" s="514">
        <f t="shared" si="69"/>
        <v>2251831</v>
      </c>
      <c r="J63" s="514">
        <f t="shared" si="69"/>
        <v>980781</v>
      </c>
      <c r="K63" s="514">
        <f t="shared" si="69"/>
        <v>1812668</v>
      </c>
      <c r="L63" s="514">
        <f t="shared" si="69"/>
        <v>1334849</v>
      </c>
      <c r="M63" s="514">
        <f t="shared" si="69"/>
        <v>9060642</v>
      </c>
      <c r="N63" s="514">
        <f t="shared" si="69"/>
        <v>0</v>
      </c>
      <c r="O63" s="514">
        <f t="shared" si="69"/>
        <v>0</v>
      </c>
      <c r="P63" s="514">
        <f t="shared" si="69"/>
        <v>0</v>
      </c>
      <c r="Q63" s="514"/>
      <c r="R63" s="514"/>
      <c r="S63" s="514"/>
      <c r="T63" s="514"/>
      <c r="U63" s="2438"/>
      <c r="V63" s="2594"/>
    </row>
    <row r="64" spans="1:24" ht="13.5" customHeight="1" thickBot="1">
      <c r="A64" s="2431"/>
      <c r="B64" s="550" t="s">
        <v>33</v>
      </c>
      <c r="C64" s="2495"/>
      <c r="D64" s="591">
        <f>SUM(M64:R64)</f>
        <v>9060642</v>
      </c>
      <c r="E64" s="546">
        <f>+F64+G64+H64</f>
        <v>2680513</v>
      </c>
      <c r="F64" s="547"/>
      <c r="G64" s="546">
        <v>350288</v>
      </c>
      <c r="H64" s="546">
        <v>2330225</v>
      </c>
      <c r="I64" s="546">
        <f>2333861-82030</f>
        <v>2251831</v>
      </c>
      <c r="J64" s="546">
        <f>1177506-196725</f>
        <v>980781</v>
      </c>
      <c r="K64" s="546">
        <f>1939233-126565</f>
        <v>1812668</v>
      </c>
      <c r="L64" s="546">
        <f>1197011+323290-18449-167003</f>
        <v>1334849</v>
      </c>
      <c r="M64" s="510">
        <f>+L64+K64+J64+I64+E64</f>
        <v>9060642</v>
      </c>
      <c r="N64" s="817">
        <f>18449-18449</f>
        <v>0</v>
      </c>
      <c r="O64" s="817">
        <v>0</v>
      </c>
      <c r="P64" s="817">
        <v>0</v>
      </c>
      <c r="Q64" s="817"/>
      <c r="R64" s="817"/>
      <c r="S64" s="817"/>
      <c r="T64" s="817"/>
      <c r="U64" s="2439"/>
      <c r="V64" s="2595"/>
    </row>
    <row r="65" spans="1:26" ht="29.25" customHeight="1">
      <c r="A65" s="2429" t="s">
        <v>86</v>
      </c>
      <c r="B65" s="820" t="s">
        <v>178</v>
      </c>
      <c r="C65" s="821" t="s">
        <v>138</v>
      </c>
      <c r="D65" s="578"/>
      <c r="E65" s="580"/>
      <c r="F65" s="579"/>
      <c r="G65" s="580"/>
      <c r="H65" s="580"/>
      <c r="I65" s="581"/>
      <c r="J65" s="581"/>
      <c r="K65" s="581"/>
      <c r="L65" s="581"/>
      <c r="M65" s="582"/>
      <c r="N65" s="582"/>
      <c r="O65" s="582"/>
      <c r="P65" s="582"/>
      <c r="Q65" s="582"/>
      <c r="R65" s="582"/>
      <c r="S65" s="582"/>
      <c r="T65" s="582"/>
      <c r="U65" s="809"/>
      <c r="V65" s="2583" t="s">
        <v>167</v>
      </c>
      <c r="Z65" s="1907"/>
    </row>
    <row r="66" spans="1:26" ht="13.5" customHeight="1">
      <c r="A66" s="2429"/>
      <c r="B66" s="554" t="s">
        <v>22</v>
      </c>
      <c r="C66" s="428"/>
      <c r="D66" s="533">
        <f t="shared" ref="D66:P66" si="70">+D67+D70</f>
        <v>3000000</v>
      </c>
      <c r="E66" s="534">
        <f t="shared" si="70"/>
        <v>0</v>
      </c>
      <c r="F66" s="534">
        <f t="shared" si="70"/>
        <v>0</v>
      </c>
      <c r="G66" s="534">
        <f t="shared" si="70"/>
        <v>0</v>
      </c>
      <c r="H66" s="534">
        <f t="shared" si="70"/>
        <v>0</v>
      </c>
      <c r="I66" s="534">
        <f t="shared" si="70"/>
        <v>0</v>
      </c>
      <c r="J66" s="534">
        <f t="shared" si="70"/>
        <v>0</v>
      </c>
      <c r="K66" s="534">
        <f t="shared" si="70"/>
        <v>0</v>
      </c>
      <c r="L66" s="534">
        <f t="shared" si="70"/>
        <v>6783</v>
      </c>
      <c r="M66" s="534">
        <f t="shared" ref="M66" si="71">+M67+M70</f>
        <v>6783</v>
      </c>
      <c r="N66" s="534">
        <f t="shared" si="70"/>
        <v>2583766</v>
      </c>
      <c r="O66" s="534">
        <f t="shared" si="70"/>
        <v>409451</v>
      </c>
      <c r="P66" s="534">
        <f t="shared" si="70"/>
        <v>0</v>
      </c>
      <c r="Q66" s="534"/>
      <c r="R66" s="534"/>
      <c r="S66" s="534"/>
      <c r="T66" s="534"/>
      <c r="U66" s="535">
        <f>+U67+U70</f>
        <v>409451</v>
      </c>
      <c r="V66" s="2583"/>
      <c r="W66" s="1258">
        <f>+O66+P66+Q66+R66</f>
        <v>409451</v>
      </c>
      <c r="X66" s="1258"/>
      <c r="Y66" s="1258"/>
      <c r="Z66" s="1258"/>
    </row>
    <row r="67" spans="1:26" ht="13.5" customHeight="1">
      <c r="A67" s="2429"/>
      <c r="B67" s="555" t="s">
        <v>36</v>
      </c>
      <c r="C67" s="2433" t="s">
        <v>177</v>
      </c>
      <c r="D67" s="536">
        <f t="shared" ref="D67:P67" si="72">+D68+D69</f>
        <v>450000</v>
      </c>
      <c r="E67" s="536">
        <f t="shared" si="72"/>
        <v>0</v>
      </c>
      <c r="F67" s="536">
        <f t="shared" si="72"/>
        <v>0</v>
      </c>
      <c r="G67" s="536">
        <f t="shared" si="72"/>
        <v>0</v>
      </c>
      <c r="H67" s="536">
        <f t="shared" si="72"/>
        <v>0</v>
      </c>
      <c r="I67" s="536">
        <f t="shared" si="72"/>
        <v>0</v>
      </c>
      <c r="J67" s="536">
        <f t="shared" si="72"/>
        <v>0</v>
      </c>
      <c r="K67" s="536">
        <f t="shared" si="72"/>
        <v>0</v>
      </c>
      <c r="L67" s="536">
        <f t="shared" si="72"/>
        <v>1018</v>
      </c>
      <c r="M67" s="536">
        <f t="shared" ref="M67" si="73">+M68+M69</f>
        <v>1018</v>
      </c>
      <c r="N67" s="536">
        <f t="shared" si="72"/>
        <v>387564</v>
      </c>
      <c r="O67" s="536">
        <f t="shared" si="72"/>
        <v>61418</v>
      </c>
      <c r="P67" s="536">
        <f t="shared" si="72"/>
        <v>0</v>
      </c>
      <c r="Q67" s="536"/>
      <c r="R67" s="536"/>
      <c r="S67" s="536"/>
      <c r="T67" s="536"/>
      <c r="U67" s="557">
        <f>+U68+U69</f>
        <v>61418</v>
      </c>
      <c r="V67" s="2583"/>
    </row>
    <row r="68" spans="1:26" ht="13.5" customHeight="1">
      <c r="A68" s="2429"/>
      <c r="B68" s="539" t="s">
        <v>24</v>
      </c>
      <c r="C68" s="2435"/>
      <c r="D68" s="521">
        <f t="shared" ref="D68:D69" si="74">SUM(M68:R68)</f>
        <v>225000</v>
      </c>
      <c r="E68" s="510"/>
      <c r="F68" s="511"/>
      <c r="G68" s="510"/>
      <c r="H68" s="549"/>
      <c r="I68" s="549"/>
      <c r="J68" s="549"/>
      <c r="K68" s="510"/>
      <c r="L68" s="510">
        <f>796-287</f>
        <v>509</v>
      </c>
      <c r="M68" s="510">
        <f t="shared" ref="M68:M69" si="75">+L68+K68+J68+I68+E68</f>
        <v>509</v>
      </c>
      <c r="N68" s="510">
        <f>202832+287-413-8924</f>
        <v>193782</v>
      </c>
      <c r="O68" s="510">
        <f>21372+413+8924</f>
        <v>30709</v>
      </c>
      <c r="P68" s="510">
        <v>0</v>
      </c>
      <c r="Q68" s="510"/>
      <c r="R68" s="510"/>
      <c r="S68" s="510"/>
      <c r="T68" s="510"/>
      <c r="U68" s="811">
        <f t="shared" ref="U68:U69" si="76">SUM(O68:T68)</f>
        <v>30709</v>
      </c>
      <c r="V68" s="2583"/>
    </row>
    <row r="69" spans="1:26" ht="13.5" customHeight="1">
      <c r="A69" s="2429"/>
      <c r="B69" s="539" t="s">
        <v>25</v>
      </c>
      <c r="C69" s="2435"/>
      <c r="D69" s="521">
        <f t="shared" si="74"/>
        <v>225000</v>
      </c>
      <c r="E69" s="510"/>
      <c r="F69" s="516"/>
      <c r="G69" s="508"/>
      <c r="H69" s="549"/>
      <c r="I69" s="542"/>
      <c r="J69" s="542"/>
      <c r="K69" s="508"/>
      <c r="L69" s="508">
        <f>796-287</f>
        <v>509</v>
      </c>
      <c r="M69" s="510">
        <f t="shared" si="75"/>
        <v>509</v>
      </c>
      <c r="N69" s="508">
        <f>202832+287-413-8924</f>
        <v>193782</v>
      </c>
      <c r="O69" s="508">
        <f>21372+413+8924</f>
        <v>30709</v>
      </c>
      <c r="P69" s="508">
        <v>0</v>
      </c>
      <c r="Q69" s="508"/>
      <c r="R69" s="508"/>
      <c r="S69" s="508"/>
      <c r="T69" s="508"/>
      <c r="U69" s="811">
        <f t="shared" si="76"/>
        <v>30709</v>
      </c>
      <c r="V69" s="2583"/>
    </row>
    <row r="70" spans="1:26" ht="13.5" customHeight="1">
      <c r="A70" s="2429"/>
      <c r="B70" s="605" t="s">
        <v>30</v>
      </c>
      <c r="C70" s="2435"/>
      <c r="D70" s="513">
        <f>+D71</f>
        <v>2550000</v>
      </c>
      <c r="E70" s="514">
        <f t="shared" ref="E70:U70" si="77">+E71</f>
        <v>0</v>
      </c>
      <c r="F70" s="514">
        <f t="shared" si="77"/>
        <v>0</v>
      </c>
      <c r="G70" s="514">
        <f t="shared" si="77"/>
        <v>0</v>
      </c>
      <c r="H70" s="514">
        <f t="shared" si="77"/>
        <v>0</v>
      </c>
      <c r="I70" s="514">
        <f t="shared" si="77"/>
        <v>0</v>
      </c>
      <c r="J70" s="514">
        <f t="shared" si="77"/>
        <v>0</v>
      </c>
      <c r="K70" s="514">
        <f t="shared" si="77"/>
        <v>0</v>
      </c>
      <c r="L70" s="514">
        <f t="shared" si="77"/>
        <v>5765</v>
      </c>
      <c r="M70" s="514">
        <f t="shared" si="77"/>
        <v>5765</v>
      </c>
      <c r="N70" s="514">
        <f t="shared" si="77"/>
        <v>2196202</v>
      </c>
      <c r="O70" s="514">
        <f t="shared" si="77"/>
        <v>348033</v>
      </c>
      <c r="P70" s="514">
        <f t="shared" si="77"/>
        <v>0</v>
      </c>
      <c r="Q70" s="514"/>
      <c r="R70" s="514"/>
      <c r="S70" s="514"/>
      <c r="T70" s="514"/>
      <c r="U70" s="515">
        <f t="shared" si="77"/>
        <v>348033</v>
      </c>
      <c r="V70" s="2583"/>
    </row>
    <row r="71" spans="1:26" ht="13.5" customHeight="1">
      <c r="A71" s="2429"/>
      <c r="B71" s="544" t="s">
        <v>33</v>
      </c>
      <c r="C71" s="2435"/>
      <c r="D71" s="521">
        <f t="shared" ref="D71" si="78">SUM(M71:R71)</f>
        <v>2550000</v>
      </c>
      <c r="E71" s="508"/>
      <c r="F71" s="516"/>
      <c r="G71" s="508"/>
      <c r="H71" s="542"/>
      <c r="I71" s="542"/>
      <c r="J71" s="542"/>
      <c r="K71" s="508"/>
      <c r="L71" s="508">
        <f>9024-3259</f>
        <v>5765</v>
      </c>
      <c r="M71" s="510">
        <f>+L71+K71+J71+I71+E71</f>
        <v>5765</v>
      </c>
      <c r="N71" s="508">
        <f>2298760+3259-4674-101143</f>
        <v>2196202</v>
      </c>
      <c r="O71" s="508">
        <f>242216+4674+101143</f>
        <v>348033</v>
      </c>
      <c r="P71" s="510">
        <v>0</v>
      </c>
      <c r="Q71" s="510"/>
      <c r="R71" s="510"/>
      <c r="S71" s="510"/>
      <c r="T71" s="510"/>
      <c r="U71" s="811">
        <f>SUM(O71:T71)</f>
        <v>348033</v>
      </c>
      <c r="V71" s="2583"/>
    </row>
    <row r="72" spans="1:26" ht="13.5" customHeight="1">
      <c r="A72" s="2604"/>
      <c r="B72" s="561" t="s">
        <v>34</v>
      </c>
      <c r="C72" s="428"/>
      <c r="D72" s="518">
        <f t="shared" ref="D72:L72" si="79">+D73+D75</f>
        <v>2775000</v>
      </c>
      <c r="E72" s="496">
        <f t="shared" si="79"/>
        <v>0</v>
      </c>
      <c r="F72" s="496">
        <f t="shared" si="79"/>
        <v>0</v>
      </c>
      <c r="G72" s="496">
        <f t="shared" si="79"/>
        <v>0</v>
      </c>
      <c r="H72" s="496">
        <f t="shared" si="79"/>
        <v>0</v>
      </c>
      <c r="I72" s="496">
        <f t="shared" si="79"/>
        <v>0</v>
      </c>
      <c r="J72" s="496">
        <f t="shared" si="79"/>
        <v>0</v>
      </c>
      <c r="K72" s="496">
        <f t="shared" si="79"/>
        <v>0</v>
      </c>
      <c r="L72" s="496">
        <f t="shared" si="79"/>
        <v>9533</v>
      </c>
      <c r="M72" s="496">
        <f t="shared" ref="M72" si="80">+M73+M75</f>
        <v>9533</v>
      </c>
      <c r="N72" s="496">
        <f>+N73+N75</f>
        <v>2487868</v>
      </c>
      <c r="O72" s="496">
        <f>+O73+O75</f>
        <v>277599</v>
      </c>
      <c r="P72" s="496">
        <f>+P73+P75</f>
        <v>0</v>
      </c>
      <c r="Q72" s="496"/>
      <c r="R72" s="496"/>
      <c r="S72" s="496"/>
      <c r="T72" s="496"/>
      <c r="U72" s="2437" t="s">
        <v>77</v>
      </c>
      <c r="V72" s="2594"/>
    </row>
    <row r="73" spans="1:26" ht="13.5" customHeight="1">
      <c r="A73" s="2430"/>
      <c r="B73" s="555" t="s">
        <v>36</v>
      </c>
      <c r="C73" s="2490" t="s">
        <v>169</v>
      </c>
      <c r="D73" s="519">
        <f t="shared" ref="D73:P73" si="81">+D74</f>
        <v>225000</v>
      </c>
      <c r="E73" s="519">
        <f t="shared" si="81"/>
        <v>0</v>
      </c>
      <c r="F73" s="519">
        <f t="shared" si="81"/>
        <v>0</v>
      </c>
      <c r="G73" s="519">
        <f t="shared" si="81"/>
        <v>0</v>
      </c>
      <c r="H73" s="519">
        <f t="shared" si="81"/>
        <v>0</v>
      </c>
      <c r="I73" s="519">
        <f t="shared" si="81"/>
        <v>0</v>
      </c>
      <c r="J73" s="519">
        <f t="shared" si="81"/>
        <v>0</v>
      </c>
      <c r="K73" s="519">
        <f t="shared" si="81"/>
        <v>0</v>
      </c>
      <c r="L73" s="519">
        <f t="shared" si="81"/>
        <v>509</v>
      </c>
      <c r="M73" s="519">
        <f t="shared" si="81"/>
        <v>509</v>
      </c>
      <c r="N73" s="519">
        <f t="shared" si="81"/>
        <v>193782</v>
      </c>
      <c r="O73" s="519">
        <f t="shared" si="81"/>
        <v>30709</v>
      </c>
      <c r="P73" s="519">
        <f t="shared" si="81"/>
        <v>0</v>
      </c>
      <c r="Q73" s="519"/>
      <c r="R73" s="519"/>
      <c r="S73" s="519"/>
      <c r="T73" s="519"/>
      <c r="U73" s="2438"/>
      <c r="V73" s="2594"/>
    </row>
    <row r="74" spans="1:26" ht="13.5" customHeight="1">
      <c r="A74" s="2430"/>
      <c r="B74" s="539" t="s">
        <v>25</v>
      </c>
      <c r="C74" s="2435"/>
      <c r="D74" s="521">
        <f t="shared" ref="D74" si="82">SUM(M74:R74)</f>
        <v>225000</v>
      </c>
      <c r="E74" s="510"/>
      <c r="F74" s="521"/>
      <c r="G74" s="521"/>
      <c r="H74" s="521"/>
      <c r="I74" s="521"/>
      <c r="J74" s="521"/>
      <c r="K74" s="521"/>
      <c r="L74" s="521">
        <f>796-287</f>
        <v>509</v>
      </c>
      <c r="M74" s="510">
        <f t="shared" ref="M74" si="83">+L74+K74+J74+I74+E74</f>
        <v>509</v>
      </c>
      <c r="N74" s="815">
        <f>202832+287-413-8924</f>
        <v>193782</v>
      </c>
      <c r="O74" s="815">
        <f>21372+413+8924</f>
        <v>30709</v>
      </c>
      <c r="P74" s="815">
        <v>0</v>
      </c>
      <c r="Q74" s="815"/>
      <c r="R74" s="815"/>
      <c r="S74" s="815"/>
      <c r="T74" s="815"/>
      <c r="U74" s="2438"/>
      <c r="V74" s="2594"/>
    </row>
    <row r="75" spans="1:26" ht="13.5" customHeight="1">
      <c r="A75" s="2430"/>
      <c r="B75" s="605" t="s">
        <v>30</v>
      </c>
      <c r="C75" s="2494"/>
      <c r="D75" s="513">
        <f t="shared" ref="D75:P75" si="84">+D76</f>
        <v>2550000</v>
      </c>
      <c r="E75" s="514">
        <f t="shared" si="84"/>
        <v>0</v>
      </c>
      <c r="F75" s="514">
        <f t="shared" si="84"/>
        <v>0</v>
      </c>
      <c r="G75" s="514">
        <f t="shared" si="84"/>
        <v>0</v>
      </c>
      <c r="H75" s="514">
        <f t="shared" si="84"/>
        <v>0</v>
      </c>
      <c r="I75" s="514">
        <f t="shared" si="84"/>
        <v>0</v>
      </c>
      <c r="J75" s="514">
        <f t="shared" si="84"/>
        <v>0</v>
      </c>
      <c r="K75" s="514">
        <f t="shared" si="84"/>
        <v>0</v>
      </c>
      <c r="L75" s="514">
        <f t="shared" si="84"/>
        <v>9024</v>
      </c>
      <c r="M75" s="514">
        <f t="shared" si="84"/>
        <v>9024</v>
      </c>
      <c r="N75" s="514">
        <f t="shared" si="84"/>
        <v>2294086</v>
      </c>
      <c r="O75" s="514">
        <f t="shared" si="84"/>
        <v>246890</v>
      </c>
      <c r="P75" s="514">
        <f t="shared" si="84"/>
        <v>0</v>
      </c>
      <c r="Q75" s="514"/>
      <c r="R75" s="514"/>
      <c r="S75" s="514"/>
      <c r="T75" s="514"/>
      <c r="U75" s="2438"/>
      <c r="V75" s="2594"/>
    </row>
    <row r="76" spans="1:26" ht="13.5" customHeight="1" thickBot="1">
      <c r="A76" s="2431"/>
      <c r="B76" s="550" t="s">
        <v>33</v>
      </c>
      <c r="C76" s="2495"/>
      <c r="D76" s="591">
        <f>SUM(M76:R76)</f>
        <v>2550000</v>
      </c>
      <c r="E76" s="546"/>
      <c r="F76" s="547"/>
      <c r="G76" s="546"/>
      <c r="H76" s="546"/>
      <c r="I76" s="546"/>
      <c r="J76" s="546"/>
      <c r="K76" s="546"/>
      <c r="L76" s="546">
        <v>9024</v>
      </c>
      <c r="M76" s="510">
        <f>+L76+K76+J76+I76+E76</f>
        <v>9024</v>
      </c>
      <c r="N76" s="817">
        <f>2298760-4674</f>
        <v>2294086</v>
      </c>
      <c r="O76" s="817">
        <f>242216+4674</f>
        <v>246890</v>
      </c>
      <c r="P76" s="817">
        <v>0</v>
      </c>
      <c r="Q76" s="817"/>
      <c r="R76" s="817"/>
      <c r="S76" s="817"/>
      <c r="T76" s="817"/>
      <c r="U76" s="2439"/>
      <c r="V76" s="2595"/>
    </row>
    <row r="77" spans="1:26" ht="30.75" customHeight="1">
      <c r="A77" s="2428" t="s">
        <v>149</v>
      </c>
      <c r="B77" s="548" t="s">
        <v>179</v>
      </c>
      <c r="C77" s="821" t="s">
        <v>138</v>
      </c>
      <c r="D77" s="529"/>
      <c r="E77" s="531"/>
      <c r="F77" s="530"/>
      <c r="G77" s="531"/>
      <c r="H77" s="531"/>
      <c r="I77" s="489"/>
      <c r="J77" s="489"/>
      <c r="K77" s="489"/>
      <c r="L77" s="489"/>
      <c r="M77" s="491"/>
      <c r="N77" s="491"/>
      <c r="O77" s="491"/>
      <c r="P77" s="491"/>
      <c r="Q77" s="491"/>
      <c r="R77" s="491"/>
      <c r="S77" s="491"/>
      <c r="T77" s="491"/>
      <c r="U77" s="818"/>
      <c r="V77" s="2582" t="s">
        <v>167</v>
      </c>
    </row>
    <row r="78" spans="1:26" ht="13.5" customHeight="1">
      <c r="A78" s="2429"/>
      <c r="B78" s="554" t="s">
        <v>22</v>
      </c>
      <c r="C78" s="428"/>
      <c r="D78" s="533">
        <f>+D79+D82</f>
        <v>2599022</v>
      </c>
      <c r="E78" s="534"/>
      <c r="F78" s="534"/>
      <c r="G78" s="534"/>
      <c r="H78" s="534"/>
      <c r="I78" s="534"/>
      <c r="J78" s="534"/>
      <c r="K78" s="534"/>
      <c r="L78" s="534">
        <f t="shared" ref="L78:Q78" si="85">+L79+L82</f>
        <v>402176</v>
      </c>
      <c r="M78" s="534">
        <f t="shared" si="85"/>
        <v>402176</v>
      </c>
      <c r="N78" s="534">
        <f t="shared" si="85"/>
        <v>1213560</v>
      </c>
      <c r="O78" s="534">
        <f t="shared" si="85"/>
        <v>983286</v>
      </c>
      <c r="P78" s="534">
        <f t="shared" si="85"/>
        <v>0</v>
      </c>
      <c r="Q78" s="534">
        <f t="shared" si="85"/>
        <v>0</v>
      </c>
      <c r="R78" s="534"/>
      <c r="S78" s="534"/>
      <c r="T78" s="534"/>
      <c r="U78" s="535">
        <f>+U79+U82</f>
        <v>983286</v>
      </c>
      <c r="V78" s="2583"/>
      <c r="W78" s="1258">
        <f>+O78+P78+Q78+R78</f>
        <v>983286</v>
      </c>
    </row>
    <row r="79" spans="1:26" ht="13.5" customHeight="1">
      <c r="A79" s="2429"/>
      <c r="B79" s="555" t="s">
        <v>36</v>
      </c>
      <c r="C79" s="2433" t="s">
        <v>172</v>
      </c>
      <c r="D79" s="536">
        <f>+D80+D81</f>
        <v>389857</v>
      </c>
      <c r="E79" s="536"/>
      <c r="F79" s="536"/>
      <c r="G79" s="536"/>
      <c r="H79" s="536"/>
      <c r="I79" s="536"/>
      <c r="J79" s="536"/>
      <c r="K79" s="536"/>
      <c r="L79" s="536">
        <f t="shared" ref="L79:Q79" si="86">+L80+L81</f>
        <v>60327</v>
      </c>
      <c r="M79" s="536">
        <f t="shared" si="86"/>
        <v>60327</v>
      </c>
      <c r="N79" s="536">
        <f t="shared" si="86"/>
        <v>182034</v>
      </c>
      <c r="O79" s="536">
        <f t="shared" si="86"/>
        <v>147496</v>
      </c>
      <c r="P79" s="536">
        <f t="shared" si="86"/>
        <v>0</v>
      </c>
      <c r="Q79" s="536">
        <f t="shared" si="86"/>
        <v>0</v>
      </c>
      <c r="R79" s="536"/>
      <c r="S79" s="536"/>
      <c r="T79" s="536"/>
      <c r="U79" s="557">
        <f>+U80+U81</f>
        <v>147496</v>
      </c>
      <c r="V79" s="2583"/>
    </row>
    <row r="80" spans="1:26" ht="11.25" customHeight="1">
      <c r="A80" s="2429"/>
      <c r="B80" s="539" t="s">
        <v>24</v>
      </c>
      <c r="C80" s="2435"/>
      <c r="D80" s="521">
        <f t="shared" ref="D80:D81" si="87">SUM(M80:R80)</f>
        <v>38988</v>
      </c>
      <c r="E80" s="510"/>
      <c r="F80" s="511"/>
      <c r="G80" s="510"/>
      <c r="H80" s="549"/>
      <c r="I80" s="549"/>
      <c r="J80" s="549"/>
      <c r="K80" s="510"/>
      <c r="L80" s="510">
        <f>6123-90</f>
        <v>6033</v>
      </c>
      <c r="M80" s="510">
        <f t="shared" ref="M80:M83" si="88">+L80+K80+J80+I80+E80</f>
        <v>6033</v>
      </c>
      <c r="N80" s="510">
        <f>19185+90-1072</f>
        <v>18203</v>
      </c>
      <c r="O80" s="510">
        <f>13680+1072</f>
        <v>14752</v>
      </c>
      <c r="P80" s="510">
        <v>0</v>
      </c>
      <c r="Q80" s="510">
        <v>0</v>
      </c>
      <c r="R80" s="510"/>
      <c r="S80" s="510"/>
      <c r="T80" s="510"/>
      <c r="U80" s="811">
        <f>SUM(O80:T80)</f>
        <v>14752</v>
      </c>
      <c r="V80" s="2583"/>
    </row>
    <row r="81" spans="1:26">
      <c r="A81" s="2429"/>
      <c r="B81" s="539" t="s">
        <v>25</v>
      </c>
      <c r="C81" s="2435"/>
      <c r="D81" s="521">
        <f t="shared" si="87"/>
        <v>350869</v>
      </c>
      <c r="E81" s="510"/>
      <c r="F81" s="516"/>
      <c r="G81" s="508"/>
      <c r="H81" s="542"/>
      <c r="I81" s="542"/>
      <c r="J81" s="542"/>
      <c r="K81" s="508"/>
      <c r="L81" s="508">
        <f>55101-807</f>
        <v>54294</v>
      </c>
      <c r="M81" s="510">
        <f t="shared" si="88"/>
        <v>54294</v>
      </c>
      <c r="N81" s="508">
        <f>172654+807-9630</f>
        <v>163831</v>
      </c>
      <c r="O81" s="508">
        <f>123114+9630</f>
        <v>132744</v>
      </c>
      <c r="P81" s="508">
        <v>0</v>
      </c>
      <c r="Q81" s="508">
        <v>0</v>
      </c>
      <c r="R81" s="508"/>
      <c r="S81" s="508"/>
      <c r="T81" s="508"/>
      <c r="U81" s="811">
        <f>SUM(O81:T81)</f>
        <v>132744</v>
      </c>
      <c r="V81" s="2583"/>
    </row>
    <row r="82" spans="1:26" ht="12.75" customHeight="1">
      <c r="A82" s="2429"/>
      <c r="B82" s="605" t="s">
        <v>30</v>
      </c>
      <c r="C82" s="2435"/>
      <c r="D82" s="513">
        <f>+D83</f>
        <v>2209165</v>
      </c>
      <c r="E82" s="514"/>
      <c r="F82" s="514"/>
      <c r="G82" s="514"/>
      <c r="H82" s="514"/>
      <c r="I82" s="514"/>
      <c r="J82" s="514"/>
      <c r="K82" s="514"/>
      <c r="L82" s="514">
        <f t="shared" ref="L82:Q82" si="89">+L83</f>
        <v>341849</v>
      </c>
      <c r="M82" s="514">
        <f t="shared" si="89"/>
        <v>341849</v>
      </c>
      <c r="N82" s="514">
        <f t="shared" si="89"/>
        <v>1031526</v>
      </c>
      <c r="O82" s="514">
        <f t="shared" si="89"/>
        <v>835790</v>
      </c>
      <c r="P82" s="514">
        <f t="shared" si="89"/>
        <v>0</v>
      </c>
      <c r="Q82" s="514">
        <f t="shared" si="89"/>
        <v>0</v>
      </c>
      <c r="R82" s="514"/>
      <c r="S82" s="514"/>
      <c r="T82" s="514"/>
      <c r="U82" s="515">
        <f>+U83</f>
        <v>835790</v>
      </c>
      <c r="V82" s="2583"/>
    </row>
    <row r="83" spans="1:26">
      <c r="A83" s="2429"/>
      <c r="B83" s="544" t="s">
        <v>33</v>
      </c>
      <c r="C83" s="2435"/>
      <c r="D83" s="521">
        <f t="shared" ref="D83" si="90">SUM(M83:R83)</f>
        <v>2209165</v>
      </c>
      <c r="E83" s="508"/>
      <c r="F83" s="516"/>
      <c r="G83" s="508"/>
      <c r="H83" s="542"/>
      <c r="I83" s="542"/>
      <c r="J83" s="542"/>
      <c r="K83" s="508"/>
      <c r="L83" s="508">
        <f>346931-5082</f>
        <v>341849</v>
      </c>
      <c r="M83" s="510">
        <f t="shared" si="88"/>
        <v>341849</v>
      </c>
      <c r="N83" s="508">
        <f>1087072+5082-60628</f>
        <v>1031526</v>
      </c>
      <c r="O83" s="508">
        <f>775162+60628</f>
        <v>835790</v>
      </c>
      <c r="P83" s="510">
        <v>0</v>
      </c>
      <c r="Q83" s="510">
        <v>0</v>
      </c>
      <c r="R83" s="510"/>
      <c r="S83" s="510"/>
      <c r="T83" s="510"/>
      <c r="U83" s="811">
        <f>SUM(O83:R83)</f>
        <v>835790</v>
      </c>
      <c r="V83" s="2583"/>
    </row>
    <row r="84" spans="1:26" ht="13.5" customHeight="1">
      <c r="A84" s="2429"/>
      <c r="B84" s="561" t="s">
        <v>34</v>
      </c>
      <c r="C84" s="428"/>
      <c r="D84" s="518">
        <f>+D85+D87</f>
        <v>2560034</v>
      </c>
      <c r="E84" s="496"/>
      <c r="F84" s="496"/>
      <c r="G84" s="496"/>
      <c r="H84" s="496"/>
      <c r="I84" s="496"/>
      <c r="J84" s="496"/>
      <c r="K84" s="496"/>
      <c r="L84" s="496">
        <f t="shared" ref="L84:Q84" si="91">+L85+L87</f>
        <v>401225</v>
      </c>
      <c r="M84" s="496">
        <f t="shared" si="91"/>
        <v>401225</v>
      </c>
      <c r="N84" s="496">
        <f t="shared" si="91"/>
        <v>1250903</v>
      </c>
      <c r="O84" s="496">
        <f t="shared" si="91"/>
        <v>907906</v>
      </c>
      <c r="P84" s="496">
        <f t="shared" si="91"/>
        <v>0</v>
      </c>
      <c r="Q84" s="496">
        <f t="shared" si="91"/>
        <v>0</v>
      </c>
      <c r="R84" s="496"/>
      <c r="S84" s="496"/>
      <c r="T84" s="496"/>
      <c r="U84" s="2437" t="s">
        <v>77</v>
      </c>
      <c r="V84" s="2594"/>
    </row>
    <row r="85" spans="1:26" ht="11.25" customHeight="1">
      <c r="A85" s="2429"/>
      <c r="B85" s="555" t="s">
        <v>36</v>
      </c>
      <c r="C85" s="2490" t="s">
        <v>180</v>
      </c>
      <c r="D85" s="519">
        <f>+D86</f>
        <v>350869</v>
      </c>
      <c r="E85" s="519"/>
      <c r="F85" s="519"/>
      <c r="G85" s="519"/>
      <c r="H85" s="519"/>
      <c r="I85" s="519"/>
      <c r="J85" s="519"/>
      <c r="K85" s="519"/>
      <c r="L85" s="519">
        <f t="shared" ref="L85:Q85" si="92">+L86</f>
        <v>54294</v>
      </c>
      <c r="M85" s="519">
        <f t="shared" si="92"/>
        <v>54294</v>
      </c>
      <c r="N85" s="519">
        <f t="shared" si="92"/>
        <v>163831</v>
      </c>
      <c r="O85" s="519">
        <f t="shared" si="92"/>
        <v>132744</v>
      </c>
      <c r="P85" s="519">
        <f t="shared" si="92"/>
        <v>0</v>
      </c>
      <c r="Q85" s="519">
        <f t="shared" si="92"/>
        <v>0</v>
      </c>
      <c r="R85" s="519"/>
      <c r="S85" s="519"/>
      <c r="T85" s="519"/>
      <c r="U85" s="2438"/>
      <c r="V85" s="2594"/>
    </row>
    <row r="86" spans="1:26" ht="11.25" customHeight="1">
      <c r="A86" s="2429"/>
      <c r="B86" s="539" t="s">
        <v>25</v>
      </c>
      <c r="C86" s="2435"/>
      <c r="D86" s="521">
        <f t="shared" ref="D86" si="93">SUM(M86:R86)</f>
        <v>350869</v>
      </c>
      <c r="E86" s="510"/>
      <c r="F86" s="521"/>
      <c r="G86" s="521"/>
      <c r="H86" s="521"/>
      <c r="I86" s="521"/>
      <c r="J86" s="521"/>
      <c r="K86" s="521"/>
      <c r="L86" s="521">
        <f>55101-807</f>
        <v>54294</v>
      </c>
      <c r="M86" s="510">
        <f t="shared" ref="M86" si="94">+L86+K86+J86+I86+E86</f>
        <v>54294</v>
      </c>
      <c r="N86" s="815">
        <f>172654+807-9630</f>
        <v>163831</v>
      </c>
      <c r="O86" s="815">
        <f>123114+9630</f>
        <v>132744</v>
      </c>
      <c r="P86" s="815">
        <v>0</v>
      </c>
      <c r="Q86" s="815">
        <v>0</v>
      </c>
      <c r="R86" s="815"/>
      <c r="S86" s="815"/>
      <c r="T86" s="815"/>
      <c r="U86" s="2438"/>
      <c r="V86" s="2594"/>
    </row>
    <row r="87" spans="1:26" ht="12" customHeight="1">
      <c r="A87" s="2429"/>
      <c r="B87" s="605" t="s">
        <v>30</v>
      </c>
      <c r="C87" s="2494"/>
      <c r="D87" s="513">
        <f>+D88</f>
        <v>2209165</v>
      </c>
      <c r="E87" s="514"/>
      <c r="F87" s="514"/>
      <c r="G87" s="514"/>
      <c r="H87" s="514"/>
      <c r="I87" s="514"/>
      <c r="J87" s="514"/>
      <c r="K87" s="514"/>
      <c r="L87" s="514">
        <f t="shared" ref="L87:Q87" si="95">+L88</f>
        <v>346931</v>
      </c>
      <c r="M87" s="514">
        <f t="shared" si="95"/>
        <v>346931</v>
      </c>
      <c r="N87" s="514">
        <f t="shared" si="95"/>
        <v>1087072</v>
      </c>
      <c r="O87" s="514">
        <f t="shared" si="95"/>
        <v>775162</v>
      </c>
      <c r="P87" s="514">
        <f t="shared" si="95"/>
        <v>0</v>
      </c>
      <c r="Q87" s="514">
        <f t="shared" si="95"/>
        <v>0</v>
      </c>
      <c r="R87" s="514"/>
      <c r="S87" s="514"/>
      <c r="T87" s="514"/>
      <c r="U87" s="2438"/>
      <c r="V87" s="2594"/>
    </row>
    <row r="88" spans="1:26" ht="11.25" customHeight="1" thickBot="1">
      <c r="A88" s="2469"/>
      <c r="B88" s="550" t="s">
        <v>33</v>
      </c>
      <c r="C88" s="2495"/>
      <c r="D88" s="591">
        <f>SUM(M88:R88)</f>
        <v>2209165</v>
      </c>
      <c r="E88" s="546"/>
      <c r="F88" s="547"/>
      <c r="G88" s="546"/>
      <c r="H88" s="546"/>
      <c r="I88" s="546"/>
      <c r="J88" s="546"/>
      <c r="K88" s="546"/>
      <c r="L88" s="546">
        <v>346931</v>
      </c>
      <c r="M88" s="510">
        <f>+L88+K88+J88+I88+E88</f>
        <v>346931</v>
      </c>
      <c r="N88" s="817">
        <v>1087072</v>
      </c>
      <c r="O88" s="817">
        <v>775162</v>
      </c>
      <c r="P88" s="817">
        <v>0</v>
      </c>
      <c r="Q88" s="817">
        <v>0</v>
      </c>
      <c r="R88" s="817"/>
      <c r="S88" s="817"/>
      <c r="T88" s="817"/>
      <c r="U88" s="2438"/>
      <c r="V88" s="2595"/>
    </row>
    <row r="89" spans="1:26" ht="21.75" customHeight="1">
      <c r="A89" s="2428" t="s">
        <v>111</v>
      </c>
      <c r="B89" s="548" t="s">
        <v>181</v>
      </c>
      <c r="C89" s="821" t="s">
        <v>138</v>
      </c>
      <c r="D89" s="529"/>
      <c r="E89" s="531"/>
      <c r="F89" s="530"/>
      <c r="G89" s="531"/>
      <c r="H89" s="531"/>
      <c r="I89" s="489"/>
      <c r="J89" s="489"/>
      <c r="K89" s="489"/>
      <c r="L89" s="489"/>
      <c r="M89" s="491"/>
      <c r="N89" s="491"/>
      <c r="O89" s="491"/>
      <c r="P89" s="491"/>
      <c r="Q89" s="491"/>
      <c r="R89" s="491"/>
      <c r="S89" s="491"/>
      <c r="T89" s="491"/>
      <c r="U89" s="818"/>
      <c r="V89" s="2582" t="s">
        <v>167</v>
      </c>
      <c r="Z89" s="1907"/>
    </row>
    <row r="90" spans="1:26" ht="13.5" customHeight="1">
      <c r="A90" s="2429"/>
      <c r="B90" s="554" t="s">
        <v>22</v>
      </c>
      <c r="C90" s="428"/>
      <c r="D90" s="533">
        <f>+D91+D94</f>
        <v>13021400</v>
      </c>
      <c r="E90" s="534"/>
      <c r="F90" s="534"/>
      <c r="G90" s="534"/>
      <c r="H90" s="534"/>
      <c r="I90" s="534"/>
      <c r="J90" s="534"/>
      <c r="K90" s="534"/>
      <c r="L90" s="534">
        <f t="shared" ref="L90:Q90" si="96">+L91+L94</f>
        <v>0</v>
      </c>
      <c r="M90" s="534">
        <f t="shared" si="96"/>
        <v>0</v>
      </c>
      <c r="N90" s="534">
        <f t="shared" si="96"/>
        <v>7479807</v>
      </c>
      <c r="O90" s="534">
        <f t="shared" si="96"/>
        <v>5541593</v>
      </c>
      <c r="P90" s="534">
        <f t="shared" si="96"/>
        <v>0</v>
      </c>
      <c r="Q90" s="534">
        <f t="shared" si="96"/>
        <v>0</v>
      </c>
      <c r="R90" s="534"/>
      <c r="S90" s="534"/>
      <c r="T90" s="534"/>
      <c r="U90" s="535">
        <f>+U91+U94</f>
        <v>5541593</v>
      </c>
      <c r="V90" s="2583"/>
      <c r="W90" s="1258">
        <f>+O90+P90+Q90+R90</f>
        <v>5541593</v>
      </c>
      <c r="X90" s="1258"/>
      <c r="Y90" s="1258"/>
      <c r="Z90" s="1258"/>
    </row>
    <row r="91" spans="1:26" ht="14.25" customHeight="1">
      <c r="A91" s="2429"/>
      <c r="B91" s="555" t="s">
        <v>36</v>
      </c>
      <c r="C91" s="2433" t="s">
        <v>172</v>
      </c>
      <c r="D91" s="536">
        <f>+D92+D93</f>
        <v>262566</v>
      </c>
      <c r="E91" s="536"/>
      <c r="F91" s="536"/>
      <c r="G91" s="536"/>
      <c r="H91" s="536"/>
      <c r="I91" s="536"/>
      <c r="J91" s="536"/>
      <c r="K91" s="536"/>
      <c r="L91" s="536">
        <f t="shared" ref="L91:Q91" si="97">+L92+L93</f>
        <v>0</v>
      </c>
      <c r="M91" s="536">
        <f t="shared" si="97"/>
        <v>0</v>
      </c>
      <c r="N91" s="536">
        <f t="shared" si="97"/>
        <v>138094</v>
      </c>
      <c r="O91" s="536">
        <f t="shared" si="97"/>
        <v>124472</v>
      </c>
      <c r="P91" s="536">
        <f t="shared" si="97"/>
        <v>0</v>
      </c>
      <c r="Q91" s="536">
        <f t="shared" si="97"/>
        <v>0</v>
      </c>
      <c r="R91" s="536"/>
      <c r="S91" s="536"/>
      <c r="T91" s="536"/>
      <c r="U91" s="557">
        <f>+U92+U93</f>
        <v>124472</v>
      </c>
      <c r="V91" s="2583"/>
    </row>
    <row r="92" spans="1:26" ht="13.5" customHeight="1">
      <c r="A92" s="2429"/>
      <c r="B92" s="539" t="s">
        <v>24</v>
      </c>
      <c r="C92" s="2435"/>
      <c r="D92" s="521">
        <f t="shared" ref="D92" si="98">SUM(M92:R92)</f>
        <v>262566</v>
      </c>
      <c r="E92" s="510"/>
      <c r="F92" s="511"/>
      <c r="G92" s="510"/>
      <c r="H92" s="549"/>
      <c r="I92" s="549"/>
      <c r="J92" s="549"/>
      <c r="K92" s="510"/>
      <c r="L92" s="510"/>
      <c r="M92" s="510">
        <f t="shared" ref="M92" si="99">+L92+K92+J92+I92+E92</f>
        <v>0</v>
      </c>
      <c r="N92" s="510">
        <f>153089-14995</f>
        <v>138094</v>
      </c>
      <c r="O92" s="510">
        <f>126771-2299</f>
        <v>124472</v>
      </c>
      <c r="P92" s="510">
        <v>0</v>
      </c>
      <c r="Q92" s="510">
        <v>0</v>
      </c>
      <c r="R92" s="510"/>
      <c r="S92" s="510"/>
      <c r="T92" s="510"/>
      <c r="U92" s="811">
        <f>SUM(O92:R92)</f>
        <v>124472</v>
      </c>
      <c r="V92" s="2583"/>
    </row>
    <row r="93" spans="1:26" ht="11.25" hidden="1" customHeight="1">
      <c r="A93" s="2429"/>
      <c r="B93" s="539" t="s">
        <v>25</v>
      </c>
      <c r="C93" s="2435"/>
      <c r="D93" s="520">
        <f>SUM(L93:Q93)</f>
        <v>0</v>
      </c>
      <c r="E93" s="510"/>
      <c r="F93" s="516"/>
      <c r="G93" s="508"/>
      <c r="H93" s="542"/>
      <c r="I93" s="542"/>
      <c r="J93" s="542"/>
      <c r="K93" s="508"/>
      <c r="L93" s="508"/>
      <c r="M93" s="508"/>
      <c r="N93" s="508"/>
      <c r="O93" s="508"/>
      <c r="P93" s="508"/>
      <c r="Q93" s="508"/>
      <c r="R93" s="508"/>
      <c r="S93" s="508"/>
      <c r="T93" s="508"/>
      <c r="U93" s="811">
        <f>SUM(O93:R93)</f>
        <v>0</v>
      </c>
      <c r="V93" s="2583"/>
    </row>
    <row r="94" spans="1:26" ht="13.5" customHeight="1">
      <c r="A94" s="2429"/>
      <c r="B94" s="605" t="s">
        <v>30</v>
      </c>
      <c r="C94" s="2435"/>
      <c r="D94" s="513">
        <f>+D95</f>
        <v>12758834</v>
      </c>
      <c r="E94" s="514"/>
      <c r="F94" s="514"/>
      <c r="G94" s="514"/>
      <c r="H94" s="514"/>
      <c r="I94" s="514"/>
      <c r="J94" s="514"/>
      <c r="K94" s="514"/>
      <c r="L94" s="514">
        <f t="shared" ref="L94:Q94" si="100">+L95</f>
        <v>0</v>
      </c>
      <c r="M94" s="514">
        <f t="shared" si="100"/>
        <v>0</v>
      </c>
      <c r="N94" s="514">
        <f t="shared" si="100"/>
        <v>7341713</v>
      </c>
      <c r="O94" s="514">
        <f t="shared" si="100"/>
        <v>5417121</v>
      </c>
      <c r="P94" s="514">
        <f t="shared" si="100"/>
        <v>0</v>
      </c>
      <c r="Q94" s="514">
        <f t="shared" si="100"/>
        <v>0</v>
      </c>
      <c r="R94" s="514"/>
      <c r="S94" s="514"/>
      <c r="T94" s="514"/>
      <c r="U94" s="515">
        <f>+U95</f>
        <v>5417121</v>
      </c>
      <c r="V94" s="2583"/>
    </row>
    <row r="95" spans="1:26" s="1313" customFormat="1" ht="15" customHeight="1">
      <c r="A95" s="2429"/>
      <c r="B95" s="822" t="s">
        <v>33</v>
      </c>
      <c r="C95" s="2435"/>
      <c r="D95" s="521">
        <f t="shared" ref="D95" si="101">SUM(M95:R95)</f>
        <v>12758834</v>
      </c>
      <c r="E95" s="508"/>
      <c r="F95" s="516"/>
      <c r="G95" s="508"/>
      <c r="H95" s="542"/>
      <c r="I95" s="542"/>
      <c r="J95" s="542"/>
      <c r="K95" s="508"/>
      <c r="L95" s="508"/>
      <c r="M95" s="510">
        <f t="shared" ref="M95" si="102">+L95+K95+J95+I95+E95</f>
        <v>0</v>
      </c>
      <c r="N95" s="508">
        <f>8732603-65760-1318882-6248</f>
        <v>7341713</v>
      </c>
      <c r="O95" s="508">
        <f>4026231+65760+1318882+6248</f>
        <v>5417121</v>
      </c>
      <c r="P95" s="510">
        <v>0</v>
      </c>
      <c r="Q95" s="510">
        <v>0</v>
      </c>
      <c r="R95" s="510"/>
      <c r="S95" s="510"/>
      <c r="T95" s="510"/>
      <c r="U95" s="811">
        <f>SUM(O95:R95)</f>
        <v>5417121</v>
      </c>
      <c r="V95" s="2583"/>
    </row>
    <row r="96" spans="1:26" ht="13.5" customHeight="1">
      <c r="A96" s="2429"/>
      <c r="B96" s="561" t="s">
        <v>34</v>
      </c>
      <c r="C96" s="428"/>
      <c r="D96" s="518">
        <f>+D97+D99</f>
        <v>12758834</v>
      </c>
      <c r="E96" s="496"/>
      <c r="F96" s="496"/>
      <c r="G96" s="496"/>
      <c r="H96" s="496"/>
      <c r="I96" s="496"/>
      <c r="J96" s="496"/>
      <c r="K96" s="496"/>
      <c r="L96" s="496">
        <f t="shared" ref="L96:Q96" si="103">+L97+L99</f>
        <v>0</v>
      </c>
      <c r="M96" s="496">
        <f t="shared" si="103"/>
        <v>0</v>
      </c>
      <c r="N96" s="496">
        <f t="shared" si="103"/>
        <v>8666843</v>
      </c>
      <c r="O96" s="496">
        <f t="shared" si="103"/>
        <v>4091991</v>
      </c>
      <c r="P96" s="496">
        <f t="shared" si="103"/>
        <v>0</v>
      </c>
      <c r="Q96" s="496">
        <f t="shared" si="103"/>
        <v>0</v>
      </c>
      <c r="R96" s="496"/>
      <c r="S96" s="496"/>
      <c r="T96" s="496"/>
      <c r="U96" s="2437" t="s">
        <v>77</v>
      </c>
      <c r="V96" s="2594"/>
    </row>
    <row r="97" spans="1:32" ht="13.5" hidden="1" customHeight="1">
      <c r="A97" s="2429"/>
      <c r="B97" s="555" t="s">
        <v>36</v>
      </c>
      <c r="C97" s="2490" t="s">
        <v>180</v>
      </c>
      <c r="D97" s="519">
        <f>+D98</f>
        <v>0</v>
      </c>
      <c r="E97" s="519"/>
      <c r="F97" s="519"/>
      <c r="G97" s="519"/>
      <c r="H97" s="519"/>
      <c r="I97" s="519"/>
      <c r="J97" s="519"/>
      <c r="K97" s="519"/>
      <c r="L97" s="519">
        <f t="shared" ref="L97:Q97" si="104">+L98</f>
        <v>0</v>
      </c>
      <c r="M97" s="519">
        <f t="shared" si="104"/>
        <v>0</v>
      </c>
      <c r="N97" s="519">
        <f t="shared" si="104"/>
        <v>0</v>
      </c>
      <c r="O97" s="519">
        <f t="shared" si="104"/>
        <v>0</v>
      </c>
      <c r="P97" s="519">
        <f t="shared" si="104"/>
        <v>0</v>
      </c>
      <c r="Q97" s="519">
        <f t="shared" si="104"/>
        <v>0</v>
      </c>
      <c r="R97" s="519"/>
      <c r="S97" s="519"/>
      <c r="T97" s="519"/>
      <c r="U97" s="2438"/>
      <c r="V97" s="2594"/>
    </row>
    <row r="98" spans="1:32" ht="11.25" hidden="1" customHeight="1">
      <c r="A98" s="2429"/>
      <c r="B98" s="539" t="s">
        <v>25</v>
      </c>
      <c r="C98" s="2435"/>
      <c r="D98" s="520">
        <f>SUM(L98:Q98)</f>
        <v>0</v>
      </c>
      <c r="E98" s="510"/>
      <c r="F98" s="521"/>
      <c r="G98" s="521"/>
      <c r="H98" s="521"/>
      <c r="I98" s="521"/>
      <c r="J98" s="521"/>
      <c r="K98" s="521"/>
      <c r="L98" s="521"/>
      <c r="M98" s="815"/>
      <c r="N98" s="815"/>
      <c r="O98" s="815"/>
      <c r="P98" s="815"/>
      <c r="Q98" s="815"/>
      <c r="R98" s="815"/>
      <c r="S98" s="815"/>
      <c r="T98" s="815"/>
      <c r="U98" s="2438"/>
      <c r="V98" s="2594"/>
    </row>
    <row r="99" spans="1:32" s="1313" customFormat="1" ht="15" customHeight="1">
      <c r="A99" s="2429"/>
      <c r="B99" s="1214" t="s">
        <v>30</v>
      </c>
      <c r="C99" s="2494"/>
      <c r="D99" s="513">
        <f>+D100</f>
        <v>12758834</v>
      </c>
      <c r="E99" s="514"/>
      <c r="F99" s="514"/>
      <c r="G99" s="514"/>
      <c r="H99" s="514"/>
      <c r="I99" s="514"/>
      <c r="J99" s="514"/>
      <c r="K99" s="514"/>
      <c r="L99" s="514">
        <f t="shared" ref="L99:Q99" si="105">+L100</f>
        <v>0</v>
      </c>
      <c r="M99" s="514">
        <f t="shared" si="105"/>
        <v>0</v>
      </c>
      <c r="N99" s="514">
        <f t="shared" si="105"/>
        <v>8666843</v>
      </c>
      <c r="O99" s="514">
        <f t="shared" si="105"/>
        <v>4091991</v>
      </c>
      <c r="P99" s="514">
        <f t="shared" si="105"/>
        <v>0</v>
      </c>
      <c r="Q99" s="514">
        <f t="shared" si="105"/>
        <v>0</v>
      </c>
      <c r="R99" s="514"/>
      <c r="S99" s="514"/>
      <c r="T99" s="514"/>
      <c r="U99" s="2438"/>
      <c r="V99" s="2594"/>
    </row>
    <row r="100" spans="1:32" ht="13.5" customHeight="1" thickBot="1">
      <c r="A100" s="2469"/>
      <c r="B100" s="550" t="s">
        <v>33</v>
      </c>
      <c r="C100" s="2495"/>
      <c r="D100" s="591">
        <f>SUM(M100:R100)</f>
        <v>12758834</v>
      </c>
      <c r="E100" s="546"/>
      <c r="F100" s="547"/>
      <c r="G100" s="546"/>
      <c r="H100" s="546"/>
      <c r="I100" s="546"/>
      <c r="J100" s="546"/>
      <c r="K100" s="546"/>
      <c r="L100" s="546"/>
      <c r="M100" s="510">
        <f>+L100+K100+J100+I100+E100</f>
        <v>0</v>
      </c>
      <c r="N100" s="817">
        <f>8732603-65760</f>
        <v>8666843</v>
      </c>
      <c r="O100" s="817">
        <f>4026231+65760</f>
        <v>4091991</v>
      </c>
      <c r="P100" s="817">
        <v>0</v>
      </c>
      <c r="Q100" s="817">
        <v>0</v>
      </c>
      <c r="R100" s="817"/>
      <c r="S100" s="817"/>
      <c r="T100" s="817"/>
      <c r="U100" s="2439"/>
      <c r="V100" s="2595"/>
    </row>
    <row r="101" spans="1:32" ht="26.25" customHeight="1">
      <c r="A101" s="2429" t="s">
        <v>112</v>
      </c>
      <c r="B101" s="548" t="s">
        <v>182</v>
      </c>
      <c r="C101" s="821" t="s">
        <v>138</v>
      </c>
      <c r="D101" s="578"/>
      <c r="E101" s="580"/>
      <c r="F101" s="579"/>
      <c r="G101" s="580"/>
      <c r="H101" s="580"/>
      <c r="I101" s="581"/>
      <c r="J101" s="581"/>
      <c r="K101" s="581"/>
      <c r="L101" s="581"/>
      <c r="M101" s="582"/>
      <c r="N101" s="582"/>
      <c r="O101" s="582"/>
      <c r="P101" s="582"/>
      <c r="Q101" s="582"/>
      <c r="R101" s="582"/>
      <c r="S101" s="582"/>
      <c r="T101" s="582"/>
      <c r="U101" s="809"/>
      <c r="V101" s="2583" t="s">
        <v>167</v>
      </c>
      <c r="W101" s="1258"/>
      <c r="X101" s="1258"/>
      <c r="Y101" s="1258"/>
      <c r="Z101" s="1258"/>
      <c r="AA101" s="1258"/>
      <c r="AB101" s="1258"/>
      <c r="AC101" s="1258"/>
      <c r="AD101" s="1258"/>
      <c r="AE101" s="1258"/>
      <c r="AF101" s="1258"/>
    </row>
    <row r="102" spans="1:32" ht="13.5" customHeight="1">
      <c r="A102" s="2429"/>
      <c r="B102" s="554" t="s">
        <v>22</v>
      </c>
      <c r="C102" s="428"/>
      <c r="D102" s="533">
        <f t="shared" ref="D102:L102" si="106">+D103+D106</f>
        <v>5884887</v>
      </c>
      <c r="E102" s="534">
        <f>+E103+E106</f>
        <v>1344681</v>
      </c>
      <c r="F102" s="534">
        <f t="shared" si="106"/>
        <v>0</v>
      </c>
      <c r="G102" s="534">
        <f t="shared" si="106"/>
        <v>199618</v>
      </c>
      <c r="H102" s="534">
        <f t="shared" si="106"/>
        <v>1145063</v>
      </c>
      <c r="I102" s="534">
        <f t="shared" si="106"/>
        <v>1168875</v>
      </c>
      <c r="J102" s="534">
        <f t="shared" si="106"/>
        <v>921659</v>
      </c>
      <c r="K102" s="534">
        <f t="shared" si="106"/>
        <v>914517</v>
      </c>
      <c r="L102" s="534">
        <f t="shared" si="106"/>
        <v>917419</v>
      </c>
      <c r="M102" s="534">
        <f t="shared" ref="M102" si="107">+M103+M106</f>
        <v>5267151</v>
      </c>
      <c r="N102" s="534">
        <f>+N103+N106</f>
        <v>617736</v>
      </c>
      <c r="O102" s="534">
        <f>+O103+O106</f>
        <v>0</v>
      </c>
      <c r="P102" s="534">
        <f>+P103+P106</f>
        <v>0</v>
      </c>
      <c r="Q102" s="534"/>
      <c r="R102" s="534"/>
      <c r="S102" s="534"/>
      <c r="T102" s="534"/>
      <c r="U102" s="535">
        <f>+U103+U106</f>
        <v>0</v>
      </c>
      <c r="V102" s="2583"/>
      <c r="W102" s="1258">
        <f>+O102+P102+Q102+R102</f>
        <v>0</v>
      </c>
    </row>
    <row r="103" spans="1:32" ht="12.75" customHeight="1">
      <c r="A103" s="2429"/>
      <c r="B103" s="555" t="s">
        <v>36</v>
      </c>
      <c r="C103" s="2433" t="s">
        <v>183</v>
      </c>
      <c r="D103" s="536">
        <f t="shared" ref="D103:L103" si="108">+D104+D105</f>
        <v>882735</v>
      </c>
      <c r="E103" s="536">
        <f t="shared" si="108"/>
        <v>201703</v>
      </c>
      <c r="F103" s="536">
        <f t="shared" si="108"/>
        <v>0</v>
      </c>
      <c r="G103" s="536">
        <f t="shared" si="108"/>
        <v>29943</v>
      </c>
      <c r="H103" s="536">
        <f t="shared" si="108"/>
        <v>171760</v>
      </c>
      <c r="I103" s="536">
        <f t="shared" si="108"/>
        <v>175332</v>
      </c>
      <c r="J103" s="536">
        <f t="shared" si="108"/>
        <v>138249</v>
      </c>
      <c r="K103" s="536">
        <f t="shared" si="108"/>
        <v>137178</v>
      </c>
      <c r="L103" s="536">
        <f t="shared" si="108"/>
        <v>137613</v>
      </c>
      <c r="M103" s="536">
        <f t="shared" ref="M103" si="109">+M104+M105</f>
        <v>790075</v>
      </c>
      <c r="N103" s="536">
        <f>+N104+N105</f>
        <v>92660</v>
      </c>
      <c r="O103" s="536">
        <f>+O104+O105</f>
        <v>0</v>
      </c>
      <c r="P103" s="536">
        <f>+P104+P105</f>
        <v>0</v>
      </c>
      <c r="Q103" s="536"/>
      <c r="R103" s="536"/>
      <c r="S103" s="536"/>
      <c r="T103" s="536"/>
      <c r="U103" s="557">
        <f>+U104+U105</f>
        <v>0</v>
      </c>
      <c r="V103" s="2583"/>
    </row>
    <row r="104" spans="1:32" ht="13.5" hidden="1" customHeight="1">
      <c r="A104" s="2429"/>
      <c r="B104" s="539" t="s">
        <v>24</v>
      </c>
      <c r="C104" s="2435"/>
      <c r="D104" s="520">
        <f>+E104+I104+J104+K104+L104</f>
        <v>0</v>
      </c>
      <c r="E104" s="510">
        <f>+F104+G104+H104</f>
        <v>0</v>
      </c>
      <c r="F104" s="511">
        <v>0</v>
      </c>
      <c r="G104" s="510"/>
      <c r="H104" s="549"/>
      <c r="I104" s="549"/>
      <c r="J104" s="549"/>
      <c r="K104" s="510">
        <v>0</v>
      </c>
      <c r="L104" s="510">
        <v>0</v>
      </c>
      <c r="M104" s="510"/>
      <c r="N104" s="510"/>
      <c r="O104" s="599"/>
      <c r="P104" s="599"/>
      <c r="Q104" s="599"/>
      <c r="R104" s="599"/>
      <c r="S104" s="599"/>
      <c r="T104" s="599"/>
      <c r="U104" s="823"/>
      <c r="V104" s="2583"/>
    </row>
    <row r="105" spans="1:32" ht="13.5" customHeight="1">
      <c r="A105" s="2429"/>
      <c r="B105" s="539" t="s">
        <v>25</v>
      </c>
      <c r="C105" s="2435"/>
      <c r="D105" s="521">
        <f t="shared" ref="D105" si="110">SUM(M105:R105)</f>
        <v>882735</v>
      </c>
      <c r="E105" s="510">
        <f>+F105+G105+H105</f>
        <v>201703</v>
      </c>
      <c r="F105" s="516"/>
      <c r="G105" s="508">
        <v>29943</v>
      </c>
      <c r="H105" s="542">
        <v>171760</v>
      </c>
      <c r="I105" s="542">
        <f>178200-2868</f>
        <v>175332</v>
      </c>
      <c r="J105" s="542">
        <f>178500-34950-5301</f>
        <v>138249</v>
      </c>
      <c r="K105" s="508">
        <v>137178</v>
      </c>
      <c r="L105" s="508">
        <f>179000-35450-5937</f>
        <v>137613</v>
      </c>
      <c r="M105" s="510">
        <f t="shared" ref="M105" si="111">+L105+K105+J105+I105+E105</f>
        <v>790075</v>
      </c>
      <c r="N105" s="508">
        <f>95643-2983</f>
        <v>92660</v>
      </c>
      <c r="O105" s="508">
        <v>0</v>
      </c>
      <c r="P105" s="508">
        <v>0</v>
      </c>
      <c r="Q105" s="508"/>
      <c r="R105" s="508"/>
      <c r="S105" s="508"/>
      <c r="T105" s="508"/>
      <c r="U105" s="811">
        <f>SUM(O105:R105)</f>
        <v>0</v>
      </c>
      <c r="V105" s="2583"/>
    </row>
    <row r="106" spans="1:32" ht="12.75" customHeight="1">
      <c r="A106" s="2429"/>
      <c r="B106" s="605" t="s">
        <v>30</v>
      </c>
      <c r="C106" s="2435"/>
      <c r="D106" s="513">
        <f>+D107</f>
        <v>5002152</v>
      </c>
      <c r="E106" s="514">
        <f t="shared" ref="E106:U106" si="112">+E107</f>
        <v>1142978</v>
      </c>
      <c r="F106" s="514">
        <f t="shared" si="112"/>
        <v>0</v>
      </c>
      <c r="G106" s="514">
        <f t="shared" si="112"/>
        <v>169675</v>
      </c>
      <c r="H106" s="514">
        <f t="shared" si="112"/>
        <v>973303</v>
      </c>
      <c r="I106" s="514">
        <f t="shared" si="112"/>
        <v>993543</v>
      </c>
      <c r="J106" s="514">
        <f t="shared" si="112"/>
        <v>783410</v>
      </c>
      <c r="K106" s="514">
        <f t="shared" si="112"/>
        <v>777339</v>
      </c>
      <c r="L106" s="514">
        <f t="shared" si="112"/>
        <v>779806</v>
      </c>
      <c r="M106" s="514">
        <f t="shared" si="112"/>
        <v>4477076</v>
      </c>
      <c r="N106" s="514">
        <f t="shared" si="112"/>
        <v>525076</v>
      </c>
      <c r="O106" s="514">
        <f t="shared" si="112"/>
        <v>0</v>
      </c>
      <c r="P106" s="514">
        <f t="shared" si="112"/>
        <v>0</v>
      </c>
      <c r="Q106" s="514"/>
      <c r="R106" s="514"/>
      <c r="S106" s="514"/>
      <c r="T106" s="514"/>
      <c r="U106" s="515">
        <f t="shared" si="112"/>
        <v>0</v>
      </c>
      <c r="V106" s="2583"/>
    </row>
    <row r="107" spans="1:32" ht="12" customHeight="1">
      <c r="A107" s="2429"/>
      <c r="B107" s="544" t="s">
        <v>33</v>
      </c>
      <c r="C107" s="2435"/>
      <c r="D107" s="521">
        <f t="shared" ref="D107" si="113">SUM(M107:R107)</f>
        <v>5002152</v>
      </c>
      <c r="E107" s="508">
        <f>+F107+G107+H107</f>
        <v>1142978</v>
      </c>
      <c r="F107" s="516">
        <v>0</v>
      </c>
      <c r="G107" s="508">
        <v>169675</v>
      </c>
      <c r="H107" s="542">
        <v>973303</v>
      </c>
      <c r="I107" s="542">
        <f>1009800-16257</f>
        <v>993543</v>
      </c>
      <c r="J107" s="542">
        <f>813450-30040</f>
        <v>783410</v>
      </c>
      <c r="K107" s="508">
        <v>777339</v>
      </c>
      <c r="L107" s="508">
        <f>813450-33644</f>
        <v>779806</v>
      </c>
      <c r="M107" s="510">
        <f t="shared" ref="M107" si="114">+L107+K107+J107+I107+E107</f>
        <v>4477076</v>
      </c>
      <c r="N107" s="508">
        <f>541977-4-16897</f>
        <v>525076</v>
      </c>
      <c r="O107" s="508">
        <v>0</v>
      </c>
      <c r="P107" s="510">
        <v>0</v>
      </c>
      <c r="Q107" s="510"/>
      <c r="R107" s="510"/>
      <c r="S107" s="510"/>
      <c r="T107" s="510"/>
      <c r="U107" s="811">
        <f>SUM(O107:R107)</f>
        <v>0</v>
      </c>
      <c r="V107" s="2583"/>
    </row>
    <row r="108" spans="1:32" ht="10.5" customHeight="1">
      <c r="A108" s="2429"/>
      <c r="B108" s="561" t="s">
        <v>34</v>
      </c>
      <c r="C108" s="428"/>
      <c r="D108" s="518">
        <f t="shared" ref="D108:L108" si="115">+D109+D111</f>
        <v>5884887</v>
      </c>
      <c r="E108" s="496">
        <f t="shared" si="115"/>
        <v>1344681</v>
      </c>
      <c r="F108" s="496">
        <f t="shared" si="115"/>
        <v>0</v>
      </c>
      <c r="G108" s="496">
        <f t="shared" si="115"/>
        <v>199618</v>
      </c>
      <c r="H108" s="496">
        <f t="shared" si="115"/>
        <v>1145063</v>
      </c>
      <c r="I108" s="496">
        <f t="shared" si="115"/>
        <v>1168875</v>
      </c>
      <c r="J108" s="496">
        <f t="shared" si="115"/>
        <v>921659</v>
      </c>
      <c r="K108" s="496">
        <f t="shared" si="115"/>
        <v>914517</v>
      </c>
      <c r="L108" s="496">
        <f t="shared" si="115"/>
        <v>917419</v>
      </c>
      <c r="M108" s="496">
        <f t="shared" ref="M108" si="116">+M109+M111</f>
        <v>5267151</v>
      </c>
      <c r="N108" s="496">
        <f>+N109+N111</f>
        <v>617736</v>
      </c>
      <c r="O108" s="496">
        <f>+O109+O111</f>
        <v>0</v>
      </c>
      <c r="P108" s="496">
        <f>+P109+P111</f>
        <v>0</v>
      </c>
      <c r="Q108" s="496"/>
      <c r="R108" s="496"/>
      <c r="S108" s="496"/>
      <c r="T108" s="496"/>
      <c r="U108" s="2437" t="s">
        <v>77</v>
      </c>
      <c r="V108" s="2583"/>
    </row>
    <row r="109" spans="1:32" ht="13.5" customHeight="1">
      <c r="A109" s="2429"/>
      <c r="B109" s="555" t="s">
        <v>36</v>
      </c>
      <c r="C109" s="2490" t="s">
        <v>183</v>
      </c>
      <c r="D109" s="519">
        <f t="shared" ref="D109:P109" si="117">+D110</f>
        <v>882735</v>
      </c>
      <c r="E109" s="519">
        <f t="shared" si="117"/>
        <v>201703</v>
      </c>
      <c r="F109" s="519">
        <f t="shared" si="117"/>
        <v>0</v>
      </c>
      <c r="G109" s="519">
        <f t="shared" si="117"/>
        <v>29943</v>
      </c>
      <c r="H109" s="519">
        <f t="shared" si="117"/>
        <v>171760</v>
      </c>
      <c r="I109" s="519">
        <f t="shared" si="117"/>
        <v>175332</v>
      </c>
      <c r="J109" s="519">
        <f t="shared" si="117"/>
        <v>138249</v>
      </c>
      <c r="K109" s="519">
        <f t="shared" si="117"/>
        <v>137178</v>
      </c>
      <c r="L109" s="519">
        <f t="shared" si="117"/>
        <v>137613</v>
      </c>
      <c r="M109" s="519">
        <f t="shared" si="117"/>
        <v>790075</v>
      </c>
      <c r="N109" s="519">
        <f t="shared" si="117"/>
        <v>92660</v>
      </c>
      <c r="O109" s="519">
        <f t="shared" si="117"/>
        <v>0</v>
      </c>
      <c r="P109" s="519">
        <f t="shared" si="117"/>
        <v>0</v>
      </c>
      <c r="Q109" s="519"/>
      <c r="R109" s="519"/>
      <c r="S109" s="519"/>
      <c r="T109" s="519"/>
      <c r="U109" s="2438"/>
      <c r="V109" s="2583"/>
    </row>
    <row r="110" spans="1:32" ht="11.25" customHeight="1">
      <c r="A110" s="2429"/>
      <c r="B110" s="539" t="s">
        <v>25</v>
      </c>
      <c r="C110" s="2435"/>
      <c r="D110" s="521">
        <f t="shared" ref="D110" si="118">SUM(M110:R110)</f>
        <v>882735</v>
      </c>
      <c r="E110" s="510">
        <f>+F110+G110+H110</f>
        <v>201703</v>
      </c>
      <c r="F110" s="521"/>
      <c r="G110" s="521">
        <v>29943</v>
      </c>
      <c r="H110" s="521">
        <v>171760</v>
      </c>
      <c r="I110" s="521">
        <f>178200-2868</f>
        <v>175332</v>
      </c>
      <c r="J110" s="521">
        <f>178500-34950-5301</f>
        <v>138249</v>
      </c>
      <c r="K110" s="521">
        <v>137178</v>
      </c>
      <c r="L110" s="521">
        <f>143550-5937</f>
        <v>137613</v>
      </c>
      <c r="M110" s="510">
        <f t="shared" ref="M110" si="119">+L110+K110+J110+I110+E110</f>
        <v>790075</v>
      </c>
      <c r="N110" s="521">
        <f>95643-2983</f>
        <v>92660</v>
      </c>
      <c r="O110" s="815">
        <v>0</v>
      </c>
      <c r="P110" s="815">
        <v>0</v>
      </c>
      <c r="Q110" s="815"/>
      <c r="R110" s="815"/>
      <c r="S110" s="815"/>
      <c r="T110" s="815"/>
      <c r="U110" s="2438"/>
      <c r="V110" s="2583"/>
    </row>
    <row r="111" spans="1:32" ht="12" customHeight="1">
      <c r="A111" s="2429"/>
      <c r="B111" s="605" t="s">
        <v>30</v>
      </c>
      <c r="C111" s="2494"/>
      <c r="D111" s="513">
        <f t="shared" ref="D111:P111" si="120">+D112</f>
        <v>5002152</v>
      </c>
      <c r="E111" s="514">
        <f t="shared" si="120"/>
        <v>1142978</v>
      </c>
      <c r="F111" s="514">
        <f t="shared" si="120"/>
        <v>0</v>
      </c>
      <c r="G111" s="514">
        <f t="shared" si="120"/>
        <v>169675</v>
      </c>
      <c r="H111" s="514">
        <f t="shared" si="120"/>
        <v>973303</v>
      </c>
      <c r="I111" s="514">
        <f t="shared" si="120"/>
        <v>993543</v>
      </c>
      <c r="J111" s="514">
        <f t="shared" si="120"/>
        <v>783410</v>
      </c>
      <c r="K111" s="514">
        <f t="shared" si="120"/>
        <v>777339</v>
      </c>
      <c r="L111" s="514">
        <f t="shared" si="120"/>
        <v>779806</v>
      </c>
      <c r="M111" s="514">
        <f t="shared" si="120"/>
        <v>4477076</v>
      </c>
      <c r="N111" s="514">
        <f t="shared" si="120"/>
        <v>525076</v>
      </c>
      <c r="O111" s="514">
        <f t="shared" si="120"/>
        <v>0</v>
      </c>
      <c r="P111" s="514">
        <f t="shared" si="120"/>
        <v>0</v>
      </c>
      <c r="Q111" s="514"/>
      <c r="R111" s="514"/>
      <c r="S111" s="514"/>
      <c r="T111" s="514"/>
      <c r="U111" s="2438"/>
      <c r="V111" s="2583"/>
    </row>
    <row r="112" spans="1:32" ht="12.75" customHeight="1" thickBot="1">
      <c r="A112" s="2469"/>
      <c r="B112" s="2094" t="s">
        <v>33</v>
      </c>
      <c r="C112" s="2495"/>
      <c r="D112" s="591">
        <f>SUM(M112:R112)</f>
        <v>5002152</v>
      </c>
      <c r="E112" s="546">
        <f>+F112+G112+H112</f>
        <v>1142978</v>
      </c>
      <c r="F112" s="547"/>
      <c r="G112" s="546">
        <v>169675</v>
      </c>
      <c r="H112" s="546">
        <v>973303</v>
      </c>
      <c r="I112" s="546">
        <f>1009800-16257</f>
        <v>993543</v>
      </c>
      <c r="J112" s="546">
        <f>813450-30040</f>
        <v>783410</v>
      </c>
      <c r="K112" s="546">
        <v>777339</v>
      </c>
      <c r="L112" s="546">
        <f>813450-33644</f>
        <v>779806</v>
      </c>
      <c r="M112" s="510">
        <f>+L112+K112+J112+I112+E112</f>
        <v>4477076</v>
      </c>
      <c r="N112" s="546">
        <f>541977-4-16897</f>
        <v>525076</v>
      </c>
      <c r="O112" s="817">
        <v>0</v>
      </c>
      <c r="P112" s="817">
        <v>0</v>
      </c>
      <c r="Q112" s="817"/>
      <c r="R112" s="817"/>
      <c r="S112" s="817"/>
      <c r="T112" s="817"/>
      <c r="U112" s="2439"/>
      <c r="V112" s="2611"/>
    </row>
    <row r="113" spans="1:24" ht="17.25" customHeight="1">
      <c r="A113" s="2428" t="s">
        <v>114</v>
      </c>
      <c r="B113" s="548" t="s">
        <v>184</v>
      </c>
      <c r="C113" s="528" t="s">
        <v>138</v>
      </c>
      <c r="D113" s="529"/>
      <c r="E113" s="531"/>
      <c r="F113" s="530"/>
      <c r="G113" s="531"/>
      <c r="H113" s="531"/>
      <c r="I113" s="489"/>
      <c r="J113" s="489"/>
      <c r="K113" s="489"/>
      <c r="L113" s="489"/>
      <c r="M113" s="491"/>
      <c r="N113" s="491"/>
      <c r="O113" s="491"/>
      <c r="P113" s="491"/>
      <c r="Q113" s="491"/>
      <c r="R113" s="491"/>
      <c r="S113" s="582"/>
      <c r="T113" s="582"/>
      <c r="U113" s="809"/>
      <c r="V113" s="2582" t="s">
        <v>167</v>
      </c>
      <c r="W113" s="1258"/>
      <c r="X113" s="1258"/>
    </row>
    <row r="114" spans="1:24" ht="12" customHeight="1">
      <c r="A114" s="2429"/>
      <c r="B114" s="554" t="s">
        <v>22</v>
      </c>
      <c r="C114" s="428"/>
      <c r="D114" s="533">
        <f t="shared" ref="D114:L114" si="121">+D115+D118</f>
        <v>65028916</v>
      </c>
      <c r="E114" s="534">
        <f t="shared" si="121"/>
        <v>10959072</v>
      </c>
      <c r="F114" s="534">
        <f t="shared" si="121"/>
        <v>323328</v>
      </c>
      <c r="G114" s="534">
        <f t="shared" si="121"/>
        <v>4209823</v>
      </c>
      <c r="H114" s="534">
        <f t="shared" si="121"/>
        <v>6425921</v>
      </c>
      <c r="I114" s="534">
        <f t="shared" si="121"/>
        <v>7739328</v>
      </c>
      <c r="J114" s="534">
        <f t="shared" si="121"/>
        <v>8524529</v>
      </c>
      <c r="K114" s="534">
        <f t="shared" si="121"/>
        <v>8426857</v>
      </c>
      <c r="L114" s="534">
        <f t="shared" si="121"/>
        <v>9915447</v>
      </c>
      <c r="M114" s="534">
        <f t="shared" ref="M114" si="122">+M115+M118</f>
        <v>45565233</v>
      </c>
      <c r="N114" s="534">
        <f>+N115+N118</f>
        <v>9611236</v>
      </c>
      <c r="O114" s="534">
        <f>+O115+O118</f>
        <v>9852447</v>
      </c>
      <c r="P114" s="534">
        <f>+P115+P118</f>
        <v>0</v>
      </c>
      <c r="Q114" s="534"/>
      <c r="R114" s="534"/>
      <c r="S114" s="534"/>
      <c r="T114" s="534"/>
      <c r="U114" s="535">
        <f>+U115+U118</f>
        <v>9852447</v>
      </c>
      <c r="V114" s="2583"/>
      <c r="W114" s="1258">
        <f>+O114+P114+Q114+R114</f>
        <v>9852447</v>
      </c>
    </row>
    <row r="115" spans="1:24" ht="13.5" customHeight="1">
      <c r="A115" s="2429"/>
      <c r="B115" s="555" t="s">
        <v>36</v>
      </c>
      <c r="C115" s="2433" t="s">
        <v>183</v>
      </c>
      <c r="D115" s="536">
        <f t="shared" ref="D115:L115" si="123">+D116+D117</f>
        <v>9754334</v>
      </c>
      <c r="E115" s="536">
        <f t="shared" si="123"/>
        <v>1643859</v>
      </c>
      <c r="F115" s="536">
        <f t="shared" si="123"/>
        <v>48498</v>
      </c>
      <c r="G115" s="536">
        <f t="shared" si="123"/>
        <v>631473</v>
      </c>
      <c r="H115" s="536">
        <f t="shared" si="123"/>
        <v>963888</v>
      </c>
      <c r="I115" s="536">
        <f t="shared" si="123"/>
        <v>1160899</v>
      </c>
      <c r="J115" s="536">
        <f t="shared" si="123"/>
        <v>1278679</v>
      </c>
      <c r="K115" s="536">
        <f t="shared" si="123"/>
        <v>1264029</v>
      </c>
      <c r="L115" s="536">
        <f t="shared" si="123"/>
        <v>1487316</v>
      </c>
      <c r="M115" s="536">
        <f t="shared" ref="M115" si="124">+M116+M117</f>
        <v>6834782</v>
      </c>
      <c r="N115" s="536">
        <f>+N116+N117</f>
        <v>1441685</v>
      </c>
      <c r="O115" s="536">
        <f>+O116+O117</f>
        <v>1477867</v>
      </c>
      <c r="P115" s="536">
        <f>+P116+P117</f>
        <v>0</v>
      </c>
      <c r="Q115" s="536"/>
      <c r="R115" s="536"/>
      <c r="S115" s="536"/>
      <c r="T115" s="536"/>
      <c r="U115" s="557">
        <f>+U116+U117</f>
        <v>1477867</v>
      </c>
      <c r="V115" s="2583"/>
    </row>
    <row r="116" spans="1:24" ht="11.25" customHeight="1">
      <c r="A116" s="2429"/>
      <c r="B116" s="539" t="s">
        <v>24</v>
      </c>
      <c r="C116" s="2435"/>
      <c r="D116" s="521">
        <f t="shared" ref="D116:D117" si="125">SUM(M116:R116)</f>
        <v>9740756</v>
      </c>
      <c r="E116" s="510">
        <f>+F116+G116+H116</f>
        <v>1643859</v>
      </c>
      <c r="F116" s="511">
        <f>50367-1869</f>
        <v>48498</v>
      </c>
      <c r="G116" s="510">
        <f>644261-12788</f>
        <v>631473</v>
      </c>
      <c r="H116" s="549">
        <f>974729-10841</f>
        <v>963888</v>
      </c>
      <c r="I116" s="549">
        <f>1316833+2248-159626-I128</f>
        <v>1157208</v>
      </c>
      <c r="J116" s="549">
        <f>1616568+7500-219886-129493-5897</f>
        <v>1268792</v>
      </c>
      <c r="K116" s="510">
        <v>1264029</v>
      </c>
      <c r="L116" s="510">
        <f>1273333+86823+116117-7941+104910-85926</f>
        <v>1487316</v>
      </c>
      <c r="M116" s="510">
        <f t="shared" ref="M116:M117" si="126">+L116+K116+J116+I116+E116</f>
        <v>6821204</v>
      </c>
      <c r="N116" s="549">
        <f>1360063+111353+199764-158823-70672</f>
        <v>1441685</v>
      </c>
      <c r="O116" s="510">
        <f>1360236-134648+252279</f>
        <v>1477867</v>
      </c>
      <c r="P116" s="510">
        <v>0</v>
      </c>
      <c r="Q116" s="510"/>
      <c r="R116" s="510"/>
      <c r="S116" s="510"/>
      <c r="T116" s="510"/>
      <c r="U116" s="811">
        <f>SUM(O116:R116)</f>
        <v>1477867</v>
      </c>
      <c r="V116" s="2583"/>
    </row>
    <row r="117" spans="1:24" ht="11.25" customHeight="1">
      <c r="A117" s="2429"/>
      <c r="B117" s="539" t="s">
        <v>25</v>
      </c>
      <c r="C117" s="2435"/>
      <c r="D117" s="521">
        <f t="shared" si="125"/>
        <v>13578</v>
      </c>
      <c r="E117" s="510">
        <f>+F117+G117+H117</f>
        <v>0</v>
      </c>
      <c r="F117" s="516"/>
      <c r="G117" s="508">
        <v>0</v>
      </c>
      <c r="H117" s="542"/>
      <c r="I117" s="542">
        <f>10500-6809</f>
        <v>3691</v>
      </c>
      <c r="J117" s="542">
        <f>13500-3613</f>
        <v>9887</v>
      </c>
      <c r="K117" s="508">
        <v>0</v>
      </c>
      <c r="L117" s="508">
        <v>0</v>
      </c>
      <c r="M117" s="510">
        <f t="shared" si="126"/>
        <v>13578</v>
      </c>
      <c r="N117" s="508">
        <v>0</v>
      </c>
      <c r="O117" s="508">
        <v>0</v>
      </c>
      <c r="P117" s="508">
        <v>0</v>
      </c>
      <c r="Q117" s="508"/>
      <c r="R117" s="508"/>
      <c r="S117" s="508"/>
      <c r="T117" s="508"/>
      <c r="U117" s="811">
        <f>SUM(N117:Q117)</f>
        <v>0</v>
      </c>
      <c r="V117" s="2583"/>
      <c r="W117" s="1258"/>
    </row>
    <row r="118" spans="1:24" ht="12.75" customHeight="1">
      <c r="A118" s="2429"/>
      <c r="B118" s="605" t="s">
        <v>30</v>
      </c>
      <c r="C118" s="2435"/>
      <c r="D118" s="513">
        <f>+D119</f>
        <v>55274582</v>
      </c>
      <c r="E118" s="514">
        <f t="shared" ref="E118:U118" si="127">+E119</f>
        <v>9315213</v>
      </c>
      <c r="F118" s="514">
        <f t="shared" si="127"/>
        <v>274830</v>
      </c>
      <c r="G118" s="514">
        <f t="shared" si="127"/>
        <v>3578350</v>
      </c>
      <c r="H118" s="514">
        <f t="shared" si="127"/>
        <v>5462033</v>
      </c>
      <c r="I118" s="514">
        <f t="shared" si="127"/>
        <v>6578429</v>
      </c>
      <c r="J118" s="514">
        <f t="shared" si="127"/>
        <v>7245850</v>
      </c>
      <c r="K118" s="514">
        <f t="shared" si="127"/>
        <v>7162828</v>
      </c>
      <c r="L118" s="514">
        <f t="shared" si="127"/>
        <v>8428131</v>
      </c>
      <c r="M118" s="514">
        <f t="shared" si="127"/>
        <v>38730451</v>
      </c>
      <c r="N118" s="514">
        <f t="shared" si="127"/>
        <v>8169551</v>
      </c>
      <c r="O118" s="514">
        <f t="shared" si="127"/>
        <v>8374580</v>
      </c>
      <c r="P118" s="514">
        <f t="shared" si="127"/>
        <v>0</v>
      </c>
      <c r="Q118" s="514"/>
      <c r="R118" s="514"/>
      <c r="S118" s="514"/>
      <c r="T118" s="514"/>
      <c r="U118" s="515">
        <f t="shared" si="127"/>
        <v>8374580</v>
      </c>
      <c r="V118" s="2583"/>
    </row>
    <row r="119" spans="1:24" ht="12.75" customHeight="1">
      <c r="A119" s="2429"/>
      <c r="B119" s="544" t="s">
        <v>33</v>
      </c>
      <c r="C119" s="2435"/>
      <c r="D119" s="521">
        <f t="shared" ref="D119" si="128">SUM(M119:R119)</f>
        <v>55274582</v>
      </c>
      <c r="E119" s="508">
        <f>+F119+G119+H119</f>
        <v>9315213</v>
      </c>
      <c r="F119" s="516">
        <f>285418-10588</f>
        <v>274830</v>
      </c>
      <c r="G119" s="508">
        <f>3650816-72466</f>
        <v>3578350</v>
      </c>
      <c r="H119" s="542">
        <f>5523465-61432</f>
        <v>5462033</v>
      </c>
      <c r="I119" s="542">
        <f>7521546+12735-943118-I131</f>
        <v>6578429</v>
      </c>
      <c r="J119" s="542">
        <f>9237050+42500-1246020-754266-33414</f>
        <v>7245850</v>
      </c>
      <c r="K119" s="508">
        <v>7162828</v>
      </c>
      <c r="L119" s="508">
        <f>7215550+492000+658000-45000+594490-486909</f>
        <v>8428131</v>
      </c>
      <c r="M119" s="510">
        <f t="shared" ref="M119" si="129">+L119+K119+J119+I119+E119</f>
        <v>38730451</v>
      </c>
      <c r="N119" s="508">
        <f>7707023+631000+1132000-899996-400476</f>
        <v>8169551</v>
      </c>
      <c r="O119" s="508">
        <f>7708000-763000+1429580</f>
        <v>8374580</v>
      </c>
      <c r="P119" s="510">
        <v>0</v>
      </c>
      <c r="Q119" s="510"/>
      <c r="R119" s="510"/>
      <c r="S119" s="510"/>
      <c r="T119" s="510"/>
      <c r="U119" s="811">
        <f>SUM(O119:R119)</f>
        <v>8374580</v>
      </c>
      <c r="V119" s="2583"/>
    </row>
    <row r="120" spans="1:24" ht="11.25" customHeight="1">
      <c r="A120" s="2429"/>
      <c r="B120" s="561" t="s">
        <v>34</v>
      </c>
      <c r="C120" s="428"/>
      <c r="D120" s="518">
        <f t="shared" ref="D120:L120" si="130">+D121+D123</f>
        <v>55288160</v>
      </c>
      <c r="E120" s="496">
        <f t="shared" si="130"/>
        <v>9315213</v>
      </c>
      <c r="F120" s="496">
        <f t="shared" si="130"/>
        <v>274830</v>
      </c>
      <c r="G120" s="496">
        <f t="shared" si="130"/>
        <v>3578350</v>
      </c>
      <c r="H120" s="496">
        <f t="shared" si="130"/>
        <v>5462033</v>
      </c>
      <c r="I120" s="496">
        <f t="shared" si="130"/>
        <v>6582120</v>
      </c>
      <c r="J120" s="496">
        <f t="shared" si="130"/>
        <v>7255737</v>
      </c>
      <c r="K120" s="496">
        <f t="shared" si="130"/>
        <v>7162828</v>
      </c>
      <c r="L120" s="496">
        <f t="shared" si="130"/>
        <v>8428131</v>
      </c>
      <c r="M120" s="496">
        <f t="shared" ref="M120" si="131">+M121+M123</f>
        <v>38744029</v>
      </c>
      <c r="N120" s="496">
        <f>+N121+N123</f>
        <v>8169551</v>
      </c>
      <c r="O120" s="496">
        <f>+O121+O123</f>
        <v>8374580</v>
      </c>
      <c r="P120" s="496">
        <f>+P121+P123</f>
        <v>0</v>
      </c>
      <c r="Q120" s="496"/>
      <c r="R120" s="496"/>
      <c r="S120" s="496"/>
      <c r="T120" s="496"/>
      <c r="U120" s="2499" t="s">
        <v>77</v>
      </c>
      <c r="V120" s="2584"/>
    </row>
    <row r="121" spans="1:24" ht="12.75" customHeight="1">
      <c r="A121" s="2429"/>
      <c r="B121" s="555" t="s">
        <v>36</v>
      </c>
      <c r="C121" s="2490" t="s">
        <v>183</v>
      </c>
      <c r="D121" s="519">
        <f t="shared" ref="D121:P121" si="132">+D122</f>
        <v>13578</v>
      </c>
      <c r="E121" s="519">
        <f t="shared" si="132"/>
        <v>0</v>
      </c>
      <c r="F121" s="519">
        <f t="shared" si="132"/>
        <v>0</v>
      </c>
      <c r="G121" s="519">
        <f t="shared" si="132"/>
        <v>0</v>
      </c>
      <c r="H121" s="519">
        <f t="shared" si="132"/>
        <v>0</v>
      </c>
      <c r="I121" s="519">
        <f t="shared" si="132"/>
        <v>3691</v>
      </c>
      <c r="J121" s="519">
        <f t="shared" si="132"/>
        <v>9887</v>
      </c>
      <c r="K121" s="519">
        <f t="shared" si="132"/>
        <v>0</v>
      </c>
      <c r="L121" s="519">
        <f t="shared" si="132"/>
        <v>0</v>
      </c>
      <c r="M121" s="519">
        <f t="shared" si="132"/>
        <v>13578</v>
      </c>
      <c r="N121" s="519">
        <f t="shared" si="132"/>
        <v>0</v>
      </c>
      <c r="O121" s="519">
        <f t="shared" si="132"/>
        <v>0</v>
      </c>
      <c r="P121" s="519">
        <f t="shared" si="132"/>
        <v>0</v>
      </c>
      <c r="Q121" s="824"/>
      <c r="R121" s="824"/>
      <c r="S121" s="824"/>
      <c r="T121" s="824"/>
      <c r="U121" s="2500"/>
      <c r="V121" s="2584"/>
    </row>
    <row r="122" spans="1:24" ht="12.75" customHeight="1">
      <c r="A122" s="2429"/>
      <c r="B122" s="539" t="s">
        <v>25</v>
      </c>
      <c r="C122" s="2435"/>
      <c r="D122" s="521">
        <f t="shared" ref="D122" si="133">SUM(M122:R122)</f>
        <v>13578</v>
      </c>
      <c r="E122" s="510">
        <f>+F122+G122+H122</f>
        <v>0</v>
      </c>
      <c r="F122" s="521"/>
      <c r="G122" s="521"/>
      <c r="H122" s="521"/>
      <c r="I122" s="521">
        <f>10500-6809</f>
        <v>3691</v>
      </c>
      <c r="J122" s="521">
        <f>13500-3613</f>
        <v>9887</v>
      </c>
      <c r="K122" s="521">
        <v>0</v>
      </c>
      <c r="L122" s="521">
        <v>0</v>
      </c>
      <c r="M122" s="510">
        <f t="shared" ref="M122" si="134">+L122+K122+J122+I122+E122</f>
        <v>13578</v>
      </c>
      <c r="N122" s="521">
        <v>0</v>
      </c>
      <c r="O122" s="815">
        <v>0</v>
      </c>
      <c r="P122" s="815">
        <v>0</v>
      </c>
      <c r="Q122" s="521"/>
      <c r="R122" s="521"/>
      <c r="S122" s="521"/>
      <c r="T122" s="521"/>
      <c r="U122" s="2500"/>
      <c r="V122" s="2584"/>
    </row>
    <row r="123" spans="1:24" ht="12.75" customHeight="1">
      <c r="A123" s="2429"/>
      <c r="B123" s="605" t="s">
        <v>30</v>
      </c>
      <c r="C123" s="2494"/>
      <c r="D123" s="513">
        <f t="shared" ref="D123:P123" si="135">+D124</f>
        <v>55274582</v>
      </c>
      <c r="E123" s="514">
        <f t="shared" si="135"/>
        <v>9315213</v>
      </c>
      <c r="F123" s="514">
        <f t="shared" si="135"/>
        <v>274830</v>
      </c>
      <c r="G123" s="514">
        <f t="shared" si="135"/>
        <v>3578350</v>
      </c>
      <c r="H123" s="514">
        <f t="shared" si="135"/>
        <v>5462033</v>
      </c>
      <c r="I123" s="514">
        <f t="shared" si="135"/>
        <v>6578429</v>
      </c>
      <c r="J123" s="514">
        <f t="shared" si="135"/>
        <v>7245850</v>
      </c>
      <c r="K123" s="514">
        <f t="shared" si="135"/>
        <v>7162828</v>
      </c>
      <c r="L123" s="514">
        <f t="shared" si="135"/>
        <v>8428131</v>
      </c>
      <c r="M123" s="514">
        <f t="shared" si="135"/>
        <v>38730451</v>
      </c>
      <c r="N123" s="514">
        <f t="shared" si="135"/>
        <v>8169551</v>
      </c>
      <c r="O123" s="514">
        <f t="shared" si="135"/>
        <v>8374580</v>
      </c>
      <c r="P123" s="514">
        <f t="shared" si="135"/>
        <v>0</v>
      </c>
      <c r="Q123" s="514"/>
      <c r="R123" s="514"/>
      <c r="S123" s="514"/>
      <c r="T123" s="514"/>
      <c r="U123" s="2500"/>
      <c r="V123" s="2584"/>
    </row>
    <row r="124" spans="1:24" ht="12" customHeight="1" thickBot="1">
      <c r="A124" s="2469"/>
      <c r="B124" s="2094" t="s">
        <v>33</v>
      </c>
      <c r="C124" s="2495"/>
      <c r="D124" s="591">
        <f>SUM(M124:R124)</f>
        <v>55274582</v>
      </c>
      <c r="E124" s="546">
        <f>+F124+G124+H124</f>
        <v>9315213</v>
      </c>
      <c r="F124" s="547">
        <f>285418-10588</f>
        <v>274830</v>
      </c>
      <c r="G124" s="546">
        <f>3650816-72466</f>
        <v>3578350</v>
      </c>
      <c r="H124" s="546">
        <f>5523465-61432</f>
        <v>5462033</v>
      </c>
      <c r="I124" s="546">
        <f>7534281-943118-I136</f>
        <v>6578429</v>
      </c>
      <c r="J124" s="546">
        <f>9279550-1246020-754266-33414</f>
        <v>7245850</v>
      </c>
      <c r="K124" s="546">
        <v>7162828</v>
      </c>
      <c r="L124" s="546">
        <f>7215550+492000+658000-45000+594490-486909</f>
        <v>8428131</v>
      </c>
      <c r="M124" s="510">
        <f>+L124+K124+J124+I124+E124</f>
        <v>38730451</v>
      </c>
      <c r="N124" s="546">
        <f>7707023+631000+1132000-899996-400476</f>
        <v>8169551</v>
      </c>
      <c r="O124" s="817">
        <f>7708000-763000+1429580</f>
        <v>8374580</v>
      </c>
      <c r="P124" s="817">
        <v>0</v>
      </c>
      <c r="Q124" s="546"/>
      <c r="R124" s="546"/>
      <c r="S124" s="546"/>
      <c r="T124" s="546"/>
      <c r="U124" s="2501"/>
      <c r="V124" s="2585"/>
    </row>
    <row r="125" spans="1:24" ht="24.75" customHeight="1">
      <c r="A125" s="2428" t="s">
        <v>115</v>
      </c>
      <c r="B125" s="548" t="s">
        <v>185</v>
      </c>
      <c r="C125" s="528" t="s">
        <v>102</v>
      </c>
      <c r="D125" s="529"/>
      <c r="E125" s="531"/>
      <c r="F125" s="530"/>
      <c r="G125" s="531"/>
      <c r="H125" s="531"/>
      <c r="I125" s="489"/>
      <c r="J125" s="489"/>
      <c r="K125" s="489"/>
      <c r="L125" s="489"/>
      <c r="M125" s="491"/>
      <c r="N125" s="491"/>
      <c r="O125" s="491"/>
      <c r="P125" s="491"/>
      <c r="Q125" s="491"/>
      <c r="R125" s="491"/>
      <c r="S125" s="491"/>
      <c r="T125" s="491"/>
      <c r="U125" s="818"/>
      <c r="V125" s="2582" t="s">
        <v>167</v>
      </c>
    </row>
    <row r="126" spans="1:24" ht="12" customHeight="1">
      <c r="A126" s="2429"/>
      <c r="B126" s="554" t="s">
        <v>22</v>
      </c>
      <c r="C126" s="428"/>
      <c r="D126" s="533">
        <f t="shared" ref="D126:P126" si="136">+D127+D130</f>
        <v>391778</v>
      </c>
      <c r="E126" s="534">
        <f t="shared" si="136"/>
        <v>169984</v>
      </c>
      <c r="F126" s="534">
        <f t="shared" si="136"/>
        <v>12457</v>
      </c>
      <c r="G126" s="534">
        <f t="shared" si="136"/>
        <v>85254</v>
      </c>
      <c r="H126" s="534">
        <f t="shared" si="136"/>
        <v>72273</v>
      </c>
      <c r="I126" s="534">
        <f t="shared" si="136"/>
        <v>14981</v>
      </c>
      <c r="J126" s="534">
        <f t="shared" si="136"/>
        <v>39311</v>
      </c>
      <c r="K126" s="534">
        <f t="shared" si="136"/>
        <v>0</v>
      </c>
      <c r="L126" s="534">
        <f t="shared" si="136"/>
        <v>67502</v>
      </c>
      <c r="M126" s="534">
        <f t="shared" ref="M126" si="137">+M127+M130</f>
        <v>291778</v>
      </c>
      <c r="N126" s="534">
        <f t="shared" si="136"/>
        <v>100000</v>
      </c>
      <c r="O126" s="534">
        <f t="shared" si="136"/>
        <v>0</v>
      </c>
      <c r="P126" s="534">
        <f t="shared" si="136"/>
        <v>0</v>
      </c>
      <c r="Q126" s="534"/>
      <c r="R126" s="534"/>
      <c r="S126" s="534"/>
      <c r="T126" s="534"/>
      <c r="U126" s="535">
        <f>+U127+U130</f>
        <v>0</v>
      </c>
      <c r="V126" s="2583"/>
      <c r="W126" s="1258">
        <f>+O126+P126+Q126+R126</f>
        <v>0</v>
      </c>
    </row>
    <row r="127" spans="1:24">
      <c r="A127" s="2429"/>
      <c r="B127" s="555" t="s">
        <v>36</v>
      </c>
      <c r="C127" s="2433" t="s">
        <v>183</v>
      </c>
      <c r="D127" s="536">
        <f t="shared" ref="D127:P127" si="138">+D128+D129</f>
        <v>58767</v>
      </c>
      <c r="E127" s="536">
        <f t="shared" si="138"/>
        <v>25498</v>
      </c>
      <c r="F127" s="536">
        <f t="shared" si="138"/>
        <v>1869</v>
      </c>
      <c r="G127" s="536">
        <f t="shared" si="138"/>
        <v>12788</v>
      </c>
      <c r="H127" s="536">
        <f t="shared" si="138"/>
        <v>10841</v>
      </c>
      <c r="I127" s="536">
        <f t="shared" si="138"/>
        <v>2247</v>
      </c>
      <c r="J127" s="536">
        <f t="shared" si="138"/>
        <v>5897</v>
      </c>
      <c r="K127" s="536">
        <f t="shared" si="138"/>
        <v>0</v>
      </c>
      <c r="L127" s="536">
        <f t="shared" si="138"/>
        <v>10125</v>
      </c>
      <c r="M127" s="536">
        <f t="shared" ref="M127" si="139">+M128+M129</f>
        <v>43767</v>
      </c>
      <c r="N127" s="536">
        <f t="shared" si="138"/>
        <v>15000</v>
      </c>
      <c r="O127" s="536">
        <f t="shared" si="138"/>
        <v>0</v>
      </c>
      <c r="P127" s="536">
        <f t="shared" si="138"/>
        <v>0</v>
      </c>
      <c r="Q127" s="536"/>
      <c r="R127" s="536"/>
      <c r="S127" s="536"/>
      <c r="T127" s="536"/>
      <c r="U127" s="557">
        <f>+U128+U129</f>
        <v>0</v>
      </c>
      <c r="V127" s="2583"/>
    </row>
    <row r="128" spans="1:24" ht="11.25" customHeight="1">
      <c r="A128" s="2429"/>
      <c r="B128" s="539" t="s">
        <v>24</v>
      </c>
      <c r="C128" s="2435"/>
      <c r="D128" s="521">
        <f t="shared" ref="D128" si="140">SUM(M128:R128)</f>
        <v>58767</v>
      </c>
      <c r="E128" s="510">
        <f>+F128+G128+H128</f>
        <v>25498</v>
      </c>
      <c r="F128" s="511">
        <v>1869</v>
      </c>
      <c r="G128" s="510">
        <v>12788</v>
      </c>
      <c r="H128" s="510">
        <v>10841</v>
      </c>
      <c r="I128" s="549">
        <v>2247</v>
      </c>
      <c r="J128" s="549">
        <v>5897</v>
      </c>
      <c r="K128" s="510"/>
      <c r="L128" s="510">
        <f>7941+3000-816</f>
        <v>10125</v>
      </c>
      <c r="M128" s="510">
        <f t="shared" ref="M128" si="141">+L128+K128+J128+I128+E128</f>
        <v>43767</v>
      </c>
      <c r="N128" s="510">
        <v>15000</v>
      </c>
      <c r="O128" s="510"/>
      <c r="P128" s="510">
        <v>0</v>
      </c>
      <c r="Q128" s="510"/>
      <c r="R128" s="510"/>
      <c r="S128" s="510"/>
      <c r="T128" s="510"/>
      <c r="U128" s="811">
        <f>SUM(O128:R128)</f>
        <v>0</v>
      </c>
      <c r="V128" s="2583"/>
    </row>
    <row r="129" spans="1:22" ht="12" hidden="1" customHeight="1">
      <c r="A129" s="2429"/>
      <c r="B129" s="539" t="s">
        <v>25</v>
      </c>
      <c r="C129" s="2435"/>
      <c r="D129" s="520">
        <f>+E129+I129+J129+K129+L129+N129+O129</f>
        <v>0</v>
      </c>
      <c r="E129" s="510">
        <f>+F129+G129+H129</f>
        <v>0</v>
      </c>
      <c r="F129" s="516"/>
      <c r="G129" s="508">
        <v>0</v>
      </c>
      <c r="H129" s="542"/>
      <c r="I129" s="542"/>
      <c r="J129" s="542"/>
      <c r="K129" s="508">
        <v>0</v>
      </c>
      <c r="L129" s="508">
        <v>0</v>
      </c>
      <c r="M129" s="508"/>
      <c r="N129" s="508">
        <v>0</v>
      </c>
      <c r="O129" s="508">
        <v>0</v>
      </c>
      <c r="P129" s="508">
        <v>0</v>
      </c>
      <c r="Q129" s="508"/>
      <c r="R129" s="508"/>
      <c r="S129" s="508"/>
      <c r="T129" s="508"/>
      <c r="U129" s="811">
        <f>SUM(N129:Q129)</f>
        <v>0</v>
      </c>
      <c r="V129" s="2583"/>
    </row>
    <row r="130" spans="1:22" ht="12" customHeight="1">
      <c r="A130" s="2429"/>
      <c r="B130" s="605" t="s">
        <v>30</v>
      </c>
      <c r="C130" s="2435"/>
      <c r="D130" s="513">
        <f>+D131</f>
        <v>333011</v>
      </c>
      <c r="E130" s="514">
        <f t="shared" ref="E130:U130" si="142">+E131</f>
        <v>144486</v>
      </c>
      <c r="F130" s="514">
        <f t="shared" si="142"/>
        <v>10588</v>
      </c>
      <c r="G130" s="514">
        <f t="shared" si="142"/>
        <v>72466</v>
      </c>
      <c r="H130" s="514">
        <f t="shared" si="142"/>
        <v>61432</v>
      </c>
      <c r="I130" s="514">
        <f t="shared" si="142"/>
        <v>12734</v>
      </c>
      <c r="J130" s="514">
        <f t="shared" si="142"/>
        <v>33414</v>
      </c>
      <c r="K130" s="514">
        <f t="shared" si="142"/>
        <v>0</v>
      </c>
      <c r="L130" s="514">
        <f t="shared" si="142"/>
        <v>57377</v>
      </c>
      <c r="M130" s="514">
        <f t="shared" si="142"/>
        <v>248011</v>
      </c>
      <c r="N130" s="514">
        <f t="shared" si="142"/>
        <v>85000</v>
      </c>
      <c r="O130" s="514">
        <f t="shared" si="142"/>
        <v>0</v>
      </c>
      <c r="P130" s="514">
        <f t="shared" si="142"/>
        <v>0</v>
      </c>
      <c r="Q130" s="514"/>
      <c r="R130" s="514"/>
      <c r="S130" s="514"/>
      <c r="T130" s="514"/>
      <c r="U130" s="515">
        <f t="shared" si="142"/>
        <v>0</v>
      </c>
      <c r="V130" s="2583"/>
    </row>
    <row r="131" spans="1:22" ht="11.25" customHeight="1">
      <c r="A131" s="2429"/>
      <c r="B131" s="544" t="s">
        <v>33</v>
      </c>
      <c r="C131" s="2435"/>
      <c r="D131" s="521">
        <f t="shared" ref="D131" si="143">SUM(M131:R131)</f>
        <v>333011</v>
      </c>
      <c r="E131" s="510">
        <f>+F131+G131+H131</f>
        <v>144486</v>
      </c>
      <c r="F131" s="516">
        <v>10588</v>
      </c>
      <c r="G131" s="508">
        <v>72466</v>
      </c>
      <c r="H131" s="508">
        <v>61432</v>
      </c>
      <c r="I131" s="542">
        <v>12734</v>
      </c>
      <c r="J131" s="542">
        <v>33414</v>
      </c>
      <c r="K131" s="508"/>
      <c r="L131" s="508">
        <f>45000+17000-4623</f>
        <v>57377</v>
      </c>
      <c r="M131" s="510">
        <f t="shared" ref="M131" si="144">+L131+K131+J131+I131+E131</f>
        <v>248011</v>
      </c>
      <c r="N131" s="508">
        <v>85000</v>
      </c>
      <c r="O131" s="508"/>
      <c r="P131" s="510">
        <v>0</v>
      </c>
      <c r="Q131" s="510"/>
      <c r="R131" s="510"/>
      <c r="S131" s="510"/>
      <c r="T131" s="510"/>
      <c r="U131" s="811">
        <f>SUM(O131:R131)</f>
        <v>0</v>
      </c>
      <c r="V131" s="2583"/>
    </row>
    <row r="132" spans="1:22">
      <c r="A132" s="2429"/>
      <c r="B132" s="561" t="s">
        <v>34</v>
      </c>
      <c r="C132" s="428"/>
      <c r="D132" s="518">
        <f t="shared" ref="D132:L132" si="145">+D133+D135</f>
        <v>333011</v>
      </c>
      <c r="E132" s="496">
        <f t="shared" si="145"/>
        <v>144486</v>
      </c>
      <c r="F132" s="496">
        <f t="shared" si="145"/>
        <v>10588</v>
      </c>
      <c r="G132" s="496">
        <f t="shared" si="145"/>
        <v>72466</v>
      </c>
      <c r="H132" s="496">
        <f t="shared" si="145"/>
        <v>61432</v>
      </c>
      <c r="I132" s="496">
        <f t="shared" si="145"/>
        <v>12734</v>
      </c>
      <c r="J132" s="496">
        <f t="shared" si="145"/>
        <v>33414</v>
      </c>
      <c r="K132" s="496">
        <f t="shared" si="145"/>
        <v>0</v>
      </c>
      <c r="L132" s="496">
        <f t="shared" si="145"/>
        <v>57377</v>
      </c>
      <c r="M132" s="496">
        <f t="shared" ref="M132" si="146">+M133+M135</f>
        <v>248011</v>
      </c>
      <c r="N132" s="496">
        <f>+N133+N135</f>
        <v>85000</v>
      </c>
      <c r="O132" s="496">
        <f>+O133+O135</f>
        <v>0</v>
      </c>
      <c r="P132" s="496">
        <f>+P133+P135</f>
        <v>0</v>
      </c>
      <c r="Q132" s="496"/>
      <c r="R132" s="496"/>
      <c r="S132" s="496"/>
      <c r="T132" s="496"/>
      <c r="U132" s="2499" t="s">
        <v>77</v>
      </c>
      <c r="V132" s="2584"/>
    </row>
    <row r="133" spans="1:22" ht="12" hidden="1" customHeight="1">
      <c r="A133" s="2429"/>
      <c r="B133" s="555" t="s">
        <v>36</v>
      </c>
      <c r="C133" s="2490" t="s">
        <v>183</v>
      </c>
      <c r="D133" s="519">
        <f t="shared" ref="D133:P133" si="147">+D134</f>
        <v>0</v>
      </c>
      <c r="E133" s="519">
        <f t="shared" si="147"/>
        <v>0</v>
      </c>
      <c r="F133" s="519">
        <f t="shared" si="147"/>
        <v>0</v>
      </c>
      <c r="G133" s="519">
        <f t="shared" si="147"/>
        <v>0</v>
      </c>
      <c r="H133" s="519">
        <f t="shared" si="147"/>
        <v>0</v>
      </c>
      <c r="I133" s="519">
        <f t="shared" si="147"/>
        <v>0</v>
      </c>
      <c r="J133" s="519">
        <f t="shared" si="147"/>
        <v>0</v>
      </c>
      <c r="K133" s="519">
        <f t="shared" si="147"/>
        <v>0</v>
      </c>
      <c r="L133" s="519">
        <f t="shared" si="147"/>
        <v>0</v>
      </c>
      <c r="M133" s="519">
        <f t="shared" si="147"/>
        <v>0</v>
      </c>
      <c r="N133" s="519">
        <f t="shared" si="147"/>
        <v>0</v>
      </c>
      <c r="O133" s="519">
        <f t="shared" si="147"/>
        <v>0</v>
      </c>
      <c r="P133" s="519">
        <f t="shared" si="147"/>
        <v>0</v>
      </c>
      <c r="Q133" s="824"/>
      <c r="R133" s="824"/>
      <c r="S133" s="824"/>
      <c r="T133" s="824"/>
      <c r="U133" s="2500"/>
      <c r="V133" s="2584"/>
    </row>
    <row r="134" spans="1:22" ht="12" hidden="1" customHeight="1">
      <c r="A134" s="2429"/>
      <c r="B134" s="539" t="s">
        <v>25</v>
      </c>
      <c r="C134" s="2435"/>
      <c r="D134" s="520">
        <f>+E134+I134+J134+K134+L134+N134+O134</f>
        <v>0</v>
      </c>
      <c r="E134" s="510">
        <f>+F134+G134+H134</f>
        <v>0</v>
      </c>
      <c r="F134" s="521"/>
      <c r="G134" s="521"/>
      <c r="H134" s="521"/>
      <c r="I134" s="521"/>
      <c r="J134" s="521"/>
      <c r="K134" s="521">
        <v>0</v>
      </c>
      <c r="L134" s="521">
        <v>0</v>
      </c>
      <c r="M134" s="521">
        <v>0</v>
      </c>
      <c r="N134" s="815">
        <v>0</v>
      </c>
      <c r="O134" s="815">
        <v>0</v>
      </c>
      <c r="P134" s="815">
        <v>0</v>
      </c>
      <c r="Q134" s="521"/>
      <c r="R134" s="521"/>
      <c r="S134" s="521"/>
      <c r="T134" s="521"/>
      <c r="U134" s="2500"/>
      <c r="V134" s="2584"/>
    </row>
    <row r="135" spans="1:22" ht="12" customHeight="1">
      <c r="A135" s="2429"/>
      <c r="B135" s="605" t="s">
        <v>30</v>
      </c>
      <c r="C135" s="2494"/>
      <c r="D135" s="513">
        <f t="shared" ref="D135:P135" si="148">+D136</f>
        <v>333011</v>
      </c>
      <c r="E135" s="514">
        <f t="shared" si="148"/>
        <v>144486</v>
      </c>
      <c r="F135" s="514">
        <f t="shared" si="148"/>
        <v>10588</v>
      </c>
      <c r="G135" s="514">
        <f t="shared" si="148"/>
        <v>72466</v>
      </c>
      <c r="H135" s="514">
        <f t="shared" si="148"/>
        <v>61432</v>
      </c>
      <c r="I135" s="514">
        <f t="shared" si="148"/>
        <v>12734</v>
      </c>
      <c r="J135" s="514">
        <f t="shared" si="148"/>
        <v>33414</v>
      </c>
      <c r="K135" s="514">
        <f t="shared" si="148"/>
        <v>0</v>
      </c>
      <c r="L135" s="514">
        <f t="shared" si="148"/>
        <v>57377</v>
      </c>
      <c r="M135" s="514">
        <f t="shared" si="148"/>
        <v>248011</v>
      </c>
      <c r="N135" s="514">
        <f t="shared" si="148"/>
        <v>85000</v>
      </c>
      <c r="O135" s="514">
        <f t="shared" si="148"/>
        <v>0</v>
      </c>
      <c r="P135" s="514">
        <f t="shared" si="148"/>
        <v>0</v>
      </c>
      <c r="Q135" s="514"/>
      <c r="R135" s="514"/>
      <c r="S135" s="514"/>
      <c r="T135" s="514"/>
      <c r="U135" s="2500"/>
      <c r="V135" s="2584"/>
    </row>
    <row r="136" spans="1:22" ht="12" customHeight="1" thickBot="1">
      <c r="A136" s="2469"/>
      <c r="B136" s="550" t="s">
        <v>33</v>
      </c>
      <c r="C136" s="2495"/>
      <c r="D136" s="591">
        <f>SUM(M136:R136)</f>
        <v>333011</v>
      </c>
      <c r="E136" s="546">
        <f>+F136+G136+H136</f>
        <v>144486</v>
      </c>
      <c r="F136" s="547">
        <v>10588</v>
      </c>
      <c r="G136" s="546">
        <v>72466</v>
      </c>
      <c r="H136" s="546">
        <v>61432</v>
      </c>
      <c r="I136" s="546">
        <v>12734</v>
      </c>
      <c r="J136" s="546">
        <v>33414</v>
      </c>
      <c r="K136" s="546">
        <v>0</v>
      </c>
      <c r="L136" s="546">
        <f>45000+17000-4623</f>
        <v>57377</v>
      </c>
      <c r="M136" s="510">
        <f>+L136+K136+J136+I136+E136</f>
        <v>248011</v>
      </c>
      <c r="N136" s="817">
        <v>85000</v>
      </c>
      <c r="O136" s="817">
        <v>0</v>
      </c>
      <c r="P136" s="817">
        <v>0</v>
      </c>
      <c r="Q136" s="546"/>
      <c r="R136" s="546"/>
      <c r="S136" s="546"/>
      <c r="T136" s="546"/>
      <c r="U136" s="2501"/>
      <c r="V136" s="2585"/>
    </row>
    <row r="137" spans="1:22" ht="12.75" customHeight="1">
      <c r="A137" s="2428" t="s">
        <v>116</v>
      </c>
      <c r="B137" s="548" t="s">
        <v>308</v>
      </c>
      <c r="C137" s="528" t="s">
        <v>138</v>
      </c>
      <c r="D137" s="529"/>
      <c r="E137" s="531"/>
      <c r="F137" s="530"/>
      <c r="G137" s="531"/>
      <c r="H137" s="531"/>
      <c r="I137" s="489"/>
      <c r="J137" s="489"/>
      <c r="K137" s="489"/>
      <c r="L137" s="489"/>
      <c r="M137" s="491"/>
      <c r="N137" s="491"/>
      <c r="O137" s="491"/>
      <c r="P137" s="491"/>
      <c r="Q137" s="491"/>
      <c r="R137" s="491"/>
      <c r="S137" s="582"/>
      <c r="T137" s="582"/>
      <c r="U137" s="809"/>
      <c r="V137" s="2582" t="s">
        <v>167</v>
      </c>
    </row>
    <row r="138" spans="1:22" ht="12" customHeight="1">
      <c r="A138" s="2429"/>
      <c r="B138" s="554" t="s">
        <v>22</v>
      </c>
      <c r="C138" s="428"/>
      <c r="D138" s="533">
        <f t="shared" ref="D138:L138" si="149">+D139+D142</f>
        <v>5821772</v>
      </c>
      <c r="E138" s="534">
        <f t="shared" si="149"/>
        <v>0</v>
      </c>
      <c r="F138" s="534">
        <f t="shared" si="149"/>
        <v>0</v>
      </c>
      <c r="G138" s="534">
        <f t="shared" si="149"/>
        <v>0</v>
      </c>
      <c r="H138" s="534">
        <f t="shared" si="149"/>
        <v>0</v>
      </c>
      <c r="I138" s="534">
        <f t="shared" si="149"/>
        <v>0</v>
      </c>
      <c r="J138" s="534">
        <f t="shared" si="149"/>
        <v>0</v>
      </c>
      <c r="K138" s="534">
        <f t="shared" si="149"/>
        <v>0</v>
      </c>
      <c r="L138" s="534">
        <f t="shared" si="149"/>
        <v>0</v>
      </c>
      <c r="M138" s="534">
        <f t="shared" ref="M138" si="150">+M139+M142</f>
        <v>0</v>
      </c>
      <c r="N138" s="534">
        <f t="shared" ref="N138:U138" si="151">+N139+N142</f>
        <v>0</v>
      </c>
      <c r="O138" s="534">
        <f t="shared" si="151"/>
        <v>1639772</v>
      </c>
      <c r="P138" s="534">
        <f t="shared" si="151"/>
        <v>1394000</v>
      </c>
      <c r="Q138" s="534">
        <f t="shared" si="151"/>
        <v>1394000</v>
      </c>
      <c r="R138" s="534">
        <f t="shared" si="151"/>
        <v>1394000</v>
      </c>
      <c r="S138" s="534"/>
      <c r="T138" s="534"/>
      <c r="U138" s="535">
        <f t="shared" si="151"/>
        <v>5821772</v>
      </c>
      <c r="V138" s="2583"/>
    </row>
    <row r="139" spans="1:22" ht="12" customHeight="1">
      <c r="A139" s="2429"/>
      <c r="B139" s="555" t="s">
        <v>36</v>
      </c>
      <c r="C139" s="2433" t="s">
        <v>183</v>
      </c>
      <c r="D139" s="536">
        <f t="shared" ref="D139:L139" si="152">+D140+D141</f>
        <v>915183</v>
      </c>
      <c r="E139" s="536">
        <f t="shared" si="152"/>
        <v>0</v>
      </c>
      <c r="F139" s="536">
        <f t="shared" si="152"/>
        <v>0</v>
      </c>
      <c r="G139" s="536">
        <f t="shared" si="152"/>
        <v>0</v>
      </c>
      <c r="H139" s="536">
        <f t="shared" si="152"/>
        <v>0</v>
      </c>
      <c r="I139" s="536">
        <f t="shared" si="152"/>
        <v>0</v>
      </c>
      <c r="J139" s="536">
        <f t="shared" si="152"/>
        <v>0</v>
      </c>
      <c r="K139" s="536">
        <f t="shared" si="152"/>
        <v>0</v>
      </c>
      <c r="L139" s="536">
        <f t="shared" si="152"/>
        <v>0</v>
      </c>
      <c r="M139" s="536">
        <f t="shared" ref="M139" si="153">+M140+M141</f>
        <v>0</v>
      </c>
      <c r="N139" s="536">
        <f t="shared" ref="N139:U139" si="154">+N140+N141</f>
        <v>0</v>
      </c>
      <c r="O139" s="536">
        <f t="shared" si="154"/>
        <v>257772</v>
      </c>
      <c r="P139" s="536">
        <f t="shared" si="154"/>
        <v>219137</v>
      </c>
      <c r="Q139" s="536">
        <f t="shared" si="154"/>
        <v>219137</v>
      </c>
      <c r="R139" s="536">
        <f t="shared" si="154"/>
        <v>219137</v>
      </c>
      <c r="S139" s="536"/>
      <c r="T139" s="536"/>
      <c r="U139" s="557">
        <f t="shared" si="154"/>
        <v>915183</v>
      </c>
      <c r="V139" s="2583"/>
    </row>
    <row r="140" spans="1:22" ht="12" customHeight="1">
      <c r="A140" s="2429"/>
      <c r="B140" s="539" t="s">
        <v>24</v>
      </c>
      <c r="C140" s="2435"/>
      <c r="D140" s="521">
        <f t="shared" ref="D140" si="155">SUM(M140:R140)</f>
        <v>915183</v>
      </c>
      <c r="E140" s="510"/>
      <c r="F140" s="511"/>
      <c r="G140" s="510"/>
      <c r="H140" s="549"/>
      <c r="I140" s="549"/>
      <c r="J140" s="549"/>
      <c r="K140" s="510"/>
      <c r="L140" s="510"/>
      <c r="M140" s="510">
        <f t="shared" ref="M140" si="156">+L140+K140+J140+I140+E140</f>
        <v>0</v>
      </c>
      <c r="N140" s="549"/>
      <c r="O140" s="510">
        <v>257772</v>
      </c>
      <c r="P140" s="510">
        <v>219137</v>
      </c>
      <c r="Q140" s="510">
        <v>219137</v>
      </c>
      <c r="R140" s="510">
        <v>219137</v>
      </c>
      <c r="S140" s="510"/>
      <c r="T140" s="510"/>
      <c r="U140" s="811">
        <f>SUM(O140:T140)</f>
        <v>915183</v>
      </c>
      <c r="V140" s="2583"/>
    </row>
    <row r="141" spans="1:22" ht="12" hidden="1" customHeight="1">
      <c r="A141" s="2429"/>
      <c r="B141" s="539" t="s">
        <v>25</v>
      </c>
      <c r="C141" s="2435"/>
      <c r="D141" s="520"/>
      <c r="E141" s="510"/>
      <c r="F141" s="516"/>
      <c r="G141" s="508"/>
      <c r="H141" s="542"/>
      <c r="I141" s="542"/>
      <c r="J141" s="542"/>
      <c r="K141" s="508"/>
      <c r="L141" s="508"/>
      <c r="M141" s="508"/>
      <c r="N141" s="508"/>
      <c r="O141" s="508">
        <v>0</v>
      </c>
      <c r="P141" s="508">
        <v>0</v>
      </c>
      <c r="Q141" s="508"/>
      <c r="R141" s="508"/>
      <c r="S141" s="508"/>
      <c r="T141" s="508"/>
      <c r="U141" s="811">
        <f>SUM(N141:Q141)</f>
        <v>0</v>
      </c>
      <c r="V141" s="2583"/>
    </row>
    <row r="142" spans="1:22" ht="12" customHeight="1">
      <c r="A142" s="2429"/>
      <c r="B142" s="605" t="s">
        <v>30</v>
      </c>
      <c r="C142" s="2435"/>
      <c r="D142" s="513">
        <f>+D143</f>
        <v>4906589</v>
      </c>
      <c r="E142" s="514">
        <f t="shared" ref="E142:U142" si="157">+E143</f>
        <v>0</v>
      </c>
      <c r="F142" s="514">
        <f t="shared" si="157"/>
        <v>0</v>
      </c>
      <c r="G142" s="514">
        <f t="shared" si="157"/>
        <v>0</v>
      </c>
      <c r="H142" s="514">
        <f t="shared" si="157"/>
        <v>0</v>
      </c>
      <c r="I142" s="514">
        <f t="shared" si="157"/>
        <v>0</v>
      </c>
      <c r="J142" s="514">
        <f t="shared" si="157"/>
        <v>0</v>
      </c>
      <c r="K142" s="514">
        <f t="shared" si="157"/>
        <v>0</v>
      </c>
      <c r="L142" s="514">
        <f t="shared" si="157"/>
        <v>0</v>
      </c>
      <c r="M142" s="514">
        <f t="shared" si="157"/>
        <v>0</v>
      </c>
      <c r="N142" s="514">
        <f t="shared" si="157"/>
        <v>0</v>
      </c>
      <c r="O142" s="514">
        <f t="shared" si="157"/>
        <v>1382000</v>
      </c>
      <c r="P142" s="514">
        <f t="shared" si="157"/>
        <v>1174863</v>
      </c>
      <c r="Q142" s="514">
        <f t="shared" si="157"/>
        <v>1174863</v>
      </c>
      <c r="R142" s="514">
        <f t="shared" si="157"/>
        <v>1174863</v>
      </c>
      <c r="S142" s="514"/>
      <c r="T142" s="514"/>
      <c r="U142" s="515">
        <f t="shared" si="157"/>
        <v>4906589</v>
      </c>
      <c r="V142" s="2583"/>
    </row>
    <row r="143" spans="1:22" ht="11.25" customHeight="1">
      <c r="A143" s="2429"/>
      <c r="B143" s="544" t="s">
        <v>33</v>
      </c>
      <c r="C143" s="2435"/>
      <c r="D143" s="521">
        <f t="shared" ref="D143" si="158">SUM(M143:R143)</f>
        <v>4906589</v>
      </c>
      <c r="E143" s="508"/>
      <c r="F143" s="516"/>
      <c r="G143" s="508"/>
      <c r="H143" s="542"/>
      <c r="I143" s="542"/>
      <c r="J143" s="542"/>
      <c r="K143" s="508"/>
      <c r="L143" s="508"/>
      <c r="M143" s="510">
        <f t="shared" ref="M143" si="159">+L143+K143+J143+I143+E143</f>
        <v>0</v>
      </c>
      <c r="N143" s="508"/>
      <c r="O143" s="508">
        <v>1382000</v>
      </c>
      <c r="P143" s="510">
        <v>1174863</v>
      </c>
      <c r="Q143" s="510">
        <v>1174863</v>
      </c>
      <c r="R143" s="510">
        <v>1174863</v>
      </c>
      <c r="S143" s="510"/>
      <c r="T143" s="510"/>
      <c r="U143" s="811">
        <f>SUM(O143:T143)</f>
        <v>4906589</v>
      </c>
      <c r="V143" s="2583"/>
    </row>
    <row r="144" spans="1:22" ht="12" customHeight="1">
      <c r="A144" s="2429"/>
      <c r="B144" s="561" t="s">
        <v>34</v>
      </c>
      <c r="C144" s="428"/>
      <c r="D144" s="518">
        <f t="shared" ref="D144:L144" si="160">+D145+D147</f>
        <v>4906589</v>
      </c>
      <c r="E144" s="496">
        <f t="shared" si="160"/>
        <v>0</v>
      </c>
      <c r="F144" s="496">
        <f t="shared" si="160"/>
        <v>0</v>
      </c>
      <c r="G144" s="496">
        <f t="shared" si="160"/>
        <v>0</v>
      </c>
      <c r="H144" s="496">
        <f t="shared" si="160"/>
        <v>0</v>
      </c>
      <c r="I144" s="496">
        <f t="shared" si="160"/>
        <v>0</v>
      </c>
      <c r="J144" s="496">
        <f t="shared" si="160"/>
        <v>0</v>
      </c>
      <c r="K144" s="496">
        <f t="shared" si="160"/>
        <v>0</v>
      </c>
      <c r="L144" s="496">
        <f t="shared" si="160"/>
        <v>0</v>
      </c>
      <c r="M144" s="496">
        <f t="shared" ref="M144" si="161">+M145+M147</f>
        <v>0</v>
      </c>
      <c r="N144" s="496">
        <f>+N145+N147</f>
        <v>0</v>
      </c>
      <c r="O144" s="496">
        <f>+O145+O147</f>
        <v>1382000</v>
      </c>
      <c r="P144" s="496">
        <f>+P145+P147</f>
        <v>1174863</v>
      </c>
      <c r="Q144" s="496">
        <f>+Q145+Q147</f>
        <v>1174863</v>
      </c>
      <c r="R144" s="496">
        <f>+R145+R147</f>
        <v>1174863</v>
      </c>
      <c r="S144" s="496">
        <f t="shared" ref="S144:T144" si="162">+S145+S147</f>
        <v>0</v>
      </c>
      <c r="T144" s="496">
        <f t="shared" si="162"/>
        <v>0</v>
      </c>
      <c r="U144" s="2499" t="s">
        <v>77</v>
      </c>
      <c r="V144" s="2584"/>
    </row>
    <row r="145" spans="1:24" ht="12" hidden="1" customHeight="1">
      <c r="A145" s="2429"/>
      <c r="B145" s="555" t="s">
        <v>36</v>
      </c>
      <c r="C145" s="2490" t="s">
        <v>183</v>
      </c>
      <c r="D145" s="519">
        <f t="shared" ref="D145:T145" si="163">+D146</f>
        <v>0</v>
      </c>
      <c r="E145" s="519">
        <f t="shared" si="163"/>
        <v>0</v>
      </c>
      <c r="F145" s="519">
        <f t="shared" si="163"/>
        <v>0</v>
      </c>
      <c r="G145" s="519">
        <f t="shared" si="163"/>
        <v>0</v>
      </c>
      <c r="H145" s="519">
        <f t="shared" si="163"/>
        <v>0</v>
      </c>
      <c r="I145" s="519">
        <f t="shared" si="163"/>
        <v>0</v>
      </c>
      <c r="J145" s="519">
        <f t="shared" si="163"/>
        <v>0</v>
      </c>
      <c r="K145" s="519">
        <f t="shared" si="163"/>
        <v>0</v>
      </c>
      <c r="L145" s="519">
        <f t="shared" si="163"/>
        <v>0</v>
      </c>
      <c r="M145" s="519">
        <f t="shared" si="163"/>
        <v>0</v>
      </c>
      <c r="N145" s="519">
        <f t="shared" si="163"/>
        <v>0</v>
      </c>
      <c r="O145" s="519">
        <f t="shared" si="163"/>
        <v>0</v>
      </c>
      <c r="P145" s="519">
        <f t="shared" si="163"/>
        <v>0</v>
      </c>
      <c r="Q145" s="519">
        <f t="shared" si="163"/>
        <v>0</v>
      </c>
      <c r="R145" s="519">
        <f t="shared" si="163"/>
        <v>0</v>
      </c>
      <c r="S145" s="519">
        <f t="shared" si="163"/>
        <v>0</v>
      </c>
      <c r="T145" s="519">
        <f t="shared" si="163"/>
        <v>0</v>
      </c>
      <c r="U145" s="2500"/>
      <c r="V145" s="2584"/>
    </row>
    <row r="146" spans="1:24" ht="12" hidden="1" customHeight="1">
      <c r="A146" s="2429"/>
      <c r="B146" s="539" t="s">
        <v>25</v>
      </c>
      <c r="C146" s="2435"/>
      <c r="D146" s="520"/>
      <c r="E146" s="510"/>
      <c r="F146" s="521"/>
      <c r="G146" s="521"/>
      <c r="H146" s="521"/>
      <c r="I146" s="521"/>
      <c r="J146" s="521"/>
      <c r="K146" s="521"/>
      <c r="L146" s="521">
        <v>0</v>
      </c>
      <c r="M146" s="521">
        <v>0</v>
      </c>
      <c r="N146" s="521">
        <v>0</v>
      </c>
      <c r="O146" s="815">
        <v>0</v>
      </c>
      <c r="P146" s="815">
        <v>0</v>
      </c>
      <c r="Q146" s="521"/>
      <c r="R146" s="521"/>
      <c r="S146" s="521">
        <v>0</v>
      </c>
      <c r="T146" s="521">
        <v>0</v>
      </c>
      <c r="U146" s="2500"/>
      <c r="V146" s="2584"/>
    </row>
    <row r="147" spans="1:24" ht="12" customHeight="1">
      <c r="A147" s="2429"/>
      <c r="B147" s="605" t="s">
        <v>30</v>
      </c>
      <c r="C147" s="2494"/>
      <c r="D147" s="513">
        <f t="shared" ref="D147:T147" si="164">+D148</f>
        <v>4906589</v>
      </c>
      <c r="E147" s="514">
        <f t="shared" si="164"/>
        <v>0</v>
      </c>
      <c r="F147" s="514">
        <f t="shared" si="164"/>
        <v>0</v>
      </c>
      <c r="G147" s="514">
        <f t="shared" si="164"/>
        <v>0</v>
      </c>
      <c r="H147" s="514">
        <f t="shared" si="164"/>
        <v>0</v>
      </c>
      <c r="I147" s="514">
        <f t="shared" si="164"/>
        <v>0</v>
      </c>
      <c r="J147" s="514">
        <f t="shared" si="164"/>
        <v>0</v>
      </c>
      <c r="K147" s="514">
        <f t="shared" si="164"/>
        <v>0</v>
      </c>
      <c r="L147" s="514">
        <f t="shared" si="164"/>
        <v>0</v>
      </c>
      <c r="M147" s="514">
        <f t="shared" si="164"/>
        <v>0</v>
      </c>
      <c r="N147" s="514">
        <f t="shared" si="164"/>
        <v>0</v>
      </c>
      <c r="O147" s="514">
        <f t="shared" si="164"/>
        <v>1382000</v>
      </c>
      <c r="P147" s="514">
        <f t="shared" si="164"/>
        <v>1174863</v>
      </c>
      <c r="Q147" s="514">
        <f t="shared" si="164"/>
        <v>1174863</v>
      </c>
      <c r="R147" s="514">
        <f t="shared" si="164"/>
        <v>1174863</v>
      </c>
      <c r="S147" s="514">
        <f t="shared" si="164"/>
        <v>0</v>
      </c>
      <c r="T147" s="514">
        <f t="shared" si="164"/>
        <v>0</v>
      </c>
      <c r="U147" s="2500"/>
      <c r="V147" s="2584"/>
    </row>
    <row r="148" spans="1:24" ht="12" customHeight="1" thickBot="1">
      <c r="A148" s="2469"/>
      <c r="B148" s="2094" t="s">
        <v>33</v>
      </c>
      <c r="C148" s="2495"/>
      <c r="D148" s="591">
        <f>SUM(M148:R148)</f>
        <v>4906589</v>
      </c>
      <c r="E148" s="546">
        <v>0</v>
      </c>
      <c r="F148" s="547"/>
      <c r="G148" s="546"/>
      <c r="H148" s="546"/>
      <c r="I148" s="546">
        <v>0</v>
      </c>
      <c r="J148" s="546">
        <v>0</v>
      </c>
      <c r="K148" s="546">
        <v>0</v>
      </c>
      <c r="L148" s="546">
        <v>0</v>
      </c>
      <c r="M148" s="510">
        <f>+L148+K148+J148+I148+E148</f>
        <v>0</v>
      </c>
      <c r="N148" s="546">
        <v>0</v>
      </c>
      <c r="O148" s="817">
        <v>1382000</v>
      </c>
      <c r="P148" s="817">
        <v>1174863</v>
      </c>
      <c r="Q148" s="817">
        <v>1174863</v>
      </c>
      <c r="R148" s="817">
        <v>1174863</v>
      </c>
      <c r="S148" s="546">
        <v>0</v>
      </c>
      <c r="T148" s="546">
        <v>0</v>
      </c>
      <c r="U148" s="2501"/>
      <c r="V148" s="2585"/>
    </row>
    <row r="149" spans="1:24" ht="36" customHeight="1">
      <c r="A149" s="2428" t="s">
        <v>117</v>
      </c>
      <c r="B149" s="548" t="s">
        <v>186</v>
      </c>
      <c r="C149" s="528" t="s">
        <v>138</v>
      </c>
      <c r="D149" s="529"/>
      <c r="E149" s="531"/>
      <c r="F149" s="530"/>
      <c r="G149" s="531"/>
      <c r="H149" s="531"/>
      <c r="I149" s="489"/>
      <c r="J149" s="489"/>
      <c r="K149" s="489"/>
      <c r="L149" s="489"/>
      <c r="M149" s="491"/>
      <c r="N149" s="491"/>
      <c r="O149" s="491"/>
      <c r="P149" s="491"/>
      <c r="Q149" s="491"/>
      <c r="R149" s="491"/>
      <c r="S149" s="491"/>
      <c r="T149" s="491"/>
      <c r="U149" s="818"/>
      <c r="V149" s="2582" t="s">
        <v>187</v>
      </c>
    </row>
    <row r="150" spans="1:24" ht="10.5" customHeight="1">
      <c r="A150" s="2429"/>
      <c r="B150" s="554" t="s">
        <v>22</v>
      </c>
      <c r="C150" s="428"/>
      <c r="D150" s="534">
        <f t="shared" ref="D150:P150" si="165">+D151+D154</f>
        <v>1295425</v>
      </c>
      <c r="E150" s="534">
        <f t="shared" si="165"/>
        <v>0</v>
      </c>
      <c r="F150" s="534">
        <f t="shared" si="165"/>
        <v>0</v>
      </c>
      <c r="G150" s="534">
        <f t="shared" si="165"/>
        <v>0</v>
      </c>
      <c r="H150" s="534">
        <f t="shared" si="165"/>
        <v>0</v>
      </c>
      <c r="I150" s="534">
        <f t="shared" si="165"/>
        <v>131593</v>
      </c>
      <c r="J150" s="534">
        <f t="shared" si="165"/>
        <v>173140</v>
      </c>
      <c r="K150" s="534">
        <f t="shared" si="165"/>
        <v>250256</v>
      </c>
      <c r="L150" s="534">
        <f t="shared" si="165"/>
        <v>287879</v>
      </c>
      <c r="M150" s="534">
        <f t="shared" ref="M150" si="166">+M151+M154</f>
        <v>842868</v>
      </c>
      <c r="N150" s="534">
        <f t="shared" si="165"/>
        <v>223885</v>
      </c>
      <c r="O150" s="534">
        <f t="shared" si="165"/>
        <v>228672</v>
      </c>
      <c r="P150" s="534">
        <f t="shared" si="165"/>
        <v>0</v>
      </c>
      <c r="Q150" s="534"/>
      <c r="R150" s="534"/>
      <c r="S150" s="534"/>
      <c r="T150" s="534"/>
      <c r="U150" s="535">
        <f>+U151+U154</f>
        <v>228672</v>
      </c>
      <c r="V150" s="2583"/>
      <c r="W150" s="1258">
        <f>+O150+P150+Q150+R150</f>
        <v>228672</v>
      </c>
      <c r="X150" s="1258"/>
    </row>
    <row r="151" spans="1:24" ht="13.5" customHeight="1">
      <c r="A151" s="2429"/>
      <c r="B151" s="555" t="s">
        <v>36</v>
      </c>
      <c r="C151" s="2433" t="s">
        <v>188</v>
      </c>
      <c r="D151" s="536">
        <f t="shared" ref="D151:P151" si="167">+D152+D153</f>
        <v>194314</v>
      </c>
      <c r="E151" s="536">
        <f t="shared" si="167"/>
        <v>0</v>
      </c>
      <c r="F151" s="536">
        <f t="shared" si="167"/>
        <v>0</v>
      </c>
      <c r="G151" s="536">
        <f t="shared" si="167"/>
        <v>0</v>
      </c>
      <c r="H151" s="536">
        <f t="shared" si="167"/>
        <v>0</v>
      </c>
      <c r="I151" s="536">
        <f t="shared" si="167"/>
        <v>19739</v>
      </c>
      <c r="J151" s="536">
        <f t="shared" si="167"/>
        <v>25971</v>
      </c>
      <c r="K151" s="536">
        <f t="shared" si="167"/>
        <v>37538</v>
      </c>
      <c r="L151" s="536">
        <f t="shared" si="167"/>
        <v>43182</v>
      </c>
      <c r="M151" s="536">
        <f t="shared" ref="M151" si="168">+M152+M153</f>
        <v>126430</v>
      </c>
      <c r="N151" s="536">
        <f t="shared" si="167"/>
        <v>33583</v>
      </c>
      <c r="O151" s="536">
        <f t="shared" si="167"/>
        <v>34301</v>
      </c>
      <c r="P151" s="536">
        <f t="shared" si="167"/>
        <v>0</v>
      </c>
      <c r="Q151" s="536"/>
      <c r="R151" s="536"/>
      <c r="S151" s="536"/>
      <c r="T151" s="536"/>
      <c r="U151" s="557">
        <f>+U152+U153</f>
        <v>34301</v>
      </c>
      <c r="V151" s="2583"/>
    </row>
    <row r="152" spans="1:24" ht="13.5" hidden="1" customHeight="1">
      <c r="A152" s="2429"/>
      <c r="B152" s="539" t="s">
        <v>24</v>
      </c>
      <c r="C152" s="2435"/>
      <c r="D152" s="549">
        <f>+E152+I152+J152+K152+L152</f>
        <v>0</v>
      </c>
      <c r="E152" s="549">
        <f>+F152+G152+H152</f>
        <v>0</v>
      </c>
      <c r="F152" s="511"/>
      <c r="G152" s="510"/>
      <c r="H152" s="549"/>
      <c r="I152" s="549"/>
      <c r="J152" s="549"/>
      <c r="K152" s="510"/>
      <c r="L152" s="510"/>
      <c r="M152" s="510"/>
      <c r="N152" s="510"/>
      <c r="O152" s="510"/>
      <c r="P152" s="510"/>
      <c r="Q152" s="510"/>
      <c r="R152" s="510"/>
      <c r="S152" s="510"/>
      <c r="T152" s="510"/>
      <c r="U152" s="811">
        <f>+K152+L152+N152</f>
        <v>0</v>
      </c>
      <c r="V152" s="2583"/>
    </row>
    <row r="153" spans="1:24">
      <c r="A153" s="2429"/>
      <c r="B153" s="539" t="s">
        <v>25</v>
      </c>
      <c r="C153" s="2435"/>
      <c r="D153" s="521">
        <f t="shared" ref="D153" si="169">SUM(M153:R153)</f>
        <v>194314</v>
      </c>
      <c r="E153" s="542">
        <f>+F153+G153+H153</f>
        <v>0</v>
      </c>
      <c r="F153" s="516"/>
      <c r="G153" s="508">
        <v>0</v>
      </c>
      <c r="H153" s="542"/>
      <c r="I153" s="542">
        <f>28650-8911</f>
        <v>19739</v>
      </c>
      <c r="J153" s="542">
        <v>25971</v>
      </c>
      <c r="K153" s="508">
        <f>42279+4589-9330</f>
        <v>37538</v>
      </c>
      <c r="L153" s="508">
        <f>42726+12176-11720</f>
        <v>43182</v>
      </c>
      <c r="M153" s="510">
        <f t="shared" ref="M153" si="170">+L153+K153+J153+I153+E153</f>
        <v>126430</v>
      </c>
      <c r="N153" s="508">
        <f>45513+2789+4500-17439-1780</f>
        <v>33583</v>
      </c>
      <c r="O153" s="508">
        <f>14686-350+19965</f>
        <v>34301</v>
      </c>
      <c r="P153" s="508">
        <v>0</v>
      </c>
      <c r="Q153" s="508"/>
      <c r="R153" s="508"/>
      <c r="S153" s="508"/>
      <c r="T153" s="508"/>
      <c r="U153" s="811">
        <f>SUM(O153:T153)</f>
        <v>34301</v>
      </c>
      <c r="V153" s="2583"/>
    </row>
    <row r="154" spans="1:24" ht="12.75" customHeight="1">
      <c r="A154" s="2429"/>
      <c r="B154" s="605" t="s">
        <v>30</v>
      </c>
      <c r="C154" s="2435"/>
      <c r="D154" s="514">
        <f>+D155</f>
        <v>1101111</v>
      </c>
      <c r="E154" s="514">
        <f t="shared" ref="E154:U154" si="171">+E155</f>
        <v>0</v>
      </c>
      <c r="F154" s="514">
        <f t="shared" si="171"/>
        <v>0</v>
      </c>
      <c r="G154" s="514">
        <f t="shared" si="171"/>
        <v>0</v>
      </c>
      <c r="H154" s="514">
        <f t="shared" si="171"/>
        <v>0</v>
      </c>
      <c r="I154" s="514">
        <f t="shared" si="171"/>
        <v>111854</v>
      </c>
      <c r="J154" s="514">
        <f t="shared" si="171"/>
        <v>147169</v>
      </c>
      <c r="K154" s="514">
        <f t="shared" si="171"/>
        <v>212718</v>
      </c>
      <c r="L154" s="514">
        <f t="shared" si="171"/>
        <v>244697</v>
      </c>
      <c r="M154" s="514">
        <f t="shared" si="171"/>
        <v>716438</v>
      </c>
      <c r="N154" s="514">
        <f t="shared" si="171"/>
        <v>190302</v>
      </c>
      <c r="O154" s="514">
        <f t="shared" si="171"/>
        <v>194371</v>
      </c>
      <c r="P154" s="514">
        <f t="shared" si="171"/>
        <v>0</v>
      </c>
      <c r="Q154" s="514"/>
      <c r="R154" s="514"/>
      <c r="S154" s="514"/>
      <c r="T154" s="514"/>
      <c r="U154" s="515">
        <f t="shared" si="171"/>
        <v>194371</v>
      </c>
      <c r="V154" s="2583"/>
    </row>
    <row r="155" spans="1:24" ht="11.25" customHeight="1">
      <c r="A155" s="2429"/>
      <c r="B155" s="544" t="s">
        <v>33</v>
      </c>
      <c r="C155" s="2435"/>
      <c r="D155" s="521">
        <f t="shared" ref="D155" si="172">SUM(M155:R155)</f>
        <v>1101111</v>
      </c>
      <c r="E155" s="542">
        <f>+F155+G155+H155</f>
        <v>0</v>
      </c>
      <c r="F155" s="516"/>
      <c r="G155" s="508"/>
      <c r="H155" s="542"/>
      <c r="I155" s="542">
        <f>162350-50496</f>
        <v>111854</v>
      </c>
      <c r="J155" s="542">
        <v>147169</v>
      </c>
      <c r="K155" s="508">
        <f>239583+26004-52869</f>
        <v>212718</v>
      </c>
      <c r="L155" s="508">
        <f>242115+68995-66413</f>
        <v>244697</v>
      </c>
      <c r="M155" s="510">
        <f t="shared" ref="M155" si="173">+L155+K155+J155+I155+E155</f>
        <v>716438</v>
      </c>
      <c r="N155" s="508">
        <f>257905+15809+25500-98822-10090</f>
        <v>190302</v>
      </c>
      <c r="O155" s="508">
        <f>83218-1984+113137</f>
        <v>194371</v>
      </c>
      <c r="P155" s="510">
        <v>0</v>
      </c>
      <c r="Q155" s="510">
        <v>0</v>
      </c>
      <c r="R155" s="510"/>
      <c r="S155" s="510"/>
      <c r="T155" s="510"/>
      <c r="U155" s="811">
        <f>SUM(O155:T155)</f>
        <v>194371</v>
      </c>
      <c r="V155" s="2583"/>
    </row>
    <row r="156" spans="1:24" ht="13.5" customHeight="1">
      <c r="A156" s="2429"/>
      <c r="B156" s="561" t="s">
        <v>34</v>
      </c>
      <c r="C156" s="428"/>
      <c r="D156" s="496">
        <f t="shared" ref="D156:L156" si="174">+D157+D159</f>
        <v>1295425</v>
      </c>
      <c r="E156" s="496">
        <f t="shared" si="174"/>
        <v>0</v>
      </c>
      <c r="F156" s="496">
        <f t="shared" si="174"/>
        <v>0</v>
      </c>
      <c r="G156" s="496">
        <f t="shared" si="174"/>
        <v>0</v>
      </c>
      <c r="H156" s="496">
        <f t="shared" si="174"/>
        <v>0</v>
      </c>
      <c r="I156" s="496">
        <f t="shared" si="174"/>
        <v>131593</v>
      </c>
      <c r="J156" s="496">
        <f t="shared" si="174"/>
        <v>170806</v>
      </c>
      <c r="K156" s="496">
        <f t="shared" si="174"/>
        <v>250256</v>
      </c>
      <c r="L156" s="496">
        <f t="shared" si="174"/>
        <v>287879</v>
      </c>
      <c r="M156" s="496">
        <f t="shared" ref="M156" si="175">+M157+M159</f>
        <v>840534</v>
      </c>
      <c r="N156" s="496">
        <f>+N157+N159</f>
        <v>223885</v>
      </c>
      <c r="O156" s="496">
        <f>+O157+O159</f>
        <v>231006</v>
      </c>
      <c r="P156" s="496">
        <f>+P157+P159</f>
        <v>0</v>
      </c>
      <c r="Q156" s="496">
        <f>+Q157+Q159</f>
        <v>0</v>
      </c>
      <c r="R156" s="496"/>
      <c r="S156" s="496"/>
      <c r="T156" s="496"/>
      <c r="U156" s="2612" t="s">
        <v>77</v>
      </c>
      <c r="V156" s="2584"/>
    </row>
    <row r="157" spans="1:24" ht="13.5" customHeight="1">
      <c r="A157" s="2429"/>
      <c r="B157" s="555" t="s">
        <v>36</v>
      </c>
      <c r="C157" s="2490" t="s">
        <v>188</v>
      </c>
      <c r="D157" s="519">
        <f t="shared" ref="D157:Q157" si="176">+D158</f>
        <v>194314</v>
      </c>
      <c r="E157" s="519">
        <f t="shared" si="176"/>
        <v>0</v>
      </c>
      <c r="F157" s="519">
        <f t="shared" si="176"/>
        <v>0</v>
      </c>
      <c r="G157" s="519">
        <f t="shared" si="176"/>
        <v>0</v>
      </c>
      <c r="H157" s="519">
        <f t="shared" si="176"/>
        <v>0</v>
      </c>
      <c r="I157" s="519">
        <f t="shared" si="176"/>
        <v>19739</v>
      </c>
      <c r="J157" s="519">
        <f t="shared" si="176"/>
        <v>25621</v>
      </c>
      <c r="K157" s="519">
        <f t="shared" si="176"/>
        <v>37538</v>
      </c>
      <c r="L157" s="519">
        <f t="shared" si="176"/>
        <v>43182</v>
      </c>
      <c r="M157" s="519">
        <f t="shared" si="176"/>
        <v>126080</v>
      </c>
      <c r="N157" s="519">
        <f t="shared" si="176"/>
        <v>33583</v>
      </c>
      <c r="O157" s="519">
        <f t="shared" si="176"/>
        <v>34651</v>
      </c>
      <c r="P157" s="519">
        <f t="shared" si="176"/>
        <v>0</v>
      </c>
      <c r="Q157" s="519">
        <f t="shared" si="176"/>
        <v>0</v>
      </c>
      <c r="R157" s="519"/>
      <c r="S157" s="519"/>
      <c r="T157" s="519"/>
      <c r="U157" s="2613"/>
      <c r="V157" s="2584"/>
    </row>
    <row r="158" spans="1:24" ht="11.25" customHeight="1">
      <c r="A158" s="2429"/>
      <c r="B158" s="539" t="s">
        <v>25</v>
      </c>
      <c r="C158" s="2435"/>
      <c r="D158" s="521">
        <f t="shared" ref="D158" si="177">SUM(M158:R158)</f>
        <v>194314</v>
      </c>
      <c r="E158" s="521">
        <f>+F158+G158+H158</f>
        <v>0</v>
      </c>
      <c r="F158" s="521"/>
      <c r="G158" s="521"/>
      <c r="H158" s="521"/>
      <c r="I158" s="521">
        <f>28650-8911</f>
        <v>19739</v>
      </c>
      <c r="J158" s="521">
        <v>25621</v>
      </c>
      <c r="K158" s="521">
        <f>42279+4589-9330</f>
        <v>37538</v>
      </c>
      <c r="L158" s="521">
        <f>42726+12176-11720</f>
        <v>43182</v>
      </c>
      <c r="M158" s="510">
        <f t="shared" ref="M158" si="178">+L158+K158+J158+I158+E158</f>
        <v>126080</v>
      </c>
      <c r="N158" s="521">
        <f>45513+2789+4500-17439-1780</f>
        <v>33583</v>
      </c>
      <c r="O158" s="521">
        <f>14686+19965</f>
        <v>34651</v>
      </c>
      <c r="P158" s="815">
        <v>0</v>
      </c>
      <c r="Q158" s="815">
        <v>0</v>
      </c>
      <c r="R158" s="815"/>
      <c r="S158" s="815"/>
      <c r="T158" s="815"/>
      <c r="U158" s="2613"/>
      <c r="V158" s="2584"/>
    </row>
    <row r="159" spans="1:24" ht="12" customHeight="1">
      <c r="A159" s="2429"/>
      <c r="B159" s="605" t="s">
        <v>30</v>
      </c>
      <c r="C159" s="2494"/>
      <c r="D159" s="514">
        <f t="shared" ref="D159:Q159" si="179">+D160</f>
        <v>1101111</v>
      </c>
      <c r="E159" s="514">
        <f t="shared" si="179"/>
        <v>0</v>
      </c>
      <c r="F159" s="514">
        <f t="shared" si="179"/>
        <v>0</v>
      </c>
      <c r="G159" s="514">
        <f t="shared" si="179"/>
        <v>0</v>
      </c>
      <c r="H159" s="514">
        <f t="shared" si="179"/>
        <v>0</v>
      </c>
      <c r="I159" s="514">
        <f t="shared" si="179"/>
        <v>111854</v>
      </c>
      <c r="J159" s="514">
        <f t="shared" si="179"/>
        <v>145185</v>
      </c>
      <c r="K159" s="514">
        <f t="shared" si="179"/>
        <v>212718</v>
      </c>
      <c r="L159" s="514">
        <f t="shared" si="179"/>
        <v>244697</v>
      </c>
      <c r="M159" s="514">
        <f t="shared" si="179"/>
        <v>714454</v>
      </c>
      <c r="N159" s="514">
        <f t="shared" si="179"/>
        <v>190302</v>
      </c>
      <c r="O159" s="514">
        <f t="shared" si="179"/>
        <v>196355</v>
      </c>
      <c r="P159" s="514">
        <f t="shared" si="179"/>
        <v>0</v>
      </c>
      <c r="Q159" s="514">
        <f t="shared" si="179"/>
        <v>0</v>
      </c>
      <c r="R159" s="514"/>
      <c r="S159" s="514"/>
      <c r="T159" s="514"/>
      <c r="U159" s="2613"/>
      <c r="V159" s="2584"/>
    </row>
    <row r="160" spans="1:24" ht="12.75" customHeight="1" thickBot="1">
      <c r="A160" s="2469"/>
      <c r="B160" s="648" t="s">
        <v>33</v>
      </c>
      <c r="C160" s="2495"/>
      <c r="D160" s="591">
        <f>SUM(M160:R160)</f>
        <v>1101111</v>
      </c>
      <c r="E160" s="546">
        <f>+F160+G160+H160</f>
        <v>0</v>
      </c>
      <c r="F160" s="547"/>
      <c r="G160" s="546"/>
      <c r="H160" s="546"/>
      <c r="I160" s="546">
        <f>162350-50496</f>
        <v>111854</v>
      </c>
      <c r="J160" s="546">
        <v>145185</v>
      </c>
      <c r="K160" s="546">
        <f>239583+26004-52869</f>
        <v>212718</v>
      </c>
      <c r="L160" s="546">
        <f>242115+68995-66413</f>
        <v>244697</v>
      </c>
      <c r="M160" s="510">
        <f>+L160+K160+J160+I160+E160</f>
        <v>714454</v>
      </c>
      <c r="N160" s="546">
        <f>257905+15809+25500-98822-10090</f>
        <v>190302</v>
      </c>
      <c r="O160" s="546">
        <f>83218+113137</f>
        <v>196355</v>
      </c>
      <c r="P160" s="817">
        <v>0</v>
      </c>
      <c r="Q160" s="817">
        <v>0</v>
      </c>
      <c r="R160" s="817"/>
      <c r="S160" s="817"/>
      <c r="T160" s="817"/>
      <c r="U160" s="2614"/>
      <c r="V160" s="2585"/>
    </row>
    <row r="161" spans="1:24" ht="67.5" customHeight="1">
      <c r="A161" s="2428" t="s">
        <v>118</v>
      </c>
      <c r="B161" s="548" t="s">
        <v>189</v>
      </c>
      <c r="C161" s="528" t="s">
        <v>138</v>
      </c>
      <c r="D161" s="529"/>
      <c r="E161" s="531"/>
      <c r="F161" s="530"/>
      <c r="G161" s="531"/>
      <c r="H161" s="531"/>
      <c r="I161" s="489"/>
      <c r="J161" s="489"/>
      <c r="K161" s="489"/>
      <c r="L161" s="489"/>
      <c r="M161" s="491"/>
      <c r="N161" s="491"/>
      <c r="O161" s="491"/>
      <c r="P161" s="491"/>
      <c r="Q161" s="491"/>
      <c r="R161" s="529"/>
      <c r="S161" s="1796"/>
      <c r="T161" s="1796"/>
      <c r="U161" s="809"/>
      <c r="V161" s="2582" t="s">
        <v>187</v>
      </c>
    </row>
    <row r="162" spans="1:24" ht="11.25" customHeight="1">
      <c r="A162" s="2429"/>
      <c r="B162" s="554" t="s">
        <v>22</v>
      </c>
      <c r="C162" s="428"/>
      <c r="D162" s="533">
        <f t="shared" ref="D162:P162" si="180">+D163+D166</f>
        <v>7460883</v>
      </c>
      <c r="E162" s="534">
        <f t="shared" si="180"/>
        <v>0</v>
      </c>
      <c r="F162" s="534">
        <f t="shared" si="180"/>
        <v>0</v>
      </c>
      <c r="G162" s="534">
        <f t="shared" si="180"/>
        <v>0</v>
      </c>
      <c r="H162" s="534">
        <f t="shared" si="180"/>
        <v>0</v>
      </c>
      <c r="I162" s="534">
        <f t="shared" si="180"/>
        <v>0</v>
      </c>
      <c r="J162" s="534">
        <f t="shared" si="180"/>
        <v>0</v>
      </c>
      <c r="K162" s="534">
        <f t="shared" si="180"/>
        <v>1460883</v>
      </c>
      <c r="L162" s="534">
        <f t="shared" si="180"/>
        <v>367750</v>
      </c>
      <c r="M162" s="534">
        <f t="shared" ref="M162" si="181">+M163+M166</f>
        <v>1828633</v>
      </c>
      <c r="N162" s="534">
        <f t="shared" si="180"/>
        <v>2175652</v>
      </c>
      <c r="O162" s="534">
        <f t="shared" si="180"/>
        <v>3456598</v>
      </c>
      <c r="P162" s="534">
        <f t="shared" si="180"/>
        <v>0</v>
      </c>
      <c r="Q162" s="534">
        <f>+Q163+Q166</f>
        <v>0</v>
      </c>
      <c r="R162" s="534">
        <f t="shared" ref="R162:T162" si="182">+R163+R166</f>
        <v>0</v>
      </c>
      <c r="S162" s="534">
        <f t="shared" si="182"/>
        <v>0</v>
      </c>
      <c r="T162" s="534">
        <f t="shared" si="182"/>
        <v>0</v>
      </c>
      <c r="U162" s="535">
        <f>+U163+U166</f>
        <v>3456598</v>
      </c>
      <c r="V162" s="2583"/>
      <c r="W162" s="1258">
        <f>+O162+P162+Q162+R162</f>
        <v>3456598</v>
      </c>
      <c r="X162" s="1258"/>
    </row>
    <row r="163" spans="1:24" ht="11.25" hidden="1" customHeight="1">
      <c r="A163" s="2429"/>
      <c r="B163" s="555" t="s">
        <v>36</v>
      </c>
      <c r="C163" s="2433" t="s">
        <v>188</v>
      </c>
      <c r="D163" s="536">
        <f t="shared" ref="D163:P163" si="183">+D164+D165</f>
        <v>0</v>
      </c>
      <c r="E163" s="536">
        <f t="shared" si="183"/>
        <v>0</v>
      </c>
      <c r="F163" s="536">
        <f t="shared" si="183"/>
        <v>0</v>
      </c>
      <c r="G163" s="536">
        <f t="shared" si="183"/>
        <v>0</v>
      </c>
      <c r="H163" s="536">
        <f t="shared" si="183"/>
        <v>0</v>
      </c>
      <c r="I163" s="536">
        <f t="shared" si="183"/>
        <v>0</v>
      </c>
      <c r="J163" s="536">
        <f t="shared" si="183"/>
        <v>0</v>
      </c>
      <c r="K163" s="536">
        <f t="shared" si="183"/>
        <v>0</v>
      </c>
      <c r="L163" s="536">
        <f t="shared" si="183"/>
        <v>0</v>
      </c>
      <c r="M163" s="536">
        <f t="shared" ref="M163" si="184">+M164+M165</f>
        <v>0</v>
      </c>
      <c r="N163" s="536">
        <f t="shared" si="183"/>
        <v>0</v>
      </c>
      <c r="O163" s="536">
        <f t="shared" si="183"/>
        <v>0</v>
      </c>
      <c r="P163" s="536">
        <f t="shared" si="183"/>
        <v>0</v>
      </c>
      <c r="Q163" s="536">
        <f>+Q164+Q165</f>
        <v>0</v>
      </c>
      <c r="R163" s="536">
        <f t="shared" ref="R163:T163" si="185">+R164+R165</f>
        <v>0</v>
      </c>
      <c r="S163" s="536">
        <f t="shared" si="185"/>
        <v>0</v>
      </c>
      <c r="T163" s="536">
        <f t="shared" si="185"/>
        <v>0</v>
      </c>
      <c r="U163" s="557">
        <f>+U164+U165</f>
        <v>0</v>
      </c>
      <c r="V163" s="2583"/>
    </row>
    <row r="164" spans="1:24" ht="11.25" hidden="1" customHeight="1">
      <c r="A164" s="2429"/>
      <c r="B164" s="539" t="s">
        <v>24</v>
      </c>
      <c r="C164" s="2435"/>
      <c r="D164" s="520">
        <f>+E164+I164+J164+K164+L164</f>
        <v>0</v>
      </c>
      <c r="E164" s="549">
        <f>+F164+G164+H164</f>
        <v>0</v>
      </c>
      <c r="F164" s="511"/>
      <c r="G164" s="510"/>
      <c r="H164" s="549"/>
      <c r="I164" s="549"/>
      <c r="J164" s="549"/>
      <c r="K164" s="510"/>
      <c r="L164" s="510"/>
      <c r="M164" s="510"/>
      <c r="N164" s="510"/>
      <c r="O164" s="510"/>
      <c r="P164" s="510"/>
      <c r="Q164" s="510"/>
      <c r="R164" s="510"/>
      <c r="S164" s="510"/>
      <c r="T164" s="510"/>
      <c r="U164" s="811">
        <f>+K164+L164+N164</f>
        <v>0</v>
      </c>
      <c r="V164" s="2583"/>
    </row>
    <row r="165" spans="1:24" ht="11.25" hidden="1" customHeight="1">
      <c r="A165" s="2429"/>
      <c r="B165" s="539" t="s">
        <v>25</v>
      </c>
      <c r="C165" s="2435"/>
      <c r="D165" s="520">
        <f>+E165+I165+J165+K165+L165+N165+O165+P165</f>
        <v>0</v>
      </c>
      <c r="E165" s="542">
        <f>+F165+G165+H165</f>
        <v>0</v>
      </c>
      <c r="F165" s="516"/>
      <c r="G165" s="508">
        <v>0</v>
      </c>
      <c r="H165" s="542"/>
      <c r="I165" s="542">
        <v>0</v>
      </c>
      <c r="J165" s="542">
        <v>0</v>
      </c>
      <c r="K165" s="508">
        <v>0</v>
      </c>
      <c r="L165" s="508">
        <v>0</v>
      </c>
      <c r="M165" s="508">
        <v>0</v>
      </c>
      <c r="N165" s="508">
        <v>0</v>
      </c>
      <c r="O165" s="508">
        <v>0</v>
      </c>
      <c r="P165" s="508"/>
      <c r="Q165" s="508"/>
      <c r="R165" s="508"/>
      <c r="S165" s="508"/>
      <c r="T165" s="508"/>
      <c r="U165" s="811">
        <f>SUM(N165:Q165)</f>
        <v>0</v>
      </c>
      <c r="V165" s="2583"/>
    </row>
    <row r="166" spans="1:24" ht="12.75" customHeight="1">
      <c r="A166" s="2429"/>
      <c r="B166" s="605" t="s">
        <v>30</v>
      </c>
      <c r="C166" s="2435"/>
      <c r="D166" s="513">
        <f>+D167</f>
        <v>7460883</v>
      </c>
      <c r="E166" s="514">
        <f t="shared" ref="E166:U166" si="186">+E167</f>
        <v>0</v>
      </c>
      <c r="F166" s="514">
        <f t="shared" si="186"/>
        <v>0</v>
      </c>
      <c r="G166" s="514">
        <f t="shared" si="186"/>
        <v>0</v>
      </c>
      <c r="H166" s="514">
        <f t="shared" si="186"/>
        <v>0</v>
      </c>
      <c r="I166" s="514">
        <f t="shared" si="186"/>
        <v>0</v>
      </c>
      <c r="J166" s="514">
        <f t="shared" si="186"/>
        <v>0</v>
      </c>
      <c r="K166" s="514">
        <f t="shared" si="186"/>
        <v>1460883</v>
      </c>
      <c r="L166" s="514">
        <f t="shared" si="186"/>
        <v>367750</v>
      </c>
      <c r="M166" s="514">
        <f t="shared" si="186"/>
        <v>1828633</v>
      </c>
      <c r="N166" s="514">
        <f t="shared" si="186"/>
        <v>2175652</v>
      </c>
      <c r="O166" s="514">
        <f t="shared" si="186"/>
        <v>3456598</v>
      </c>
      <c r="P166" s="514">
        <f t="shared" si="186"/>
        <v>0</v>
      </c>
      <c r="Q166" s="514">
        <f t="shared" si="186"/>
        <v>0</v>
      </c>
      <c r="R166" s="514">
        <f t="shared" si="186"/>
        <v>0</v>
      </c>
      <c r="S166" s="514">
        <f t="shared" si="186"/>
        <v>0</v>
      </c>
      <c r="T166" s="514">
        <f t="shared" si="186"/>
        <v>0</v>
      </c>
      <c r="U166" s="515">
        <f t="shared" si="186"/>
        <v>3456598</v>
      </c>
      <c r="V166" s="2583"/>
    </row>
    <row r="167" spans="1:24" ht="11.25" customHeight="1">
      <c r="A167" s="2429"/>
      <c r="B167" s="544" t="s">
        <v>33</v>
      </c>
      <c r="C167" s="2435"/>
      <c r="D167" s="521">
        <f t="shared" ref="D167" si="187">SUM(M167:R167)</f>
        <v>7460883</v>
      </c>
      <c r="E167" s="542">
        <f>+F167+G167+H167</f>
        <v>0</v>
      </c>
      <c r="F167" s="516"/>
      <c r="G167" s="508"/>
      <c r="H167" s="542"/>
      <c r="I167" s="542">
        <v>0</v>
      </c>
      <c r="J167" s="542">
        <v>0</v>
      </c>
      <c r="K167" s="508">
        <f>1973000-512117</f>
        <v>1460883</v>
      </c>
      <c r="L167" s="508">
        <f>1500000-922000+922000-1016500-115750</f>
        <v>367750</v>
      </c>
      <c r="M167" s="510">
        <f t="shared" ref="M167" si="188">+L167+K167+J167+I167+E167</f>
        <v>1828633</v>
      </c>
      <c r="N167" s="508">
        <f>1500000+3922000-922000+1016500-1703354-39965-1597529</f>
        <v>2175652</v>
      </c>
      <c r="O167" s="508">
        <f>1819104+39965+1597529</f>
        <v>3456598</v>
      </c>
      <c r="P167" s="510">
        <v>0</v>
      </c>
      <c r="Q167" s="510">
        <v>0</v>
      </c>
      <c r="R167" s="510">
        <v>0</v>
      </c>
      <c r="S167" s="510">
        <v>0</v>
      </c>
      <c r="T167" s="510">
        <v>0</v>
      </c>
      <c r="U167" s="811">
        <f>SUM(O167:T167)</f>
        <v>3456598</v>
      </c>
      <c r="V167" s="2583"/>
    </row>
    <row r="168" spans="1:24" ht="11.25" customHeight="1">
      <c r="A168" s="2604"/>
      <c r="B168" s="561" t="s">
        <v>34</v>
      </c>
      <c r="C168" s="428"/>
      <c r="D168" s="518">
        <f t="shared" ref="D168:L168" si="189">+D169+D171</f>
        <v>7460883</v>
      </c>
      <c r="E168" s="496">
        <f t="shared" si="189"/>
        <v>0</v>
      </c>
      <c r="F168" s="496">
        <f t="shared" si="189"/>
        <v>0</v>
      </c>
      <c r="G168" s="496">
        <f t="shared" si="189"/>
        <v>0</v>
      </c>
      <c r="H168" s="496">
        <f t="shared" si="189"/>
        <v>0</v>
      </c>
      <c r="I168" s="496">
        <f t="shared" si="189"/>
        <v>0</v>
      </c>
      <c r="J168" s="496">
        <f t="shared" si="189"/>
        <v>0</v>
      </c>
      <c r="K168" s="496">
        <f t="shared" si="189"/>
        <v>1440142</v>
      </c>
      <c r="L168" s="496">
        <f t="shared" si="189"/>
        <v>374714</v>
      </c>
      <c r="M168" s="496">
        <f t="shared" ref="M168" si="190">+M169+M171</f>
        <v>1814856</v>
      </c>
      <c r="N168" s="496">
        <f>+N169+N171</f>
        <v>2175652</v>
      </c>
      <c r="O168" s="496">
        <f>+O169+O171</f>
        <v>3470375</v>
      </c>
      <c r="P168" s="496">
        <f>+P169+P171</f>
        <v>0</v>
      </c>
      <c r="Q168" s="496">
        <f>+Q169+Q171</f>
        <v>0</v>
      </c>
      <c r="R168" s="496">
        <f t="shared" ref="R168:T168" si="191">+R169+R171</f>
        <v>0</v>
      </c>
      <c r="S168" s="496">
        <f t="shared" si="191"/>
        <v>0</v>
      </c>
      <c r="T168" s="496">
        <f t="shared" si="191"/>
        <v>0</v>
      </c>
      <c r="U168" s="2612" t="s">
        <v>77</v>
      </c>
      <c r="V168" s="2584"/>
    </row>
    <row r="169" spans="1:24" ht="11.25" hidden="1" customHeight="1">
      <c r="A169" s="2430"/>
      <c r="B169" s="555" t="s">
        <v>36</v>
      </c>
      <c r="C169" s="2490" t="s">
        <v>190</v>
      </c>
      <c r="D169" s="519">
        <f t="shared" ref="D169:P169" si="192">+D170</f>
        <v>0</v>
      </c>
      <c r="E169" s="519">
        <f t="shared" si="192"/>
        <v>0</v>
      </c>
      <c r="F169" s="519">
        <f t="shared" si="192"/>
        <v>0</v>
      </c>
      <c r="G169" s="519">
        <f t="shared" si="192"/>
        <v>0</v>
      </c>
      <c r="H169" s="519">
        <f t="shared" si="192"/>
        <v>0</v>
      </c>
      <c r="I169" s="519">
        <f t="shared" si="192"/>
        <v>0</v>
      </c>
      <c r="J169" s="519">
        <f t="shared" si="192"/>
        <v>0</v>
      </c>
      <c r="K169" s="519">
        <f t="shared" si="192"/>
        <v>0</v>
      </c>
      <c r="L169" s="519">
        <f t="shared" si="192"/>
        <v>0</v>
      </c>
      <c r="M169" s="519">
        <f t="shared" si="192"/>
        <v>0</v>
      </c>
      <c r="N169" s="519">
        <f t="shared" si="192"/>
        <v>0</v>
      </c>
      <c r="O169" s="519">
        <f t="shared" si="192"/>
        <v>0</v>
      </c>
      <c r="P169" s="519">
        <f t="shared" si="192"/>
        <v>0</v>
      </c>
      <c r="Q169" s="519">
        <v>0</v>
      </c>
      <c r="R169" s="519">
        <v>0</v>
      </c>
      <c r="S169" s="519">
        <v>0</v>
      </c>
      <c r="T169" s="519">
        <v>0</v>
      </c>
      <c r="U169" s="2613"/>
      <c r="V169" s="2584"/>
    </row>
    <row r="170" spans="1:24" ht="11.25" hidden="1" customHeight="1">
      <c r="A170" s="2430"/>
      <c r="B170" s="539" t="s">
        <v>25</v>
      </c>
      <c r="C170" s="2435"/>
      <c r="D170" s="520">
        <f>+E170+I170+J170+K170+L170+N170+O170+P170</f>
        <v>0</v>
      </c>
      <c r="E170" s="521">
        <f>+F170+G170+H170</f>
        <v>0</v>
      </c>
      <c r="F170" s="521"/>
      <c r="G170" s="521"/>
      <c r="H170" s="521"/>
      <c r="I170" s="521">
        <v>0</v>
      </c>
      <c r="J170" s="521">
        <v>0</v>
      </c>
      <c r="K170" s="521"/>
      <c r="L170" s="521"/>
      <c r="M170" s="521"/>
      <c r="N170" s="521"/>
      <c r="O170" s="521"/>
      <c r="P170" s="815"/>
      <c r="Q170" s="815"/>
      <c r="R170" s="815"/>
      <c r="S170" s="815"/>
      <c r="T170" s="815"/>
      <c r="U170" s="2613"/>
      <c r="V170" s="2584"/>
    </row>
    <row r="171" spans="1:24" ht="13.5" customHeight="1">
      <c r="A171" s="2430"/>
      <c r="B171" s="605" t="s">
        <v>30</v>
      </c>
      <c r="C171" s="2494"/>
      <c r="D171" s="513">
        <f t="shared" ref="D171:P171" si="193">+D172</f>
        <v>7460883</v>
      </c>
      <c r="E171" s="514">
        <f t="shared" si="193"/>
        <v>0</v>
      </c>
      <c r="F171" s="514">
        <f t="shared" si="193"/>
        <v>0</v>
      </c>
      <c r="G171" s="514">
        <f t="shared" si="193"/>
        <v>0</v>
      </c>
      <c r="H171" s="514">
        <f t="shared" si="193"/>
        <v>0</v>
      </c>
      <c r="I171" s="514">
        <f t="shared" si="193"/>
        <v>0</v>
      </c>
      <c r="J171" s="514">
        <f t="shared" si="193"/>
        <v>0</v>
      </c>
      <c r="K171" s="514">
        <f t="shared" si="193"/>
        <v>1440142</v>
      </c>
      <c r="L171" s="514">
        <f t="shared" si="193"/>
        <v>374714</v>
      </c>
      <c r="M171" s="514">
        <f t="shared" si="193"/>
        <v>1814856</v>
      </c>
      <c r="N171" s="514">
        <f t="shared" si="193"/>
        <v>2175652</v>
      </c>
      <c r="O171" s="514">
        <f t="shared" si="193"/>
        <v>3470375</v>
      </c>
      <c r="P171" s="514">
        <f t="shared" si="193"/>
        <v>0</v>
      </c>
      <c r="Q171" s="514">
        <v>0</v>
      </c>
      <c r="R171" s="514">
        <v>0</v>
      </c>
      <c r="S171" s="514">
        <v>0</v>
      </c>
      <c r="T171" s="514">
        <v>0</v>
      </c>
      <c r="U171" s="2613"/>
      <c r="V171" s="2584"/>
    </row>
    <row r="172" spans="1:24" ht="12.75" customHeight="1" thickBot="1">
      <c r="A172" s="2431"/>
      <c r="B172" s="539" t="s">
        <v>33</v>
      </c>
      <c r="C172" s="2495"/>
      <c r="D172" s="591">
        <f>SUM(M172:R172)</f>
        <v>7460883</v>
      </c>
      <c r="E172" s="546">
        <v>0</v>
      </c>
      <c r="F172" s="547"/>
      <c r="G172" s="546"/>
      <c r="H172" s="546"/>
      <c r="I172" s="546">
        <v>0</v>
      </c>
      <c r="J172" s="546">
        <v>0</v>
      </c>
      <c r="K172" s="546">
        <f>1973000-532858</f>
        <v>1440142</v>
      </c>
      <c r="L172" s="546">
        <f>1500000-922000+922000-1016500-108786</f>
        <v>374714</v>
      </c>
      <c r="M172" s="510">
        <f>+L172+K172+J172+I172+E172</f>
        <v>1814856</v>
      </c>
      <c r="N172" s="546">
        <f>1500000+3942741-922000+1016500-1652346-111714-1597529</f>
        <v>2175652</v>
      </c>
      <c r="O172" s="546">
        <f>1761132+111714+1597529</f>
        <v>3470375</v>
      </c>
      <c r="P172" s="817">
        <v>0</v>
      </c>
      <c r="Q172" s="817">
        <v>0</v>
      </c>
      <c r="R172" s="817">
        <v>0</v>
      </c>
      <c r="S172" s="817">
        <v>0</v>
      </c>
      <c r="T172" s="817">
        <v>0</v>
      </c>
      <c r="U172" s="2614"/>
      <c r="V172" s="2585"/>
    </row>
    <row r="173" spans="1:24" ht="33.75" customHeight="1">
      <c r="A173" s="2428" t="s">
        <v>119</v>
      </c>
      <c r="B173" s="527" t="s">
        <v>416</v>
      </c>
      <c r="C173" s="528" t="s">
        <v>138</v>
      </c>
      <c r="D173" s="529"/>
      <c r="E173" s="531"/>
      <c r="F173" s="530"/>
      <c r="G173" s="531"/>
      <c r="H173" s="531"/>
      <c r="I173" s="489"/>
      <c r="J173" s="489"/>
      <c r="K173" s="489"/>
      <c r="L173" s="489"/>
      <c r="M173" s="491"/>
      <c r="N173" s="491"/>
      <c r="O173" s="491"/>
      <c r="P173" s="491"/>
      <c r="Q173" s="491"/>
      <c r="R173" s="491"/>
      <c r="S173" s="582"/>
      <c r="T173" s="582"/>
      <c r="U173" s="809"/>
      <c r="V173" s="2582" t="s">
        <v>187</v>
      </c>
    </row>
    <row r="174" spans="1:24" ht="11.25" customHeight="1">
      <c r="A174" s="2429"/>
      <c r="B174" s="561" t="s">
        <v>22</v>
      </c>
      <c r="C174" s="533"/>
      <c r="D174" s="534">
        <f t="shared" ref="D174:P174" si="194">+D175+D178</f>
        <v>902584</v>
      </c>
      <c r="E174" s="534">
        <f t="shared" si="194"/>
        <v>0</v>
      </c>
      <c r="F174" s="534">
        <f t="shared" si="194"/>
        <v>0</v>
      </c>
      <c r="G174" s="534">
        <f t="shared" si="194"/>
        <v>0</v>
      </c>
      <c r="H174" s="534">
        <f t="shared" si="194"/>
        <v>0</v>
      </c>
      <c r="I174" s="534">
        <f t="shared" si="194"/>
        <v>0</v>
      </c>
      <c r="J174" s="534">
        <f t="shared" si="194"/>
        <v>0</v>
      </c>
      <c r="K174" s="534">
        <f t="shared" si="194"/>
        <v>213150</v>
      </c>
      <c r="L174" s="534">
        <f t="shared" si="194"/>
        <v>119050</v>
      </c>
      <c r="M174" s="534">
        <f t="shared" ref="M174" si="195">+M175+M178</f>
        <v>332200</v>
      </c>
      <c r="N174" s="534">
        <f t="shared" si="194"/>
        <v>231384</v>
      </c>
      <c r="O174" s="534">
        <f t="shared" si="194"/>
        <v>339000</v>
      </c>
      <c r="P174" s="534">
        <f t="shared" si="194"/>
        <v>0</v>
      </c>
      <c r="Q174" s="534">
        <f>+Q175+Q178</f>
        <v>0</v>
      </c>
      <c r="R174" s="533"/>
      <c r="S174" s="533"/>
      <c r="T174" s="533"/>
      <c r="U174" s="535">
        <f>+U175+U178</f>
        <v>339000</v>
      </c>
      <c r="V174" s="2583"/>
      <c r="W174" s="1258">
        <f>+O174+P174+Q174+R174</f>
        <v>339000</v>
      </c>
      <c r="X174" s="1258"/>
    </row>
    <row r="175" spans="1:24" ht="11.25" hidden="1" customHeight="1">
      <c r="A175" s="2429"/>
      <c r="B175" s="1912" t="s">
        <v>36</v>
      </c>
      <c r="C175" s="2433" t="s">
        <v>188</v>
      </c>
      <c r="D175" s="825">
        <f t="shared" ref="D175:P175" si="196">+D176+D177</f>
        <v>0</v>
      </c>
      <c r="E175" s="825">
        <f t="shared" si="196"/>
        <v>0</v>
      </c>
      <c r="F175" s="825">
        <f t="shared" si="196"/>
        <v>0</v>
      </c>
      <c r="G175" s="825">
        <f t="shared" si="196"/>
        <v>0</v>
      </c>
      <c r="H175" s="825">
        <f t="shared" si="196"/>
        <v>0</v>
      </c>
      <c r="I175" s="825">
        <f t="shared" si="196"/>
        <v>0</v>
      </c>
      <c r="J175" s="825">
        <f t="shared" si="196"/>
        <v>0</v>
      </c>
      <c r="K175" s="825">
        <f t="shared" si="196"/>
        <v>0</v>
      </c>
      <c r="L175" s="825">
        <f t="shared" si="196"/>
        <v>0</v>
      </c>
      <c r="M175" s="825">
        <f t="shared" ref="M175" si="197">+M176+M177</f>
        <v>0</v>
      </c>
      <c r="N175" s="825">
        <f t="shared" si="196"/>
        <v>0</v>
      </c>
      <c r="O175" s="825">
        <f t="shared" si="196"/>
        <v>0</v>
      </c>
      <c r="P175" s="825">
        <f t="shared" si="196"/>
        <v>0</v>
      </c>
      <c r="Q175" s="825">
        <f>+Q176+Q177</f>
        <v>0</v>
      </c>
      <c r="R175" s="825"/>
      <c r="S175" s="825"/>
      <c r="T175" s="825"/>
      <c r="U175" s="557">
        <f>+U176+U177</f>
        <v>0</v>
      </c>
      <c r="V175" s="2583"/>
    </row>
    <row r="176" spans="1:24" ht="11.25" hidden="1" customHeight="1">
      <c r="A176" s="2429"/>
      <c r="B176" s="1912" t="s">
        <v>24</v>
      </c>
      <c r="C176" s="2435"/>
      <c r="D176" s="825">
        <f>+E176+I176+J176+K176+L176</f>
        <v>0</v>
      </c>
      <c r="E176" s="825">
        <f>+F176+G176+H176</f>
        <v>0</v>
      </c>
      <c r="F176" s="825"/>
      <c r="G176" s="825"/>
      <c r="H176" s="825"/>
      <c r="I176" s="825"/>
      <c r="J176" s="825"/>
      <c r="K176" s="825"/>
      <c r="L176" s="825"/>
      <c r="M176" s="825"/>
      <c r="N176" s="825"/>
      <c r="O176" s="825"/>
      <c r="P176" s="825"/>
      <c r="Q176" s="825"/>
      <c r="R176" s="825"/>
      <c r="S176" s="825"/>
      <c r="T176" s="825"/>
      <c r="U176" s="811">
        <f>+K176+L176+N176</f>
        <v>0</v>
      </c>
      <c r="V176" s="2583"/>
    </row>
    <row r="177" spans="1:26" ht="11.25" hidden="1" customHeight="1">
      <c r="A177" s="2429"/>
      <c r="B177" s="1912" t="s">
        <v>25</v>
      </c>
      <c r="C177" s="2435"/>
      <c r="D177" s="825">
        <f>+E177+I177+J177+K177+L177+N177+O177+P177</f>
        <v>0</v>
      </c>
      <c r="E177" s="825">
        <f>+F177+G177+H177</f>
        <v>0</v>
      </c>
      <c r="F177" s="825"/>
      <c r="G177" s="825">
        <v>0</v>
      </c>
      <c r="H177" s="825"/>
      <c r="I177" s="825"/>
      <c r="J177" s="825"/>
      <c r="K177" s="825"/>
      <c r="L177" s="825"/>
      <c r="M177" s="825"/>
      <c r="N177" s="825"/>
      <c r="O177" s="825"/>
      <c r="P177" s="825"/>
      <c r="Q177" s="825"/>
      <c r="R177" s="825"/>
      <c r="S177" s="825"/>
      <c r="T177" s="825"/>
      <c r="U177" s="811">
        <f>SUM(N177:Q177)</f>
        <v>0</v>
      </c>
      <c r="V177" s="2583"/>
    </row>
    <row r="178" spans="1:26" ht="12.75" customHeight="1">
      <c r="A178" s="2429"/>
      <c r="B178" s="560" t="s">
        <v>30</v>
      </c>
      <c r="C178" s="2435"/>
      <c r="D178" s="513">
        <f>+D179</f>
        <v>902584</v>
      </c>
      <c r="E178" s="514">
        <f t="shared" ref="E178:U178" si="198">+E179</f>
        <v>0</v>
      </c>
      <c r="F178" s="514">
        <f t="shared" si="198"/>
        <v>0</v>
      </c>
      <c r="G178" s="514">
        <f t="shared" si="198"/>
        <v>0</v>
      </c>
      <c r="H178" s="514">
        <f t="shared" si="198"/>
        <v>0</v>
      </c>
      <c r="I178" s="514">
        <f t="shared" si="198"/>
        <v>0</v>
      </c>
      <c r="J178" s="514">
        <f t="shared" si="198"/>
        <v>0</v>
      </c>
      <c r="K178" s="514">
        <f t="shared" si="198"/>
        <v>213150</v>
      </c>
      <c r="L178" s="514">
        <f t="shared" si="198"/>
        <v>119050</v>
      </c>
      <c r="M178" s="514">
        <f t="shared" si="198"/>
        <v>332200</v>
      </c>
      <c r="N178" s="514">
        <f t="shared" si="198"/>
        <v>231384</v>
      </c>
      <c r="O178" s="514">
        <f t="shared" si="198"/>
        <v>339000</v>
      </c>
      <c r="P178" s="514">
        <f t="shared" si="198"/>
        <v>0</v>
      </c>
      <c r="Q178" s="514">
        <f t="shared" si="198"/>
        <v>0</v>
      </c>
      <c r="R178" s="514"/>
      <c r="S178" s="514"/>
      <c r="T178" s="514"/>
      <c r="U178" s="515">
        <f t="shared" si="198"/>
        <v>339000</v>
      </c>
      <c r="V178" s="2583"/>
    </row>
    <row r="179" spans="1:26" ht="13.5" customHeight="1">
      <c r="A179" s="2429"/>
      <c r="B179" s="631" t="s">
        <v>33</v>
      </c>
      <c r="C179" s="2435"/>
      <c r="D179" s="521">
        <f t="shared" ref="D179" si="199">SUM(M179:R179)</f>
        <v>902584</v>
      </c>
      <c r="E179" s="542">
        <f>+F179+G179+H179</f>
        <v>0</v>
      </c>
      <c r="F179" s="516"/>
      <c r="G179" s="508"/>
      <c r="H179" s="542"/>
      <c r="I179" s="542">
        <v>0</v>
      </c>
      <c r="J179" s="542">
        <v>0</v>
      </c>
      <c r="K179" s="508">
        <f>219301-6151</f>
        <v>213150</v>
      </c>
      <c r="L179" s="508">
        <f>450000-320000-27891+16941</f>
        <v>119050</v>
      </c>
      <c r="M179" s="510">
        <f t="shared" ref="M179" si="200">+L179+K179+J179+I179+E179</f>
        <v>332200</v>
      </c>
      <c r="N179" s="508">
        <f>250000+320000-338616</f>
        <v>231384</v>
      </c>
      <c r="O179" s="508">
        <v>339000</v>
      </c>
      <c r="P179" s="510">
        <v>0</v>
      </c>
      <c r="Q179" s="510">
        <v>0</v>
      </c>
      <c r="R179" s="510"/>
      <c r="S179" s="510"/>
      <c r="T179" s="510"/>
      <c r="U179" s="811">
        <f>SUM(O179:T179)</f>
        <v>339000</v>
      </c>
      <c r="V179" s="2583"/>
    </row>
    <row r="180" spans="1:26" ht="11.25" customHeight="1">
      <c r="A180" s="2604"/>
      <c r="B180" s="561" t="s">
        <v>34</v>
      </c>
      <c r="C180" s="428"/>
      <c r="D180" s="518">
        <f t="shared" ref="D180:L180" si="201">+D181+D183</f>
        <v>902584</v>
      </c>
      <c r="E180" s="496">
        <f t="shared" si="201"/>
        <v>0</v>
      </c>
      <c r="F180" s="496">
        <f t="shared" si="201"/>
        <v>0</v>
      </c>
      <c r="G180" s="496">
        <f t="shared" si="201"/>
        <v>0</v>
      </c>
      <c r="H180" s="496">
        <f t="shared" si="201"/>
        <v>0</v>
      </c>
      <c r="I180" s="496">
        <f t="shared" si="201"/>
        <v>0</v>
      </c>
      <c r="J180" s="496">
        <f t="shared" si="201"/>
        <v>0</v>
      </c>
      <c r="K180" s="496">
        <f t="shared" si="201"/>
        <v>0</v>
      </c>
      <c r="L180" s="496">
        <f t="shared" si="201"/>
        <v>0</v>
      </c>
      <c r="M180" s="496">
        <f t="shared" ref="M180" si="202">+M181+M183</f>
        <v>0</v>
      </c>
      <c r="N180" s="496">
        <f>+N181+N183</f>
        <v>563584</v>
      </c>
      <c r="O180" s="496">
        <f>+O181+O183</f>
        <v>339000</v>
      </c>
      <c r="P180" s="496">
        <f>+P181+P183</f>
        <v>0</v>
      </c>
      <c r="Q180" s="496">
        <f>+Q181+Q183</f>
        <v>0</v>
      </c>
      <c r="R180" s="496"/>
      <c r="S180" s="496"/>
      <c r="T180" s="496"/>
      <c r="U180" s="2612" t="s">
        <v>77</v>
      </c>
      <c r="V180" s="2584"/>
    </row>
    <row r="181" spans="1:26" ht="11.25" hidden="1" customHeight="1">
      <c r="A181" s="2430"/>
      <c r="B181" s="1912" t="s">
        <v>36</v>
      </c>
      <c r="C181" s="2490" t="s">
        <v>190</v>
      </c>
      <c r="D181" s="825">
        <f t="shared" ref="D181:Q181" si="203">+D182</f>
        <v>0</v>
      </c>
      <c r="E181" s="825">
        <f t="shared" si="203"/>
        <v>0</v>
      </c>
      <c r="F181" s="825">
        <f t="shared" si="203"/>
        <v>0</v>
      </c>
      <c r="G181" s="825">
        <f t="shared" si="203"/>
        <v>0</v>
      </c>
      <c r="H181" s="825">
        <f t="shared" si="203"/>
        <v>0</v>
      </c>
      <c r="I181" s="825">
        <f t="shared" si="203"/>
        <v>0</v>
      </c>
      <c r="J181" s="825">
        <f t="shared" si="203"/>
        <v>0</v>
      </c>
      <c r="K181" s="825">
        <f t="shared" si="203"/>
        <v>0</v>
      </c>
      <c r="L181" s="825">
        <f t="shared" si="203"/>
        <v>0</v>
      </c>
      <c r="M181" s="825">
        <f t="shared" si="203"/>
        <v>0</v>
      </c>
      <c r="N181" s="825">
        <f t="shared" si="203"/>
        <v>0</v>
      </c>
      <c r="O181" s="825">
        <f t="shared" si="203"/>
        <v>0</v>
      </c>
      <c r="P181" s="825">
        <f t="shared" si="203"/>
        <v>0</v>
      </c>
      <c r="Q181" s="825">
        <f t="shared" si="203"/>
        <v>0</v>
      </c>
      <c r="R181" s="825"/>
      <c r="S181" s="825"/>
      <c r="T181" s="825"/>
      <c r="U181" s="2613"/>
      <c r="V181" s="2584"/>
    </row>
    <row r="182" spans="1:26" ht="11.25" hidden="1" customHeight="1">
      <c r="A182" s="2430"/>
      <c r="B182" s="1912" t="s">
        <v>25</v>
      </c>
      <c r="C182" s="2435"/>
      <c r="D182" s="825">
        <f>+E182+I182+J182+K182+L182+N182+O182+P182</f>
        <v>0</v>
      </c>
      <c r="E182" s="825">
        <f>+F182+G182+H182</f>
        <v>0</v>
      </c>
      <c r="F182" s="825"/>
      <c r="G182" s="825"/>
      <c r="H182" s="825"/>
      <c r="I182" s="825"/>
      <c r="J182" s="825"/>
      <c r="K182" s="825"/>
      <c r="L182" s="825"/>
      <c r="M182" s="825"/>
      <c r="N182" s="825"/>
      <c r="O182" s="825"/>
      <c r="P182" s="825"/>
      <c r="Q182" s="825"/>
      <c r="R182" s="825"/>
      <c r="S182" s="825"/>
      <c r="T182" s="825"/>
      <c r="U182" s="2613"/>
      <c r="V182" s="2584"/>
    </row>
    <row r="183" spans="1:26" ht="15" customHeight="1">
      <c r="A183" s="2430"/>
      <c r="B183" s="1913" t="s">
        <v>30</v>
      </c>
      <c r="C183" s="2494"/>
      <c r="D183" s="513">
        <f t="shared" ref="D183:Q183" si="204">+D184</f>
        <v>902584</v>
      </c>
      <c r="E183" s="514">
        <f t="shared" si="204"/>
        <v>0</v>
      </c>
      <c r="F183" s="514">
        <f t="shared" si="204"/>
        <v>0</v>
      </c>
      <c r="G183" s="514">
        <f t="shared" si="204"/>
        <v>0</v>
      </c>
      <c r="H183" s="514">
        <f t="shared" si="204"/>
        <v>0</v>
      </c>
      <c r="I183" s="514">
        <f t="shared" si="204"/>
        <v>0</v>
      </c>
      <c r="J183" s="514">
        <f t="shared" si="204"/>
        <v>0</v>
      </c>
      <c r="K183" s="514">
        <f t="shared" si="204"/>
        <v>0</v>
      </c>
      <c r="L183" s="514">
        <f t="shared" si="204"/>
        <v>0</v>
      </c>
      <c r="M183" s="514">
        <f t="shared" si="204"/>
        <v>0</v>
      </c>
      <c r="N183" s="514">
        <f t="shared" si="204"/>
        <v>563584</v>
      </c>
      <c r="O183" s="514">
        <f t="shared" si="204"/>
        <v>339000</v>
      </c>
      <c r="P183" s="514">
        <f t="shared" si="204"/>
        <v>0</v>
      </c>
      <c r="Q183" s="514">
        <f t="shared" si="204"/>
        <v>0</v>
      </c>
      <c r="R183" s="514"/>
      <c r="S183" s="514"/>
      <c r="T183" s="514"/>
      <c r="U183" s="2613"/>
      <c r="V183" s="2584"/>
    </row>
    <row r="184" spans="1:26" ht="13.5" customHeight="1" thickBot="1">
      <c r="A184" s="2431"/>
      <c r="B184" s="1914" t="s">
        <v>33</v>
      </c>
      <c r="C184" s="2495"/>
      <c r="D184" s="591">
        <f>SUM(M184:R184)</f>
        <v>902584</v>
      </c>
      <c r="E184" s="546">
        <f>+F184+G184+H184</f>
        <v>0</v>
      </c>
      <c r="F184" s="547"/>
      <c r="G184" s="546"/>
      <c r="H184" s="546"/>
      <c r="I184" s="546">
        <v>0</v>
      </c>
      <c r="J184" s="546">
        <v>0</v>
      </c>
      <c r="K184" s="546">
        <f>219301-219301</f>
        <v>0</v>
      </c>
      <c r="L184" s="546">
        <f>450000-320000-130000</f>
        <v>0</v>
      </c>
      <c r="M184" s="510">
        <f>+L184+K184+J184+I184+E184</f>
        <v>0</v>
      </c>
      <c r="N184" s="817">
        <f>250000+219301+320000+102109-327826</f>
        <v>563584</v>
      </c>
      <c r="O184" s="817">
        <v>339000</v>
      </c>
      <c r="P184" s="817">
        <v>0</v>
      </c>
      <c r="Q184" s="817">
        <v>0</v>
      </c>
      <c r="R184" s="817"/>
      <c r="S184" s="817"/>
      <c r="T184" s="817"/>
      <c r="U184" s="2614"/>
      <c r="V184" s="2585"/>
    </row>
    <row r="185" spans="1:26" ht="30.75" customHeight="1">
      <c r="A185" s="2428" t="s">
        <v>120</v>
      </c>
      <c r="B185" s="548" t="s">
        <v>191</v>
      </c>
      <c r="C185" s="528" t="s">
        <v>138</v>
      </c>
      <c r="D185" s="529"/>
      <c r="E185" s="531"/>
      <c r="F185" s="530"/>
      <c r="G185" s="531"/>
      <c r="H185" s="531"/>
      <c r="I185" s="489"/>
      <c r="J185" s="489"/>
      <c r="K185" s="489"/>
      <c r="L185" s="489"/>
      <c r="M185" s="491"/>
      <c r="N185" s="491"/>
      <c r="O185" s="491"/>
      <c r="P185" s="491"/>
      <c r="Q185" s="491"/>
      <c r="R185" s="491"/>
      <c r="S185" s="491"/>
      <c r="T185" s="491"/>
      <c r="U185" s="818"/>
      <c r="V185" s="2582" t="s">
        <v>192</v>
      </c>
      <c r="Z185" s="1907"/>
    </row>
    <row r="186" spans="1:26" ht="14.25" customHeight="1">
      <c r="A186" s="2429"/>
      <c r="B186" s="554" t="s">
        <v>22</v>
      </c>
      <c r="C186" s="428"/>
      <c r="D186" s="533">
        <f>+D187+D190</f>
        <v>198191</v>
      </c>
      <c r="E186" s="534">
        <f t="shared" ref="E186:P186" si="205">+E187+E190</f>
        <v>0</v>
      </c>
      <c r="F186" s="534">
        <f t="shared" si="205"/>
        <v>0</v>
      </c>
      <c r="G186" s="534">
        <f t="shared" si="205"/>
        <v>0</v>
      </c>
      <c r="H186" s="534">
        <f t="shared" si="205"/>
        <v>0</v>
      </c>
      <c r="I186" s="534">
        <f t="shared" si="205"/>
        <v>0</v>
      </c>
      <c r="J186" s="534">
        <f t="shared" si="205"/>
        <v>0</v>
      </c>
      <c r="K186" s="534">
        <f t="shared" si="205"/>
        <v>0</v>
      </c>
      <c r="L186" s="534">
        <f t="shared" si="205"/>
        <v>0</v>
      </c>
      <c r="M186" s="534">
        <f t="shared" ref="M186" si="206">+M187+M190</f>
        <v>0</v>
      </c>
      <c r="N186" s="534">
        <f t="shared" si="205"/>
        <v>198191</v>
      </c>
      <c r="O186" s="534">
        <f t="shared" si="205"/>
        <v>0</v>
      </c>
      <c r="P186" s="534">
        <f t="shared" si="205"/>
        <v>0</v>
      </c>
      <c r="Q186" s="534">
        <f>+Q187+Q190</f>
        <v>0</v>
      </c>
      <c r="R186" s="534"/>
      <c r="S186" s="534"/>
      <c r="T186" s="534"/>
      <c r="U186" s="535">
        <f>+U187+U190</f>
        <v>0</v>
      </c>
      <c r="V186" s="2583"/>
      <c r="W186" s="1258">
        <f>+O186+P186+Q186+R186</f>
        <v>0</v>
      </c>
      <c r="X186" s="1258"/>
      <c r="Y186" s="1258"/>
      <c r="Z186" s="1258"/>
    </row>
    <row r="187" spans="1:26" ht="14.25" customHeight="1">
      <c r="A187" s="2429"/>
      <c r="B187" s="555" t="s">
        <v>36</v>
      </c>
      <c r="C187" s="2433" t="s">
        <v>188</v>
      </c>
      <c r="D187" s="536">
        <f t="shared" ref="D187:P187" si="207">+D188+D189</f>
        <v>13191</v>
      </c>
      <c r="E187" s="536">
        <f t="shared" si="207"/>
        <v>0</v>
      </c>
      <c r="F187" s="536">
        <f t="shared" si="207"/>
        <v>0</v>
      </c>
      <c r="G187" s="536">
        <f t="shared" si="207"/>
        <v>0</v>
      </c>
      <c r="H187" s="536">
        <f t="shared" si="207"/>
        <v>0</v>
      </c>
      <c r="I187" s="536">
        <f t="shared" si="207"/>
        <v>0</v>
      </c>
      <c r="J187" s="536">
        <f t="shared" si="207"/>
        <v>0</v>
      </c>
      <c r="K187" s="536">
        <f t="shared" si="207"/>
        <v>0</v>
      </c>
      <c r="L187" s="536">
        <f t="shared" si="207"/>
        <v>0</v>
      </c>
      <c r="M187" s="536">
        <f t="shared" ref="M187" si="208">+M188+M189</f>
        <v>0</v>
      </c>
      <c r="N187" s="536">
        <f t="shared" si="207"/>
        <v>13191</v>
      </c>
      <c r="O187" s="536">
        <f t="shared" si="207"/>
        <v>0</v>
      </c>
      <c r="P187" s="536">
        <f t="shared" si="207"/>
        <v>0</v>
      </c>
      <c r="Q187" s="536">
        <f>+Q188+Q189</f>
        <v>0</v>
      </c>
      <c r="R187" s="536"/>
      <c r="S187" s="536"/>
      <c r="T187" s="536"/>
      <c r="U187" s="557">
        <f>+U188+U189</f>
        <v>0</v>
      </c>
      <c r="V187" s="2583"/>
    </row>
    <row r="188" spans="1:26" ht="13.5" customHeight="1">
      <c r="A188" s="2429"/>
      <c r="B188" s="539" t="s">
        <v>24</v>
      </c>
      <c r="C188" s="2435"/>
      <c r="D188" s="521">
        <f t="shared" ref="D188:D189" si="209">SUM(M188:R188)</f>
        <v>13191</v>
      </c>
      <c r="E188" s="510">
        <f>+F188+G188+H188</f>
        <v>0</v>
      </c>
      <c r="F188" s="511"/>
      <c r="G188" s="510"/>
      <c r="H188" s="549"/>
      <c r="I188" s="549">
        <v>0</v>
      </c>
      <c r="J188" s="549">
        <v>0</v>
      </c>
      <c r="K188" s="510">
        <v>0</v>
      </c>
      <c r="L188" s="510">
        <v>0</v>
      </c>
      <c r="M188" s="510">
        <f t="shared" ref="M188" si="210">+L188+K188+J188+I188+E188</f>
        <v>0</v>
      </c>
      <c r="N188" s="549">
        <v>13191</v>
      </c>
      <c r="O188" s="510">
        <v>0</v>
      </c>
      <c r="P188" s="510">
        <v>0</v>
      </c>
      <c r="Q188" s="510">
        <v>0</v>
      </c>
      <c r="R188" s="510"/>
      <c r="S188" s="510"/>
      <c r="T188" s="510"/>
      <c r="U188" s="811">
        <f>SUM(O188:R188)</f>
        <v>0</v>
      </c>
      <c r="V188" s="2583"/>
    </row>
    <row r="189" spans="1:26" ht="13.5" customHeight="1">
      <c r="A189" s="2429"/>
      <c r="B189" s="539" t="s">
        <v>25</v>
      </c>
      <c r="C189" s="2435"/>
      <c r="D189" s="521">
        <f t="shared" si="209"/>
        <v>0</v>
      </c>
      <c r="E189" s="510">
        <f>+F189+G189+H189</f>
        <v>0</v>
      </c>
      <c r="F189" s="516"/>
      <c r="G189" s="508">
        <v>0</v>
      </c>
      <c r="H189" s="542"/>
      <c r="I189" s="542">
        <v>0</v>
      </c>
      <c r="J189" s="542"/>
      <c r="K189" s="508"/>
      <c r="L189" s="508"/>
      <c r="M189" s="508"/>
      <c r="N189" s="508"/>
      <c r="O189" s="508"/>
      <c r="P189" s="508"/>
      <c r="Q189" s="508"/>
      <c r="R189" s="508"/>
      <c r="S189" s="508"/>
      <c r="T189" s="508"/>
      <c r="U189" s="811">
        <f>SUM(N189:Q189)</f>
        <v>0</v>
      </c>
      <c r="V189" s="2583"/>
    </row>
    <row r="190" spans="1:26" ht="13.5" customHeight="1">
      <c r="A190" s="2429"/>
      <c r="B190" s="605" t="s">
        <v>30</v>
      </c>
      <c r="C190" s="2435"/>
      <c r="D190" s="513">
        <f>+D191</f>
        <v>185000</v>
      </c>
      <c r="E190" s="514">
        <f t="shared" ref="E190:U190" si="211">+E191</f>
        <v>0</v>
      </c>
      <c r="F190" s="514">
        <f t="shared" si="211"/>
        <v>0</v>
      </c>
      <c r="G190" s="514">
        <f t="shared" si="211"/>
        <v>0</v>
      </c>
      <c r="H190" s="514">
        <f t="shared" si="211"/>
        <v>0</v>
      </c>
      <c r="I190" s="514">
        <f t="shared" si="211"/>
        <v>0</v>
      </c>
      <c r="J190" s="514">
        <f t="shared" si="211"/>
        <v>0</v>
      </c>
      <c r="K190" s="514">
        <f t="shared" si="211"/>
        <v>0</v>
      </c>
      <c r="L190" s="514">
        <f t="shared" si="211"/>
        <v>0</v>
      </c>
      <c r="M190" s="514">
        <f t="shared" si="211"/>
        <v>0</v>
      </c>
      <c r="N190" s="514">
        <f t="shared" si="211"/>
        <v>185000</v>
      </c>
      <c r="O190" s="514">
        <f t="shared" si="211"/>
        <v>0</v>
      </c>
      <c r="P190" s="514">
        <f t="shared" si="211"/>
        <v>0</v>
      </c>
      <c r="Q190" s="514">
        <f t="shared" si="211"/>
        <v>0</v>
      </c>
      <c r="R190" s="514"/>
      <c r="S190" s="514"/>
      <c r="T190" s="514"/>
      <c r="U190" s="515">
        <f t="shared" si="211"/>
        <v>0</v>
      </c>
      <c r="V190" s="2583"/>
    </row>
    <row r="191" spans="1:26" ht="13.5" customHeight="1">
      <c r="A191" s="2429"/>
      <c r="B191" s="544" t="s">
        <v>33</v>
      </c>
      <c r="C191" s="2435"/>
      <c r="D191" s="521">
        <f t="shared" ref="D191" si="212">SUM(M191:R191)</f>
        <v>185000</v>
      </c>
      <c r="E191" s="508">
        <f>+F191+G191+H191</f>
        <v>0</v>
      </c>
      <c r="F191" s="516"/>
      <c r="G191" s="508"/>
      <c r="H191" s="542"/>
      <c r="I191" s="542">
        <v>0</v>
      </c>
      <c r="J191" s="542">
        <v>0</v>
      </c>
      <c r="K191" s="508">
        <v>0</v>
      </c>
      <c r="L191" s="508">
        <v>0</v>
      </c>
      <c r="M191" s="510">
        <f t="shared" ref="M191" si="213">+L191+K191+J191+I191+E191</f>
        <v>0</v>
      </c>
      <c r="N191" s="508">
        <f>498000-313000</f>
        <v>185000</v>
      </c>
      <c r="O191" s="508">
        <v>0</v>
      </c>
      <c r="P191" s="510">
        <v>0</v>
      </c>
      <c r="Q191" s="510">
        <v>0</v>
      </c>
      <c r="R191" s="510"/>
      <c r="S191" s="510"/>
      <c r="T191" s="510"/>
      <c r="U191" s="811">
        <f>SUM(O191:R191)</f>
        <v>0</v>
      </c>
      <c r="V191" s="2583"/>
    </row>
    <row r="192" spans="1:26" ht="15.75" customHeight="1">
      <c r="A192" s="2429"/>
      <c r="B192" s="561" t="s">
        <v>34</v>
      </c>
      <c r="C192" s="428"/>
      <c r="D192" s="518">
        <f t="shared" ref="D192:L192" si="214">+D193+D195</f>
        <v>185000</v>
      </c>
      <c r="E192" s="496">
        <f t="shared" si="214"/>
        <v>0</v>
      </c>
      <c r="F192" s="496">
        <f t="shared" si="214"/>
        <v>0</v>
      </c>
      <c r="G192" s="496">
        <f t="shared" si="214"/>
        <v>0</v>
      </c>
      <c r="H192" s="496">
        <f t="shared" si="214"/>
        <v>0</v>
      </c>
      <c r="I192" s="496">
        <f t="shared" si="214"/>
        <v>0</v>
      </c>
      <c r="J192" s="496">
        <f t="shared" si="214"/>
        <v>0</v>
      </c>
      <c r="K192" s="496">
        <f t="shared" si="214"/>
        <v>0</v>
      </c>
      <c r="L192" s="496">
        <f t="shared" si="214"/>
        <v>0</v>
      </c>
      <c r="M192" s="496">
        <f t="shared" ref="M192" si="215">+M193+M195</f>
        <v>0</v>
      </c>
      <c r="N192" s="496">
        <f>+N193+N195</f>
        <v>185000</v>
      </c>
      <c r="O192" s="496">
        <f>+O193+O195</f>
        <v>0</v>
      </c>
      <c r="P192" s="496">
        <f>+P193+P195</f>
        <v>0</v>
      </c>
      <c r="Q192" s="496">
        <f>+Q193+Q195</f>
        <v>0</v>
      </c>
      <c r="R192" s="496"/>
      <c r="S192" s="496"/>
      <c r="T192" s="496"/>
      <c r="U192" s="2499" t="s">
        <v>77</v>
      </c>
      <c r="V192" s="2584"/>
    </row>
    <row r="193" spans="1:22" ht="11.25" hidden="1" customHeight="1">
      <c r="A193" s="2429"/>
      <c r="B193" s="555" t="s">
        <v>36</v>
      </c>
      <c r="C193" s="2490" t="s">
        <v>190</v>
      </c>
      <c r="D193" s="519">
        <f t="shared" ref="D193:Q193" si="216">+D194</f>
        <v>0</v>
      </c>
      <c r="E193" s="519">
        <f t="shared" si="216"/>
        <v>0</v>
      </c>
      <c r="F193" s="519">
        <f t="shared" si="216"/>
        <v>0</v>
      </c>
      <c r="G193" s="519">
        <f t="shared" si="216"/>
        <v>0</v>
      </c>
      <c r="H193" s="519">
        <f t="shared" si="216"/>
        <v>0</v>
      </c>
      <c r="I193" s="519">
        <f t="shared" si="216"/>
        <v>0</v>
      </c>
      <c r="J193" s="519">
        <f t="shared" si="216"/>
        <v>0</v>
      </c>
      <c r="K193" s="519">
        <f t="shared" si="216"/>
        <v>0</v>
      </c>
      <c r="L193" s="519">
        <f t="shared" si="216"/>
        <v>0</v>
      </c>
      <c r="M193" s="519">
        <f t="shared" si="216"/>
        <v>0</v>
      </c>
      <c r="N193" s="519">
        <f t="shared" si="216"/>
        <v>0</v>
      </c>
      <c r="O193" s="519">
        <f t="shared" si="216"/>
        <v>0</v>
      </c>
      <c r="P193" s="519">
        <f t="shared" si="216"/>
        <v>0</v>
      </c>
      <c r="Q193" s="824">
        <f t="shared" si="216"/>
        <v>0</v>
      </c>
      <c r="R193" s="824"/>
      <c r="S193" s="824"/>
      <c r="T193" s="824"/>
      <c r="U193" s="2500"/>
      <c r="V193" s="2584"/>
    </row>
    <row r="194" spans="1:22" ht="11.25" hidden="1" customHeight="1">
      <c r="A194" s="2429"/>
      <c r="B194" s="539" t="s">
        <v>25</v>
      </c>
      <c r="C194" s="2435"/>
      <c r="D194" s="520">
        <f>+E194+I194+J194+K194+L194+N194+O194+P194</f>
        <v>0</v>
      </c>
      <c r="E194" s="510">
        <f>+F194+G194+H194</f>
        <v>0</v>
      </c>
      <c r="F194" s="521"/>
      <c r="G194" s="521"/>
      <c r="H194" s="521"/>
      <c r="I194" s="521"/>
      <c r="J194" s="521"/>
      <c r="K194" s="521"/>
      <c r="L194" s="521"/>
      <c r="M194" s="521"/>
      <c r="N194" s="521"/>
      <c r="O194" s="815"/>
      <c r="P194" s="815"/>
      <c r="Q194" s="521"/>
      <c r="R194" s="521"/>
      <c r="S194" s="521"/>
      <c r="T194" s="521"/>
      <c r="U194" s="2500"/>
      <c r="V194" s="2584"/>
    </row>
    <row r="195" spans="1:22" ht="13.5" customHeight="1">
      <c r="A195" s="2429"/>
      <c r="B195" s="605" t="s">
        <v>30</v>
      </c>
      <c r="C195" s="2494"/>
      <c r="D195" s="513">
        <f t="shared" ref="D195:Q195" si="217">+D196</f>
        <v>185000</v>
      </c>
      <c r="E195" s="514">
        <f t="shared" si="217"/>
        <v>0</v>
      </c>
      <c r="F195" s="514">
        <f t="shared" si="217"/>
        <v>0</v>
      </c>
      <c r="G195" s="514">
        <f t="shared" si="217"/>
        <v>0</v>
      </c>
      <c r="H195" s="514">
        <f t="shared" si="217"/>
        <v>0</v>
      </c>
      <c r="I195" s="514">
        <f t="shared" si="217"/>
        <v>0</v>
      </c>
      <c r="J195" s="514">
        <f t="shared" si="217"/>
        <v>0</v>
      </c>
      <c r="K195" s="514">
        <f t="shared" si="217"/>
        <v>0</v>
      </c>
      <c r="L195" s="514">
        <f t="shared" si="217"/>
        <v>0</v>
      </c>
      <c r="M195" s="514">
        <f t="shared" si="217"/>
        <v>0</v>
      </c>
      <c r="N195" s="514">
        <f t="shared" si="217"/>
        <v>185000</v>
      </c>
      <c r="O195" s="514">
        <f t="shared" si="217"/>
        <v>0</v>
      </c>
      <c r="P195" s="514">
        <f t="shared" si="217"/>
        <v>0</v>
      </c>
      <c r="Q195" s="514">
        <f t="shared" si="217"/>
        <v>0</v>
      </c>
      <c r="R195" s="514"/>
      <c r="S195" s="514"/>
      <c r="T195" s="514"/>
      <c r="U195" s="2500"/>
      <c r="V195" s="2584"/>
    </row>
    <row r="196" spans="1:22" ht="15" customHeight="1" thickBot="1">
      <c r="A196" s="2469"/>
      <c r="B196" s="648" t="s">
        <v>33</v>
      </c>
      <c r="C196" s="2495"/>
      <c r="D196" s="591">
        <f>SUM(M196:R196)</f>
        <v>185000</v>
      </c>
      <c r="E196" s="546">
        <f>+F196+G196+H196</f>
        <v>0</v>
      </c>
      <c r="F196" s="547"/>
      <c r="G196" s="546"/>
      <c r="H196" s="546"/>
      <c r="I196" s="546">
        <v>0</v>
      </c>
      <c r="J196" s="546">
        <v>0</v>
      </c>
      <c r="K196" s="546">
        <f>219301-219301</f>
        <v>0</v>
      </c>
      <c r="L196" s="546">
        <v>0</v>
      </c>
      <c r="M196" s="546">
        <v>0</v>
      </c>
      <c r="N196" s="546">
        <f>498000-313000</f>
        <v>185000</v>
      </c>
      <c r="O196" s="817">
        <v>0</v>
      </c>
      <c r="P196" s="817">
        <v>0</v>
      </c>
      <c r="Q196" s="546">
        <v>0</v>
      </c>
      <c r="R196" s="546"/>
      <c r="S196" s="546"/>
      <c r="T196" s="546"/>
      <c r="U196" s="2501"/>
      <c r="V196" s="2585"/>
    </row>
    <row r="197" spans="1:22" ht="11.25" customHeight="1">
      <c r="A197" s="1226"/>
      <c r="B197" s="826"/>
      <c r="C197" s="1274"/>
      <c r="D197" s="793"/>
      <c r="E197" s="827"/>
      <c r="F197" s="794"/>
      <c r="G197" s="794"/>
      <c r="H197" s="794"/>
      <c r="I197" s="794"/>
      <c r="J197" s="794"/>
      <c r="K197" s="794"/>
      <c r="L197" s="794"/>
      <c r="M197" s="794"/>
      <c r="N197" s="794"/>
      <c r="O197" s="794"/>
      <c r="P197" s="794"/>
      <c r="Q197" s="794"/>
      <c r="R197" s="794"/>
      <c r="S197" s="794"/>
      <c r="T197" s="794"/>
      <c r="U197" s="794"/>
      <c r="V197" s="828"/>
    </row>
    <row r="198" spans="1:22" ht="11.25" customHeight="1">
      <c r="A198" s="1226"/>
      <c r="B198" s="826"/>
      <c r="C198" s="1274"/>
      <c r="D198" s="793"/>
      <c r="E198" s="827"/>
      <c r="F198" s="794"/>
      <c r="G198" s="794"/>
      <c r="H198" s="794"/>
      <c r="I198" s="794"/>
      <c r="J198" s="794"/>
      <c r="K198" s="794"/>
      <c r="L198" s="794"/>
      <c r="M198" s="794"/>
      <c r="N198" s="794"/>
      <c r="O198" s="794"/>
      <c r="P198" s="794"/>
      <c r="Q198" s="794"/>
      <c r="R198" s="794"/>
      <c r="S198" s="794"/>
      <c r="T198" s="794"/>
      <c r="U198" s="794"/>
      <c r="V198" s="828"/>
    </row>
    <row r="199" spans="1:22" ht="11.25" customHeight="1">
      <c r="A199" s="1226"/>
      <c r="B199" s="826"/>
      <c r="C199" s="1274"/>
      <c r="D199" s="793"/>
      <c r="E199" s="827"/>
      <c r="F199" s="794"/>
      <c r="G199" s="794"/>
      <c r="H199" s="794"/>
      <c r="I199" s="794"/>
      <c r="J199" s="794"/>
      <c r="K199" s="794"/>
      <c r="L199" s="794"/>
      <c r="M199" s="794"/>
      <c r="N199" s="794"/>
      <c r="O199" s="794"/>
      <c r="P199" s="794"/>
      <c r="Q199" s="794"/>
      <c r="R199" s="794"/>
      <c r="S199" s="794"/>
      <c r="T199" s="794"/>
      <c r="U199" s="794"/>
      <c r="V199" s="828"/>
    </row>
    <row r="200" spans="1:22">
      <c r="U200" s="1275"/>
    </row>
    <row r="204" spans="1:22">
      <c r="D204" s="1258"/>
      <c r="E204" s="1258"/>
    </row>
    <row r="205" spans="1:22">
      <c r="D205" s="1258"/>
      <c r="E205" s="1275"/>
      <c r="F205" s="1275"/>
      <c r="G205" s="1275"/>
      <c r="H205" s="1275"/>
      <c r="I205" s="1275"/>
      <c r="J205" s="1276"/>
      <c r="K205" s="1277"/>
    </row>
    <row r="206" spans="1:22">
      <c r="D206" s="1258"/>
    </row>
    <row r="207" spans="1:22">
      <c r="D207" s="1258"/>
    </row>
  </sheetData>
  <mergeCells count="82">
    <mergeCell ref="A173:A184"/>
    <mergeCell ref="V173:V184"/>
    <mergeCell ref="C175:C179"/>
    <mergeCell ref="U180:U184"/>
    <mergeCell ref="C181:C184"/>
    <mergeCell ref="A185:A196"/>
    <mergeCell ref="V185:V196"/>
    <mergeCell ref="C187:C191"/>
    <mergeCell ref="U192:U196"/>
    <mergeCell ref="C193:C196"/>
    <mergeCell ref="A149:A160"/>
    <mergeCell ref="V149:V160"/>
    <mergeCell ref="C151:C155"/>
    <mergeCell ref="U156:U160"/>
    <mergeCell ref="C157:C160"/>
    <mergeCell ref="A161:A172"/>
    <mergeCell ref="V161:V172"/>
    <mergeCell ref="C163:C167"/>
    <mergeCell ref="U168:U172"/>
    <mergeCell ref="C169:C172"/>
    <mergeCell ref="A113:A124"/>
    <mergeCell ref="V113:V124"/>
    <mergeCell ref="C115:C119"/>
    <mergeCell ref="U120:U124"/>
    <mergeCell ref="C121:C124"/>
    <mergeCell ref="A125:A136"/>
    <mergeCell ref="V125:V136"/>
    <mergeCell ref="C127:C131"/>
    <mergeCell ref="U132:U136"/>
    <mergeCell ref="C133:C136"/>
    <mergeCell ref="A89:A100"/>
    <mergeCell ref="V89:V100"/>
    <mergeCell ref="C91:C95"/>
    <mergeCell ref="U96:U100"/>
    <mergeCell ref="C97:C100"/>
    <mergeCell ref="A101:A112"/>
    <mergeCell ref="V101:V112"/>
    <mergeCell ref="C103:C107"/>
    <mergeCell ref="U108:U112"/>
    <mergeCell ref="C109:C112"/>
    <mergeCell ref="A65:A76"/>
    <mergeCell ref="V65:V76"/>
    <mergeCell ref="C67:C71"/>
    <mergeCell ref="U72:U76"/>
    <mergeCell ref="C73:C76"/>
    <mergeCell ref="A77:A88"/>
    <mergeCell ref="V77:V88"/>
    <mergeCell ref="C79:C83"/>
    <mergeCell ref="U84:U88"/>
    <mergeCell ref="C85:C88"/>
    <mergeCell ref="A41:A52"/>
    <mergeCell ref="V41:V52"/>
    <mergeCell ref="C43:C47"/>
    <mergeCell ref="U48:U52"/>
    <mergeCell ref="C49:C52"/>
    <mergeCell ref="A53:A64"/>
    <mergeCell ref="V53:V64"/>
    <mergeCell ref="C55:C59"/>
    <mergeCell ref="U60:U64"/>
    <mergeCell ref="C61:C64"/>
    <mergeCell ref="U17:U21"/>
    <mergeCell ref="A22:A28"/>
    <mergeCell ref="V22:V28"/>
    <mergeCell ref="C24:C25"/>
    <mergeCell ref="C27:C28"/>
    <mergeCell ref="A29:A40"/>
    <mergeCell ref="V29:V40"/>
    <mergeCell ref="C31:C35"/>
    <mergeCell ref="U36:U40"/>
    <mergeCell ref="C37:C40"/>
    <mergeCell ref="E4:N5"/>
    <mergeCell ref="O4:T5"/>
    <mergeCell ref="A3:V3"/>
    <mergeCell ref="C4:C6"/>
    <mergeCell ref="D4:D6"/>
    <mergeCell ref="U4:U6"/>
    <mergeCell ref="V4:V6"/>
    <mergeCell ref="A137:A148"/>
    <mergeCell ref="V137:V148"/>
    <mergeCell ref="C139:C143"/>
    <mergeCell ref="U144:U148"/>
    <mergeCell ref="C145:C148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27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</oddHeader>
    <oddFooter>&amp;C&amp;P</oddFooter>
  </headerFooter>
  <rowBreaks count="4" manualBreakCount="4">
    <brk id="52" max="19" man="1"/>
    <brk id="100" max="19" man="1"/>
    <brk id="160" max="19" man="1"/>
    <brk id="198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50"/>
  <sheetViews>
    <sheetView showGridLines="0" view="pageBreakPreview" zoomScaleNormal="100" zoomScaleSheetLayoutView="100" workbookViewId="0">
      <pane ySplit="8" topLeftCell="A9" activePane="bottomLeft" state="frozen"/>
      <selection pane="bottomLeft"/>
    </sheetView>
  </sheetViews>
  <sheetFormatPr defaultRowHeight="12.75"/>
  <cols>
    <col min="1" max="1" width="3.7109375" style="959" customWidth="1"/>
    <col min="2" max="2" width="55.7109375" style="1121" customWidth="1"/>
    <col min="3" max="3" width="10" style="1121" customWidth="1"/>
    <col min="4" max="4" width="16" style="1121" customWidth="1"/>
    <col min="5" max="5" width="10" style="1296" hidden="1" customWidth="1"/>
    <col min="6" max="6" width="11.5703125" style="1123" hidden="1" customWidth="1"/>
    <col min="7" max="7" width="11.140625" style="1121" hidden="1" customWidth="1"/>
    <col min="8" max="8" width="10.42578125" style="1121" hidden="1" customWidth="1"/>
    <col min="9" max="11" width="10.7109375" style="1121" hidden="1" customWidth="1"/>
    <col min="12" max="12" width="11.85546875" style="1121" hidden="1" customWidth="1"/>
    <col min="13" max="13" width="11.85546875" style="1121" customWidth="1"/>
    <col min="14" max="14" width="13.140625" style="1297" customWidth="1"/>
    <col min="15" max="15" width="10.5703125" style="1123" customWidth="1"/>
    <col min="16" max="16" width="10.7109375" style="1123" customWidth="1"/>
    <col min="17" max="17" width="9.7109375" style="1123" customWidth="1"/>
    <col min="18" max="18" width="10.140625" style="1123" customWidth="1"/>
    <col min="19" max="20" width="10.28515625" style="1123" customWidth="1"/>
    <col min="21" max="21" width="12" style="1123" customWidth="1"/>
    <col min="22" max="22" width="14.140625" style="1298" customWidth="1"/>
    <col min="23" max="23" width="9.85546875" style="1316" customWidth="1"/>
    <col min="24" max="33" width="9.140625" style="1316"/>
    <col min="34" max="34" width="8.5703125" style="1316" customWidth="1"/>
    <col min="35" max="46" width="9.140625" style="1316"/>
    <col min="47" max="47" width="8.7109375" style="1316" customWidth="1"/>
    <col min="48" max="57" width="9.140625" style="1316"/>
    <col min="58" max="58" width="4.28515625" style="1316" customWidth="1"/>
    <col min="59" max="68" width="9.140625" style="1316"/>
    <col min="69" max="69" width="5" style="1316" customWidth="1"/>
    <col min="70" max="79" width="9.140625" style="1316"/>
    <col min="80" max="80" width="3.85546875" style="1316" customWidth="1"/>
    <col min="81" max="92" width="9.140625" style="1316"/>
    <col min="93" max="93" width="5.28515625" style="1316" customWidth="1"/>
    <col min="94" max="105" width="9.140625" style="1316"/>
    <col min="106" max="106" width="1.5703125" style="1316" customWidth="1"/>
    <col min="107" max="119" width="9.140625" style="1316"/>
    <col min="120" max="120" width="0.7109375" style="1316" customWidth="1"/>
    <col min="121" max="132" width="9.140625" style="1316"/>
    <col min="133" max="133" width="8.28515625" style="1316" customWidth="1"/>
    <col min="134" max="142" width="9.140625" style="1316"/>
    <col min="143" max="143" width="0.28515625" style="1316" customWidth="1"/>
    <col min="144" max="169" width="9.140625" style="1316"/>
    <col min="170" max="170" width="0.7109375" style="1316" customWidth="1"/>
    <col min="171" max="16384" width="9.140625" style="1316"/>
  </cols>
  <sheetData>
    <row r="1" spans="1:22" ht="17.25" customHeight="1">
      <c r="D1" s="1122"/>
      <c r="E1" s="1123"/>
      <c r="N1" s="1123"/>
      <c r="O1" s="795"/>
      <c r="S1" s="375" t="s">
        <v>296</v>
      </c>
      <c r="T1" s="377"/>
      <c r="U1" s="377"/>
      <c r="V1" s="378"/>
    </row>
    <row r="2" spans="1:22" ht="15" hidden="1" customHeight="1">
      <c r="E2" s="1123"/>
      <c r="J2" s="1124"/>
      <c r="N2" s="379"/>
      <c r="O2" s="833"/>
      <c r="S2" s="377"/>
      <c r="T2" s="377"/>
      <c r="U2" s="377"/>
      <c r="V2" s="378"/>
    </row>
    <row r="3" spans="1:22" ht="15" hidden="1" customHeight="1"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379"/>
      <c r="O3" s="1122"/>
      <c r="P3" s="1122"/>
      <c r="Q3" s="1122"/>
      <c r="R3" s="1122"/>
      <c r="S3" s="1122"/>
      <c r="T3" s="1122"/>
      <c r="U3" s="1122"/>
      <c r="V3" s="378"/>
    </row>
    <row r="4" spans="1:22" ht="7.5" customHeight="1">
      <c r="D4" s="1122"/>
      <c r="E4" s="1123"/>
      <c r="J4" s="1122"/>
      <c r="L4" s="1122"/>
      <c r="M4" s="1122"/>
      <c r="N4" s="379"/>
      <c r="O4" s="379"/>
      <c r="P4" s="379"/>
      <c r="Q4" s="379"/>
      <c r="R4" s="379"/>
      <c r="S4" s="377"/>
      <c r="T4" s="377"/>
      <c r="U4" s="377"/>
      <c r="V4" s="378"/>
    </row>
    <row r="5" spans="1:22" s="1915" customFormat="1" ht="18.75" thickBot="1">
      <c r="A5" s="2624" t="s">
        <v>362</v>
      </c>
      <c r="B5" s="2624"/>
      <c r="C5" s="2624"/>
      <c r="D5" s="2624"/>
      <c r="E5" s="2624"/>
      <c r="F5" s="2624"/>
      <c r="G5" s="2624"/>
      <c r="H5" s="2624"/>
      <c r="I5" s="2624"/>
      <c r="J5" s="2624"/>
      <c r="K5" s="2624"/>
      <c r="L5" s="2624"/>
      <c r="M5" s="2624"/>
      <c r="N5" s="2624"/>
      <c r="O5" s="1125"/>
      <c r="P5" s="1125"/>
      <c r="Q5" s="1125"/>
      <c r="R5" s="1125"/>
      <c r="S5" s="1126"/>
      <c r="T5" s="1126"/>
      <c r="U5" s="1126"/>
      <c r="V5" s="1126"/>
    </row>
    <row r="6" spans="1:22" ht="28.5" customHeight="1">
      <c r="A6" s="1127"/>
      <c r="B6" s="1127"/>
      <c r="C6" s="2445" t="s">
        <v>91</v>
      </c>
      <c r="D6" s="2370" t="s">
        <v>92</v>
      </c>
      <c r="E6" s="2463" t="s">
        <v>3</v>
      </c>
      <c r="F6" s="2464"/>
      <c r="G6" s="2464"/>
      <c r="H6" s="2464"/>
      <c r="I6" s="2464"/>
      <c r="J6" s="2464"/>
      <c r="K6" s="2464"/>
      <c r="L6" s="2465"/>
      <c r="M6" s="2463" t="s">
        <v>320</v>
      </c>
      <c r="N6" s="2465"/>
      <c r="O6" s="2457" t="s">
        <v>324</v>
      </c>
      <c r="P6" s="2458"/>
      <c r="Q6" s="2458"/>
      <c r="R6" s="2458"/>
      <c r="S6" s="2458"/>
      <c r="T6" s="2459"/>
      <c r="U6" s="2722" t="s">
        <v>318</v>
      </c>
      <c r="V6" s="2625" t="s">
        <v>94</v>
      </c>
    </row>
    <row r="7" spans="1:22" ht="28.5" customHeight="1">
      <c r="A7" s="2210" t="s">
        <v>95</v>
      </c>
      <c r="B7" s="1128" t="s">
        <v>96</v>
      </c>
      <c r="C7" s="2672"/>
      <c r="D7" s="2674"/>
      <c r="E7" s="2466"/>
      <c r="F7" s="2467"/>
      <c r="G7" s="2467"/>
      <c r="H7" s="2467"/>
      <c r="I7" s="2467"/>
      <c r="J7" s="2467"/>
      <c r="K7" s="2467"/>
      <c r="L7" s="2468"/>
      <c r="M7" s="2466"/>
      <c r="N7" s="2468"/>
      <c r="O7" s="2460"/>
      <c r="P7" s="2461"/>
      <c r="Q7" s="2461"/>
      <c r="R7" s="2461"/>
      <c r="S7" s="2461"/>
      <c r="T7" s="2462"/>
      <c r="U7" s="2723"/>
      <c r="V7" s="2626"/>
    </row>
    <row r="8" spans="1:22" ht="23.25" customHeight="1" thickBot="1">
      <c r="A8" s="1129"/>
      <c r="B8" s="1130"/>
      <c r="C8" s="2673"/>
      <c r="D8" s="2675"/>
      <c r="E8" s="2208" t="s">
        <v>6</v>
      </c>
      <c r="F8" s="384" t="s">
        <v>7</v>
      </c>
      <c r="G8" s="384" t="s">
        <v>8</v>
      </c>
      <c r="H8" s="384" t="s">
        <v>9</v>
      </c>
      <c r="I8" s="2185" t="s">
        <v>10</v>
      </c>
      <c r="J8" s="2185" t="s">
        <v>11</v>
      </c>
      <c r="K8" s="2185" t="s">
        <v>12</v>
      </c>
      <c r="L8" s="2185" t="s">
        <v>13</v>
      </c>
      <c r="M8" s="2185" t="s">
        <v>321</v>
      </c>
      <c r="N8" s="2185" t="s">
        <v>14</v>
      </c>
      <c r="O8" s="2185" t="s">
        <v>15</v>
      </c>
      <c r="P8" s="2185" t="s">
        <v>16</v>
      </c>
      <c r="Q8" s="2185" t="s">
        <v>17</v>
      </c>
      <c r="R8" s="2185" t="s">
        <v>18</v>
      </c>
      <c r="S8" s="1791" t="s">
        <v>315</v>
      </c>
      <c r="T8" s="1791" t="s">
        <v>322</v>
      </c>
      <c r="U8" s="2724"/>
      <c r="V8" s="2627"/>
    </row>
    <row r="9" spans="1:22" s="1916" customFormat="1" ht="12" customHeight="1" thickBot="1">
      <c r="A9" s="1657">
        <v>1</v>
      </c>
      <c r="B9" s="1658">
        <v>2</v>
      </c>
      <c r="C9" s="1659" t="s">
        <v>159</v>
      </c>
      <c r="D9" s="1660" t="s">
        <v>160</v>
      </c>
      <c r="E9" s="1659" t="s">
        <v>161</v>
      </c>
      <c r="F9" s="1659" t="s">
        <v>162</v>
      </c>
      <c r="G9" s="1659" t="s">
        <v>163</v>
      </c>
      <c r="H9" s="1659" t="s">
        <v>164</v>
      </c>
      <c r="I9" s="1659" t="s">
        <v>162</v>
      </c>
      <c r="J9" s="1659" t="s">
        <v>163</v>
      </c>
      <c r="K9" s="1659" t="s">
        <v>164</v>
      </c>
      <c r="L9" s="1659" t="s">
        <v>165</v>
      </c>
      <c r="M9" s="392">
        <v>5</v>
      </c>
      <c r="N9" s="392">
        <v>6</v>
      </c>
      <c r="O9" s="392">
        <v>7</v>
      </c>
      <c r="P9" s="392">
        <v>8</v>
      </c>
      <c r="Q9" s="392">
        <v>9</v>
      </c>
      <c r="R9" s="393">
        <v>10</v>
      </c>
      <c r="S9" s="393">
        <v>11</v>
      </c>
      <c r="T9" s="393">
        <v>12</v>
      </c>
      <c r="U9" s="394">
        <v>13</v>
      </c>
      <c r="V9" s="395">
        <v>14</v>
      </c>
    </row>
    <row r="10" spans="1:22" s="1898" customFormat="1" ht="13.5" customHeight="1">
      <c r="A10" s="1661"/>
      <c r="B10" s="1620" t="s">
        <v>97</v>
      </c>
      <c r="C10" s="1091"/>
      <c r="D10" s="1092">
        <f>+D11+D12</f>
        <v>122000380</v>
      </c>
      <c r="E10" s="1092">
        <f t="shared" ref="E10:Q10" si="0">+E11+E12</f>
        <v>2805880</v>
      </c>
      <c r="F10" s="1092">
        <f t="shared" si="0"/>
        <v>0</v>
      </c>
      <c r="G10" s="1092">
        <f t="shared" si="0"/>
        <v>27000</v>
      </c>
      <c r="H10" s="1092">
        <f t="shared" si="0"/>
        <v>3348880.0600000005</v>
      </c>
      <c r="I10" s="1092">
        <f t="shared" si="0"/>
        <v>5513671</v>
      </c>
      <c r="J10" s="1092">
        <f t="shared" si="0"/>
        <v>18798477</v>
      </c>
      <c r="K10" s="1092">
        <f t="shared" si="0"/>
        <v>11401296</v>
      </c>
      <c r="L10" s="1092">
        <f t="shared" si="0"/>
        <v>5348030</v>
      </c>
      <c r="M10" s="1092">
        <f t="shared" si="0"/>
        <v>43867354</v>
      </c>
      <c r="N10" s="1092">
        <f t="shared" si="0"/>
        <v>22494848</v>
      </c>
      <c r="O10" s="1092">
        <f t="shared" si="0"/>
        <v>24322102</v>
      </c>
      <c r="P10" s="1092">
        <f t="shared" si="0"/>
        <v>11017357</v>
      </c>
      <c r="Q10" s="1092">
        <f t="shared" si="0"/>
        <v>4817622</v>
      </c>
      <c r="R10" s="1092">
        <f>+R11+R12</f>
        <v>5096176</v>
      </c>
      <c r="S10" s="1092">
        <f>+S11+S12</f>
        <v>2027777</v>
      </c>
      <c r="T10" s="1092">
        <f>+T11+T12</f>
        <v>1765714</v>
      </c>
      <c r="U10" s="1662">
        <f>+U11+U12</f>
        <v>55638178</v>
      </c>
      <c r="V10" s="1663"/>
    </row>
    <row r="11" spans="1:22" s="1898" customFormat="1" ht="13.5" customHeight="1">
      <c r="A11" s="963"/>
      <c r="B11" s="1133" t="s">
        <v>98</v>
      </c>
      <c r="C11" s="1094"/>
      <c r="D11" s="1095">
        <f>+D81+D86+D91+D116+D121</f>
        <v>25819259</v>
      </c>
      <c r="E11" s="1095">
        <f t="shared" ref="E11:L11" si="1">+E81+E86+E91</f>
        <v>0</v>
      </c>
      <c r="F11" s="1095">
        <f t="shared" si="1"/>
        <v>0</v>
      </c>
      <c r="G11" s="1095">
        <f t="shared" si="1"/>
        <v>0</v>
      </c>
      <c r="H11" s="1095">
        <f t="shared" si="1"/>
        <v>0</v>
      </c>
      <c r="I11" s="1095">
        <f t="shared" si="1"/>
        <v>0</v>
      </c>
      <c r="J11" s="1095">
        <f t="shared" si="1"/>
        <v>0</v>
      </c>
      <c r="K11" s="1095">
        <f t="shared" si="1"/>
        <v>0</v>
      </c>
      <c r="L11" s="1095">
        <f t="shared" si="1"/>
        <v>0</v>
      </c>
      <c r="M11" s="1095">
        <f>+L11+K11+J11+I11</f>
        <v>0</v>
      </c>
      <c r="N11" s="1095">
        <f>+N81+N86+N91</f>
        <v>0</v>
      </c>
      <c r="O11" s="1095">
        <f>+O81+O86+O91+O116+O121</f>
        <v>0</v>
      </c>
      <c r="P11" s="1095">
        <f t="shared" ref="P11:T11" si="2">+P81+P86+P91+P116+P121</f>
        <v>5520540</v>
      </c>
      <c r="Q11" s="1095">
        <f t="shared" si="2"/>
        <v>4817622</v>
      </c>
      <c r="R11" s="1095">
        <f t="shared" si="2"/>
        <v>5096176</v>
      </c>
      <c r="S11" s="1095">
        <f t="shared" si="2"/>
        <v>2027777</v>
      </c>
      <c r="T11" s="1095">
        <f t="shared" si="2"/>
        <v>1765714</v>
      </c>
      <c r="U11" s="1134">
        <f>+U81+U86+U91+U116+U121</f>
        <v>25819259</v>
      </c>
      <c r="V11" s="1132"/>
    </row>
    <row r="12" spans="1:22" s="1898" customFormat="1" ht="12" customHeight="1" thickBot="1">
      <c r="A12" s="963"/>
      <c r="B12" s="1135" t="s">
        <v>21</v>
      </c>
      <c r="C12" s="1108"/>
      <c r="D12" s="1120">
        <f>+D32+D43+D56+D57+D58+D44+D68+D69+D96+D106</f>
        <v>96181121</v>
      </c>
      <c r="E12" s="1120">
        <f t="shared" ref="E12:L12" si="3">+E32+E43+E56+E57+E58+E44+E68+E69+E96+E106</f>
        <v>2805880</v>
      </c>
      <c r="F12" s="1120">
        <f t="shared" si="3"/>
        <v>0</v>
      </c>
      <c r="G12" s="1120">
        <f t="shared" si="3"/>
        <v>27000</v>
      </c>
      <c r="H12" s="1120">
        <f t="shared" si="3"/>
        <v>3348880.0600000005</v>
      </c>
      <c r="I12" s="1120">
        <f t="shared" si="3"/>
        <v>5513671</v>
      </c>
      <c r="J12" s="1120">
        <f t="shared" si="3"/>
        <v>18798477</v>
      </c>
      <c r="K12" s="1120">
        <f t="shared" si="3"/>
        <v>11401296</v>
      </c>
      <c r="L12" s="1120">
        <f t="shared" si="3"/>
        <v>5348030</v>
      </c>
      <c r="M12" s="1120">
        <f>+L12+K12+J12+I12+2805880</f>
        <v>43867354</v>
      </c>
      <c r="N12" s="1120">
        <f>+N32+N43+N56+N57+N58+N44+N68+N69+N96+N106</f>
        <v>22494848</v>
      </c>
      <c r="O12" s="1120">
        <f>+O32+O43+O56+O57+O58+O44+O68+O69+O96+O106</f>
        <v>24322102</v>
      </c>
      <c r="P12" s="1120">
        <f>+P32+P43+P56+P57+P58+P44+P68+P69+P96+P106</f>
        <v>5496817</v>
      </c>
      <c r="Q12" s="1120">
        <f>+Q32+Q43+Q56+Q57+Q58+Q44+Q68+Q69+Q96+Q106</f>
        <v>0</v>
      </c>
      <c r="R12" s="1120">
        <f>+R32+R43+R56+R57+R58+R44+R68+R69+R96+R106</f>
        <v>0</v>
      </c>
      <c r="S12" s="1120">
        <f>+S32+S43+S56+S57+S58+S44+S68+S69+S96</f>
        <v>0</v>
      </c>
      <c r="T12" s="1120">
        <f>+T32+T43+T56+T57+T58+T44+T68+T69+T96</f>
        <v>0</v>
      </c>
      <c r="U12" s="1136">
        <f>+U32+U43+U56+U57+U58+U44+U68+U69+U96+U106</f>
        <v>29818919</v>
      </c>
      <c r="V12" s="1132"/>
    </row>
    <row r="13" spans="1:22" s="1916" customFormat="1" ht="14.25" customHeight="1">
      <c r="A13" s="963"/>
      <c r="B13" s="1137" t="s">
        <v>22</v>
      </c>
      <c r="C13" s="1138"/>
      <c r="D13" s="1139">
        <f>+D14+D20</f>
        <v>263089898</v>
      </c>
      <c r="E13" s="1140">
        <f t="shared" ref="E13:Q13" si="4">SUM(E14,E20)</f>
        <v>3848353</v>
      </c>
      <c r="F13" s="1140">
        <f t="shared" si="4"/>
        <v>0</v>
      </c>
      <c r="G13" s="1140">
        <f t="shared" si="4"/>
        <v>102454</v>
      </c>
      <c r="H13" s="1140">
        <f t="shared" si="4"/>
        <v>6059759.0600000005</v>
      </c>
      <c r="I13" s="1140">
        <f>SUM(I14,I20)</f>
        <v>22200440</v>
      </c>
      <c r="J13" s="1140">
        <f t="shared" si="4"/>
        <v>30496981</v>
      </c>
      <c r="K13" s="1140">
        <f t="shared" si="4"/>
        <v>16499453</v>
      </c>
      <c r="L13" s="1140">
        <f t="shared" si="4"/>
        <v>31183456</v>
      </c>
      <c r="M13" s="1140">
        <f t="shared" si="4"/>
        <v>104228683</v>
      </c>
      <c r="N13" s="1140">
        <f t="shared" si="4"/>
        <v>46913434</v>
      </c>
      <c r="O13" s="1140">
        <f t="shared" si="4"/>
        <v>64362046</v>
      </c>
      <c r="P13" s="1140">
        <f t="shared" si="4"/>
        <v>27287016</v>
      </c>
      <c r="Q13" s="1140">
        <f t="shared" si="4"/>
        <v>4817622</v>
      </c>
      <c r="R13" s="1140">
        <f>SUM(R14,R20)</f>
        <v>5096176</v>
      </c>
      <c r="S13" s="1140">
        <f>+S14+S20</f>
        <v>2027777</v>
      </c>
      <c r="T13" s="1140">
        <f t="shared" ref="T13" si="5">SUM(T14,T20)</f>
        <v>1765714</v>
      </c>
      <c r="U13" s="1141">
        <f>SUM(U14,U20)</f>
        <v>54638178</v>
      </c>
      <c r="V13" s="870"/>
    </row>
    <row r="14" spans="1:22" s="1917" customFormat="1" ht="14.25" customHeight="1">
      <c r="A14" s="963"/>
      <c r="B14" s="1142" t="s">
        <v>23</v>
      </c>
      <c r="C14" s="1143"/>
      <c r="D14" s="1144">
        <f>SUM(D15:D19)</f>
        <v>197469237</v>
      </c>
      <c r="E14" s="1144">
        <f t="shared" ref="E14:Q14" si="6">SUM(E15:E19)</f>
        <v>3848353</v>
      </c>
      <c r="F14" s="1144">
        <f t="shared" si="6"/>
        <v>0</v>
      </c>
      <c r="G14" s="1144">
        <f t="shared" si="6"/>
        <v>102454</v>
      </c>
      <c r="H14" s="1144">
        <f t="shared" si="6"/>
        <v>6059759.0600000005</v>
      </c>
      <c r="I14" s="1144">
        <f t="shared" si="6"/>
        <v>6621685</v>
      </c>
      <c r="J14" s="1144">
        <f t="shared" si="6"/>
        <v>22298156</v>
      </c>
      <c r="K14" s="1144">
        <f>SUM(K15:K19)</f>
        <v>16499453</v>
      </c>
      <c r="L14" s="1144">
        <f t="shared" si="6"/>
        <v>30782980</v>
      </c>
      <c r="M14" s="1144">
        <f t="shared" si="6"/>
        <v>80050627</v>
      </c>
      <c r="N14" s="1144">
        <f t="shared" si="6"/>
        <v>26985967</v>
      </c>
      <c r="O14" s="1144">
        <f t="shared" si="6"/>
        <v>42846908</v>
      </c>
      <c r="P14" s="1144">
        <f t="shared" si="6"/>
        <v>27287016</v>
      </c>
      <c r="Q14" s="1144">
        <f t="shared" si="6"/>
        <v>4817622</v>
      </c>
      <c r="R14" s="1144">
        <f>SUM(R15:R19)</f>
        <v>5096176</v>
      </c>
      <c r="S14" s="1144">
        <f>+S15+S16+S17+S18+S19</f>
        <v>2027777</v>
      </c>
      <c r="T14" s="1144">
        <f t="shared" ref="T14" si="7">SUM(T15:T19)</f>
        <v>1765714</v>
      </c>
      <c r="U14" s="1145">
        <f>SUM(U15:U19)</f>
        <v>54638178</v>
      </c>
      <c r="V14" s="857"/>
    </row>
    <row r="15" spans="1:22" s="1917" customFormat="1" ht="13.5" customHeight="1">
      <c r="A15" s="963"/>
      <c r="B15" s="1146" t="s">
        <v>24</v>
      </c>
      <c r="C15" s="1143"/>
      <c r="D15" s="1147">
        <f>+D81+D86+D91+D116+D121</f>
        <v>25819259</v>
      </c>
      <c r="E15" s="1147">
        <f t="shared" ref="E15:L15" si="8">+E81+E86+E91</f>
        <v>0</v>
      </c>
      <c r="F15" s="1147">
        <f t="shared" si="8"/>
        <v>0</v>
      </c>
      <c r="G15" s="1147">
        <f t="shared" si="8"/>
        <v>0</v>
      </c>
      <c r="H15" s="1147">
        <f t="shared" si="8"/>
        <v>0</v>
      </c>
      <c r="I15" s="1147">
        <f t="shared" si="8"/>
        <v>0</v>
      </c>
      <c r="J15" s="1147">
        <f t="shared" si="8"/>
        <v>0</v>
      </c>
      <c r="K15" s="1147">
        <f t="shared" si="8"/>
        <v>0</v>
      </c>
      <c r="L15" s="1147">
        <f t="shared" si="8"/>
        <v>0</v>
      </c>
      <c r="M15" s="1147">
        <f>+L15+K15+J15+I15+E15</f>
        <v>0</v>
      </c>
      <c r="N15" s="1147">
        <f>+N81+N86+N91</f>
        <v>0</v>
      </c>
      <c r="O15" s="1147">
        <f>+O81+O86+O91+O116+O121</f>
        <v>0</v>
      </c>
      <c r="P15" s="1147">
        <f t="shared" ref="P15:T15" si="9">+P81+P86+P91+P116+P121</f>
        <v>5520540</v>
      </c>
      <c r="Q15" s="1147">
        <f t="shared" si="9"/>
        <v>4817622</v>
      </c>
      <c r="R15" s="1147">
        <f t="shared" si="9"/>
        <v>5096176</v>
      </c>
      <c r="S15" s="1147">
        <f t="shared" si="9"/>
        <v>2027777</v>
      </c>
      <c r="T15" s="1147">
        <f t="shared" si="9"/>
        <v>1765714</v>
      </c>
      <c r="U15" s="1148">
        <f>+U81+U86+U91+U116+U121</f>
        <v>25819259</v>
      </c>
      <c r="V15" s="857"/>
    </row>
    <row r="16" spans="1:22" s="1916" customFormat="1" ht="12.75" customHeight="1">
      <c r="A16" s="963"/>
      <c r="B16" s="1146" t="s">
        <v>45</v>
      </c>
      <c r="C16" s="1149"/>
      <c r="D16" s="1150">
        <f>+D31+D42+D55+D80+D85+D95+D105+D90+D120</f>
        <v>75468857</v>
      </c>
      <c r="E16" s="1150">
        <f t="shared" ref="E16:L16" si="10">+E31+E42+E55+E68+E80+E85+E95+E105</f>
        <v>1042473</v>
      </c>
      <c r="F16" s="1150">
        <f t="shared" si="10"/>
        <v>0</v>
      </c>
      <c r="G16" s="1150">
        <f t="shared" si="10"/>
        <v>75454</v>
      </c>
      <c r="H16" s="1150">
        <f t="shared" si="10"/>
        <v>2710879</v>
      </c>
      <c r="I16" s="1150">
        <f t="shared" si="10"/>
        <v>1108014</v>
      </c>
      <c r="J16" s="1150">
        <f t="shared" si="10"/>
        <v>3499679</v>
      </c>
      <c r="K16" s="1150">
        <f t="shared" si="10"/>
        <v>5098157</v>
      </c>
      <c r="L16" s="1150">
        <f t="shared" si="10"/>
        <v>25434950</v>
      </c>
      <c r="M16" s="1147">
        <f>+M31+M42+M55+M80+M85+M95+M105+M90+M120</f>
        <v>36183273</v>
      </c>
      <c r="N16" s="1147">
        <f t="shared" ref="N16:T16" si="11">+N31+N42+N55+N80+N85+N95+N105+N90+N120</f>
        <v>4491119</v>
      </c>
      <c r="O16" s="1147">
        <f>+O31+O42+O55+O80+O85+O95+O105+O90+O120</f>
        <v>18524806</v>
      </c>
      <c r="P16" s="1147">
        <f t="shared" si="11"/>
        <v>16269659</v>
      </c>
      <c r="Q16" s="1147">
        <f t="shared" si="11"/>
        <v>0</v>
      </c>
      <c r="R16" s="1147">
        <f t="shared" si="11"/>
        <v>0</v>
      </c>
      <c r="S16" s="1147">
        <f t="shared" si="11"/>
        <v>0</v>
      </c>
      <c r="T16" s="1147">
        <f t="shared" si="11"/>
        <v>0</v>
      </c>
      <c r="U16" s="1152" t="s">
        <v>77</v>
      </c>
      <c r="V16" s="870"/>
    </row>
    <row r="17" spans="1:22" s="1916" customFormat="1" ht="12" customHeight="1">
      <c r="A17" s="963"/>
      <c r="B17" s="1146" t="s">
        <v>193</v>
      </c>
      <c r="C17" s="1149"/>
      <c r="D17" s="1150">
        <f t="shared" ref="D17:L17" si="12">+D43+D56+D68+D96+D32+D106</f>
        <v>46551139</v>
      </c>
      <c r="E17" s="1150">
        <f t="shared" si="12"/>
        <v>2805880</v>
      </c>
      <c r="F17" s="1150">
        <f t="shared" si="12"/>
        <v>0</v>
      </c>
      <c r="G17" s="1150">
        <f t="shared" si="12"/>
        <v>27000</v>
      </c>
      <c r="H17" s="1150">
        <f t="shared" si="12"/>
        <v>3348880.0600000005</v>
      </c>
      <c r="I17" s="1150">
        <f t="shared" si="12"/>
        <v>5513671</v>
      </c>
      <c r="J17" s="1150">
        <f t="shared" si="12"/>
        <v>8588477</v>
      </c>
      <c r="K17" s="1150">
        <f t="shared" si="12"/>
        <v>7491341</v>
      </c>
      <c r="L17" s="1150">
        <f t="shared" si="12"/>
        <v>942693</v>
      </c>
      <c r="M17" s="1147">
        <f>+L17+K17+J17+I17+E17</f>
        <v>25342062</v>
      </c>
      <c r="N17" s="1150">
        <f t="shared" ref="N17:T17" si="13">+N43+N56+N68+N96+N32+N106</f>
        <v>10920082</v>
      </c>
      <c r="O17" s="1150">
        <f t="shared" si="13"/>
        <v>10095894</v>
      </c>
      <c r="P17" s="1150">
        <f t="shared" si="13"/>
        <v>193101</v>
      </c>
      <c r="Q17" s="1150">
        <f t="shared" si="13"/>
        <v>0</v>
      </c>
      <c r="R17" s="1150">
        <f t="shared" si="13"/>
        <v>0</v>
      </c>
      <c r="S17" s="1150">
        <f t="shared" si="13"/>
        <v>0</v>
      </c>
      <c r="T17" s="1150">
        <f t="shared" si="13"/>
        <v>0</v>
      </c>
      <c r="U17" s="1154">
        <f>+U43+U56+U68+U96+U32</f>
        <v>9288995</v>
      </c>
      <c r="V17" s="1155"/>
    </row>
    <row r="18" spans="1:22" s="1916" customFormat="1" ht="14.25" customHeight="1">
      <c r="A18" s="963"/>
      <c r="B18" s="1156" t="s">
        <v>25</v>
      </c>
      <c r="C18" s="1149"/>
      <c r="D18" s="1157">
        <f>D57+D44+D69</f>
        <v>43429982</v>
      </c>
      <c r="E18" s="1157">
        <f t="shared" ref="E18:T18" si="14">E57+E44+E69</f>
        <v>0</v>
      </c>
      <c r="F18" s="1157">
        <f t="shared" si="14"/>
        <v>0</v>
      </c>
      <c r="G18" s="1157">
        <f t="shared" si="14"/>
        <v>0</v>
      </c>
      <c r="H18" s="1157">
        <f t="shared" si="14"/>
        <v>0</v>
      </c>
      <c r="I18" s="1157">
        <f t="shared" si="14"/>
        <v>0</v>
      </c>
      <c r="J18" s="1157">
        <f t="shared" si="14"/>
        <v>8065000</v>
      </c>
      <c r="K18" s="1157">
        <f t="shared" si="14"/>
        <v>1854955</v>
      </c>
      <c r="L18" s="1157">
        <f t="shared" si="14"/>
        <v>3882193</v>
      </c>
      <c r="M18" s="1147">
        <f>+L18+K18+J18+I18+E18</f>
        <v>13802148</v>
      </c>
      <c r="N18" s="1157">
        <f t="shared" si="14"/>
        <v>10097910</v>
      </c>
      <c r="O18" s="1157">
        <f t="shared" si="14"/>
        <v>14226208</v>
      </c>
      <c r="P18" s="1157">
        <f t="shared" si="14"/>
        <v>5303716</v>
      </c>
      <c r="Q18" s="1157">
        <f t="shared" si="14"/>
        <v>0</v>
      </c>
      <c r="R18" s="1157">
        <f t="shared" si="14"/>
        <v>0</v>
      </c>
      <c r="S18" s="1157">
        <f t="shared" si="14"/>
        <v>0</v>
      </c>
      <c r="T18" s="1157">
        <f t="shared" si="14"/>
        <v>0</v>
      </c>
      <c r="U18" s="1154">
        <f>U57+U44+U69</f>
        <v>19529924</v>
      </c>
      <c r="V18" s="1155"/>
    </row>
    <row r="19" spans="1:22" s="1916" customFormat="1" ht="11.25" customHeight="1">
      <c r="A19" s="963"/>
      <c r="B19" s="1156" t="s">
        <v>194</v>
      </c>
      <c r="C19" s="1149"/>
      <c r="D19" s="1157">
        <f t="shared" ref="D19:T19" si="15">D58</f>
        <v>6200000</v>
      </c>
      <c r="E19" s="1157">
        <f t="shared" si="15"/>
        <v>0</v>
      </c>
      <c r="F19" s="1157">
        <f t="shared" si="15"/>
        <v>0</v>
      </c>
      <c r="G19" s="1157">
        <f t="shared" si="15"/>
        <v>0</v>
      </c>
      <c r="H19" s="1157">
        <f t="shared" si="15"/>
        <v>0</v>
      </c>
      <c r="I19" s="1157">
        <f t="shared" si="15"/>
        <v>0</v>
      </c>
      <c r="J19" s="1157">
        <f t="shared" si="15"/>
        <v>2145000</v>
      </c>
      <c r="K19" s="1157">
        <f t="shared" si="15"/>
        <v>2055000</v>
      </c>
      <c r="L19" s="1157">
        <f t="shared" si="15"/>
        <v>523144</v>
      </c>
      <c r="M19" s="1147">
        <f>+L19+K19+J19+I19+E19</f>
        <v>4723144</v>
      </c>
      <c r="N19" s="1157">
        <f>N58</f>
        <v>1476856</v>
      </c>
      <c r="O19" s="1157">
        <f t="shared" si="15"/>
        <v>0</v>
      </c>
      <c r="P19" s="1157">
        <f t="shared" si="15"/>
        <v>0</v>
      </c>
      <c r="Q19" s="1157">
        <f t="shared" si="15"/>
        <v>0</v>
      </c>
      <c r="R19" s="1157">
        <f t="shared" si="15"/>
        <v>0</v>
      </c>
      <c r="S19" s="1157">
        <f t="shared" si="15"/>
        <v>0</v>
      </c>
      <c r="T19" s="1157">
        <f t="shared" si="15"/>
        <v>0</v>
      </c>
      <c r="U19" s="1154">
        <f>U58</f>
        <v>0</v>
      </c>
      <c r="V19" s="1155"/>
    </row>
    <row r="20" spans="1:22" s="1917" customFormat="1" ht="12.75" customHeight="1">
      <c r="A20" s="842"/>
      <c r="B20" s="939" t="s">
        <v>30</v>
      </c>
      <c r="C20" s="1158"/>
      <c r="D20" s="1159">
        <f t="shared" ref="D20:T20" si="16">SUM(D21:D21)</f>
        <v>65620661</v>
      </c>
      <c r="E20" s="1159">
        <f t="shared" si="16"/>
        <v>0</v>
      </c>
      <c r="F20" s="1159">
        <f t="shared" si="16"/>
        <v>0</v>
      </c>
      <c r="G20" s="1159">
        <f t="shared" si="16"/>
        <v>0</v>
      </c>
      <c r="H20" s="1159">
        <f t="shared" si="16"/>
        <v>0</v>
      </c>
      <c r="I20" s="1159">
        <f t="shared" si="16"/>
        <v>15578755</v>
      </c>
      <c r="J20" s="1159">
        <f t="shared" si="16"/>
        <v>8198825</v>
      </c>
      <c r="K20" s="1159">
        <f t="shared" si="16"/>
        <v>0</v>
      </c>
      <c r="L20" s="1159">
        <f t="shared" si="16"/>
        <v>400476</v>
      </c>
      <c r="M20" s="1159">
        <f t="shared" si="16"/>
        <v>24178056</v>
      </c>
      <c r="N20" s="1159">
        <f t="shared" si="16"/>
        <v>19927467</v>
      </c>
      <c r="O20" s="1159">
        <f t="shared" si="16"/>
        <v>21515138</v>
      </c>
      <c r="P20" s="1159">
        <f t="shared" si="16"/>
        <v>0</v>
      </c>
      <c r="Q20" s="1159">
        <f t="shared" si="16"/>
        <v>0</v>
      </c>
      <c r="R20" s="1159">
        <f t="shared" si="16"/>
        <v>0</v>
      </c>
      <c r="S20" s="1159">
        <f t="shared" si="16"/>
        <v>0</v>
      </c>
      <c r="T20" s="1159">
        <f t="shared" si="16"/>
        <v>0</v>
      </c>
      <c r="U20" s="1152" t="s">
        <v>77</v>
      </c>
      <c r="V20" s="857"/>
    </row>
    <row r="21" spans="1:22" s="1916" customFormat="1" ht="12" customHeight="1">
      <c r="A21" s="866"/>
      <c r="B21" s="1160" t="s">
        <v>48</v>
      </c>
      <c r="C21" s="1161"/>
      <c r="D21" s="1162">
        <f>+D46+D71+D33+D98+D108</f>
        <v>65620661</v>
      </c>
      <c r="E21" s="1162">
        <f t="shared" ref="E21:T21" si="17">+E46+E71+E33+E98+E108</f>
        <v>0</v>
      </c>
      <c r="F21" s="1162">
        <f t="shared" si="17"/>
        <v>0</v>
      </c>
      <c r="G21" s="1162">
        <f t="shared" si="17"/>
        <v>0</v>
      </c>
      <c r="H21" s="1162">
        <f t="shared" si="17"/>
        <v>0</v>
      </c>
      <c r="I21" s="1162">
        <f t="shared" si="17"/>
        <v>15578755</v>
      </c>
      <c r="J21" s="1162">
        <f t="shared" si="17"/>
        <v>8198825</v>
      </c>
      <c r="K21" s="1162">
        <f t="shared" si="17"/>
        <v>0</v>
      </c>
      <c r="L21" s="1162">
        <f t="shared" si="17"/>
        <v>400476</v>
      </c>
      <c r="M21" s="1147">
        <f>+L21+K21+J21+I21+E21</f>
        <v>24178056</v>
      </c>
      <c r="N21" s="1162">
        <f t="shared" si="17"/>
        <v>19927467</v>
      </c>
      <c r="O21" s="1162">
        <f t="shared" si="17"/>
        <v>21515138</v>
      </c>
      <c r="P21" s="1162">
        <f t="shared" si="17"/>
        <v>0</v>
      </c>
      <c r="Q21" s="1162">
        <f t="shared" si="17"/>
        <v>0</v>
      </c>
      <c r="R21" s="1162">
        <f t="shared" si="17"/>
        <v>0</v>
      </c>
      <c r="S21" s="1162">
        <f t="shared" si="17"/>
        <v>0</v>
      </c>
      <c r="T21" s="1162">
        <f t="shared" si="17"/>
        <v>0</v>
      </c>
      <c r="U21" s="1152" t="s">
        <v>77</v>
      </c>
      <c r="V21" s="1163"/>
    </row>
    <row r="22" spans="1:22" s="1916" customFormat="1" ht="12.75" customHeight="1">
      <c r="A22" s="866"/>
      <c r="B22" s="427" t="s">
        <v>34</v>
      </c>
      <c r="C22" s="948"/>
      <c r="D22" s="897">
        <f>+D23+D26</f>
        <v>115250643</v>
      </c>
      <c r="E22" s="897">
        <f t="shared" ref="E22:T22" si="18">+E23+E26</f>
        <v>0</v>
      </c>
      <c r="F22" s="897">
        <f t="shared" si="18"/>
        <v>0</v>
      </c>
      <c r="G22" s="897">
        <f t="shared" si="18"/>
        <v>0</v>
      </c>
      <c r="H22" s="897">
        <f t="shared" si="18"/>
        <v>0</v>
      </c>
      <c r="I22" s="897">
        <f t="shared" si="18"/>
        <v>15578755</v>
      </c>
      <c r="J22" s="897">
        <f t="shared" si="18"/>
        <v>18408825</v>
      </c>
      <c r="K22" s="897">
        <f t="shared" si="18"/>
        <v>3909955</v>
      </c>
      <c r="L22" s="897">
        <f t="shared" si="18"/>
        <v>4805813</v>
      </c>
      <c r="M22" s="897">
        <f t="shared" si="18"/>
        <v>42703348</v>
      </c>
      <c r="N22" s="897">
        <f t="shared" si="18"/>
        <v>31502233</v>
      </c>
      <c r="O22" s="897">
        <f t="shared" si="18"/>
        <v>35741346</v>
      </c>
      <c r="P22" s="897">
        <f t="shared" si="18"/>
        <v>5303716</v>
      </c>
      <c r="Q22" s="897">
        <f t="shared" si="18"/>
        <v>0</v>
      </c>
      <c r="R22" s="897">
        <f t="shared" si="18"/>
        <v>0</v>
      </c>
      <c r="S22" s="897">
        <f t="shared" si="18"/>
        <v>0</v>
      </c>
      <c r="T22" s="897">
        <f t="shared" si="18"/>
        <v>0</v>
      </c>
      <c r="U22" s="2628" t="s">
        <v>77</v>
      </c>
      <c r="V22" s="1163"/>
    </row>
    <row r="23" spans="1:22" s="1916" customFormat="1" ht="12.75" customHeight="1">
      <c r="A23" s="866"/>
      <c r="B23" s="939" t="s">
        <v>23</v>
      </c>
      <c r="C23" s="1158"/>
      <c r="D23" s="1159">
        <f>+D24+D25</f>
        <v>49629982</v>
      </c>
      <c r="E23" s="1159">
        <f t="shared" ref="E23:T23" si="19">+E24+E25</f>
        <v>0</v>
      </c>
      <c r="F23" s="1159">
        <f t="shared" si="19"/>
        <v>0</v>
      </c>
      <c r="G23" s="1159">
        <f t="shared" si="19"/>
        <v>0</v>
      </c>
      <c r="H23" s="1159">
        <f t="shared" si="19"/>
        <v>0</v>
      </c>
      <c r="I23" s="1159">
        <f t="shared" si="19"/>
        <v>0</v>
      </c>
      <c r="J23" s="1159">
        <f t="shared" si="19"/>
        <v>10210000</v>
      </c>
      <c r="K23" s="1159">
        <f t="shared" si="19"/>
        <v>3909955</v>
      </c>
      <c r="L23" s="1159">
        <f t="shared" si="19"/>
        <v>4405337</v>
      </c>
      <c r="M23" s="1159">
        <f t="shared" si="19"/>
        <v>18525292</v>
      </c>
      <c r="N23" s="1159">
        <f t="shared" si="19"/>
        <v>11574766</v>
      </c>
      <c r="O23" s="1159">
        <f t="shared" si="19"/>
        <v>14226208</v>
      </c>
      <c r="P23" s="1159">
        <f t="shared" si="19"/>
        <v>5303716</v>
      </c>
      <c r="Q23" s="1159">
        <f t="shared" si="19"/>
        <v>0</v>
      </c>
      <c r="R23" s="1159">
        <f t="shared" si="19"/>
        <v>0</v>
      </c>
      <c r="S23" s="1159">
        <f t="shared" si="19"/>
        <v>0</v>
      </c>
      <c r="T23" s="1159">
        <f t="shared" si="19"/>
        <v>0</v>
      </c>
      <c r="U23" s="2629"/>
      <c r="V23" s="1163"/>
    </row>
    <row r="24" spans="1:22" s="1916" customFormat="1" ht="12" customHeight="1">
      <c r="A24" s="866"/>
      <c r="B24" s="1156" t="s">
        <v>25</v>
      </c>
      <c r="C24" s="1149"/>
      <c r="D24" s="1157">
        <f>D63+D49+D74</f>
        <v>43429982</v>
      </c>
      <c r="E24" s="1157">
        <f>E63+E49+E74</f>
        <v>0</v>
      </c>
      <c r="F24" s="1157">
        <f>F63+F49</f>
        <v>0</v>
      </c>
      <c r="G24" s="1157">
        <f>G63+G49</f>
        <v>0</v>
      </c>
      <c r="H24" s="1157">
        <f>H63+H49</f>
        <v>0</v>
      </c>
      <c r="I24" s="1157">
        <f>I63+I49+I74</f>
        <v>0</v>
      </c>
      <c r="J24" s="1157">
        <f>J63+J49+J74</f>
        <v>8065000</v>
      </c>
      <c r="K24" s="1157">
        <f>K63+K49+K74</f>
        <v>1854955</v>
      </c>
      <c r="L24" s="1157">
        <f>L63+L49+L74</f>
        <v>3882193</v>
      </c>
      <c r="M24" s="1147">
        <f>+L24+K24+J24+I24+E24</f>
        <v>13802148</v>
      </c>
      <c r="N24" s="1157">
        <f t="shared" ref="N24:T24" si="20">N63+N49+N74</f>
        <v>10097910</v>
      </c>
      <c r="O24" s="1157">
        <f t="shared" si="20"/>
        <v>14226208</v>
      </c>
      <c r="P24" s="1157">
        <f t="shared" si="20"/>
        <v>5303716</v>
      </c>
      <c r="Q24" s="1157">
        <f t="shared" si="20"/>
        <v>0</v>
      </c>
      <c r="R24" s="1157">
        <f t="shared" si="20"/>
        <v>0</v>
      </c>
      <c r="S24" s="1157">
        <f t="shared" si="20"/>
        <v>0</v>
      </c>
      <c r="T24" s="1157">
        <f t="shared" si="20"/>
        <v>0</v>
      </c>
      <c r="U24" s="2629"/>
      <c r="V24" s="1163"/>
    </row>
    <row r="25" spans="1:22" s="1916" customFormat="1" ht="14.25" customHeight="1">
      <c r="A25" s="866"/>
      <c r="B25" s="1156" t="s">
        <v>297</v>
      </c>
      <c r="C25" s="1149"/>
      <c r="D25" s="1157">
        <f t="shared" ref="D25:T25" si="21">D64</f>
        <v>6200000</v>
      </c>
      <c r="E25" s="1157">
        <f t="shared" si="21"/>
        <v>0</v>
      </c>
      <c r="F25" s="1157">
        <f t="shared" si="21"/>
        <v>0</v>
      </c>
      <c r="G25" s="1157">
        <f t="shared" si="21"/>
        <v>0</v>
      </c>
      <c r="H25" s="1157">
        <f t="shared" si="21"/>
        <v>0</v>
      </c>
      <c r="I25" s="1157">
        <f t="shared" si="21"/>
        <v>0</v>
      </c>
      <c r="J25" s="1157">
        <f t="shared" si="21"/>
        <v>2145000</v>
      </c>
      <c r="K25" s="1157">
        <f t="shared" si="21"/>
        <v>2055000</v>
      </c>
      <c r="L25" s="1157">
        <f t="shared" si="21"/>
        <v>523144</v>
      </c>
      <c r="M25" s="1147">
        <f>+L25+K25+J25+I25+E25</f>
        <v>4723144</v>
      </c>
      <c r="N25" s="1157">
        <f t="shared" si="21"/>
        <v>1476856</v>
      </c>
      <c r="O25" s="1157">
        <f t="shared" si="21"/>
        <v>0</v>
      </c>
      <c r="P25" s="1157">
        <f t="shared" si="21"/>
        <v>0</v>
      </c>
      <c r="Q25" s="1157">
        <f t="shared" si="21"/>
        <v>0</v>
      </c>
      <c r="R25" s="1157">
        <f t="shared" si="21"/>
        <v>0</v>
      </c>
      <c r="S25" s="1157">
        <f t="shared" si="21"/>
        <v>0</v>
      </c>
      <c r="T25" s="1157">
        <f t="shared" si="21"/>
        <v>0</v>
      </c>
      <c r="U25" s="2629"/>
      <c r="V25" s="1163"/>
    </row>
    <row r="26" spans="1:22" s="1916" customFormat="1" ht="14.25" customHeight="1">
      <c r="A26" s="866"/>
      <c r="B26" s="939" t="s">
        <v>30</v>
      </c>
      <c r="C26" s="1158"/>
      <c r="D26" s="1159">
        <f t="shared" ref="D26:T26" si="22">SUM(D27:D27)</f>
        <v>65620661</v>
      </c>
      <c r="E26" s="1159">
        <f t="shared" si="22"/>
        <v>0</v>
      </c>
      <c r="F26" s="1159">
        <f t="shared" si="22"/>
        <v>0</v>
      </c>
      <c r="G26" s="1159">
        <f t="shared" si="22"/>
        <v>0</v>
      </c>
      <c r="H26" s="1159">
        <f t="shared" si="22"/>
        <v>0</v>
      </c>
      <c r="I26" s="1159">
        <f t="shared" si="22"/>
        <v>15578755</v>
      </c>
      <c r="J26" s="1159">
        <f t="shared" si="22"/>
        <v>8198825</v>
      </c>
      <c r="K26" s="1159">
        <f t="shared" si="22"/>
        <v>0</v>
      </c>
      <c r="L26" s="1159">
        <f t="shared" si="22"/>
        <v>400476</v>
      </c>
      <c r="M26" s="1159">
        <f t="shared" si="22"/>
        <v>24178056</v>
      </c>
      <c r="N26" s="1159">
        <f t="shared" si="22"/>
        <v>19927467</v>
      </c>
      <c r="O26" s="1159">
        <f t="shared" si="22"/>
        <v>21515138</v>
      </c>
      <c r="P26" s="1159">
        <f t="shared" si="22"/>
        <v>0</v>
      </c>
      <c r="Q26" s="1159">
        <f t="shared" si="22"/>
        <v>0</v>
      </c>
      <c r="R26" s="1159">
        <f t="shared" si="22"/>
        <v>0</v>
      </c>
      <c r="S26" s="1159">
        <f t="shared" si="22"/>
        <v>0</v>
      </c>
      <c r="T26" s="1159">
        <f t="shared" si="22"/>
        <v>0</v>
      </c>
      <c r="U26" s="2629"/>
      <c r="V26" s="1163"/>
    </row>
    <row r="27" spans="1:22" s="1916" customFormat="1" ht="14.25" customHeight="1" thickBot="1">
      <c r="A27" s="866"/>
      <c r="B27" s="1160" t="s">
        <v>48</v>
      </c>
      <c r="C27" s="1164"/>
      <c r="D27" s="1165">
        <f t="shared" ref="D27:L27" si="23">D37+D51+D76+D101+D111</f>
        <v>65620661</v>
      </c>
      <c r="E27" s="1165">
        <f t="shared" si="23"/>
        <v>0</v>
      </c>
      <c r="F27" s="1165">
        <f t="shared" si="23"/>
        <v>0</v>
      </c>
      <c r="G27" s="1165">
        <f t="shared" si="23"/>
        <v>0</v>
      </c>
      <c r="H27" s="1165">
        <f t="shared" si="23"/>
        <v>0</v>
      </c>
      <c r="I27" s="1165">
        <f t="shared" si="23"/>
        <v>15578755</v>
      </c>
      <c r="J27" s="1165">
        <f t="shared" si="23"/>
        <v>8198825</v>
      </c>
      <c r="K27" s="1165">
        <f t="shared" si="23"/>
        <v>0</v>
      </c>
      <c r="L27" s="1165">
        <f t="shared" si="23"/>
        <v>400476</v>
      </c>
      <c r="M27" s="1147">
        <f>+L27+K27+J27+I27+E27</f>
        <v>24178056</v>
      </c>
      <c r="N27" s="1165">
        <f t="shared" ref="N27:T27" si="24">N37+N51+N76+N101+N111</f>
        <v>19927467</v>
      </c>
      <c r="O27" s="1165">
        <f t="shared" si="24"/>
        <v>21515138</v>
      </c>
      <c r="P27" s="1165">
        <f t="shared" si="24"/>
        <v>0</v>
      </c>
      <c r="Q27" s="1165">
        <f t="shared" si="24"/>
        <v>0</v>
      </c>
      <c r="R27" s="1165">
        <f t="shared" si="24"/>
        <v>0</v>
      </c>
      <c r="S27" s="1165">
        <f t="shared" si="24"/>
        <v>0</v>
      </c>
      <c r="T27" s="1165">
        <f t="shared" si="24"/>
        <v>0</v>
      </c>
      <c r="U27" s="2630"/>
      <c r="V27" s="1163"/>
    </row>
    <row r="28" spans="1:22" s="1918" customFormat="1" ht="23.25" hidden="1" customHeight="1">
      <c r="A28" s="2615" t="s">
        <v>82</v>
      </c>
      <c r="B28" s="1166"/>
      <c r="C28" s="942" t="s">
        <v>102</v>
      </c>
      <c r="D28" s="1167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9"/>
      <c r="V28" s="2618" t="s">
        <v>195</v>
      </c>
    </row>
    <row r="29" spans="1:22" s="1919" customFormat="1" ht="13.5" hidden="1" customHeight="1">
      <c r="A29" s="2616"/>
      <c r="B29" s="554"/>
      <c r="C29" s="871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1"/>
      <c r="V29" s="2619"/>
    </row>
    <row r="30" spans="1:22" s="1919" customFormat="1" ht="12.75" hidden="1" customHeight="1">
      <c r="A30" s="2616"/>
      <c r="B30" s="1172" t="s">
        <v>36</v>
      </c>
      <c r="C30" s="2622" t="s">
        <v>196</v>
      </c>
      <c r="D30" s="1173"/>
      <c r="E30" s="1173"/>
      <c r="F30" s="1173"/>
      <c r="G30" s="1173"/>
      <c r="H30" s="1173"/>
      <c r="I30" s="1173"/>
      <c r="J30" s="1173"/>
      <c r="K30" s="1173"/>
      <c r="L30" s="1173"/>
      <c r="M30" s="1173"/>
      <c r="N30" s="1173"/>
      <c r="O30" s="1173"/>
      <c r="P30" s="1173"/>
      <c r="Q30" s="1173"/>
      <c r="R30" s="1173"/>
      <c r="S30" s="1173"/>
      <c r="T30" s="1173"/>
      <c r="U30" s="1174"/>
      <c r="V30" s="2620"/>
    </row>
    <row r="31" spans="1:22" s="1919" customFormat="1" ht="12.75" hidden="1" customHeight="1">
      <c r="A31" s="2616"/>
      <c r="B31" s="1175" t="s">
        <v>197</v>
      </c>
      <c r="C31" s="2648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1176"/>
      <c r="V31" s="2620"/>
    </row>
    <row r="32" spans="1:22" s="1919" customFormat="1" ht="13.5" hidden="1" customHeight="1">
      <c r="A32" s="2616"/>
      <c r="B32" s="1177" t="s">
        <v>193</v>
      </c>
      <c r="C32" s="2648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1178"/>
      <c r="V32" s="2620"/>
    </row>
    <row r="33" spans="1:22" s="1919" customFormat="1" ht="13.5" hidden="1" customHeight="1">
      <c r="A33" s="2616"/>
      <c r="B33" s="1179" t="s">
        <v>30</v>
      </c>
      <c r="C33" s="2648"/>
      <c r="D33" s="902"/>
      <c r="E33" s="902"/>
      <c r="F33" s="902"/>
      <c r="G33" s="902"/>
      <c r="H33" s="902"/>
      <c r="I33" s="902"/>
      <c r="J33" s="902"/>
      <c r="K33" s="902"/>
      <c r="L33" s="902"/>
      <c r="M33" s="902"/>
      <c r="N33" s="902"/>
      <c r="O33" s="902"/>
      <c r="P33" s="902"/>
      <c r="Q33" s="902"/>
      <c r="R33" s="902"/>
      <c r="S33" s="902"/>
      <c r="T33" s="902"/>
      <c r="U33" s="1180"/>
      <c r="V33" s="2620"/>
    </row>
    <row r="34" spans="1:22" s="1919" customFormat="1" ht="11.25" hidden="1" customHeight="1">
      <c r="A34" s="2616"/>
      <c r="B34" s="1181" t="s">
        <v>48</v>
      </c>
      <c r="C34" s="2649"/>
      <c r="D34" s="983"/>
      <c r="E34" s="983"/>
      <c r="F34" s="983"/>
      <c r="G34" s="983"/>
      <c r="H34" s="983"/>
      <c r="I34" s="983"/>
      <c r="J34" s="983"/>
      <c r="K34" s="983"/>
      <c r="L34" s="983"/>
      <c r="M34" s="983"/>
      <c r="N34" s="983"/>
      <c r="O34" s="983"/>
      <c r="P34" s="983"/>
      <c r="Q34" s="983"/>
      <c r="R34" s="983"/>
      <c r="S34" s="983"/>
      <c r="T34" s="983"/>
      <c r="U34" s="1176"/>
      <c r="V34" s="2620"/>
    </row>
    <row r="35" spans="1:22" s="1919" customFormat="1" ht="13.5" hidden="1" customHeight="1">
      <c r="A35" s="2616"/>
      <c r="B35" s="561" t="s">
        <v>34</v>
      </c>
      <c r="C35" s="1182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2198"/>
      <c r="V35" s="2620"/>
    </row>
    <row r="36" spans="1:22" s="1919" customFormat="1" ht="13.5" hidden="1" customHeight="1">
      <c r="A36" s="2616"/>
      <c r="B36" s="1179" t="s">
        <v>30</v>
      </c>
      <c r="C36" s="1183"/>
      <c r="D36" s="1184"/>
      <c r="E36" s="1184"/>
      <c r="F36" s="1184"/>
      <c r="G36" s="1184"/>
      <c r="H36" s="1184"/>
      <c r="I36" s="1184"/>
      <c r="J36" s="1184"/>
      <c r="K36" s="1184"/>
      <c r="L36" s="1184"/>
      <c r="M36" s="1184"/>
      <c r="N36" s="1184"/>
      <c r="O36" s="1184"/>
      <c r="P36" s="1184"/>
      <c r="Q36" s="1184"/>
      <c r="R36" s="1184"/>
      <c r="S36" s="1184"/>
      <c r="T36" s="1184"/>
      <c r="U36" s="2198"/>
      <c r="V36" s="2620"/>
    </row>
    <row r="37" spans="1:22" s="1919" customFormat="1" ht="14.25" hidden="1" customHeight="1" thickBot="1">
      <c r="A37" s="2617"/>
      <c r="B37" s="1185" t="s">
        <v>48</v>
      </c>
      <c r="C37" s="1186" t="s">
        <v>35</v>
      </c>
      <c r="D37" s="1187"/>
      <c r="E37" s="1188"/>
      <c r="F37" s="1188"/>
      <c r="G37" s="1188"/>
      <c r="H37" s="1188"/>
      <c r="I37" s="1188"/>
      <c r="J37" s="1188"/>
      <c r="K37" s="1188"/>
      <c r="L37" s="1188"/>
      <c r="M37" s="1188"/>
      <c r="N37" s="1188"/>
      <c r="O37" s="1188"/>
      <c r="P37" s="1188"/>
      <c r="Q37" s="1188"/>
      <c r="R37" s="1188"/>
      <c r="S37" s="1188"/>
      <c r="T37" s="1188"/>
      <c r="U37" s="2199"/>
      <c r="V37" s="2621"/>
    </row>
    <row r="38" spans="1:22" s="1919" customFormat="1" ht="27" customHeight="1">
      <c r="A38" s="2615" t="s">
        <v>82</v>
      </c>
      <c r="B38" s="2635" t="s">
        <v>307</v>
      </c>
      <c r="C38" s="2637" t="s">
        <v>102</v>
      </c>
      <c r="D38" s="1189"/>
      <c r="E38" s="2634"/>
      <c r="F38" s="2634"/>
      <c r="G38" s="2634"/>
      <c r="H38" s="2634"/>
      <c r="I38" s="2634"/>
      <c r="J38" s="2634"/>
      <c r="K38" s="2634"/>
      <c r="L38" s="2204"/>
      <c r="M38" s="2204"/>
      <c r="N38" s="2634"/>
      <c r="O38" s="2204"/>
      <c r="P38" s="2204"/>
      <c r="Q38" s="2204"/>
      <c r="R38" s="2204"/>
      <c r="S38" s="2204"/>
      <c r="T38" s="2204"/>
      <c r="U38" s="1278"/>
      <c r="V38" s="2618" t="s">
        <v>198</v>
      </c>
    </row>
    <row r="39" spans="1:22" s="1919" customFormat="1" ht="24.75" customHeight="1">
      <c r="A39" s="2616"/>
      <c r="B39" s="2636"/>
      <c r="C39" s="2638"/>
      <c r="D39" s="1279"/>
      <c r="E39" s="2882"/>
      <c r="F39" s="2882"/>
      <c r="G39" s="2882"/>
      <c r="H39" s="2882"/>
      <c r="I39" s="2882"/>
      <c r="J39" s="2882"/>
      <c r="K39" s="2882"/>
      <c r="L39" s="2205"/>
      <c r="M39" s="2205"/>
      <c r="N39" s="2882"/>
      <c r="O39" s="2205"/>
      <c r="P39" s="2205"/>
      <c r="Q39" s="2205"/>
      <c r="R39" s="2205"/>
      <c r="S39" s="2205"/>
      <c r="T39" s="2205"/>
      <c r="U39" s="1280"/>
      <c r="V39" s="2619"/>
    </row>
    <row r="40" spans="1:22" s="1919" customFormat="1" ht="13.5" customHeight="1">
      <c r="A40" s="2616"/>
      <c r="B40" s="561" t="s">
        <v>22</v>
      </c>
      <c r="C40" s="1190"/>
      <c r="D40" s="1170">
        <f>+D41+D45</f>
        <v>95247151</v>
      </c>
      <c r="E40" s="1170">
        <f t="shared" ref="E40:M40" si="25">+E41+E45</f>
        <v>3210853</v>
      </c>
      <c r="F40" s="1170">
        <f t="shared" si="25"/>
        <v>0</v>
      </c>
      <c r="G40" s="1170">
        <f t="shared" si="25"/>
        <v>78054</v>
      </c>
      <c r="H40" s="1170">
        <f t="shared" si="25"/>
        <v>2678041</v>
      </c>
      <c r="I40" s="1170">
        <f t="shared" si="25"/>
        <v>20749439</v>
      </c>
      <c r="J40" s="1170">
        <f t="shared" si="25"/>
        <v>15205981</v>
      </c>
      <c r="K40" s="1170">
        <f t="shared" si="25"/>
        <v>6980991</v>
      </c>
      <c r="L40" s="1170">
        <f t="shared" si="25"/>
        <v>29066477</v>
      </c>
      <c r="M40" s="1170">
        <f t="shared" si="25"/>
        <v>75213741</v>
      </c>
      <c r="N40" s="1170">
        <f>+N41+N45</f>
        <v>17799477</v>
      </c>
      <c r="O40" s="1170">
        <f>+O41+O45</f>
        <v>2233933</v>
      </c>
      <c r="P40" s="1170">
        <f t="shared" ref="P40:T40" si="26">+P41+P45</f>
        <v>0</v>
      </c>
      <c r="Q40" s="1170">
        <f t="shared" si="26"/>
        <v>0</v>
      </c>
      <c r="R40" s="1170">
        <f t="shared" si="26"/>
        <v>0</v>
      </c>
      <c r="S40" s="1170">
        <f t="shared" si="26"/>
        <v>0</v>
      </c>
      <c r="T40" s="1170">
        <f t="shared" si="26"/>
        <v>0</v>
      </c>
      <c r="U40" s="1191">
        <f>+U41</f>
        <v>289103</v>
      </c>
      <c r="V40" s="2619"/>
    </row>
    <row r="41" spans="1:22" s="1919" customFormat="1" ht="13.5" customHeight="1">
      <c r="A41" s="2616"/>
      <c r="B41" s="586" t="s">
        <v>36</v>
      </c>
      <c r="C41" s="2622" t="s">
        <v>306</v>
      </c>
      <c r="D41" s="1281">
        <f>+D42+D43+D44</f>
        <v>56350541</v>
      </c>
      <c r="E41" s="1281">
        <f t="shared" ref="E41:K41" si="27">+E42+E43</f>
        <v>3210853</v>
      </c>
      <c r="F41" s="1281">
        <f t="shared" si="27"/>
        <v>0</v>
      </c>
      <c r="G41" s="1281">
        <f t="shared" si="27"/>
        <v>78054</v>
      </c>
      <c r="H41" s="1281">
        <f t="shared" si="27"/>
        <v>2678041</v>
      </c>
      <c r="I41" s="1281">
        <f t="shared" si="27"/>
        <v>5170684</v>
      </c>
      <c r="J41" s="1281">
        <f>+J42+J43</f>
        <v>7007156</v>
      </c>
      <c r="K41" s="1281">
        <f t="shared" si="27"/>
        <v>6980991</v>
      </c>
      <c r="L41" s="1281">
        <f>+L42+L43+L44</f>
        <v>29066477</v>
      </c>
      <c r="M41" s="1281">
        <f>+M42+M43+M44</f>
        <v>51436161</v>
      </c>
      <c r="N41" s="1281">
        <f>+N42+N43+N44</f>
        <v>4625277</v>
      </c>
      <c r="O41" s="1281">
        <f>+O42+O43+O44</f>
        <v>289103</v>
      </c>
      <c r="P41" s="1281">
        <f t="shared" ref="P41:T41" si="28">+P42+P43+P44</f>
        <v>0</v>
      </c>
      <c r="Q41" s="1281">
        <f t="shared" si="28"/>
        <v>0</v>
      </c>
      <c r="R41" s="1281">
        <f t="shared" si="28"/>
        <v>0</v>
      </c>
      <c r="S41" s="1281">
        <f t="shared" si="28"/>
        <v>0</v>
      </c>
      <c r="T41" s="1281">
        <f t="shared" si="28"/>
        <v>0</v>
      </c>
      <c r="U41" s="1192">
        <f>+U43+U44</f>
        <v>289103</v>
      </c>
      <c r="V41" s="2620"/>
    </row>
    <row r="42" spans="1:22" s="1919" customFormat="1" ht="12" customHeight="1">
      <c r="A42" s="2616"/>
      <c r="B42" s="1193" t="s">
        <v>197</v>
      </c>
      <c r="C42" s="2648"/>
      <c r="D42" s="900">
        <f>+M42+N42+O42</f>
        <v>33588498</v>
      </c>
      <c r="E42" s="900">
        <v>404973</v>
      </c>
      <c r="F42" s="900">
        <v>0</v>
      </c>
      <c r="G42" s="900">
        <v>51054</v>
      </c>
      <c r="H42" s="900">
        <v>679161</v>
      </c>
      <c r="I42" s="900">
        <v>229513</v>
      </c>
      <c r="J42" s="900">
        <v>878679</v>
      </c>
      <c r="K42" s="900">
        <v>4792150</v>
      </c>
      <c r="L42" s="900">
        <v>24268653</v>
      </c>
      <c r="M42" s="900">
        <f>+L42+K42+J42+I42+E42</f>
        <v>30573968</v>
      </c>
      <c r="N42" s="900">
        <v>3014530</v>
      </c>
      <c r="O42" s="900">
        <v>0</v>
      </c>
      <c r="P42" s="900">
        <v>0</v>
      </c>
      <c r="Q42" s="900">
        <v>0</v>
      </c>
      <c r="R42" s="900">
        <v>0</v>
      </c>
      <c r="S42" s="900">
        <v>0</v>
      </c>
      <c r="T42" s="900">
        <v>0</v>
      </c>
      <c r="U42" s="1152" t="s">
        <v>77</v>
      </c>
      <c r="V42" s="2620"/>
    </row>
    <row r="43" spans="1:22" s="1919" customFormat="1" ht="12" customHeight="1">
      <c r="A43" s="2616"/>
      <c r="B43" s="1194" t="s">
        <v>193</v>
      </c>
      <c r="C43" s="2648"/>
      <c r="D43" s="900">
        <f>+M43+N43+O43</f>
        <v>16980000</v>
      </c>
      <c r="E43" s="900">
        <v>2805880</v>
      </c>
      <c r="F43" s="900">
        <v>0</v>
      </c>
      <c r="G43" s="900">
        <v>27000</v>
      </c>
      <c r="H43" s="900">
        <v>1998880</v>
      </c>
      <c r="I43" s="900">
        <v>4941171</v>
      </c>
      <c r="J43" s="900">
        <v>6128477</v>
      </c>
      <c r="K43" s="900">
        <f>3104472-915631</f>
        <v>2188841</v>
      </c>
      <c r="L43" s="900">
        <v>915631</v>
      </c>
      <c r="M43" s="900">
        <f>+L43+K43+J43+I43+E43</f>
        <v>16980000</v>
      </c>
      <c r="N43" s="900">
        <v>0</v>
      </c>
      <c r="O43" s="900">
        <v>0</v>
      </c>
      <c r="P43" s="900">
        <v>0</v>
      </c>
      <c r="Q43" s="900">
        <v>0</v>
      </c>
      <c r="R43" s="900">
        <v>0</v>
      </c>
      <c r="S43" s="900">
        <v>0</v>
      </c>
      <c r="T43" s="900">
        <v>0</v>
      </c>
      <c r="U43" s="1195">
        <f>SUM(O43:S43)</f>
        <v>0</v>
      </c>
      <c r="V43" s="2620"/>
    </row>
    <row r="44" spans="1:22" s="1919" customFormat="1" ht="12" customHeight="1">
      <c r="A44" s="2616"/>
      <c r="B44" s="716" t="s">
        <v>99</v>
      </c>
      <c r="C44" s="2648"/>
      <c r="D44" s="900">
        <f>+M44+N44+O44</f>
        <v>5782043</v>
      </c>
      <c r="E44" s="900">
        <v>0</v>
      </c>
      <c r="F44" s="900"/>
      <c r="G44" s="900"/>
      <c r="H44" s="900"/>
      <c r="I44" s="900">
        <v>0</v>
      </c>
      <c r="J44" s="900">
        <v>0</v>
      </c>
      <c r="K44" s="900">
        <v>0</v>
      </c>
      <c r="L44" s="900">
        <v>3882193</v>
      </c>
      <c r="M44" s="900">
        <f>+L44</f>
        <v>3882193</v>
      </c>
      <c r="N44" s="900">
        <v>1610747</v>
      </c>
      <c r="O44" s="900">
        <v>289103</v>
      </c>
      <c r="P44" s="900">
        <v>0</v>
      </c>
      <c r="Q44" s="900">
        <v>0</v>
      </c>
      <c r="R44" s="900">
        <v>0</v>
      </c>
      <c r="S44" s="900">
        <v>0</v>
      </c>
      <c r="T44" s="900">
        <v>0</v>
      </c>
      <c r="U44" s="1195">
        <f>SUM(O44:S44)</f>
        <v>289103</v>
      </c>
      <c r="V44" s="2620"/>
    </row>
    <row r="45" spans="1:22" s="1919" customFormat="1" ht="12.75" customHeight="1">
      <c r="A45" s="2616"/>
      <c r="B45" s="560" t="s">
        <v>30</v>
      </c>
      <c r="C45" s="2648"/>
      <c r="D45" s="902">
        <f>+D46</f>
        <v>38896610</v>
      </c>
      <c r="E45" s="902">
        <f t="shared" ref="E45:U45" si="29">+E46</f>
        <v>0</v>
      </c>
      <c r="F45" s="902">
        <f t="shared" si="29"/>
        <v>0</v>
      </c>
      <c r="G45" s="902">
        <f t="shared" si="29"/>
        <v>0</v>
      </c>
      <c r="H45" s="902">
        <f t="shared" si="29"/>
        <v>0</v>
      </c>
      <c r="I45" s="902">
        <f t="shared" si="29"/>
        <v>15578755</v>
      </c>
      <c r="J45" s="902">
        <f t="shared" si="29"/>
        <v>8198825</v>
      </c>
      <c r="K45" s="902">
        <f t="shared" si="29"/>
        <v>0</v>
      </c>
      <c r="L45" s="902">
        <v>0</v>
      </c>
      <c r="M45" s="902">
        <f>+M46</f>
        <v>23777580</v>
      </c>
      <c r="N45" s="902">
        <f t="shared" si="29"/>
        <v>13174200</v>
      </c>
      <c r="O45" s="902">
        <f t="shared" si="29"/>
        <v>1944830</v>
      </c>
      <c r="P45" s="902">
        <f t="shared" si="29"/>
        <v>0</v>
      </c>
      <c r="Q45" s="902">
        <f t="shared" si="29"/>
        <v>0</v>
      </c>
      <c r="R45" s="902">
        <f t="shared" si="29"/>
        <v>0</v>
      </c>
      <c r="S45" s="902">
        <f t="shared" si="29"/>
        <v>0</v>
      </c>
      <c r="T45" s="902">
        <f t="shared" si="29"/>
        <v>0</v>
      </c>
      <c r="U45" s="1196" t="str">
        <f t="shared" si="29"/>
        <v>x</v>
      </c>
      <c r="V45" s="2620"/>
    </row>
    <row r="46" spans="1:22" s="1919" customFormat="1" ht="12" customHeight="1">
      <c r="A46" s="2616"/>
      <c r="B46" s="1181" t="s">
        <v>48</v>
      </c>
      <c r="C46" s="2649"/>
      <c r="D46" s="983">
        <f>+M46+N46+O46</f>
        <v>38896610</v>
      </c>
      <c r="E46" s="983">
        <f>+F46+G46+H46</f>
        <v>0</v>
      </c>
      <c r="F46" s="983">
        <v>0</v>
      </c>
      <c r="G46" s="983">
        <v>0</v>
      </c>
      <c r="H46" s="983">
        <v>0</v>
      </c>
      <c r="I46" s="900">
        <v>15578755</v>
      </c>
      <c r="J46" s="900">
        <v>8198825</v>
      </c>
      <c r="K46" s="983">
        <v>0</v>
      </c>
      <c r="L46" s="983">
        <v>0</v>
      </c>
      <c r="M46" s="900">
        <f>+L46+K46+J46+I46</f>
        <v>23777580</v>
      </c>
      <c r="N46" s="900">
        <v>13174200</v>
      </c>
      <c r="O46" s="900">
        <v>1944830</v>
      </c>
      <c r="P46" s="900">
        <v>0</v>
      </c>
      <c r="Q46" s="900">
        <v>0</v>
      </c>
      <c r="R46" s="900">
        <v>0</v>
      </c>
      <c r="S46" s="900">
        <v>0</v>
      </c>
      <c r="T46" s="900">
        <v>0</v>
      </c>
      <c r="U46" s="1152" t="s">
        <v>77</v>
      </c>
      <c r="V46" s="2620"/>
    </row>
    <row r="47" spans="1:22" s="1919" customFormat="1" ht="13.5" customHeight="1">
      <c r="A47" s="2616"/>
      <c r="B47" s="561" t="s">
        <v>34</v>
      </c>
      <c r="C47" s="1182"/>
      <c r="D47" s="1170">
        <f>+D48+D50</f>
        <v>44678653</v>
      </c>
      <c r="E47" s="1170">
        <f t="shared" ref="E47:M47" si="30">+E50</f>
        <v>0</v>
      </c>
      <c r="F47" s="1170">
        <f t="shared" si="30"/>
        <v>0</v>
      </c>
      <c r="G47" s="1170">
        <f t="shared" si="30"/>
        <v>0</v>
      </c>
      <c r="H47" s="1170">
        <f t="shared" si="30"/>
        <v>0</v>
      </c>
      <c r="I47" s="1140">
        <f t="shared" si="30"/>
        <v>15578755</v>
      </c>
      <c r="J47" s="1140">
        <f t="shared" si="30"/>
        <v>8198825</v>
      </c>
      <c r="K47" s="1170">
        <f t="shared" si="30"/>
        <v>0</v>
      </c>
      <c r="L47" s="1170">
        <f t="shared" si="30"/>
        <v>0</v>
      </c>
      <c r="M47" s="1140">
        <f t="shared" si="30"/>
        <v>23777580</v>
      </c>
      <c r="N47" s="1140">
        <f>+N48+N50</f>
        <v>14784947</v>
      </c>
      <c r="O47" s="1140">
        <f>+O48+O50</f>
        <v>2233933</v>
      </c>
      <c r="P47" s="1140">
        <f t="shared" ref="P47:T47" si="31">+P48+P50</f>
        <v>0</v>
      </c>
      <c r="Q47" s="1140">
        <f t="shared" si="31"/>
        <v>0</v>
      </c>
      <c r="R47" s="1140">
        <f t="shared" si="31"/>
        <v>0</v>
      </c>
      <c r="S47" s="1140">
        <f t="shared" si="31"/>
        <v>0</v>
      </c>
      <c r="T47" s="1140">
        <f t="shared" si="31"/>
        <v>0</v>
      </c>
      <c r="U47" s="2628" t="s">
        <v>77</v>
      </c>
      <c r="V47" s="2620"/>
    </row>
    <row r="48" spans="1:22" s="1919" customFormat="1" ht="13.5" customHeight="1">
      <c r="A48" s="2616"/>
      <c r="B48" s="584" t="s">
        <v>36</v>
      </c>
      <c r="C48" s="2639" t="s">
        <v>106</v>
      </c>
      <c r="D48" s="1184">
        <f>+D49</f>
        <v>5782043</v>
      </c>
      <c r="E48" s="1184">
        <v>0</v>
      </c>
      <c r="F48" s="1184"/>
      <c r="G48" s="1184"/>
      <c r="H48" s="1184"/>
      <c r="I48" s="1184">
        <v>0</v>
      </c>
      <c r="J48" s="1184">
        <v>0</v>
      </c>
      <c r="K48" s="1184">
        <v>0</v>
      </c>
      <c r="L48" s="1184">
        <f>+L49</f>
        <v>3882193</v>
      </c>
      <c r="M48" s="1184">
        <f>+M49</f>
        <v>3882193</v>
      </c>
      <c r="N48" s="1184">
        <f>+N49</f>
        <v>1610747</v>
      </c>
      <c r="O48" s="1184">
        <f>+O49</f>
        <v>289103</v>
      </c>
      <c r="P48" s="1184">
        <f t="shared" ref="P48:T48" si="32">+P49</f>
        <v>0</v>
      </c>
      <c r="Q48" s="1184">
        <f t="shared" si="32"/>
        <v>0</v>
      </c>
      <c r="R48" s="1184">
        <f t="shared" si="32"/>
        <v>0</v>
      </c>
      <c r="S48" s="1184">
        <f t="shared" si="32"/>
        <v>0</v>
      </c>
      <c r="T48" s="1184">
        <f t="shared" si="32"/>
        <v>0</v>
      </c>
      <c r="U48" s="2629"/>
      <c r="V48" s="2620"/>
    </row>
    <row r="49" spans="1:22" s="1919" customFormat="1" ht="13.5" customHeight="1">
      <c r="A49" s="2616"/>
      <c r="B49" s="716" t="s">
        <v>99</v>
      </c>
      <c r="C49" s="2640"/>
      <c r="D49" s="1282">
        <f>+M49+N49+O49</f>
        <v>5782043</v>
      </c>
      <c r="E49" s="900">
        <v>0</v>
      </c>
      <c r="F49" s="900"/>
      <c r="G49" s="900"/>
      <c r="H49" s="900"/>
      <c r="I49" s="900">
        <v>0</v>
      </c>
      <c r="J49" s="900">
        <v>0</v>
      </c>
      <c r="K49" s="900">
        <v>0</v>
      </c>
      <c r="L49" s="900">
        <v>3882193</v>
      </c>
      <c r="M49" s="900">
        <f>++L49+K49+J49+I49</f>
        <v>3882193</v>
      </c>
      <c r="N49" s="900">
        <v>1610747</v>
      </c>
      <c r="O49" s="900">
        <v>289103</v>
      </c>
      <c r="P49" s="900">
        <v>0</v>
      </c>
      <c r="Q49" s="900">
        <v>0</v>
      </c>
      <c r="R49" s="900">
        <v>0</v>
      </c>
      <c r="S49" s="900">
        <v>0</v>
      </c>
      <c r="T49" s="900">
        <v>0</v>
      </c>
      <c r="U49" s="2629"/>
      <c r="V49" s="2620"/>
    </row>
    <row r="50" spans="1:22" s="1919" customFormat="1" ht="13.5" customHeight="1">
      <c r="A50" s="2616"/>
      <c r="B50" s="560" t="s">
        <v>30</v>
      </c>
      <c r="C50" s="1283"/>
      <c r="D50" s="1184">
        <f>+D51</f>
        <v>38896610</v>
      </c>
      <c r="E50" s="1184">
        <f t="shared" ref="E50:T50" si="33">+E51</f>
        <v>0</v>
      </c>
      <c r="F50" s="1184">
        <f t="shared" si="33"/>
        <v>0</v>
      </c>
      <c r="G50" s="1184">
        <f t="shared" si="33"/>
        <v>0</v>
      </c>
      <c r="H50" s="1184">
        <f t="shared" si="33"/>
        <v>0</v>
      </c>
      <c r="I50" s="1184">
        <f t="shared" si="33"/>
        <v>15578755</v>
      </c>
      <c r="J50" s="1184">
        <f t="shared" si="33"/>
        <v>8198825</v>
      </c>
      <c r="K50" s="1184">
        <f t="shared" si="33"/>
        <v>0</v>
      </c>
      <c r="L50" s="1184">
        <f t="shared" si="33"/>
        <v>0</v>
      </c>
      <c r="M50" s="1184">
        <f t="shared" si="33"/>
        <v>23777580</v>
      </c>
      <c r="N50" s="1184">
        <f t="shared" si="33"/>
        <v>13174200</v>
      </c>
      <c r="O50" s="1184">
        <f t="shared" si="33"/>
        <v>1944830</v>
      </c>
      <c r="P50" s="1184">
        <f t="shared" si="33"/>
        <v>0</v>
      </c>
      <c r="Q50" s="1184">
        <f t="shared" si="33"/>
        <v>0</v>
      </c>
      <c r="R50" s="1184">
        <f t="shared" si="33"/>
        <v>0</v>
      </c>
      <c r="S50" s="1184">
        <f t="shared" si="33"/>
        <v>0</v>
      </c>
      <c r="T50" s="1184">
        <f t="shared" si="33"/>
        <v>0</v>
      </c>
      <c r="U50" s="2629"/>
      <c r="V50" s="2620"/>
    </row>
    <row r="51" spans="1:22" s="1919" customFormat="1" ht="13.5" customHeight="1" thickBot="1">
      <c r="A51" s="2617"/>
      <c r="B51" s="550" t="s">
        <v>48</v>
      </c>
      <c r="C51" s="1284" t="s">
        <v>35</v>
      </c>
      <c r="D51" s="1197">
        <f>+M51+N51+O51</f>
        <v>38896610</v>
      </c>
      <c r="E51" s="1198">
        <v>0</v>
      </c>
      <c r="F51" s="1198"/>
      <c r="G51" s="1198"/>
      <c r="H51" s="1198"/>
      <c r="I51" s="1198">
        <v>15578755</v>
      </c>
      <c r="J51" s="1198">
        <v>8198825</v>
      </c>
      <c r="K51" s="1198">
        <v>0</v>
      </c>
      <c r="L51" s="1198">
        <v>0</v>
      </c>
      <c r="M51" s="1198">
        <f>+L51+K51+J51+I51</f>
        <v>23777580</v>
      </c>
      <c r="N51" s="1198">
        <v>13174200</v>
      </c>
      <c r="O51" s="1198">
        <v>1944830</v>
      </c>
      <c r="P51" s="1198">
        <v>0</v>
      </c>
      <c r="Q51" s="1198">
        <v>0</v>
      </c>
      <c r="R51" s="1198">
        <v>0</v>
      </c>
      <c r="S51" s="1198">
        <v>0</v>
      </c>
      <c r="T51" s="1198"/>
      <c r="U51" s="2630"/>
      <c r="V51" s="2621"/>
    </row>
    <row r="52" spans="1:22" s="1919" customFormat="1" ht="36" customHeight="1">
      <c r="A52" s="2631" t="s">
        <v>83</v>
      </c>
      <c r="B52" s="1199" t="s">
        <v>199</v>
      </c>
      <c r="C52" s="942" t="s">
        <v>102</v>
      </c>
      <c r="D52" s="1189"/>
      <c r="E52" s="1200"/>
      <c r="F52" s="1200"/>
      <c r="G52" s="1200"/>
      <c r="H52" s="1200"/>
      <c r="I52" s="1200"/>
      <c r="J52" s="2204"/>
      <c r="K52" s="2204"/>
      <c r="L52" s="2204"/>
      <c r="M52" s="2204"/>
      <c r="N52" s="2204"/>
      <c r="O52" s="2204"/>
      <c r="P52" s="2204"/>
      <c r="Q52" s="2204"/>
      <c r="R52" s="2204"/>
      <c r="S52" s="2204"/>
      <c r="T52" s="2204"/>
      <c r="U52" s="1201"/>
      <c r="V52" s="2618" t="s">
        <v>200</v>
      </c>
    </row>
    <row r="53" spans="1:22" s="1919" customFormat="1" ht="13.5" customHeight="1">
      <c r="A53" s="2632"/>
      <c r="B53" s="561" t="s">
        <v>22</v>
      </c>
      <c r="C53" s="1190"/>
      <c r="D53" s="1170">
        <f>+D54+D59</f>
        <v>90438534</v>
      </c>
      <c r="E53" s="1170">
        <f t="shared" ref="E53:M53" si="34">+E54+E59</f>
        <v>0</v>
      </c>
      <c r="F53" s="1170">
        <f t="shared" si="34"/>
        <v>0</v>
      </c>
      <c r="G53" s="1170">
        <f t="shared" si="34"/>
        <v>0</v>
      </c>
      <c r="H53" s="1170">
        <f t="shared" si="34"/>
        <v>0</v>
      </c>
      <c r="I53" s="1170">
        <f t="shared" si="34"/>
        <v>1145001</v>
      </c>
      <c r="J53" s="1170">
        <f t="shared" si="34"/>
        <v>14985000</v>
      </c>
      <c r="K53" s="1170">
        <f t="shared" si="34"/>
        <v>9212462</v>
      </c>
      <c r="L53" s="1170">
        <f t="shared" si="34"/>
        <v>1262011</v>
      </c>
      <c r="M53" s="1170">
        <f t="shared" si="34"/>
        <v>26604474</v>
      </c>
      <c r="N53" s="1170">
        <f>+N54+N59</f>
        <v>14685461</v>
      </c>
      <c r="O53" s="1170">
        <f>+O54+O59</f>
        <v>27382123</v>
      </c>
      <c r="P53" s="1170">
        <f>+P54</f>
        <v>21766476</v>
      </c>
      <c r="Q53" s="1170">
        <f t="shared" ref="Q53:T53" si="35">+Q54</f>
        <v>0</v>
      </c>
      <c r="R53" s="1170">
        <f t="shared" si="35"/>
        <v>0</v>
      </c>
      <c r="S53" s="1170">
        <f t="shared" si="35"/>
        <v>0</v>
      </c>
      <c r="T53" s="1170">
        <f t="shared" si="35"/>
        <v>0</v>
      </c>
      <c r="U53" s="1191">
        <f>+U54+U59</f>
        <v>25068558</v>
      </c>
      <c r="V53" s="2619"/>
    </row>
    <row r="54" spans="1:22" s="1919" customFormat="1" ht="13.5" customHeight="1">
      <c r="A54" s="2632"/>
      <c r="B54" s="586" t="s">
        <v>36</v>
      </c>
      <c r="C54" s="2622" t="s">
        <v>196</v>
      </c>
      <c r="D54" s="1173">
        <f>SUM(D55:D58)</f>
        <v>90438534</v>
      </c>
      <c r="E54" s="1173">
        <f t="shared" ref="E54:M54" si="36">+E55+E56+E57+E58</f>
        <v>0</v>
      </c>
      <c r="F54" s="1173">
        <f t="shared" si="36"/>
        <v>0</v>
      </c>
      <c r="G54" s="1173">
        <f t="shared" si="36"/>
        <v>0</v>
      </c>
      <c r="H54" s="1173">
        <f t="shared" si="36"/>
        <v>0</v>
      </c>
      <c r="I54" s="1173">
        <f t="shared" si="36"/>
        <v>1145001</v>
      </c>
      <c r="J54" s="1173">
        <f t="shared" si="36"/>
        <v>14985000</v>
      </c>
      <c r="K54" s="1173">
        <f t="shared" si="36"/>
        <v>9212462</v>
      </c>
      <c r="L54" s="1173">
        <f t="shared" si="36"/>
        <v>1262011</v>
      </c>
      <c r="M54" s="1173">
        <f t="shared" si="36"/>
        <v>26604474</v>
      </c>
      <c r="N54" s="1173">
        <f>SUM(N55:N58)</f>
        <v>14685461</v>
      </c>
      <c r="O54" s="1173">
        <f>SUM(O55:O58)</f>
        <v>27382123</v>
      </c>
      <c r="P54" s="1173">
        <f>+P55+P56+P57+P58</f>
        <v>21766476</v>
      </c>
      <c r="Q54" s="1173">
        <f t="shared" ref="Q54:T54" si="37">+Q55+Q56+Q57+Q58</f>
        <v>0</v>
      </c>
      <c r="R54" s="1173">
        <f t="shared" si="37"/>
        <v>0</v>
      </c>
      <c r="S54" s="1173">
        <f t="shared" si="37"/>
        <v>0</v>
      </c>
      <c r="T54" s="1173">
        <f t="shared" si="37"/>
        <v>0</v>
      </c>
      <c r="U54" s="1192">
        <f>+U56+U57+U58</f>
        <v>25068558</v>
      </c>
      <c r="V54" s="2619"/>
    </row>
    <row r="55" spans="1:22" s="1919" customFormat="1" ht="13.5" customHeight="1">
      <c r="A55" s="2632"/>
      <c r="B55" s="1193" t="s">
        <v>197</v>
      </c>
      <c r="C55" s="2648"/>
      <c r="D55" s="900">
        <f>+M55+N55+O55+P55</f>
        <v>27679354</v>
      </c>
      <c r="E55" s="900">
        <v>0</v>
      </c>
      <c r="F55" s="900">
        <v>0</v>
      </c>
      <c r="G55" s="900">
        <v>0</v>
      </c>
      <c r="H55" s="900">
        <v>0</v>
      </c>
      <c r="I55" s="900">
        <v>572501</v>
      </c>
      <c r="J55" s="900">
        <v>2315000</v>
      </c>
      <c r="K55" s="900">
        <v>7</v>
      </c>
      <c r="L55" s="900">
        <v>711805</v>
      </c>
      <c r="M55" s="900">
        <f>+L55+K55+J55+I55</f>
        <v>3599313</v>
      </c>
      <c r="N55" s="900">
        <v>0</v>
      </c>
      <c r="O55" s="900">
        <v>7810382</v>
      </c>
      <c r="P55" s="900">
        <v>16269659</v>
      </c>
      <c r="Q55" s="900">
        <v>0</v>
      </c>
      <c r="R55" s="900">
        <v>0</v>
      </c>
      <c r="S55" s="900">
        <v>0</v>
      </c>
      <c r="T55" s="900">
        <v>0</v>
      </c>
      <c r="U55" s="1152" t="s">
        <v>77</v>
      </c>
      <c r="V55" s="2620"/>
    </row>
    <row r="56" spans="1:22" s="1919" customFormat="1" ht="13.5" customHeight="1">
      <c r="A56" s="2632"/>
      <c r="B56" s="1194" t="s">
        <v>201</v>
      </c>
      <c r="C56" s="2648"/>
      <c r="D56" s="900">
        <f>+M56+N56+O56+P56</f>
        <v>24107180</v>
      </c>
      <c r="E56" s="900">
        <f>+F56+G56+H56</f>
        <v>0</v>
      </c>
      <c r="F56" s="900">
        <v>0</v>
      </c>
      <c r="G56" s="900">
        <v>0</v>
      </c>
      <c r="H56" s="900">
        <v>0</v>
      </c>
      <c r="I56" s="900">
        <v>572500</v>
      </c>
      <c r="J56" s="900">
        <v>2460000</v>
      </c>
      <c r="K56" s="900">
        <v>5302500</v>
      </c>
      <c r="L56" s="900">
        <v>27062</v>
      </c>
      <c r="M56" s="900">
        <f>+L56+K56+J56+I56</f>
        <v>8362062</v>
      </c>
      <c r="N56" s="900">
        <v>7865875</v>
      </c>
      <c r="O56" s="900">
        <v>7686142</v>
      </c>
      <c r="P56" s="900">
        <v>193101</v>
      </c>
      <c r="Q56" s="900">
        <v>0</v>
      </c>
      <c r="R56" s="900">
        <v>0</v>
      </c>
      <c r="S56" s="900">
        <v>0</v>
      </c>
      <c r="T56" s="900">
        <v>0</v>
      </c>
      <c r="U56" s="1195">
        <f>SUM(O56:S56)</f>
        <v>7879243</v>
      </c>
      <c r="V56" s="2620"/>
    </row>
    <row r="57" spans="1:22" s="1919" customFormat="1" ht="13.5" customHeight="1">
      <c r="A57" s="2632"/>
      <c r="B57" s="716" t="s">
        <v>25</v>
      </c>
      <c r="C57" s="2648"/>
      <c r="D57" s="983">
        <f>+M57+N57+O57+P57</f>
        <v>32452000</v>
      </c>
      <c r="E57" s="983">
        <v>0</v>
      </c>
      <c r="F57" s="983"/>
      <c r="G57" s="983"/>
      <c r="H57" s="983"/>
      <c r="I57" s="983">
        <v>0</v>
      </c>
      <c r="J57" s="983">
        <f>6920000+1145000</f>
        <v>8065000</v>
      </c>
      <c r="K57" s="983">
        <v>1854955</v>
      </c>
      <c r="L57" s="983">
        <v>0</v>
      </c>
      <c r="M57" s="983">
        <f>+L57+K57+J57+I57</f>
        <v>9919955</v>
      </c>
      <c r="N57" s="983">
        <v>5342730</v>
      </c>
      <c r="O57" s="983">
        <v>11885599</v>
      </c>
      <c r="P57" s="983">
        <v>5303716</v>
      </c>
      <c r="Q57" s="983">
        <v>0</v>
      </c>
      <c r="R57" s="983">
        <v>0</v>
      </c>
      <c r="S57" s="983">
        <v>0</v>
      </c>
      <c r="T57" s="983">
        <v>0</v>
      </c>
      <c r="U57" s="1195">
        <f>SUM(O57:S57)</f>
        <v>17189315</v>
      </c>
      <c r="V57" s="2620"/>
    </row>
    <row r="58" spans="1:22" s="1919" customFormat="1" ht="13.5" customHeight="1">
      <c r="A58" s="2632"/>
      <c r="B58" s="716" t="s">
        <v>194</v>
      </c>
      <c r="C58" s="2648"/>
      <c r="D58" s="983">
        <f>+M58+N58+O58+P58</f>
        <v>6200000</v>
      </c>
      <c r="E58" s="983">
        <v>0</v>
      </c>
      <c r="F58" s="983"/>
      <c r="G58" s="983"/>
      <c r="H58" s="983"/>
      <c r="I58" s="983">
        <v>0</v>
      </c>
      <c r="J58" s="983">
        <v>2145000</v>
      </c>
      <c r="K58" s="983">
        <v>2055000</v>
      </c>
      <c r="L58" s="983">
        <v>523144</v>
      </c>
      <c r="M58" s="983">
        <f>+L58+K58+J58+I58</f>
        <v>4723144</v>
      </c>
      <c r="N58" s="983">
        <f>3476856-2000000</f>
        <v>1476856</v>
      </c>
      <c r="O58" s="983">
        <v>0</v>
      </c>
      <c r="P58" s="983">
        <v>0</v>
      </c>
      <c r="Q58" s="983">
        <v>0</v>
      </c>
      <c r="R58" s="983">
        <v>0</v>
      </c>
      <c r="S58" s="983">
        <v>0</v>
      </c>
      <c r="T58" s="983">
        <v>0</v>
      </c>
      <c r="U58" s="1835">
        <f>+O58+P58+Q58+R58</f>
        <v>0</v>
      </c>
      <c r="V58" s="2620"/>
    </row>
    <row r="59" spans="1:22" s="1919" customFormat="1" ht="19.5" hidden="1" customHeight="1">
      <c r="A59" s="2632"/>
      <c r="B59" s="2209" t="s">
        <v>30</v>
      </c>
      <c r="C59" s="2649"/>
      <c r="D59" s="2209">
        <f>+D60</f>
        <v>0</v>
      </c>
      <c r="E59" s="2209">
        <f t="shared" ref="E59:U59" si="38">+E60</f>
        <v>0</v>
      </c>
      <c r="F59" s="2209">
        <f t="shared" si="38"/>
        <v>0</v>
      </c>
      <c r="G59" s="2209">
        <f t="shared" si="38"/>
        <v>0</v>
      </c>
      <c r="H59" s="2209">
        <f t="shared" si="38"/>
        <v>0</v>
      </c>
      <c r="I59" s="2209">
        <f t="shared" si="38"/>
        <v>0</v>
      </c>
      <c r="J59" s="2209">
        <f t="shared" si="38"/>
        <v>0</v>
      </c>
      <c r="K59" s="2209">
        <f t="shared" si="38"/>
        <v>0</v>
      </c>
      <c r="L59" s="2209">
        <f t="shared" si="38"/>
        <v>0</v>
      </c>
      <c r="M59" s="2209"/>
      <c r="N59" s="2209">
        <f t="shared" si="38"/>
        <v>0</v>
      </c>
      <c r="O59" s="2209"/>
      <c r="P59" s="2209"/>
      <c r="Q59" s="2209"/>
      <c r="R59" s="2209"/>
      <c r="S59" s="1801"/>
      <c r="T59" s="1801"/>
      <c r="U59" s="1152">
        <f t="shared" si="38"/>
        <v>0</v>
      </c>
      <c r="V59" s="2620"/>
    </row>
    <row r="60" spans="1:22" s="1919" customFormat="1" ht="12.75" hidden="1" customHeight="1">
      <c r="A60" s="2632"/>
      <c r="B60" s="2209" t="s">
        <v>48</v>
      </c>
      <c r="C60" s="1182"/>
      <c r="D60" s="2209">
        <v>0</v>
      </c>
      <c r="E60" s="2209">
        <f>+F60+G60+H60</f>
        <v>0</v>
      </c>
      <c r="F60" s="2209">
        <v>0</v>
      </c>
      <c r="G60" s="2209">
        <v>0</v>
      </c>
      <c r="H60" s="2209">
        <v>0</v>
      </c>
      <c r="I60" s="2209">
        <v>0</v>
      </c>
      <c r="J60" s="2209">
        <v>0</v>
      </c>
      <c r="K60" s="2209">
        <v>0</v>
      </c>
      <c r="L60" s="2209">
        <v>0</v>
      </c>
      <c r="M60" s="2209"/>
      <c r="N60" s="2209">
        <v>0</v>
      </c>
      <c r="O60" s="2209"/>
      <c r="P60" s="2209"/>
      <c r="Q60" s="2209"/>
      <c r="R60" s="2209"/>
      <c r="S60" s="1801"/>
      <c r="T60" s="1801"/>
      <c r="U60" s="2367">
        <f>+K60+L60+N60+O60</f>
        <v>0</v>
      </c>
      <c r="V60" s="2620"/>
    </row>
    <row r="61" spans="1:22" s="1919" customFormat="1" ht="13.5" customHeight="1">
      <c r="A61" s="2632"/>
      <c r="B61" s="561" t="s">
        <v>34</v>
      </c>
      <c r="C61" s="1190"/>
      <c r="D61" s="1170">
        <f>D63+D64</f>
        <v>38652000</v>
      </c>
      <c r="E61" s="1170">
        <f t="shared" ref="E61:O61" si="39">E63+E64</f>
        <v>0</v>
      </c>
      <c r="F61" s="1170">
        <f t="shared" si="39"/>
        <v>0</v>
      </c>
      <c r="G61" s="1170">
        <f t="shared" si="39"/>
        <v>0</v>
      </c>
      <c r="H61" s="1170">
        <f t="shared" si="39"/>
        <v>0</v>
      </c>
      <c r="I61" s="1170">
        <f t="shared" si="39"/>
        <v>0</v>
      </c>
      <c r="J61" s="1170">
        <f t="shared" si="39"/>
        <v>10210000</v>
      </c>
      <c r="K61" s="1170">
        <f t="shared" si="39"/>
        <v>3909955</v>
      </c>
      <c r="L61" s="1170">
        <f t="shared" si="39"/>
        <v>523144</v>
      </c>
      <c r="M61" s="1170">
        <f t="shared" si="39"/>
        <v>14643099</v>
      </c>
      <c r="N61" s="1170">
        <f t="shared" si="39"/>
        <v>6819586</v>
      </c>
      <c r="O61" s="1170">
        <f t="shared" si="39"/>
        <v>11885599</v>
      </c>
      <c r="P61" s="1170">
        <f>+P62</f>
        <v>5303716</v>
      </c>
      <c r="Q61" s="1170">
        <f t="shared" ref="Q61:T61" si="40">+Q62</f>
        <v>0</v>
      </c>
      <c r="R61" s="1170">
        <f t="shared" si="40"/>
        <v>0</v>
      </c>
      <c r="S61" s="1170">
        <f t="shared" si="40"/>
        <v>0</v>
      </c>
      <c r="T61" s="1170">
        <f t="shared" si="40"/>
        <v>0</v>
      </c>
      <c r="U61" s="2368" t="s">
        <v>77</v>
      </c>
      <c r="V61" s="2620"/>
    </row>
    <row r="62" spans="1:22" s="1919" customFormat="1" ht="13.5" customHeight="1">
      <c r="A62" s="2632"/>
      <c r="B62" s="584" t="s">
        <v>36</v>
      </c>
      <c r="C62" s="2641" t="s">
        <v>196</v>
      </c>
      <c r="D62" s="1173">
        <f>+D63+D64</f>
        <v>38652000</v>
      </c>
      <c r="E62" s="1173">
        <f t="shared" ref="E62:O62" si="41">+E63+E64</f>
        <v>0</v>
      </c>
      <c r="F62" s="1173">
        <f t="shared" si="41"/>
        <v>0</v>
      </c>
      <c r="G62" s="1173">
        <f t="shared" si="41"/>
        <v>0</v>
      </c>
      <c r="H62" s="1173">
        <f t="shared" si="41"/>
        <v>0</v>
      </c>
      <c r="I62" s="1173">
        <f t="shared" si="41"/>
        <v>0</v>
      </c>
      <c r="J62" s="1173">
        <f t="shared" si="41"/>
        <v>10210000</v>
      </c>
      <c r="K62" s="1173">
        <f t="shared" si="41"/>
        <v>3909955</v>
      </c>
      <c r="L62" s="1173">
        <f t="shared" si="41"/>
        <v>523144</v>
      </c>
      <c r="M62" s="1173">
        <f t="shared" si="41"/>
        <v>14643099</v>
      </c>
      <c r="N62" s="1173">
        <f t="shared" si="41"/>
        <v>6819586</v>
      </c>
      <c r="O62" s="1173">
        <f t="shared" si="41"/>
        <v>11885599</v>
      </c>
      <c r="P62" s="1173">
        <f>+P63+P64</f>
        <v>5303716</v>
      </c>
      <c r="Q62" s="1173">
        <f t="shared" ref="Q62:T62" si="42">+Q63+Q64</f>
        <v>0</v>
      </c>
      <c r="R62" s="1173">
        <f t="shared" si="42"/>
        <v>0</v>
      </c>
      <c r="S62" s="1173">
        <f t="shared" si="42"/>
        <v>0</v>
      </c>
      <c r="T62" s="1173">
        <f t="shared" si="42"/>
        <v>0</v>
      </c>
      <c r="U62" s="2368"/>
      <c r="V62" s="2620"/>
    </row>
    <row r="63" spans="1:22" s="1919" customFormat="1" ht="13.5" customHeight="1">
      <c r="A63" s="2632"/>
      <c r="B63" s="716" t="s">
        <v>25</v>
      </c>
      <c r="C63" s="2642"/>
      <c r="D63" s="983">
        <f>+M63+N63+O63+P63</f>
        <v>32452000</v>
      </c>
      <c r="E63" s="983">
        <v>0</v>
      </c>
      <c r="F63" s="983"/>
      <c r="G63" s="983"/>
      <c r="H63" s="983"/>
      <c r="I63" s="983">
        <v>0</v>
      </c>
      <c r="J63" s="983">
        <f>6920000+1145000</f>
        <v>8065000</v>
      </c>
      <c r="K63" s="983">
        <v>1854955</v>
      </c>
      <c r="L63" s="983">
        <v>0</v>
      </c>
      <c r="M63" s="983">
        <f>+L63+K63+J63+I63</f>
        <v>9919955</v>
      </c>
      <c r="N63" s="983">
        <f>9342730-4000000</f>
        <v>5342730</v>
      </c>
      <c r="O63" s="983">
        <f>7885599+4000000</f>
        <v>11885599</v>
      </c>
      <c r="P63" s="983">
        <v>5303716</v>
      </c>
      <c r="Q63" s="983">
        <v>0</v>
      </c>
      <c r="R63" s="983">
        <v>0</v>
      </c>
      <c r="S63" s="983">
        <v>0</v>
      </c>
      <c r="T63" s="983">
        <v>0</v>
      </c>
      <c r="U63" s="2368"/>
      <c r="V63" s="2620"/>
    </row>
    <row r="64" spans="1:22" s="1919" customFormat="1" ht="13.5" customHeight="1" thickBot="1">
      <c r="A64" s="2633"/>
      <c r="B64" s="1202" t="s">
        <v>194</v>
      </c>
      <c r="C64" s="2643"/>
      <c r="D64" s="903">
        <f>+M64+N64+O64+P64</f>
        <v>6200000</v>
      </c>
      <c r="E64" s="903">
        <v>0</v>
      </c>
      <c r="F64" s="903"/>
      <c r="G64" s="903"/>
      <c r="H64" s="903"/>
      <c r="I64" s="903">
        <v>0</v>
      </c>
      <c r="J64" s="903">
        <v>2145000</v>
      </c>
      <c r="K64" s="903">
        <v>2055000</v>
      </c>
      <c r="L64" s="903">
        <v>523144</v>
      </c>
      <c r="M64" s="903">
        <f>+L64+K64+J64+I64</f>
        <v>4723144</v>
      </c>
      <c r="N64" s="903">
        <f>3476856-2000000</f>
        <v>1476856</v>
      </c>
      <c r="O64" s="903">
        <v>0</v>
      </c>
      <c r="P64" s="903">
        <v>0</v>
      </c>
      <c r="Q64" s="903">
        <v>0</v>
      </c>
      <c r="R64" s="903">
        <v>0</v>
      </c>
      <c r="S64" s="903">
        <v>0</v>
      </c>
      <c r="T64" s="903">
        <v>0</v>
      </c>
      <c r="U64" s="2369"/>
      <c r="V64" s="2621"/>
    </row>
    <row r="65" spans="1:22" s="1919" customFormat="1" ht="42" customHeight="1">
      <c r="A65" s="2631" t="s">
        <v>84</v>
      </c>
      <c r="B65" s="1203" t="s">
        <v>202</v>
      </c>
      <c r="C65" s="1204" t="s">
        <v>102</v>
      </c>
      <c r="D65" s="1205"/>
      <c r="E65" s="1206"/>
      <c r="F65" s="1206"/>
      <c r="G65" s="1206"/>
      <c r="H65" s="1206"/>
      <c r="I65" s="1206"/>
      <c r="J65" s="1207"/>
      <c r="K65" s="1207"/>
      <c r="L65" s="1207"/>
      <c r="M65" s="1207"/>
      <c r="N65" s="1207"/>
      <c r="O65" s="1207"/>
      <c r="P65" s="1207"/>
      <c r="Q65" s="1207"/>
      <c r="R65" s="1207"/>
      <c r="S65" s="1207"/>
      <c r="T65" s="1207"/>
      <c r="U65" s="1208"/>
      <c r="V65" s="2645" t="s">
        <v>203</v>
      </c>
    </row>
    <row r="66" spans="1:22" s="1919" customFormat="1" ht="13.5" customHeight="1">
      <c r="A66" s="2644"/>
      <c r="B66" s="554" t="s">
        <v>22</v>
      </c>
      <c r="C66" s="1182"/>
      <c r="D66" s="1170">
        <f>+D67+D70</f>
        <v>13855837</v>
      </c>
      <c r="E66" s="1170"/>
      <c r="F66" s="1170"/>
      <c r="G66" s="1170"/>
      <c r="H66" s="1170"/>
      <c r="I66" s="1170"/>
      <c r="J66" s="1170"/>
      <c r="K66" s="1170"/>
      <c r="L66" s="1170"/>
      <c r="M66" s="1170">
        <v>0</v>
      </c>
      <c r="N66" s="1170">
        <f>+N67+N70</f>
        <v>9328248</v>
      </c>
      <c r="O66" s="1170">
        <f>+O67+O70</f>
        <v>4527589</v>
      </c>
      <c r="P66" s="1170">
        <f t="shared" ref="P66:T66" si="43">+P67+P70</f>
        <v>0</v>
      </c>
      <c r="Q66" s="1170">
        <f t="shared" si="43"/>
        <v>0</v>
      </c>
      <c r="R66" s="1170">
        <f t="shared" si="43"/>
        <v>0</v>
      </c>
      <c r="S66" s="1170">
        <f t="shared" si="43"/>
        <v>0</v>
      </c>
      <c r="T66" s="1170">
        <f t="shared" si="43"/>
        <v>0</v>
      </c>
      <c r="U66" s="1191">
        <f>+U67</f>
        <v>3461258</v>
      </c>
      <c r="V66" s="2646"/>
    </row>
    <row r="67" spans="1:22" s="1919" customFormat="1" ht="13.5" customHeight="1">
      <c r="A67" s="2644"/>
      <c r="B67" s="1209" t="s">
        <v>36</v>
      </c>
      <c r="C67" s="2622" t="s">
        <v>196</v>
      </c>
      <c r="D67" s="1173">
        <f>+D68+D69</f>
        <v>8659898</v>
      </c>
      <c r="E67" s="1173"/>
      <c r="F67" s="1173"/>
      <c r="G67" s="1173"/>
      <c r="H67" s="1173"/>
      <c r="I67" s="1173"/>
      <c r="J67" s="1173"/>
      <c r="K67" s="1173"/>
      <c r="L67" s="1173"/>
      <c r="M67" s="1173">
        <v>0</v>
      </c>
      <c r="N67" s="1173">
        <f>+N68+N69</f>
        <v>5198640</v>
      </c>
      <c r="O67" s="1173">
        <f>+O68+O69</f>
        <v>3461258</v>
      </c>
      <c r="P67" s="1173">
        <f t="shared" ref="P67:T67" si="44">+P68+P69</f>
        <v>0</v>
      </c>
      <c r="Q67" s="1173">
        <f t="shared" si="44"/>
        <v>0</v>
      </c>
      <c r="R67" s="1173">
        <f t="shared" si="44"/>
        <v>0</v>
      </c>
      <c r="S67" s="1173">
        <f t="shared" si="44"/>
        <v>0</v>
      </c>
      <c r="T67" s="1173">
        <f t="shared" si="44"/>
        <v>0</v>
      </c>
      <c r="U67" s="1192">
        <f>+U68+U69</f>
        <v>3461258</v>
      </c>
      <c r="V67" s="2646"/>
    </row>
    <row r="68" spans="1:22" s="1919" customFormat="1" ht="13.5" customHeight="1">
      <c r="A68" s="2644"/>
      <c r="B68" s="1210" t="s">
        <v>201</v>
      </c>
      <c r="C68" s="2648"/>
      <c r="D68" s="1211">
        <f>+M68+N68+O68</f>
        <v>3463959</v>
      </c>
      <c r="E68" s="1211"/>
      <c r="F68" s="1211"/>
      <c r="G68" s="1211"/>
      <c r="H68" s="1211"/>
      <c r="I68" s="1211"/>
      <c r="J68" s="1211"/>
      <c r="K68" s="1211"/>
      <c r="L68" s="1211"/>
      <c r="M68" s="1211">
        <v>0</v>
      </c>
      <c r="N68" s="1211">
        <f>2054207</f>
        <v>2054207</v>
      </c>
      <c r="O68" s="1211">
        <v>1409752</v>
      </c>
      <c r="P68" s="1211">
        <v>0</v>
      </c>
      <c r="Q68" s="1211">
        <v>0</v>
      </c>
      <c r="R68" s="1211">
        <v>0</v>
      </c>
      <c r="S68" s="1211">
        <v>0</v>
      </c>
      <c r="T68" s="1211">
        <v>0</v>
      </c>
      <c r="U68" s="1195">
        <f>SUM(O68:S68)</f>
        <v>1409752</v>
      </c>
      <c r="V68" s="2646"/>
    </row>
    <row r="69" spans="1:22" s="1919" customFormat="1" ht="13.5" customHeight="1">
      <c r="A69" s="2644"/>
      <c r="B69" s="1212" t="s">
        <v>25</v>
      </c>
      <c r="C69" s="2649"/>
      <c r="D69" s="1213">
        <f>+M69+N69+O69</f>
        <v>5195939</v>
      </c>
      <c r="E69" s="1213"/>
      <c r="F69" s="1213"/>
      <c r="G69" s="1213"/>
      <c r="H69" s="1213"/>
      <c r="I69" s="1213"/>
      <c r="J69" s="1213"/>
      <c r="K69" s="1213"/>
      <c r="L69" s="1213"/>
      <c r="M69" s="1213">
        <v>0</v>
      </c>
      <c r="N69" s="1213">
        <f>4717663-1573230</f>
        <v>3144433</v>
      </c>
      <c r="O69" s="1213">
        <f>478276+1573230</f>
        <v>2051506</v>
      </c>
      <c r="P69" s="1213">
        <v>0</v>
      </c>
      <c r="Q69" s="1213">
        <v>0</v>
      </c>
      <c r="R69" s="1213">
        <v>0</v>
      </c>
      <c r="S69" s="1213">
        <v>0</v>
      </c>
      <c r="T69" s="1213">
        <v>0</v>
      </c>
      <c r="U69" s="1195">
        <f>SUM(O69:S69)</f>
        <v>2051506</v>
      </c>
      <c r="V69" s="2646"/>
    </row>
    <row r="70" spans="1:22" s="1919" customFormat="1" ht="13.5" customHeight="1">
      <c r="A70" s="2644"/>
      <c r="B70" s="1214" t="s">
        <v>30</v>
      </c>
      <c r="C70" s="2650" t="s">
        <v>35</v>
      </c>
      <c r="D70" s="829">
        <f>+D71</f>
        <v>5195939</v>
      </c>
      <c r="E70" s="829"/>
      <c r="F70" s="829"/>
      <c r="G70" s="829"/>
      <c r="H70" s="829"/>
      <c r="I70" s="829"/>
      <c r="J70" s="829"/>
      <c r="K70" s="829"/>
      <c r="L70" s="829"/>
      <c r="M70" s="829">
        <v>0</v>
      </c>
      <c r="N70" s="829">
        <f>+N71</f>
        <v>4129608</v>
      </c>
      <c r="O70" s="829">
        <f>+O71</f>
        <v>1066331</v>
      </c>
      <c r="P70" s="829">
        <f t="shared" ref="P70:T70" si="45">+P71</f>
        <v>0</v>
      </c>
      <c r="Q70" s="829">
        <f t="shared" si="45"/>
        <v>0</v>
      </c>
      <c r="R70" s="829">
        <f t="shared" si="45"/>
        <v>0</v>
      </c>
      <c r="S70" s="829">
        <f t="shared" si="45"/>
        <v>0</v>
      </c>
      <c r="T70" s="829">
        <f t="shared" si="45"/>
        <v>0</v>
      </c>
      <c r="U70" s="1152" t="s">
        <v>77</v>
      </c>
      <c r="V70" s="2646"/>
    </row>
    <row r="71" spans="1:22" s="1919" customFormat="1" ht="13.5" customHeight="1">
      <c r="A71" s="2644"/>
      <c r="B71" s="822" t="s">
        <v>48</v>
      </c>
      <c r="C71" s="2651"/>
      <c r="D71" s="1213">
        <f>+M71+N71+O71</f>
        <v>5195939</v>
      </c>
      <c r="E71" s="1215"/>
      <c r="F71" s="1216"/>
      <c r="G71" s="1216"/>
      <c r="H71" s="1216"/>
      <c r="I71" s="1216"/>
      <c r="J71" s="1216"/>
      <c r="K71" s="1216"/>
      <c r="L71" s="1216"/>
      <c r="M71" s="1213">
        <v>0</v>
      </c>
      <c r="N71" s="1213">
        <f>4717663-588055</f>
        <v>4129608</v>
      </c>
      <c r="O71" s="1213">
        <f>478276+588055</f>
        <v>1066331</v>
      </c>
      <c r="P71" s="1217">
        <v>0</v>
      </c>
      <c r="Q71" s="1217">
        <v>0</v>
      </c>
      <c r="R71" s="1217">
        <v>0</v>
      </c>
      <c r="S71" s="1315">
        <v>0</v>
      </c>
      <c r="T71" s="1315">
        <v>0</v>
      </c>
      <c r="U71" s="1196" t="s">
        <v>77</v>
      </c>
      <c r="V71" s="2646"/>
    </row>
    <row r="72" spans="1:22" s="1919" customFormat="1" ht="13.5" customHeight="1">
      <c r="A72" s="2644"/>
      <c r="B72" s="554" t="s">
        <v>34</v>
      </c>
      <c r="C72" s="1218"/>
      <c r="D72" s="1170">
        <f>D74+D76</f>
        <v>10391878</v>
      </c>
      <c r="E72" s="1170"/>
      <c r="F72" s="1170"/>
      <c r="G72" s="1170"/>
      <c r="H72" s="1170"/>
      <c r="I72" s="1170"/>
      <c r="J72" s="1170"/>
      <c r="K72" s="1170"/>
      <c r="L72" s="1170"/>
      <c r="M72" s="1170">
        <v>0</v>
      </c>
      <c r="N72" s="1170">
        <f>N74+N76</f>
        <v>7274041</v>
      </c>
      <c r="O72" s="1170">
        <f>O74+O76</f>
        <v>3117837</v>
      </c>
      <c r="P72" s="1170">
        <f t="shared" ref="P72:T72" si="46">P74+P76</f>
        <v>0</v>
      </c>
      <c r="Q72" s="1170">
        <f t="shared" si="46"/>
        <v>0</v>
      </c>
      <c r="R72" s="1170">
        <f t="shared" si="46"/>
        <v>0</v>
      </c>
      <c r="S72" s="1170">
        <f t="shared" si="46"/>
        <v>0</v>
      </c>
      <c r="T72" s="1170">
        <f t="shared" si="46"/>
        <v>0</v>
      </c>
      <c r="U72" s="2628" t="s">
        <v>77</v>
      </c>
      <c r="V72" s="2646"/>
    </row>
    <row r="73" spans="1:22" s="1919" customFormat="1" ht="13.5" customHeight="1">
      <c r="A73" s="2644"/>
      <c r="B73" s="1209" t="s">
        <v>36</v>
      </c>
      <c r="C73" s="2641" t="s">
        <v>106</v>
      </c>
      <c r="D73" s="1173">
        <f>+D74+D76</f>
        <v>10391878</v>
      </c>
      <c r="E73" s="1173"/>
      <c r="F73" s="1173"/>
      <c r="G73" s="1173"/>
      <c r="H73" s="1173"/>
      <c r="I73" s="1173"/>
      <c r="J73" s="1173"/>
      <c r="K73" s="1173"/>
      <c r="L73" s="1173"/>
      <c r="M73" s="1219">
        <v>0</v>
      </c>
      <c r="N73" s="1173">
        <f>+N74</f>
        <v>3144433</v>
      </c>
      <c r="O73" s="1173">
        <f>+O74</f>
        <v>2051506</v>
      </c>
      <c r="P73" s="1173">
        <f t="shared" ref="P73:T73" si="47">+P74+P76</f>
        <v>0</v>
      </c>
      <c r="Q73" s="1173">
        <f t="shared" si="47"/>
        <v>0</v>
      </c>
      <c r="R73" s="1173">
        <f t="shared" si="47"/>
        <v>0</v>
      </c>
      <c r="S73" s="1173">
        <f t="shared" si="47"/>
        <v>0</v>
      </c>
      <c r="T73" s="1173">
        <f t="shared" si="47"/>
        <v>0</v>
      </c>
      <c r="U73" s="2629"/>
      <c r="V73" s="2646"/>
    </row>
    <row r="74" spans="1:22" s="1919" customFormat="1" ht="13.5" customHeight="1">
      <c r="A74" s="2644"/>
      <c r="B74" s="1210" t="s">
        <v>25</v>
      </c>
      <c r="C74" s="2652"/>
      <c r="D74" s="1211">
        <f>+M74+N74+O74</f>
        <v>5195939</v>
      </c>
      <c r="E74" s="1211"/>
      <c r="F74" s="1211"/>
      <c r="G74" s="1211"/>
      <c r="H74" s="1211"/>
      <c r="I74" s="1211"/>
      <c r="J74" s="1211"/>
      <c r="K74" s="1211"/>
      <c r="L74" s="1211"/>
      <c r="M74" s="1211">
        <v>0</v>
      </c>
      <c r="N74" s="1211">
        <f>4717663-1573230</f>
        <v>3144433</v>
      </c>
      <c r="O74" s="1211">
        <f>478276+1573230</f>
        <v>2051506</v>
      </c>
      <c r="P74" s="1211">
        <v>0</v>
      </c>
      <c r="Q74" s="1211">
        <v>0</v>
      </c>
      <c r="R74" s="1211">
        <v>0</v>
      </c>
      <c r="S74" s="1211">
        <v>0</v>
      </c>
      <c r="T74" s="1211">
        <v>0</v>
      </c>
      <c r="U74" s="2629"/>
      <c r="V74" s="2646"/>
    </row>
    <row r="75" spans="1:22" s="1919" customFormat="1" ht="13.5" customHeight="1">
      <c r="A75" s="2202"/>
      <c r="B75" s="1214" t="s">
        <v>30</v>
      </c>
      <c r="C75" s="830"/>
      <c r="D75" s="1219">
        <f>+D76</f>
        <v>5195939</v>
      </c>
      <c r="E75" s="1211"/>
      <c r="F75" s="1211"/>
      <c r="G75" s="1211"/>
      <c r="H75" s="1211"/>
      <c r="I75" s="1211"/>
      <c r="J75" s="1211"/>
      <c r="K75" s="1211"/>
      <c r="L75" s="1211"/>
      <c r="M75" s="1219">
        <v>0</v>
      </c>
      <c r="N75" s="1219">
        <f>+N76</f>
        <v>4129608</v>
      </c>
      <c r="O75" s="1219">
        <f>+O76</f>
        <v>1066331</v>
      </c>
      <c r="P75" s="1219">
        <f t="shared" ref="P75:T75" si="48">+P76</f>
        <v>0</v>
      </c>
      <c r="Q75" s="1219">
        <f t="shared" si="48"/>
        <v>0</v>
      </c>
      <c r="R75" s="1219">
        <f t="shared" si="48"/>
        <v>0</v>
      </c>
      <c r="S75" s="1219">
        <f t="shared" si="48"/>
        <v>0</v>
      </c>
      <c r="T75" s="1219">
        <f t="shared" si="48"/>
        <v>0</v>
      </c>
      <c r="U75" s="2629"/>
      <c r="V75" s="2646"/>
    </row>
    <row r="76" spans="1:22" s="1919" customFormat="1" ht="13.5" customHeight="1" thickBot="1">
      <c r="A76" s="2194"/>
      <c r="B76" s="1210" t="s">
        <v>48</v>
      </c>
      <c r="C76" s="2203" t="s">
        <v>35</v>
      </c>
      <c r="D76" s="1220">
        <f>+M76+N76+O76</f>
        <v>5195939</v>
      </c>
      <c r="E76" s="1220"/>
      <c r="F76" s="1220"/>
      <c r="G76" s="1220"/>
      <c r="H76" s="1220"/>
      <c r="I76" s="1220"/>
      <c r="J76" s="1220"/>
      <c r="K76" s="1220"/>
      <c r="L76" s="1220"/>
      <c r="M76" s="1220">
        <v>0</v>
      </c>
      <c r="N76" s="1220">
        <f>4717663-588055</f>
        <v>4129608</v>
      </c>
      <c r="O76" s="1220">
        <f>478276+588055</f>
        <v>1066331</v>
      </c>
      <c r="P76" s="1220">
        <v>0</v>
      </c>
      <c r="Q76" s="1220">
        <v>0</v>
      </c>
      <c r="R76" s="1220">
        <v>0</v>
      </c>
      <c r="S76" s="1220">
        <v>0</v>
      </c>
      <c r="T76" s="1220">
        <v>0</v>
      </c>
      <c r="U76" s="2630"/>
      <c r="V76" s="2647"/>
    </row>
    <row r="77" spans="1:22" s="2178" customFormat="1" ht="30" customHeight="1">
      <c r="A77" s="2631" t="s">
        <v>85</v>
      </c>
      <c r="B77" s="1199" t="s">
        <v>413</v>
      </c>
      <c r="C77" s="942" t="s">
        <v>138</v>
      </c>
      <c r="D77" s="1189"/>
      <c r="E77" s="1200"/>
      <c r="F77" s="1200"/>
      <c r="G77" s="1200"/>
      <c r="H77" s="1200"/>
      <c r="I77" s="1200"/>
      <c r="J77" s="2204"/>
      <c r="K77" s="2204"/>
      <c r="L77" s="2204"/>
      <c r="M77" s="2204"/>
      <c r="N77" s="2204"/>
      <c r="O77" s="2204"/>
      <c r="P77" s="2204"/>
      <c r="Q77" s="2204"/>
      <c r="R77" s="2204"/>
      <c r="S77" s="2204"/>
      <c r="T77" s="2204"/>
      <c r="U77" s="1278"/>
      <c r="V77" s="2656" t="s">
        <v>204</v>
      </c>
    </row>
    <row r="78" spans="1:22" s="2178" customFormat="1" ht="13.5" customHeight="1">
      <c r="A78" s="2655"/>
      <c r="B78" s="561" t="s">
        <v>22</v>
      </c>
      <c r="C78" s="1182"/>
      <c r="D78" s="1170">
        <f>+D79</f>
        <v>5000000</v>
      </c>
      <c r="E78" s="1170">
        <f>+E79</f>
        <v>0</v>
      </c>
      <c r="F78" s="1170">
        <f t="shared" ref="F78:T78" si="49">+F79</f>
        <v>0</v>
      </c>
      <c r="G78" s="1170">
        <f t="shared" si="49"/>
        <v>0</v>
      </c>
      <c r="H78" s="1170">
        <f t="shared" si="49"/>
        <v>0</v>
      </c>
      <c r="I78" s="1170">
        <f t="shared" si="49"/>
        <v>0</v>
      </c>
      <c r="J78" s="1170">
        <f t="shared" si="49"/>
        <v>0</v>
      </c>
      <c r="K78" s="1170">
        <f t="shared" si="49"/>
        <v>0</v>
      </c>
      <c r="L78" s="1170">
        <f t="shared" si="49"/>
        <v>0</v>
      </c>
      <c r="M78" s="1170">
        <f t="shared" si="49"/>
        <v>0</v>
      </c>
      <c r="N78" s="1170">
        <f t="shared" si="49"/>
        <v>0</v>
      </c>
      <c r="O78" s="1170">
        <f t="shared" si="49"/>
        <v>0</v>
      </c>
      <c r="P78" s="1170">
        <f t="shared" si="49"/>
        <v>1819380</v>
      </c>
      <c r="Q78" s="1170">
        <f t="shared" si="49"/>
        <v>1361176</v>
      </c>
      <c r="R78" s="1170">
        <f t="shared" si="49"/>
        <v>1819444</v>
      </c>
      <c r="S78" s="1170">
        <f t="shared" si="49"/>
        <v>0</v>
      </c>
      <c r="T78" s="1170">
        <f t="shared" si="49"/>
        <v>0</v>
      </c>
      <c r="U78" s="1191">
        <f>+U79</f>
        <v>5000000</v>
      </c>
      <c r="V78" s="2657"/>
    </row>
    <row r="79" spans="1:22" s="2178" customFormat="1" ht="13.5" customHeight="1">
      <c r="A79" s="2655"/>
      <c r="B79" s="586" t="s">
        <v>36</v>
      </c>
      <c r="C79" s="2653" t="s">
        <v>205</v>
      </c>
      <c r="D79" s="1173">
        <f>+D80+D81</f>
        <v>5000000</v>
      </c>
      <c r="E79" s="1173">
        <f>+E80+E81</f>
        <v>0</v>
      </c>
      <c r="F79" s="1173"/>
      <c r="G79" s="1173"/>
      <c r="H79" s="1173"/>
      <c r="I79" s="1173">
        <f>+I80+I81</f>
        <v>0</v>
      </c>
      <c r="J79" s="1173">
        <f t="shared" ref="J79:T79" si="50">+J80+J81</f>
        <v>0</v>
      </c>
      <c r="K79" s="1173">
        <f t="shared" si="50"/>
        <v>0</v>
      </c>
      <c r="L79" s="1173">
        <f t="shared" si="50"/>
        <v>0</v>
      </c>
      <c r="M79" s="1173">
        <f t="shared" ref="M79" si="51">+M80+M81</f>
        <v>0</v>
      </c>
      <c r="N79" s="1173">
        <f t="shared" si="50"/>
        <v>0</v>
      </c>
      <c r="O79" s="1173">
        <f t="shared" si="50"/>
        <v>0</v>
      </c>
      <c r="P79" s="1173">
        <f t="shared" si="50"/>
        <v>1819380</v>
      </c>
      <c r="Q79" s="1173">
        <f t="shared" si="50"/>
        <v>1361176</v>
      </c>
      <c r="R79" s="1173">
        <f t="shared" si="50"/>
        <v>1819444</v>
      </c>
      <c r="S79" s="1173">
        <f t="shared" si="50"/>
        <v>0</v>
      </c>
      <c r="T79" s="1173">
        <f t="shared" si="50"/>
        <v>0</v>
      </c>
      <c r="U79" s="2325">
        <f>+U80+U81</f>
        <v>5000000</v>
      </c>
      <c r="V79" s="2657"/>
    </row>
    <row r="80" spans="1:22" s="2178" customFormat="1" ht="13.5" customHeight="1">
      <c r="A80" s="2655"/>
      <c r="B80" s="1193" t="s">
        <v>197</v>
      </c>
      <c r="C80" s="2654"/>
      <c r="D80" s="1211">
        <f>+M80+N80+O80+P80+Q80</f>
        <v>0</v>
      </c>
      <c r="E80" s="1211">
        <v>0</v>
      </c>
      <c r="F80" s="1211">
        <v>0</v>
      </c>
      <c r="G80" s="1211">
        <v>0</v>
      </c>
      <c r="H80" s="900">
        <v>0</v>
      </c>
      <c r="I80" s="1211">
        <v>0</v>
      </c>
      <c r="J80" s="1211">
        <v>0</v>
      </c>
      <c r="K80" s="1211">
        <v>0</v>
      </c>
      <c r="L80" s="1211">
        <v>0</v>
      </c>
      <c r="M80" s="1211">
        <v>0</v>
      </c>
      <c r="N80" s="1211">
        <v>0</v>
      </c>
      <c r="O80" s="1211">
        <v>0</v>
      </c>
      <c r="P80" s="1211">
        <v>0</v>
      </c>
      <c r="Q80" s="1211">
        <v>0</v>
      </c>
      <c r="R80" s="1211">
        <v>0</v>
      </c>
      <c r="S80" s="1211">
        <v>0</v>
      </c>
      <c r="T80" s="1211">
        <v>0</v>
      </c>
      <c r="U80" s="2180">
        <v>0</v>
      </c>
      <c r="V80" s="2657"/>
    </row>
    <row r="81" spans="1:22" s="2178" customFormat="1" ht="13.5" customHeight="1" thickBot="1">
      <c r="A81" s="2658"/>
      <c r="B81" s="2326" t="s">
        <v>206</v>
      </c>
      <c r="C81" s="2660"/>
      <c r="D81" s="1220">
        <f>+M81+N81+O81+P81+Q81+R81+S81+T81</f>
        <v>5000000</v>
      </c>
      <c r="E81" s="903">
        <v>0</v>
      </c>
      <c r="F81" s="903">
        <v>0</v>
      </c>
      <c r="G81" s="903"/>
      <c r="H81" s="1198"/>
      <c r="I81" s="903">
        <v>0</v>
      </c>
      <c r="J81" s="903">
        <v>0</v>
      </c>
      <c r="K81" s="903">
        <v>0</v>
      </c>
      <c r="L81" s="903">
        <v>0</v>
      </c>
      <c r="M81" s="903">
        <v>0</v>
      </c>
      <c r="N81" s="903">
        <v>0</v>
      </c>
      <c r="O81" s="903">
        <v>0</v>
      </c>
      <c r="P81" s="903">
        <v>1819380</v>
      </c>
      <c r="Q81" s="903">
        <v>1361176</v>
      </c>
      <c r="R81" s="903">
        <v>1819444</v>
      </c>
      <c r="S81" s="903">
        <v>0</v>
      </c>
      <c r="T81" s="903">
        <v>0</v>
      </c>
      <c r="U81" s="1195">
        <f>+T81+S81+R81+Q81+P81+O81+N81+M81</f>
        <v>5000000</v>
      </c>
      <c r="V81" s="2659"/>
    </row>
    <row r="82" spans="1:22" s="2178" customFormat="1" ht="27" customHeight="1">
      <c r="A82" s="2631" t="s">
        <v>86</v>
      </c>
      <c r="B82" s="2327" t="s">
        <v>207</v>
      </c>
      <c r="C82" s="942" t="s">
        <v>138</v>
      </c>
      <c r="D82" s="1189"/>
      <c r="E82" s="1200"/>
      <c r="F82" s="1200">
        <v>0</v>
      </c>
      <c r="G82" s="1200"/>
      <c r="H82" s="1200"/>
      <c r="I82" s="1200"/>
      <c r="J82" s="2204"/>
      <c r="K82" s="2204"/>
      <c r="L82" s="2204"/>
      <c r="M82" s="2204"/>
      <c r="N82" s="2204"/>
      <c r="O82" s="2204"/>
      <c r="P82" s="2204"/>
      <c r="Q82" s="2204"/>
      <c r="R82" s="2204"/>
      <c r="S82" s="2204"/>
      <c r="T82" s="2204"/>
      <c r="U82" s="1278"/>
      <c r="V82" s="2656" t="s">
        <v>208</v>
      </c>
    </row>
    <row r="83" spans="1:22" s="2178" customFormat="1" ht="13.5" customHeight="1">
      <c r="A83" s="2655"/>
      <c r="B83" s="561" t="s">
        <v>22</v>
      </c>
      <c r="C83" s="1182"/>
      <c r="D83" s="1170">
        <f>+D84</f>
        <v>2900000</v>
      </c>
      <c r="E83" s="1170">
        <f>+E84</f>
        <v>637500</v>
      </c>
      <c r="F83" s="1170">
        <f t="shared" ref="F83:U83" si="52">+F84</f>
        <v>0</v>
      </c>
      <c r="G83" s="1170">
        <f t="shared" si="52"/>
        <v>0</v>
      </c>
      <c r="H83" s="1170">
        <f t="shared" si="52"/>
        <v>0</v>
      </c>
      <c r="I83" s="1170">
        <f t="shared" si="52"/>
        <v>306000</v>
      </c>
      <c r="J83" s="1170">
        <f t="shared" si="52"/>
        <v>306000</v>
      </c>
      <c r="K83" s="1170">
        <f t="shared" si="52"/>
        <v>306000</v>
      </c>
      <c r="L83" s="1170">
        <f t="shared" si="52"/>
        <v>306000</v>
      </c>
      <c r="M83" s="1170">
        <f t="shared" si="52"/>
        <v>1861500</v>
      </c>
      <c r="N83" s="1170">
        <f t="shared" si="52"/>
        <v>306000</v>
      </c>
      <c r="O83" s="1170">
        <f t="shared" si="52"/>
        <v>306000</v>
      </c>
      <c r="P83" s="1170">
        <f t="shared" si="52"/>
        <v>306000</v>
      </c>
      <c r="Q83" s="1170">
        <f t="shared" si="52"/>
        <v>120500</v>
      </c>
      <c r="R83" s="1170">
        <v>0</v>
      </c>
      <c r="S83" s="1170">
        <v>0</v>
      </c>
      <c r="T83" s="1170">
        <v>0</v>
      </c>
      <c r="U83" s="1191">
        <f t="shared" si="52"/>
        <v>426500</v>
      </c>
      <c r="V83" s="2657"/>
    </row>
    <row r="84" spans="1:22" s="2178" customFormat="1" ht="13.5" customHeight="1">
      <c r="A84" s="2655"/>
      <c r="B84" s="586" t="s">
        <v>36</v>
      </c>
      <c r="C84" s="2653" t="s">
        <v>205</v>
      </c>
      <c r="D84" s="1173">
        <f>+D85+D86</f>
        <v>2900000</v>
      </c>
      <c r="E84" s="1173">
        <f>+E85</f>
        <v>637500</v>
      </c>
      <c r="F84" s="1173">
        <f>+F86</f>
        <v>0</v>
      </c>
      <c r="G84" s="1173">
        <f>+G86</f>
        <v>0</v>
      </c>
      <c r="H84" s="1173">
        <f>+H86</f>
        <v>0</v>
      </c>
      <c r="I84" s="1173">
        <f>+I85+I86</f>
        <v>306000</v>
      </c>
      <c r="J84" s="1173">
        <f>+J85+J86</f>
        <v>306000</v>
      </c>
      <c r="K84" s="1173">
        <f>+K85+K86</f>
        <v>306000</v>
      </c>
      <c r="L84" s="1173">
        <f>+L85</f>
        <v>306000</v>
      </c>
      <c r="M84" s="1173">
        <f>+M85</f>
        <v>1861500</v>
      </c>
      <c r="N84" s="1173">
        <f>+N85+N86</f>
        <v>306000</v>
      </c>
      <c r="O84" s="1173">
        <f>+O85+O86</f>
        <v>306000</v>
      </c>
      <c r="P84" s="1173">
        <f>+P86</f>
        <v>306000</v>
      </c>
      <c r="Q84" s="1173">
        <f>+Q86</f>
        <v>120500</v>
      </c>
      <c r="R84" s="1173">
        <v>0</v>
      </c>
      <c r="S84" s="1173">
        <v>0</v>
      </c>
      <c r="T84" s="1173">
        <v>0</v>
      </c>
      <c r="U84" s="2325">
        <f>+U86</f>
        <v>426500</v>
      </c>
      <c r="V84" s="2657"/>
    </row>
    <row r="85" spans="1:22" s="2178" customFormat="1" ht="13.5" customHeight="1">
      <c r="A85" s="2655"/>
      <c r="B85" s="1193" t="s">
        <v>197</v>
      </c>
      <c r="C85" s="2654"/>
      <c r="D85" s="1211">
        <f>+M85+N85+O85+P85+Q85</f>
        <v>2473500</v>
      </c>
      <c r="E85" s="1211">
        <v>637500</v>
      </c>
      <c r="F85" s="1211"/>
      <c r="G85" s="1211"/>
      <c r="H85" s="1211"/>
      <c r="I85" s="1211">
        <v>306000</v>
      </c>
      <c r="J85" s="1211">
        <v>306000</v>
      </c>
      <c r="K85" s="1211">
        <v>306000</v>
      </c>
      <c r="L85" s="1211">
        <v>306000</v>
      </c>
      <c r="M85" s="1211">
        <f>+L85+K85+J85+I85+E85</f>
        <v>1861500</v>
      </c>
      <c r="N85" s="1211">
        <v>306000</v>
      </c>
      <c r="O85" s="1213">
        <v>306000</v>
      </c>
      <c r="P85" s="1211">
        <v>0</v>
      </c>
      <c r="Q85" s="1211">
        <v>0</v>
      </c>
      <c r="R85" s="1211">
        <v>0</v>
      </c>
      <c r="S85" s="1211">
        <v>0</v>
      </c>
      <c r="T85" s="1211">
        <v>0</v>
      </c>
      <c r="U85" s="2180">
        <v>0</v>
      </c>
      <c r="V85" s="2657"/>
    </row>
    <row r="86" spans="1:22" s="2178" customFormat="1" ht="13.5" customHeight="1" thickBot="1">
      <c r="A86" s="2658"/>
      <c r="B86" s="2326" t="s">
        <v>206</v>
      </c>
      <c r="C86" s="2660"/>
      <c r="D86" s="1220">
        <f>+M86+N86+O86+P86+Q86</f>
        <v>426500</v>
      </c>
      <c r="E86" s="1220">
        <v>0</v>
      </c>
      <c r="F86" s="1220">
        <v>0</v>
      </c>
      <c r="G86" s="1220">
        <v>0</v>
      </c>
      <c r="H86" s="1220"/>
      <c r="I86" s="1220">
        <v>0</v>
      </c>
      <c r="J86" s="1220">
        <v>0</v>
      </c>
      <c r="K86" s="1220">
        <v>0</v>
      </c>
      <c r="L86" s="1220">
        <v>0</v>
      </c>
      <c r="M86" s="1220">
        <v>0</v>
      </c>
      <c r="N86" s="1220">
        <v>0</v>
      </c>
      <c r="O86" s="2328">
        <v>0</v>
      </c>
      <c r="P86" s="1220">
        <v>306000</v>
      </c>
      <c r="Q86" s="1220">
        <v>120500</v>
      </c>
      <c r="R86" s="1220">
        <v>0</v>
      </c>
      <c r="S86" s="1220">
        <v>0</v>
      </c>
      <c r="T86" s="1220">
        <v>0</v>
      </c>
      <c r="U86" s="1195">
        <f>+Q86+P86+O86+N86+M86</f>
        <v>426500</v>
      </c>
      <c r="V86" s="2659"/>
    </row>
    <row r="87" spans="1:22" s="2178" customFormat="1" ht="26.25" customHeight="1">
      <c r="A87" s="2631" t="s">
        <v>149</v>
      </c>
      <c r="B87" s="2327" t="s">
        <v>345</v>
      </c>
      <c r="C87" s="942" t="s">
        <v>138</v>
      </c>
      <c r="D87" s="1189"/>
      <c r="E87" s="1200"/>
      <c r="F87" s="1200"/>
      <c r="G87" s="1200"/>
      <c r="H87" s="1200"/>
      <c r="I87" s="1200"/>
      <c r="J87" s="2204"/>
      <c r="K87" s="2204"/>
      <c r="L87" s="2204"/>
      <c r="M87" s="2204"/>
      <c r="N87" s="2204"/>
      <c r="O87" s="2204"/>
      <c r="P87" s="2204"/>
      <c r="Q87" s="2204"/>
      <c r="R87" s="2204"/>
      <c r="S87" s="2204"/>
      <c r="T87" s="2204"/>
      <c r="U87" s="1278"/>
      <c r="V87" s="2656" t="s">
        <v>204</v>
      </c>
    </row>
    <row r="88" spans="1:22" s="2178" customFormat="1" ht="13.5" customHeight="1">
      <c r="A88" s="2655"/>
      <c r="B88" s="561" t="s">
        <v>22</v>
      </c>
      <c r="C88" s="1182"/>
      <c r="D88" s="1170">
        <f>+D89</f>
        <v>8000000</v>
      </c>
      <c r="E88" s="1170">
        <f>+E89</f>
        <v>0</v>
      </c>
      <c r="F88" s="1170">
        <f t="shared" ref="F88:U88" si="53">+F89</f>
        <v>0</v>
      </c>
      <c r="G88" s="1170">
        <f t="shared" si="53"/>
        <v>0</v>
      </c>
      <c r="H88" s="1170">
        <f t="shared" si="53"/>
        <v>0</v>
      </c>
      <c r="I88" s="1170">
        <f t="shared" si="53"/>
        <v>0</v>
      </c>
      <c r="J88" s="1170">
        <f t="shared" si="53"/>
        <v>0</v>
      </c>
      <c r="K88" s="1170">
        <f t="shared" si="53"/>
        <v>0</v>
      </c>
      <c r="L88" s="1170">
        <f t="shared" si="53"/>
        <v>0</v>
      </c>
      <c r="M88" s="1170">
        <f t="shared" si="53"/>
        <v>0</v>
      </c>
      <c r="N88" s="1170">
        <f t="shared" si="53"/>
        <v>480000</v>
      </c>
      <c r="O88" s="1170">
        <f t="shared" si="53"/>
        <v>100000</v>
      </c>
      <c r="P88" s="1170">
        <f t="shared" si="53"/>
        <v>1080000</v>
      </c>
      <c r="Q88" s="1170">
        <f t="shared" si="53"/>
        <v>1080000</v>
      </c>
      <c r="R88" s="1170">
        <f t="shared" si="53"/>
        <v>1080000</v>
      </c>
      <c r="S88" s="1170">
        <f t="shared" si="53"/>
        <v>1080000</v>
      </c>
      <c r="T88" s="1170">
        <f t="shared" si="53"/>
        <v>1080000</v>
      </c>
      <c r="U88" s="1191">
        <f t="shared" si="53"/>
        <v>7420000</v>
      </c>
      <c r="V88" s="2657"/>
    </row>
    <row r="89" spans="1:22" s="2179" customFormat="1" ht="13.5" customHeight="1">
      <c r="A89" s="2655"/>
      <c r="B89" s="1172" t="s">
        <v>36</v>
      </c>
      <c r="C89" s="2653" t="s">
        <v>205</v>
      </c>
      <c r="D89" s="2329">
        <f>+D90+D91</f>
        <v>8000000</v>
      </c>
      <c r="E89" s="2329">
        <f t="shared" ref="E89:L89" si="54">+E91</f>
        <v>0</v>
      </c>
      <c r="F89" s="2329">
        <f t="shared" si="54"/>
        <v>0</v>
      </c>
      <c r="G89" s="2329">
        <f t="shared" si="54"/>
        <v>0</v>
      </c>
      <c r="H89" s="2329">
        <f t="shared" si="54"/>
        <v>0</v>
      </c>
      <c r="I89" s="2329">
        <f t="shared" si="54"/>
        <v>0</v>
      </c>
      <c r="J89" s="2329">
        <f t="shared" si="54"/>
        <v>0</v>
      </c>
      <c r="K89" s="2329">
        <f t="shared" si="54"/>
        <v>0</v>
      </c>
      <c r="L89" s="2329">
        <f t="shared" si="54"/>
        <v>0</v>
      </c>
      <c r="M89" s="1173">
        <f t="shared" ref="M89" si="55">+M90+M91</f>
        <v>0</v>
      </c>
      <c r="N89" s="2329">
        <f>+N90+N91</f>
        <v>480000</v>
      </c>
      <c r="O89" s="2329">
        <f>+O90+O91</f>
        <v>100000</v>
      </c>
      <c r="P89" s="2329">
        <f>+P90+P91</f>
        <v>1080000</v>
      </c>
      <c r="Q89" s="2329">
        <f>+Q90+Q91</f>
        <v>1080000</v>
      </c>
      <c r="R89" s="2329">
        <f>+R90+R91</f>
        <v>1080000</v>
      </c>
      <c r="S89" s="2329">
        <f t="shared" ref="S89:T89" si="56">+S90+S91</f>
        <v>1080000</v>
      </c>
      <c r="T89" s="2329">
        <f t="shared" si="56"/>
        <v>1080000</v>
      </c>
      <c r="U89" s="2325">
        <f>+U91</f>
        <v>7420000</v>
      </c>
      <c r="V89" s="2657"/>
    </row>
    <row r="90" spans="1:22" s="2179" customFormat="1" ht="13.5" customHeight="1">
      <c r="A90" s="2655"/>
      <c r="B90" s="1193" t="s">
        <v>197</v>
      </c>
      <c r="C90" s="2654"/>
      <c r="D90" s="2330">
        <f>+E90+I90+J90+K90+L90+N90+O90+P90+Q90+R90</f>
        <v>580000</v>
      </c>
      <c r="E90" s="2330"/>
      <c r="F90" s="2214"/>
      <c r="G90" s="1800"/>
      <c r="H90" s="1800"/>
      <c r="I90" s="1213"/>
      <c r="J90" s="1213"/>
      <c r="K90" s="1213"/>
      <c r="L90" s="1285"/>
      <c r="M90" s="1211">
        <v>0</v>
      </c>
      <c r="N90" s="1213">
        <v>480000</v>
      </c>
      <c r="O90" s="1213">
        <v>100000</v>
      </c>
      <c r="P90" s="1213"/>
      <c r="Q90" s="1213"/>
      <c r="R90" s="1213"/>
      <c r="S90" s="1213"/>
      <c r="T90" s="1213"/>
      <c r="U90" s="2180">
        <v>0</v>
      </c>
      <c r="V90" s="2657"/>
    </row>
    <row r="91" spans="1:22" s="2179" customFormat="1" ht="13.5" customHeight="1" thickBot="1">
      <c r="A91" s="2655"/>
      <c r="B91" s="1175" t="s">
        <v>206</v>
      </c>
      <c r="C91" s="2660"/>
      <c r="D91" s="2330">
        <f>+M91+N91+O91+P91+Q91+R91+S91+T91+2020000</f>
        <v>7420000</v>
      </c>
      <c r="E91" s="2330">
        <v>0</v>
      </c>
      <c r="F91" s="2214"/>
      <c r="G91" s="2331"/>
      <c r="H91" s="2331"/>
      <c r="I91" s="1799">
        <v>0</v>
      </c>
      <c r="J91" s="1213">
        <v>0</v>
      </c>
      <c r="K91" s="1213">
        <v>0</v>
      </c>
      <c r="L91" s="1285">
        <v>0</v>
      </c>
      <c r="M91" s="903">
        <v>0</v>
      </c>
      <c r="N91" s="1213">
        <v>0</v>
      </c>
      <c r="O91" s="1213">
        <v>0</v>
      </c>
      <c r="P91" s="1213">
        <v>1080000</v>
      </c>
      <c r="Q91" s="1213">
        <v>1080000</v>
      </c>
      <c r="R91" s="1213">
        <v>1080000</v>
      </c>
      <c r="S91" s="1213">
        <v>1080000</v>
      </c>
      <c r="T91" s="1213">
        <v>1080000</v>
      </c>
      <c r="U91" s="1148">
        <f>SUM(O91:T91)+2020000</f>
        <v>7420000</v>
      </c>
      <c r="V91" s="2657"/>
    </row>
    <row r="92" spans="1:22" s="1918" customFormat="1" ht="42.75" customHeight="1">
      <c r="A92" s="2615" t="s">
        <v>111</v>
      </c>
      <c r="B92" s="1199" t="s">
        <v>209</v>
      </c>
      <c r="C92" s="942" t="s">
        <v>102</v>
      </c>
      <c r="D92" s="1167"/>
      <c r="E92" s="1168"/>
      <c r="F92" s="1168"/>
      <c r="G92" s="1168"/>
      <c r="H92" s="1168"/>
      <c r="I92" s="1168"/>
      <c r="J92" s="1168"/>
      <c r="K92" s="1168"/>
      <c r="L92" s="1168"/>
      <c r="M92" s="1168"/>
      <c r="N92" s="1168"/>
      <c r="O92" s="1168"/>
      <c r="P92" s="1168"/>
      <c r="Q92" s="1168"/>
      <c r="R92" s="1168"/>
      <c r="S92" s="1168"/>
      <c r="T92" s="1168"/>
      <c r="U92" s="1169"/>
      <c r="V92" s="2618" t="s">
        <v>195</v>
      </c>
    </row>
    <row r="93" spans="1:22" s="1919" customFormat="1" ht="13.5" customHeight="1">
      <c r="A93" s="2616"/>
      <c r="B93" s="554" t="s">
        <v>22</v>
      </c>
      <c r="C93" s="871"/>
      <c r="D93" s="1170">
        <f t="shared" ref="D93:K93" si="57">+D94+D97</f>
        <v>11643370</v>
      </c>
      <c r="E93" s="1170">
        <f t="shared" si="57"/>
        <v>0</v>
      </c>
      <c r="F93" s="1170">
        <f t="shared" si="57"/>
        <v>0</v>
      </c>
      <c r="G93" s="1170">
        <f t="shared" si="57"/>
        <v>12200</v>
      </c>
      <c r="H93" s="1170">
        <f t="shared" si="57"/>
        <v>1690859.03</v>
      </c>
      <c r="I93" s="1170">
        <f t="shared" si="57"/>
        <v>0</v>
      </c>
      <c r="J93" s="1170">
        <f t="shared" si="57"/>
        <v>0</v>
      </c>
      <c r="K93" s="1170">
        <f t="shared" si="57"/>
        <v>0</v>
      </c>
      <c r="L93" s="1170">
        <f>+L94+L97</f>
        <v>548968</v>
      </c>
      <c r="M93" s="1170">
        <f>+M94+M97</f>
        <v>548968</v>
      </c>
      <c r="N93" s="1170">
        <f>+N94+N97</f>
        <v>4196897</v>
      </c>
      <c r="O93" s="1170">
        <f>+O94+O97</f>
        <v>6897505</v>
      </c>
      <c r="P93" s="1170">
        <f>+P94+P97</f>
        <v>0</v>
      </c>
      <c r="Q93" s="1170">
        <f t="shared" ref="Q93:T93" si="58">+Q94+Q97</f>
        <v>0</v>
      </c>
      <c r="R93" s="1170">
        <f t="shared" si="58"/>
        <v>0</v>
      </c>
      <c r="S93" s="1170">
        <f t="shared" si="58"/>
        <v>0</v>
      </c>
      <c r="T93" s="1170">
        <f t="shared" si="58"/>
        <v>0</v>
      </c>
      <c r="U93" s="1191">
        <f>+U94</f>
        <v>0</v>
      </c>
      <c r="V93" s="2619"/>
    </row>
    <row r="94" spans="1:22" s="1919" customFormat="1" ht="12.75" customHeight="1">
      <c r="A94" s="2616"/>
      <c r="B94" s="1172" t="s">
        <v>36</v>
      </c>
      <c r="C94" s="2622" t="s">
        <v>196</v>
      </c>
      <c r="D94" s="1173">
        <f>+D95+D96</f>
        <v>3452130</v>
      </c>
      <c r="E94" s="1173">
        <f>+E95+E96</f>
        <v>0</v>
      </c>
      <c r="F94" s="1173">
        <f>+F95+F96</f>
        <v>0</v>
      </c>
      <c r="G94" s="1173">
        <f>+G95+G96</f>
        <v>12200</v>
      </c>
      <c r="H94" s="1173">
        <f>+H95+H96</f>
        <v>1690859.03</v>
      </c>
      <c r="I94" s="1173">
        <f t="shared" ref="I94:T94" si="59">+I95+I96</f>
        <v>0</v>
      </c>
      <c r="J94" s="1173">
        <f t="shared" si="59"/>
        <v>0</v>
      </c>
      <c r="K94" s="1173">
        <f t="shared" si="59"/>
        <v>0</v>
      </c>
      <c r="L94" s="1173">
        <f t="shared" si="59"/>
        <v>148492</v>
      </c>
      <c r="M94" s="1173">
        <f t="shared" si="59"/>
        <v>148492</v>
      </c>
      <c r="N94" s="1173">
        <f t="shared" si="59"/>
        <v>1573238</v>
      </c>
      <c r="O94" s="1173">
        <f t="shared" si="59"/>
        <v>1730400</v>
      </c>
      <c r="P94" s="1173">
        <f t="shared" si="59"/>
        <v>0</v>
      </c>
      <c r="Q94" s="1173">
        <f t="shared" si="59"/>
        <v>0</v>
      </c>
      <c r="R94" s="1173">
        <f t="shared" si="59"/>
        <v>0</v>
      </c>
      <c r="S94" s="1173">
        <f t="shared" si="59"/>
        <v>0</v>
      </c>
      <c r="T94" s="1173">
        <f t="shared" si="59"/>
        <v>0</v>
      </c>
      <c r="U94" s="2117">
        <f>+U96</f>
        <v>0</v>
      </c>
      <c r="V94" s="2620"/>
    </row>
    <row r="95" spans="1:22" s="1919" customFormat="1" ht="12">
      <c r="A95" s="2616"/>
      <c r="B95" s="1175" t="s">
        <v>197</v>
      </c>
      <c r="C95" s="2648"/>
      <c r="D95" s="900">
        <f>+M95+N95+O95</f>
        <v>2452130</v>
      </c>
      <c r="E95" s="900">
        <v>0</v>
      </c>
      <c r="F95" s="900">
        <v>0</v>
      </c>
      <c r="G95" s="900">
        <v>12200</v>
      </c>
      <c r="H95" s="900">
        <v>1015859</v>
      </c>
      <c r="I95" s="900">
        <v>0</v>
      </c>
      <c r="J95" s="900">
        <v>0</v>
      </c>
      <c r="K95" s="900">
        <v>0</v>
      </c>
      <c r="L95" s="900">
        <v>148492</v>
      </c>
      <c r="M95" s="900">
        <f>+L95+K95+J95+I95</f>
        <v>148492</v>
      </c>
      <c r="N95" s="900">
        <f>737277-164039</f>
        <v>573238</v>
      </c>
      <c r="O95" s="900">
        <f>1394867+335533</f>
        <v>1730400</v>
      </c>
      <c r="P95" s="900">
        <v>0</v>
      </c>
      <c r="Q95" s="900">
        <v>0</v>
      </c>
      <c r="R95" s="900">
        <v>0</v>
      </c>
      <c r="S95" s="900">
        <v>0</v>
      </c>
      <c r="T95" s="900">
        <v>0</v>
      </c>
      <c r="U95" s="1152" t="s">
        <v>77</v>
      </c>
      <c r="V95" s="2620"/>
    </row>
    <row r="96" spans="1:22" s="1919" customFormat="1" ht="13.5" customHeight="1">
      <c r="A96" s="2616"/>
      <c r="B96" s="1177" t="s">
        <v>193</v>
      </c>
      <c r="C96" s="2649"/>
      <c r="D96" s="900">
        <f>+M96+N96+O96</f>
        <v>1000000</v>
      </c>
      <c r="E96" s="900">
        <v>0</v>
      </c>
      <c r="F96" s="900">
        <v>0</v>
      </c>
      <c r="G96" s="900">
        <v>0</v>
      </c>
      <c r="H96" s="900">
        <v>675000.03</v>
      </c>
      <c r="I96" s="900">
        <v>0</v>
      </c>
      <c r="J96" s="900">
        <v>0</v>
      </c>
      <c r="K96" s="900">
        <v>0</v>
      </c>
      <c r="L96" s="900">
        <v>0</v>
      </c>
      <c r="M96" s="900">
        <v>0</v>
      </c>
      <c r="N96" s="900">
        <v>1000000</v>
      </c>
      <c r="O96" s="900">
        <v>0</v>
      </c>
      <c r="P96" s="900">
        <v>0</v>
      </c>
      <c r="Q96" s="900">
        <v>0</v>
      </c>
      <c r="R96" s="900">
        <v>0</v>
      </c>
      <c r="S96" s="900">
        <v>0</v>
      </c>
      <c r="T96" s="900">
        <v>0</v>
      </c>
      <c r="U96" s="1195">
        <f>SUM(O96:S96)</f>
        <v>0</v>
      </c>
      <c r="V96" s="2620"/>
    </row>
    <row r="97" spans="1:22" s="1919" customFormat="1" ht="13.5" customHeight="1">
      <c r="A97" s="2616"/>
      <c r="B97" s="1179" t="s">
        <v>30</v>
      </c>
      <c r="C97" s="2650" t="s">
        <v>35</v>
      </c>
      <c r="D97" s="902">
        <f>+D98</f>
        <v>8191240</v>
      </c>
      <c r="E97" s="902">
        <f t="shared" ref="E97:U97" si="60">+E98</f>
        <v>0</v>
      </c>
      <c r="F97" s="902">
        <f t="shared" si="60"/>
        <v>0</v>
      </c>
      <c r="G97" s="902">
        <f t="shared" si="60"/>
        <v>0</v>
      </c>
      <c r="H97" s="902">
        <f t="shared" si="60"/>
        <v>0</v>
      </c>
      <c r="I97" s="902">
        <f t="shared" si="60"/>
        <v>0</v>
      </c>
      <c r="J97" s="902">
        <f t="shared" si="60"/>
        <v>0</v>
      </c>
      <c r="K97" s="902">
        <f t="shared" si="60"/>
        <v>0</v>
      </c>
      <c r="L97" s="902">
        <f t="shared" si="60"/>
        <v>400476</v>
      </c>
      <c r="M97" s="902">
        <f t="shared" si="60"/>
        <v>400476</v>
      </c>
      <c r="N97" s="902">
        <f t="shared" si="60"/>
        <v>2623659</v>
      </c>
      <c r="O97" s="902">
        <f t="shared" si="60"/>
        <v>5167105</v>
      </c>
      <c r="P97" s="902">
        <f t="shared" si="60"/>
        <v>0</v>
      </c>
      <c r="Q97" s="902">
        <f t="shared" si="60"/>
        <v>0</v>
      </c>
      <c r="R97" s="902">
        <f t="shared" si="60"/>
        <v>0</v>
      </c>
      <c r="S97" s="902">
        <f t="shared" si="60"/>
        <v>0</v>
      </c>
      <c r="T97" s="902">
        <f t="shared" si="60"/>
        <v>0</v>
      </c>
      <c r="U97" s="1196" t="str">
        <f t="shared" si="60"/>
        <v>x</v>
      </c>
      <c r="V97" s="2620"/>
    </row>
    <row r="98" spans="1:22" s="1919" customFormat="1" ht="11.25" customHeight="1">
      <c r="A98" s="2616"/>
      <c r="B98" s="1181" t="s">
        <v>48</v>
      </c>
      <c r="C98" s="2651"/>
      <c r="D98" s="983">
        <f>+M98+N98+O98</f>
        <v>8191240</v>
      </c>
      <c r="E98" s="983">
        <f>+F98+G98+H98</f>
        <v>0</v>
      </c>
      <c r="F98" s="983">
        <v>0</v>
      </c>
      <c r="G98" s="983">
        <v>0</v>
      </c>
      <c r="H98" s="983">
        <v>0</v>
      </c>
      <c r="I98" s="983">
        <v>0</v>
      </c>
      <c r="J98" s="983">
        <v>0</v>
      </c>
      <c r="K98" s="983">
        <v>0</v>
      </c>
      <c r="L98" s="983">
        <v>400476</v>
      </c>
      <c r="M98" s="983">
        <f>+L98+K98+J98+I98</f>
        <v>400476</v>
      </c>
      <c r="N98" s="983">
        <f>4506398-1882739</f>
        <v>2623659</v>
      </c>
      <c r="O98" s="983">
        <f>4184600+982505</f>
        <v>5167105</v>
      </c>
      <c r="P98" s="983"/>
      <c r="Q98" s="983"/>
      <c r="R98" s="983"/>
      <c r="S98" s="983"/>
      <c r="T98" s="983"/>
      <c r="U98" s="2118" t="s">
        <v>77</v>
      </c>
      <c r="V98" s="2620"/>
    </row>
    <row r="99" spans="1:22" s="1919" customFormat="1" ht="13.5" customHeight="1">
      <c r="A99" s="2616"/>
      <c r="B99" s="561" t="s">
        <v>34</v>
      </c>
      <c r="C99" s="2119"/>
      <c r="D99" s="1170">
        <f>D101</f>
        <v>8191240</v>
      </c>
      <c r="E99" s="1170">
        <f>E101</f>
        <v>0</v>
      </c>
      <c r="F99" s="1170">
        <f>F101</f>
        <v>0</v>
      </c>
      <c r="G99" s="1170">
        <f>G101</f>
        <v>0</v>
      </c>
      <c r="H99" s="1170">
        <f>H101</f>
        <v>0</v>
      </c>
      <c r="I99" s="1170">
        <f>+I100</f>
        <v>0</v>
      </c>
      <c r="J99" s="1170">
        <f t="shared" ref="J99:T100" si="61">+J100</f>
        <v>0</v>
      </c>
      <c r="K99" s="1170">
        <f t="shared" si="61"/>
        <v>0</v>
      </c>
      <c r="L99" s="1170">
        <f t="shared" si="61"/>
        <v>400476</v>
      </c>
      <c r="M99" s="1170">
        <f t="shared" si="61"/>
        <v>400476</v>
      </c>
      <c r="N99" s="1170">
        <f t="shared" si="61"/>
        <v>2623659</v>
      </c>
      <c r="O99" s="1170">
        <f t="shared" si="61"/>
        <v>5167105</v>
      </c>
      <c r="P99" s="1170">
        <f t="shared" si="61"/>
        <v>0</v>
      </c>
      <c r="Q99" s="1170">
        <f t="shared" si="61"/>
        <v>0</v>
      </c>
      <c r="R99" s="1170">
        <f t="shared" si="61"/>
        <v>0</v>
      </c>
      <c r="S99" s="1170">
        <f t="shared" si="61"/>
        <v>0</v>
      </c>
      <c r="T99" s="1170">
        <f t="shared" si="61"/>
        <v>0</v>
      </c>
      <c r="U99" s="2628" t="s">
        <v>77</v>
      </c>
      <c r="V99" s="2620"/>
    </row>
    <row r="100" spans="1:22" s="1919" customFormat="1" ht="13.5" customHeight="1">
      <c r="A100" s="2616"/>
      <c r="B100" s="1179" t="s">
        <v>30</v>
      </c>
      <c r="C100" s="2650" t="s">
        <v>35</v>
      </c>
      <c r="D100" s="1184">
        <f>+D101</f>
        <v>8191240</v>
      </c>
      <c r="E100" s="1184">
        <f t="shared" ref="E100:L100" si="62">+E101</f>
        <v>0</v>
      </c>
      <c r="F100" s="1184">
        <f t="shared" si="62"/>
        <v>0</v>
      </c>
      <c r="G100" s="1184">
        <f t="shared" si="62"/>
        <v>0</v>
      </c>
      <c r="H100" s="1184">
        <f t="shared" si="62"/>
        <v>0</v>
      </c>
      <c r="I100" s="1184">
        <f t="shared" si="62"/>
        <v>0</v>
      </c>
      <c r="J100" s="1184">
        <f t="shared" si="62"/>
        <v>0</v>
      </c>
      <c r="K100" s="1184">
        <f t="shared" si="62"/>
        <v>0</v>
      </c>
      <c r="L100" s="1184">
        <f t="shared" si="62"/>
        <v>400476</v>
      </c>
      <c r="M100" s="1184">
        <f>+M101</f>
        <v>400476</v>
      </c>
      <c r="N100" s="1184">
        <f t="shared" si="61"/>
        <v>2623659</v>
      </c>
      <c r="O100" s="1184">
        <f t="shared" si="61"/>
        <v>5167105</v>
      </c>
      <c r="P100" s="1184">
        <f t="shared" si="61"/>
        <v>0</v>
      </c>
      <c r="Q100" s="1184">
        <f t="shared" si="61"/>
        <v>0</v>
      </c>
      <c r="R100" s="1184">
        <f t="shared" si="61"/>
        <v>0</v>
      </c>
      <c r="S100" s="1184">
        <f t="shared" si="61"/>
        <v>0</v>
      </c>
      <c r="T100" s="1184">
        <f t="shared" si="61"/>
        <v>0</v>
      </c>
      <c r="U100" s="2629"/>
      <c r="V100" s="2620"/>
    </row>
    <row r="101" spans="1:22" s="1919" customFormat="1" ht="14.25" customHeight="1" thickBot="1">
      <c r="A101" s="2617"/>
      <c r="B101" s="2120" t="s">
        <v>48</v>
      </c>
      <c r="C101" s="2665"/>
      <c r="D101" s="1197">
        <f>+M101+N101+O101</f>
        <v>8191240</v>
      </c>
      <c r="E101" s="1198">
        <v>0</v>
      </c>
      <c r="F101" s="1198">
        <v>0</v>
      </c>
      <c r="G101" s="1198">
        <v>0</v>
      </c>
      <c r="H101" s="1198">
        <v>0</v>
      </c>
      <c r="I101" s="1198">
        <v>0</v>
      </c>
      <c r="J101" s="1198">
        <v>0</v>
      </c>
      <c r="K101" s="1198">
        <v>0</v>
      </c>
      <c r="L101" s="1198">
        <v>400476</v>
      </c>
      <c r="M101" s="1198">
        <f>+L101+K101+J101+I101</f>
        <v>400476</v>
      </c>
      <c r="N101" s="1198">
        <f>4506398-1882739</f>
        <v>2623659</v>
      </c>
      <c r="O101" s="1198">
        <f>4184600+982505</f>
        <v>5167105</v>
      </c>
      <c r="P101" s="1198">
        <v>0</v>
      </c>
      <c r="Q101" s="1198">
        <v>0</v>
      </c>
      <c r="R101" s="1198">
        <v>0</v>
      </c>
      <c r="S101" s="1198">
        <v>0</v>
      </c>
      <c r="T101" s="1198">
        <v>0</v>
      </c>
      <c r="U101" s="2630"/>
      <c r="V101" s="2621"/>
    </row>
    <row r="102" spans="1:22" s="1898" customFormat="1" ht="51.75" customHeight="1">
      <c r="A102" s="2615" t="s">
        <v>112</v>
      </c>
      <c r="B102" s="1199" t="s">
        <v>210</v>
      </c>
      <c r="C102" s="942" t="s">
        <v>102</v>
      </c>
      <c r="D102" s="1167"/>
      <c r="E102" s="1168"/>
      <c r="F102" s="1168"/>
      <c r="G102" s="1168"/>
      <c r="H102" s="1168"/>
      <c r="I102" s="1168"/>
      <c r="J102" s="1168"/>
      <c r="K102" s="1168"/>
      <c r="L102" s="1168"/>
      <c r="M102" s="1168"/>
      <c r="N102" s="1168"/>
      <c r="O102" s="1168"/>
      <c r="P102" s="1168"/>
      <c r="Q102" s="1168"/>
      <c r="R102" s="1168"/>
      <c r="S102" s="1168"/>
      <c r="T102" s="1168"/>
      <c r="U102" s="1169"/>
      <c r="V102" s="2618" t="s">
        <v>195</v>
      </c>
    </row>
    <row r="103" spans="1:22" s="1898" customFormat="1" ht="13.5" customHeight="1">
      <c r="A103" s="2632"/>
      <c r="B103" s="561" t="s">
        <v>22</v>
      </c>
      <c r="C103" s="871"/>
      <c r="D103" s="1170">
        <f t="shared" ref="D103:K103" si="63">+D104+D107</f>
        <v>22005006</v>
      </c>
      <c r="E103" s="1170">
        <f t="shared" si="63"/>
        <v>0</v>
      </c>
      <c r="F103" s="1170">
        <f t="shared" si="63"/>
        <v>0</v>
      </c>
      <c r="G103" s="1170">
        <f t="shared" si="63"/>
        <v>12200</v>
      </c>
      <c r="H103" s="1170">
        <f t="shared" si="63"/>
        <v>1690859.03</v>
      </c>
      <c r="I103" s="1170">
        <f t="shared" si="63"/>
        <v>0</v>
      </c>
      <c r="J103" s="1170">
        <f t="shared" si="63"/>
        <v>0</v>
      </c>
      <c r="K103" s="1170">
        <f t="shared" si="63"/>
        <v>0</v>
      </c>
      <c r="L103" s="1170">
        <f>+L104+L107</f>
        <v>0</v>
      </c>
      <c r="M103" s="1170">
        <f>+M104+M107</f>
        <v>0</v>
      </c>
      <c r="N103" s="1170">
        <f>+N104+N107</f>
        <v>117351</v>
      </c>
      <c r="O103" s="1170">
        <f>+O104+O107</f>
        <v>21887655</v>
      </c>
      <c r="P103" s="1170">
        <f>+P104+P107</f>
        <v>0</v>
      </c>
      <c r="Q103" s="1170">
        <f t="shared" ref="Q103:T103" si="64">+Q104+Q107</f>
        <v>0</v>
      </c>
      <c r="R103" s="1170">
        <f t="shared" si="64"/>
        <v>0</v>
      </c>
      <c r="S103" s="1170">
        <f t="shared" si="64"/>
        <v>0</v>
      </c>
      <c r="T103" s="1170">
        <f t="shared" si="64"/>
        <v>0</v>
      </c>
      <c r="U103" s="1191">
        <f>+U104</f>
        <v>1000000</v>
      </c>
      <c r="V103" s="2619"/>
    </row>
    <row r="104" spans="1:22" s="1898" customFormat="1" ht="12.75" customHeight="1">
      <c r="A104" s="2632"/>
      <c r="B104" s="1172" t="s">
        <v>36</v>
      </c>
      <c r="C104" s="2622" t="s">
        <v>196</v>
      </c>
      <c r="D104" s="1173">
        <f>+D105+D106</f>
        <v>8668134</v>
      </c>
      <c r="E104" s="1173">
        <f>+E105+E106</f>
        <v>0</v>
      </c>
      <c r="F104" s="1173">
        <f>+F105+F106</f>
        <v>0</v>
      </c>
      <c r="G104" s="1173">
        <f>+G105+G106</f>
        <v>12200</v>
      </c>
      <c r="H104" s="1173">
        <f>+H105+H106</f>
        <v>1690859.03</v>
      </c>
      <c r="I104" s="1173">
        <f t="shared" ref="I104:T104" si="65">+I105+I106</f>
        <v>0</v>
      </c>
      <c r="J104" s="1173">
        <f t="shared" si="65"/>
        <v>0</v>
      </c>
      <c r="K104" s="1173">
        <f t="shared" si="65"/>
        <v>0</v>
      </c>
      <c r="L104" s="1173">
        <f t="shared" si="65"/>
        <v>0</v>
      </c>
      <c r="M104" s="1173">
        <f t="shared" ref="M104" si="66">+M105+M106</f>
        <v>0</v>
      </c>
      <c r="N104" s="1173">
        <f t="shared" si="65"/>
        <v>117351</v>
      </c>
      <c r="O104" s="1173">
        <f t="shared" si="65"/>
        <v>8550783</v>
      </c>
      <c r="P104" s="1173">
        <f t="shared" si="65"/>
        <v>0</v>
      </c>
      <c r="Q104" s="1173">
        <f t="shared" si="65"/>
        <v>0</v>
      </c>
      <c r="R104" s="1173">
        <f t="shared" si="65"/>
        <v>0</v>
      </c>
      <c r="S104" s="1173">
        <f t="shared" si="65"/>
        <v>0</v>
      </c>
      <c r="T104" s="1173">
        <f t="shared" si="65"/>
        <v>0</v>
      </c>
      <c r="U104" s="2117">
        <f>+U106</f>
        <v>1000000</v>
      </c>
      <c r="V104" s="2620"/>
    </row>
    <row r="105" spans="1:22" s="1898" customFormat="1">
      <c r="A105" s="2632"/>
      <c r="B105" s="1175" t="s">
        <v>197</v>
      </c>
      <c r="C105" s="2648"/>
      <c r="D105" s="900">
        <f>+M105+N105+O105</f>
        <v>7668134</v>
      </c>
      <c r="E105" s="900">
        <v>0</v>
      </c>
      <c r="F105" s="900">
        <v>0</v>
      </c>
      <c r="G105" s="900">
        <v>12200</v>
      </c>
      <c r="H105" s="900">
        <v>1015859</v>
      </c>
      <c r="I105" s="900">
        <v>0</v>
      </c>
      <c r="J105" s="900">
        <v>0</v>
      </c>
      <c r="K105" s="900">
        <v>0</v>
      </c>
      <c r="L105" s="900">
        <v>0</v>
      </c>
      <c r="M105" s="900">
        <v>0</v>
      </c>
      <c r="N105" s="900">
        <f>1226982-1109631</f>
        <v>117351</v>
      </c>
      <c r="O105" s="900">
        <f>7341386+209397</f>
        <v>7550783</v>
      </c>
      <c r="P105" s="900">
        <v>0</v>
      </c>
      <c r="Q105" s="900">
        <v>0</v>
      </c>
      <c r="R105" s="900">
        <v>0</v>
      </c>
      <c r="S105" s="900">
        <v>0</v>
      </c>
      <c r="T105" s="900">
        <v>0</v>
      </c>
      <c r="U105" s="1152" t="s">
        <v>77</v>
      </c>
      <c r="V105" s="2620"/>
    </row>
    <row r="106" spans="1:22" s="1898" customFormat="1" ht="13.5" customHeight="1">
      <c r="A106" s="2632"/>
      <c r="B106" s="1177" t="s">
        <v>193</v>
      </c>
      <c r="C106" s="2649"/>
      <c r="D106" s="900">
        <f>+M106+N106+O106</f>
        <v>1000000</v>
      </c>
      <c r="E106" s="900">
        <v>0</v>
      </c>
      <c r="F106" s="900">
        <v>0</v>
      </c>
      <c r="G106" s="900">
        <v>0</v>
      </c>
      <c r="H106" s="900">
        <v>675000.03</v>
      </c>
      <c r="I106" s="900">
        <v>0</v>
      </c>
      <c r="J106" s="900">
        <v>0</v>
      </c>
      <c r="K106" s="900">
        <v>0</v>
      </c>
      <c r="L106" s="900">
        <v>0</v>
      </c>
      <c r="M106" s="900">
        <v>0</v>
      </c>
      <c r="N106" s="900">
        <v>0</v>
      </c>
      <c r="O106" s="900">
        <v>1000000</v>
      </c>
      <c r="P106" s="900">
        <v>0</v>
      </c>
      <c r="Q106" s="900">
        <v>0</v>
      </c>
      <c r="R106" s="900">
        <v>0</v>
      </c>
      <c r="S106" s="900">
        <v>0</v>
      </c>
      <c r="T106" s="900">
        <v>0</v>
      </c>
      <c r="U106" s="1195">
        <f>SUM(O106:S106)</f>
        <v>1000000</v>
      </c>
      <c r="V106" s="2620"/>
    </row>
    <row r="107" spans="1:22" s="1898" customFormat="1" ht="13.5" customHeight="1">
      <c r="A107" s="2632"/>
      <c r="B107" s="1179" t="s">
        <v>30</v>
      </c>
      <c r="C107" s="2650" t="s">
        <v>35</v>
      </c>
      <c r="D107" s="902">
        <f>+D108</f>
        <v>13336872</v>
      </c>
      <c r="E107" s="902">
        <f t="shared" ref="E107:U107" si="67">+E108</f>
        <v>0</v>
      </c>
      <c r="F107" s="902">
        <f t="shared" si="67"/>
        <v>0</v>
      </c>
      <c r="G107" s="902">
        <f t="shared" si="67"/>
        <v>0</v>
      </c>
      <c r="H107" s="902">
        <f t="shared" si="67"/>
        <v>0</v>
      </c>
      <c r="I107" s="902">
        <f t="shared" si="67"/>
        <v>0</v>
      </c>
      <c r="J107" s="902">
        <f t="shared" si="67"/>
        <v>0</v>
      </c>
      <c r="K107" s="902">
        <f t="shared" si="67"/>
        <v>0</v>
      </c>
      <c r="L107" s="902">
        <f t="shared" si="67"/>
        <v>0</v>
      </c>
      <c r="M107" s="902">
        <f t="shared" si="67"/>
        <v>0</v>
      </c>
      <c r="N107" s="902">
        <f t="shared" si="67"/>
        <v>0</v>
      </c>
      <c r="O107" s="902">
        <f t="shared" si="67"/>
        <v>13336872</v>
      </c>
      <c r="P107" s="902">
        <f t="shared" si="67"/>
        <v>0</v>
      </c>
      <c r="Q107" s="902">
        <f t="shared" si="67"/>
        <v>0</v>
      </c>
      <c r="R107" s="902">
        <f t="shared" si="67"/>
        <v>0</v>
      </c>
      <c r="S107" s="902">
        <f t="shared" si="67"/>
        <v>0</v>
      </c>
      <c r="T107" s="902">
        <f t="shared" si="67"/>
        <v>0</v>
      </c>
      <c r="U107" s="1196" t="str">
        <f t="shared" si="67"/>
        <v>x</v>
      </c>
      <c r="V107" s="2620"/>
    </row>
    <row r="108" spans="1:22" s="1898" customFormat="1" ht="11.25" customHeight="1">
      <c r="A108" s="2632"/>
      <c r="B108" s="1181" t="s">
        <v>48</v>
      </c>
      <c r="C108" s="2651"/>
      <c r="D108" s="983">
        <f>+M108+N108+O108</f>
        <v>13336872</v>
      </c>
      <c r="E108" s="983">
        <f>+F108+G108+H108</f>
        <v>0</v>
      </c>
      <c r="F108" s="983">
        <v>0</v>
      </c>
      <c r="G108" s="983">
        <v>0</v>
      </c>
      <c r="H108" s="983">
        <v>0</v>
      </c>
      <c r="I108" s="983">
        <v>0</v>
      </c>
      <c r="J108" s="983">
        <v>0</v>
      </c>
      <c r="K108" s="983">
        <v>0</v>
      </c>
      <c r="L108" s="983">
        <v>0</v>
      </c>
      <c r="M108" s="983">
        <v>0</v>
      </c>
      <c r="N108" s="983">
        <f>1599973-1599973</f>
        <v>0</v>
      </c>
      <c r="O108" s="983">
        <f>10836665+2500207</f>
        <v>13336872</v>
      </c>
      <c r="P108" s="983">
        <v>0</v>
      </c>
      <c r="Q108" s="983">
        <v>0</v>
      </c>
      <c r="R108" s="983">
        <v>0</v>
      </c>
      <c r="S108" s="983">
        <v>0</v>
      </c>
      <c r="T108" s="983">
        <v>0</v>
      </c>
      <c r="U108" s="2118" t="s">
        <v>77</v>
      </c>
      <c r="V108" s="2620"/>
    </row>
    <row r="109" spans="1:22" s="1898" customFormat="1" ht="13.5" customHeight="1">
      <c r="A109" s="2632"/>
      <c r="B109" s="561" t="s">
        <v>34</v>
      </c>
      <c r="C109" s="1182"/>
      <c r="D109" s="1170">
        <f>D111</f>
        <v>13336872</v>
      </c>
      <c r="E109" s="1170">
        <f>E111</f>
        <v>0</v>
      </c>
      <c r="F109" s="1170">
        <f>F111</f>
        <v>0</v>
      </c>
      <c r="G109" s="1170">
        <f>G111</f>
        <v>0</v>
      </c>
      <c r="H109" s="1170">
        <f>H111</f>
        <v>0</v>
      </c>
      <c r="I109" s="1170">
        <f>+I110</f>
        <v>0</v>
      </c>
      <c r="J109" s="1170">
        <f t="shared" ref="J109:T110" si="68">+J110</f>
        <v>0</v>
      </c>
      <c r="K109" s="1170">
        <f t="shared" si="68"/>
        <v>0</v>
      </c>
      <c r="L109" s="1170">
        <f t="shared" si="68"/>
        <v>0</v>
      </c>
      <c r="M109" s="1170">
        <f t="shared" si="68"/>
        <v>0</v>
      </c>
      <c r="N109" s="1170">
        <f t="shared" si="68"/>
        <v>0</v>
      </c>
      <c r="O109" s="1170">
        <f t="shared" si="68"/>
        <v>13336872</v>
      </c>
      <c r="P109" s="1170">
        <f t="shared" si="68"/>
        <v>0</v>
      </c>
      <c r="Q109" s="1170">
        <f t="shared" si="68"/>
        <v>0</v>
      </c>
      <c r="R109" s="1170">
        <f t="shared" si="68"/>
        <v>0</v>
      </c>
      <c r="S109" s="1170">
        <f t="shared" si="68"/>
        <v>0</v>
      </c>
      <c r="T109" s="1170">
        <f t="shared" si="68"/>
        <v>0</v>
      </c>
      <c r="U109" s="2628" t="s">
        <v>77</v>
      </c>
      <c r="V109" s="2620"/>
    </row>
    <row r="110" spans="1:22" s="1898" customFormat="1" ht="13.5" customHeight="1">
      <c r="A110" s="2632"/>
      <c r="B110" s="1179" t="s">
        <v>30</v>
      </c>
      <c r="C110" s="2650" t="s">
        <v>35</v>
      </c>
      <c r="D110" s="1184">
        <f>+D111</f>
        <v>13336872</v>
      </c>
      <c r="E110" s="1184">
        <f t="shared" ref="E110:M110" si="69">+E111</f>
        <v>0</v>
      </c>
      <c r="F110" s="1184">
        <f t="shared" si="69"/>
        <v>0</v>
      </c>
      <c r="G110" s="1184">
        <f t="shared" si="69"/>
        <v>0</v>
      </c>
      <c r="H110" s="1184">
        <f t="shared" si="69"/>
        <v>0</v>
      </c>
      <c r="I110" s="1184">
        <f t="shared" si="69"/>
        <v>0</v>
      </c>
      <c r="J110" s="1184">
        <f t="shared" si="69"/>
        <v>0</v>
      </c>
      <c r="K110" s="1184">
        <f t="shared" si="69"/>
        <v>0</v>
      </c>
      <c r="L110" s="1184">
        <f t="shared" si="69"/>
        <v>0</v>
      </c>
      <c r="M110" s="1184">
        <f t="shared" si="69"/>
        <v>0</v>
      </c>
      <c r="N110" s="1184">
        <f t="shared" si="68"/>
        <v>0</v>
      </c>
      <c r="O110" s="1184">
        <f t="shared" si="68"/>
        <v>13336872</v>
      </c>
      <c r="P110" s="1184">
        <f t="shared" si="68"/>
        <v>0</v>
      </c>
      <c r="Q110" s="1184">
        <f t="shared" si="68"/>
        <v>0</v>
      </c>
      <c r="R110" s="1184">
        <f t="shared" si="68"/>
        <v>0</v>
      </c>
      <c r="S110" s="1184">
        <f t="shared" si="68"/>
        <v>0</v>
      </c>
      <c r="T110" s="1184">
        <f t="shared" si="68"/>
        <v>0</v>
      </c>
      <c r="U110" s="2629"/>
      <c r="V110" s="2620"/>
    </row>
    <row r="111" spans="1:22" s="1898" customFormat="1" ht="14.25" customHeight="1" thickBot="1">
      <c r="A111" s="2633"/>
      <c r="B111" s="2120" t="s">
        <v>48</v>
      </c>
      <c r="C111" s="2665"/>
      <c r="D111" s="1197">
        <f>+M111+N111+O111</f>
        <v>13336872</v>
      </c>
      <c r="E111" s="1198">
        <v>0</v>
      </c>
      <c r="F111" s="1198"/>
      <c r="G111" s="1198"/>
      <c r="H111" s="1198"/>
      <c r="I111" s="1198">
        <v>0</v>
      </c>
      <c r="J111" s="1198">
        <v>0</v>
      </c>
      <c r="K111" s="1198">
        <v>0</v>
      </c>
      <c r="L111" s="1198">
        <v>0</v>
      </c>
      <c r="M111" s="1198">
        <v>0</v>
      </c>
      <c r="N111" s="1198">
        <f>1599973-1599973</f>
        <v>0</v>
      </c>
      <c r="O111" s="1198">
        <f>10836665+2500207</f>
        <v>13336872</v>
      </c>
      <c r="P111" s="1198">
        <v>0</v>
      </c>
      <c r="Q111" s="1198">
        <v>0</v>
      </c>
      <c r="R111" s="1198">
        <v>0</v>
      </c>
      <c r="S111" s="1198">
        <v>0</v>
      </c>
      <c r="T111" s="1198">
        <v>0</v>
      </c>
      <c r="U111" s="2630"/>
      <c r="V111" s="2621"/>
    </row>
    <row r="112" spans="1:22" s="2070" customFormat="1" ht="33.75" customHeight="1">
      <c r="A112" s="2631" t="s">
        <v>114</v>
      </c>
      <c r="B112" s="1199" t="s">
        <v>415</v>
      </c>
      <c r="C112" s="942" t="s">
        <v>138</v>
      </c>
      <c r="D112" s="1189"/>
      <c r="E112" s="1200"/>
      <c r="F112" s="1200"/>
      <c r="G112" s="1200"/>
      <c r="H112" s="1200"/>
      <c r="I112" s="1200"/>
      <c r="J112" s="2204"/>
      <c r="K112" s="2204"/>
      <c r="L112" s="2204"/>
      <c r="M112" s="2204"/>
      <c r="N112" s="2204"/>
      <c r="O112" s="2204"/>
      <c r="P112" s="2204"/>
      <c r="Q112" s="2204"/>
      <c r="R112" s="2204"/>
      <c r="S112" s="2204"/>
      <c r="T112" s="2204"/>
      <c r="U112" s="1278"/>
      <c r="V112" s="2661" t="s">
        <v>204</v>
      </c>
    </row>
    <row r="113" spans="1:22" s="2070" customFormat="1" ht="15.75" customHeight="1">
      <c r="A113" s="2655"/>
      <c r="B113" s="561" t="s">
        <v>22</v>
      </c>
      <c r="C113" s="1182"/>
      <c r="D113" s="1170">
        <f>+D114</f>
        <v>8000000</v>
      </c>
      <c r="E113" s="1170">
        <f>+E114</f>
        <v>0</v>
      </c>
      <c r="F113" s="1170">
        <f t="shared" ref="F113:U113" si="70">+F114</f>
        <v>0</v>
      </c>
      <c r="G113" s="1170">
        <f t="shared" si="70"/>
        <v>0</v>
      </c>
      <c r="H113" s="1170">
        <f t="shared" si="70"/>
        <v>0</v>
      </c>
      <c r="I113" s="1170">
        <f t="shared" si="70"/>
        <v>0</v>
      </c>
      <c r="J113" s="1170">
        <f t="shared" si="70"/>
        <v>0</v>
      </c>
      <c r="K113" s="1170">
        <f t="shared" si="70"/>
        <v>0</v>
      </c>
      <c r="L113" s="1170">
        <f t="shared" si="70"/>
        <v>0</v>
      </c>
      <c r="M113" s="1170">
        <f t="shared" si="70"/>
        <v>0</v>
      </c>
      <c r="N113" s="1170">
        <f t="shared" si="70"/>
        <v>0</v>
      </c>
      <c r="O113" s="1170">
        <f t="shared" si="70"/>
        <v>0</v>
      </c>
      <c r="P113" s="1170">
        <f t="shared" si="70"/>
        <v>685714</v>
      </c>
      <c r="Q113" s="1170">
        <f t="shared" si="70"/>
        <v>685714</v>
      </c>
      <c r="R113" s="1170">
        <f t="shared" si="70"/>
        <v>685714</v>
      </c>
      <c r="S113" s="1170">
        <f t="shared" si="70"/>
        <v>685714</v>
      </c>
      <c r="T113" s="1170">
        <f t="shared" si="70"/>
        <v>685714</v>
      </c>
      <c r="U113" s="1191">
        <f t="shared" si="70"/>
        <v>8000000</v>
      </c>
      <c r="V113" s="2662"/>
    </row>
    <row r="114" spans="1:22" s="2071" customFormat="1" ht="17.25" customHeight="1">
      <c r="A114" s="2655"/>
      <c r="B114" s="1172" t="s">
        <v>36</v>
      </c>
      <c r="C114" s="2653" t="s">
        <v>205</v>
      </c>
      <c r="D114" s="2329">
        <f>+D115+D116</f>
        <v>8000000</v>
      </c>
      <c r="E114" s="2329">
        <f t="shared" ref="E114:L114" si="71">+E117</f>
        <v>0</v>
      </c>
      <c r="F114" s="2329">
        <f t="shared" si="71"/>
        <v>0</v>
      </c>
      <c r="G114" s="2329">
        <f t="shared" si="71"/>
        <v>0</v>
      </c>
      <c r="H114" s="2329">
        <f t="shared" si="71"/>
        <v>0</v>
      </c>
      <c r="I114" s="2329">
        <f t="shared" si="71"/>
        <v>0</v>
      </c>
      <c r="J114" s="2329">
        <f t="shared" si="71"/>
        <v>0</v>
      </c>
      <c r="K114" s="2329">
        <f t="shared" si="71"/>
        <v>0</v>
      </c>
      <c r="L114" s="2329">
        <f t="shared" si="71"/>
        <v>0</v>
      </c>
      <c r="M114" s="1173">
        <f t="shared" ref="M114" si="72">+M115+M117</f>
        <v>0</v>
      </c>
      <c r="N114" s="2329">
        <f>+N115+N117</f>
        <v>0</v>
      </c>
      <c r="O114" s="2329">
        <f>+O115+O116</f>
        <v>0</v>
      </c>
      <c r="P114" s="2329">
        <f t="shared" ref="P114:T114" si="73">+P115+P116</f>
        <v>685714</v>
      </c>
      <c r="Q114" s="2329">
        <f t="shared" si="73"/>
        <v>685714</v>
      </c>
      <c r="R114" s="2329">
        <f t="shared" si="73"/>
        <v>685714</v>
      </c>
      <c r="S114" s="2329">
        <f t="shared" si="73"/>
        <v>685714</v>
      </c>
      <c r="T114" s="2329">
        <f t="shared" si="73"/>
        <v>685714</v>
      </c>
      <c r="U114" s="2325">
        <f>+U115+U116</f>
        <v>8000000</v>
      </c>
      <c r="V114" s="2662"/>
    </row>
    <row r="115" spans="1:22" s="2071" customFormat="1" ht="17.25" hidden="1" customHeight="1">
      <c r="A115" s="2655"/>
      <c r="B115" s="2332" t="s">
        <v>197</v>
      </c>
      <c r="C115" s="2654"/>
      <c r="D115" s="2330">
        <v>0</v>
      </c>
      <c r="E115" s="2330"/>
      <c r="F115" s="2214"/>
      <c r="G115" s="2333"/>
      <c r="H115" s="2333"/>
      <c r="I115" s="2334"/>
      <c r="J115" s="2334"/>
      <c r="K115" s="2334"/>
      <c r="L115" s="2330"/>
      <c r="M115" s="1211">
        <v>0</v>
      </c>
      <c r="N115" s="2334">
        <v>0</v>
      </c>
      <c r="O115" s="2334">
        <v>0</v>
      </c>
      <c r="P115" s="2334">
        <v>0</v>
      </c>
      <c r="Q115" s="2334">
        <v>0</v>
      </c>
      <c r="R115" s="2334">
        <v>0</v>
      </c>
      <c r="S115" s="2334">
        <v>0</v>
      </c>
      <c r="T115" s="2334">
        <v>0</v>
      </c>
      <c r="U115" s="2335">
        <v>0</v>
      </c>
      <c r="V115" s="2662"/>
    </row>
    <row r="116" spans="1:22" s="2071" customFormat="1" ht="17.25" customHeight="1" thickBot="1">
      <c r="A116" s="2336"/>
      <c r="B116" s="2337" t="s">
        <v>206</v>
      </c>
      <c r="C116" s="2660"/>
      <c r="D116" s="2087">
        <f>SUM(M116:T116)+685714+685714+685714+685714+685714+685714+457146</f>
        <v>8000000</v>
      </c>
      <c r="E116" s="2087">
        <v>0</v>
      </c>
      <c r="F116" s="1227"/>
      <c r="G116" s="2331"/>
      <c r="H116" s="2331"/>
      <c r="I116" s="2328">
        <v>0</v>
      </c>
      <c r="J116" s="1220">
        <v>0</v>
      </c>
      <c r="K116" s="1220">
        <v>0</v>
      </c>
      <c r="L116" s="2087">
        <v>0</v>
      </c>
      <c r="M116" s="903">
        <v>0</v>
      </c>
      <c r="N116" s="1220">
        <v>0</v>
      </c>
      <c r="O116" s="2334">
        <v>0</v>
      </c>
      <c r="P116" s="2334">
        <f>1000000-314286</f>
        <v>685714</v>
      </c>
      <c r="Q116" s="2334">
        <f>1000000-314286</f>
        <v>685714</v>
      </c>
      <c r="R116" s="2334">
        <f>1000000-314286</f>
        <v>685714</v>
      </c>
      <c r="S116" s="2334">
        <f>1000000-314286</f>
        <v>685714</v>
      </c>
      <c r="T116" s="2334">
        <f>1000000-314286</f>
        <v>685714</v>
      </c>
      <c r="U116" s="2338">
        <f>SUM(O116:T116)+685714+685714+685714+685714+685714+685714+457146</f>
        <v>8000000</v>
      </c>
      <c r="V116" s="2663"/>
    </row>
    <row r="117" spans="1:22" s="2070" customFormat="1" ht="26.25" customHeight="1">
      <c r="A117" s="2631" t="s">
        <v>115</v>
      </c>
      <c r="B117" s="2327" t="s">
        <v>352</v>
      </c>
      <c r="C117" s="942" t="s">
        <v>138</v>
      </c>
      <c r="D117" s="1189"/>
      <c r="E117" s="1200"/>
      <c r="F117" s="1200"/>
      <c r="G117" s="1200"/>
      <c r="H117" s="1200"/>
      <c r="I117" s="1200"/>
      <c r="J117" s="2204"/>
      <c r="K117" s="2204"/>
      <c r="L117" s="2204"/>
      <c r="M117" s="2204"/>
      <c r="N117" s="2204"/>
      <c r="O117" s="2204"/>
      <c r="P117" s="2204"/>
      <c r="Q117" s="2204"/>
      <c r="R117" s="2204"/>
      <c r="S117" s="2204"/>
      <c r="T117" s="2204"/>
      <c r="U117" s="1278"/>
      <c r="V117" s="2661" t="s">
        <v>195</v>
      </c>
    </row>
    <row r="118" spans="1:22" s="2070" customFormat="1" ht="13.5" customHeight="1">
      <c r="A118" s="2655"/>
      <c r="B118" s="561" t="s">
        <v>22</v>
      </c>
      <c r="C118" s="1182"/>
      <c r="D118" s="1170">
        <f>+D119</f>
        <v>6000000</v>
      </c>
      <c r="E118" s="1170">
        <f>+E119</f>
        <v>0</v>
      </c>
      <c r="F118" s="1170">
        <f t="shared" ref="F118:U118" si="74">+F119</f>
        <v>0</v>
      </c>
      <c r="G118" s="1170">
        <f t="shared" si="74"/>
        <v>0</v>
      </c>
      <c r="H118" s="1170">
        <f t="shared" si="74"/>
        <v>0</v>
      </c>
      <c r="I118" s="1170">
        <f t="shared" si="74"/>
        <v>0</v>
      </c>
      <c r="J118" s="1170">
        <f t="shared" si="74"/>
        <v>0</v>
      </c>
      <c r="K118" s="1170">
        <f t="shared" si="74"/>
        <v>0</v>
      </c>
      <c r="L118" s="1170">
        <f t="shared" si="74"/>
        <v>0</v>
      </c>
      <c r="M118" s="1170">
        <f t="shared" si="74"/>
        <v>0</v>
      </c>
      <c r="N118" s="1170">
        <f t="shared" si="74"/>
        <v>0</v>
      </c>
      <c r="O118" s="1170">
        <f t="shared" si="74"/>
        <v>1027241</v>
      </c>
      <c r="P118" s="1170">
        <f t="shared" si="74"/>
        <v>1629446</v>
      </c>
      <c r="Q118" s="1170">
        <f t="shared" si="74"/>
        <v>1570232</v>
      </c>
      <c r="R118" s="1170">
        <f t="shared" si="74"/>
        <v>1511018</v>
      </c>
      <c r="S118" s="1170">
        <f t="shared" si="74"/>
        <v>262063</v>
      </c>
      <c r="T118" s="1170">
        <f t="shared" si="74"/>
        <v>0</v>
      </c>
      <c r="U118" s="1191">
        <f t="shared" si="74"/>
        <v>4972759</v>
      </c>
      <c r="V118" s="2662"/>
    </row>
    <row r="119" spans="1:22" s="2071" customFormat="1" ht="13.5" customHeight="1">
      <c r="A119" s="2655"/>
      <c r="B119" s="1172" t="s">
        <v>36</v>
      </c>
      <c r="C119" s="2653" t="s">
        <v>205</v>
      </c>
      <c r="D119" s="2329">
        <f>+D120+D121</f>
        <v>6000000</v>
      </c>
      <c r="E119" s="2329">
        <f t="shared" ref="E119:L119" si="75">+E121</f>
        <v>0</v>
      </c>
      <c r="F119" s="2329">
        <f t="shared" si="75"/>
        <v>0</v>
      </c>
      <c r="G119" s="2329">
        <f t="shared" si="75"/>
        <v>0</v>
      </c>
      <c r="H119" s="2329">
        <f t="shared" si="75"/>
        <v>0</v>
      </c>
      <c r="I119" s="2329">
        <f t="shared" si="75"/>
        <v>0</v>
      </c>
      <c r="J119" s="2329">
        <f t="shared" si="75"/>
        <v>0</v>
      </c>
      <c r="K119" s="2329">
        <f t="shared" si="75"/>
        <v>0</v>
      </c>
      <c r="L119" s="2329">
        <f t="shared" si="75"/>
        <v>0</v>
      </c>
      <c r="M119" s="1173">
        <f t="shared" ref="M119" si="76">+M120+M121</f>
        <v>0</v>
      </c>
      <c r="N119" s="2329">
        <f>+N120+N121</f>
        <v>0</v>
      </c>
      <c r="O119" s="2329">
        <f>+O120+O121</f>
        <v>1027241</v>
      </c>
      <c r="P119" s="2329">
        <f>+P120+P121</f>
        <v>1629446</v>
      </c>
      <c r="Q119" s="2329">
        <f>+Q120+Q121</f>
        <v>1570232</v>
      </c>
      <c r="R119" s="2329">
        <f>+R120+R121</f>
        <v>1511018</v>
      </c>
      <c r="S119" s="2329">
        <f t="shared" ref="S119:T119" si="77">+S120+S121</f>
        <v>262063</v>
      </c>
      <c r="T119" s="2329">
        <f t="shared" si="77"/>
        <v>0</v>
      </c>
      <c r="U119" s="2325">
        <f>+U121</f>
        <v>4972759</v>
      </c>
      <c r="V119" s="2662"/>
    </row>
    <row r="120" spans="1:22" s="2071" customFormat="1" ht="13.5" customHeight="1">
      <c r="A120" s="2655"/>
      <c r="B120" s="1193" t="s">
        <v>197</v>
      </c>
      <c r="C120" s="2654"/>
      <c r="D120" s="2330">
        <f>+E120+I120+J120+K120+L120+N120+O120+P120+Q120+R120</f>
        <v>1027241</v>
      </c>
      <c r="E120" s="2330"/>
      <c r="F120" s="2214"/>
      <c r="G120" s="1800"/>
      <c r="H120" s="1800"/>
      <c r="I120" s="1213"/>
      <c r="J120" s="1213"/>
      <c r="K120" s="1213"/>
      <c r="L120" s="1285"/>
      <c r="M120" s="1211">
        <v>0</v>
      </c>
      <c r="N120" s="1213">
        <v>0</v>
      </c>
      <c r="O120" s="1213">
        <v>1027241</v>
      </c>
      <c r="P120" s="1213">
        <v>0</v>
      </c>
      <c r="Q120" s="1213">
        <v>0</v>
      </c>
      <c r="R120" s="1213">
        <v>0</v>
      </c>
      <c r="S120" s="1213">
        <v>0</v>
      </c>
      <c r="T120" s="1213">
        <v>0</v>
      </c>
      <c r="U120" s="1152" t="s">
        <v>77</v>
      </c>
      <c r="V120" s="2662"/>
    </row>
    <row r="121" spans="1:22" s="2071" customFormat="1" ht="13.5" customHeight="1" thickBot="1">
      <c r="A121" s="2658"/>
      <c r="B121" s="2337" t="s">
        <v>206</v>
      </c>
      <c r="C121" s="2660"/>
      <c r="D121" s="2087">
        <f>+M121+N121+O121+P121+Q121+R121+S121+T121</f>
        <v>4972759</v>
      </c>
      <c r="E121" s="2087">
        <v>0</v>
      </c>
      <c r="F121" s="1227"/>
      <c r="G121" s="2331"/>
      <c r="H121" s="2331"/>
      <c r="I121" s="2328">
        <v>0</v>
      </c>
      <c r="J121" s="1220">
        <v>0</v>
      </c>
      <c r="K121" s="1220">
        <v>0</v>
      </c>
      <c r="L121" s="2087">
        <v>0</v>
      </c>
      <c r="M121" s="903">
        <v>0</v>
      </c>
      <c r="N121" s="1220">
        <v>0</v>
      </c>
      <c r="O121" s="2328">
        <v>0</v>
      </c>
      <c r="P121" s="1220">
        <v>1629446</v>
      </c>
      <c r="Q121" s="1220">
        <v>1570232</v>
      </c>
      <c r="R121" s="1220">
        <v>1511018</v>
      </c>
      <c r="S121" s="1220">
        <v>262063</v>
      </c>
      <c r="T121" s="1220">
        <v>0</v>
      </c>
      <c r="U121" s="2338">
        <f>SUM(O121:T121)</f>
        <v>4972759</v>
      </c>
      <c r="V121" s="2663"/>
    </row>
    <row r="122" spans="1:22" s="2158" customFormat="1" ht="14.25" customHeight="1">
      <c r="A122" s="2667" t="s">
        <v>414</v>
      </c>
      <c r="B122" s="2667"/>
      <c r="C122" s="2667"/>
      <c r="D122" s="2667"/>
      <c r="E122" s="2667"/>
      <c r="F122" s="2667"/>
      <c r="G122" s="2667"/>
      <c r="H122" s="2667"/>
      <c r="I122" s="2667"/>
      <c r="J122" s="2667"/>
      <c r="K122" s="2667"/>
      <c r="L122" s="2667"/>
      <c r="M122" s="2667"/>
      <c r="N122" s="2667"/>
      <c r="O122" s="2667"/>
      <c r="P122" s="2667"/>
      <c r="Q122" s="2667"/>
      <c r="R122" s="2667"/>
      <c r="S122" s="2667"/>
      <c r="T122" s="2667"/>
      <c r="U122" s="2667"/>
      <c r="V122" s="2339"/>
    </row>
    <row r="123" spans="1:22" s="1919" customFormat="1" ht="18.75" customHeight="1">
      <c r="A123" s="2666" t="s">
        <v>432</v>
      </c>
      <c r="B123" s="2666"/>
      <c r="C123" s="2666"/>
      <c r="D123" s="2666"/>
      <c r="E123" s="2666"/>
      <c r="F123" s="2666"/>
      <c r="G123" s="2666"/>
      <c r="H123" s="2666"/>
      <c r="I123" s="2666"/>
      <c r="J123" s="2666"/>
      <c r="K123" s="2666"/>
      <c r="L123" s="2666"/>
      <c r="M123" s="2666"/>
      <c r="N123" s="2666"/>
      <c r="O123" s="2666"/>
      <c r="P123" s="2666"/>
      <c r="Q123" s="2666"/>
      <c r="R123" s="2666"/>
      <c r="S123" s="2666"/>
      <c r="T123" s="2666"/>
      <c r="U123" s="2666"/>
      <c r="V123" s="2666"/>
    </row>
    <row r="124" spans="1:22" s="2177" customFormat="1" ht="18.75" customHeight="1">
      <c r="A124" s="2664" t="s">
        <v>433</v>
      </c>
      <c r="B124" s="2664"/>
      <c r="C124" s="2664"/>
      <c r="D124" s="2664"/>
      <c r="E124" s="2664"/>
      <c r="F124" s="2664"/>
      <c r="G124" s="2664"/>
      <c r="H124" s="2664"/>
      <c r="I124" s="2664"/>
      <c r="J124" s="2664"/>
      <c r="K124" s="2664"/>
      <c r="L124" s="2664"/>
      <c r="M124" s="2664"/>
      <c r="N124" s="2664"/>
      <c r="O124" s="2664"/>
      <c r="P124" s="2664"/>
      <c r="Q124" s="2664"/>
      <c r="R124" s="2664"/>
      <c r="S124" s="2664"/>
      <c r="T124" s="2664"/>
      <c r="U124" s="2664"/>
      <c r="V124" s="2664"/>
    </row>
    <row r="125" spans="1:22" s="1222" customFormat="1" ht="16.5" customHeight="1">
      <c r="A125" s="1221" t="s">
        <v>298</v>
      </c>
      <c r="J125" s="1123"/>
      <c r="K125" s="1123"/>
      <c r="L125" s="1223"/>
      <c r="M125" s="1223"/>
      <c r="N125" s="1123"/>
      <c r="O125" s="1123"/>
      <c r="P125" s="1123"/>
      <c r="Q125" s="1123"/>
      <c r="R125" s="1123"/>
      <c r="S125" s="1123"/>
      <c r="T125" s="1123"/>
      <c r="U125" s="1123"/>
      <c r="V125" s="1224"/>
    </row>
    <row r="126" spans="1:22" s="1286" customFormat="1" ht="13.5" customHeight="1">
      <c r="D126" s="1287"/>
      <c r="J126" s="1123"/>
      <c r="K126" s="1223"/>
      <c r="L126" s="1123"/>
      <c r="M126" s="1123"/>
      <c r="N126" s="1123"/>
      <c r="O126" s="1123"/>
      <c r="P126" s="1223"/>
      <c r="Q126" s="1223"/>
      <c r="R126" s="1223"/>
      <c r="S126" s="1223"/>
      <c r="T126" s="1223"/>
      <c r="U126" s="1123"/>
      <c r="V126" s="1224"/>
    </row>
    <row r="127" spans="1:22" s="1919" customFormat="1" ht="12.75" customHeight="1">
      <c r="A127" s="1289"/>
      <c r="B127" s="1123"/>
      <c r="C127" s="1123"/>
      <c r="D127" s="1123"/>
      <c r="E127" s="1123"/>
      <c r="F127" s="1123"/>
      <c r="G127" s="1123"/>
      <c r="H127" s="1123"/>
      <c r="I127" s="1123"/>
      <c r="J127" s="1123"/>
      <c r="K127" s="1123"/>
      <c r="L127" s="1123"/>
      <c r="M127" s="1123"/>
      <c r="N127" s="1123"/>
      <c r="O127" s="1123"/>
      <c r="P127" s="1123"/>
      <c r="Q127" s="1123"/>
      <c r="R127" s="1123"/>
      <c r="S127" s="1123"/>
      <c r="T127" s="1123"/>
      <c r="U127" s="1123"/>
      <c r="V127" s="1224"/>
    </row>
    <row r="128" spans="1:22" s="1919" customFormat="1" ht="12.75" customHeight="1">
      <c r="A128" s="2072"/>
      <c r="B128" s="1123"/>
      <c r="C128" s="1123"/>
      <c r="D128" s="1123"/>
      <c r="E128" s="1123"/>
      <c r="F128" s="1123"/>
      <c r="G128" s="1123"/>
      <c r="H128" s="1123"/>
      <c r="I128" s="1123"/>
      <c r="J128" s="1123"/>
      <c r="K128" s="1123"/>
      <c r="L128" s="1123"/>
      <c r="M128" s="1123"/>
      <c r="N128" s="1123"/>
      <c r="O128" s="1123"/>
      <c r="P128" s="1123"/>
      <c r="Q128" s="1123"/>
      <c r="R128" s="1123"/>
      <c r="S128" s="1123"/>
      <c r="T128" s="1123"/>
      <c r="U128" s="1123"/>
      <c r="V128" s="1224"/>
    </row>
    <row r="129" spans="1:22" s="1919" customFormat="1">
      <c r="A129" s="1289"/>
      <c r="B129" s="1123"/>
      <c r="C129" s="1123"/>
      <c r="D129" s="1123"/>
      <c r="E129" s="1123"/>
      <c r="F129" s="1123"/>
      <c r="G129" s="1123"/>
      <c r="H129" s="1123"/>
      <c r="I129" s="1123"/>
      <c r="J129" s="1123"/>
      <c r="K129" s="1123"/>
      <c r="L129" s="1123"/>
      <c r="M129" s="1123"/>
      <c r="N129" s="1123"/>
      <c r="O129" s="1123"/>
      <c r="P129" s="1123"/>
      <c r="Q129" s="1123"/>
      <c r="R129" s="1123"/>
      <c r="S129" s="1123"/>
      <c r="T129" s="1123"/>
      <c r="U129" s="1123"/>
      <c r="V129" s="1224"/>
    </row>
    <row r="130" spans="1:22" s="1921" customFormat="1" ht="14.25" customHeight="1">
      <c r="A130" s="1289"/>
      <c r="B130" s="1123"/>
      <c r="C130" s="1123"/>
      <c r="D130" s="1123"/>
      <c r="E130" s="1123"/>
      <c r="F130" s="1123"/>
      <c r="G130" s="1123"/>
      <c r="H130" s="1123"/>
      <c r="I130" s="1123"/>
      <c r="J130" s="1123"/>
      <c r="K130" s="1123"/>
      <c r="L130" s="1123"/>
      <c r="M130" s="1123"/>
      <c r="N130" s="1123"/>
      <c r="O130" s="1123"/>
      <c r="P130" s="1123"/>
      <c r="Q130" s="1123"/>
      <c r="R130" s="1123"/>
      <c r="S130" s="1123"/>
      <c r="T130" s="1123"/>
      <c r="U130" s="1123"/>
      <c r="V130" s="1224"/>
    </row>
    <row r="131" spans="1:22" s="1919" customFormat="1" ht="12.75" customHeight="1">
      <c r="A131" s="1289"/>
      <c r="B131" s="1123"/>
      <c r="C131" s="1123"/>
      <c r="D131" s="1123"/>
      <c r="E131" s="1123"/>
      <c r="F131" s="1123"/>
      <c r="G131" s="1123"/>
      <c r="H131" s="1123"/>
      <c r="I131" s="1123"/>
      <c r="J131" s="1123"/>
      <c r="K131" s="1123"/>
      <c r="L131" s="1123"/>
      <c r="M131" s="1123"/>
      <c r="N131" s="1123"/>
      <c r="O131" s="1123"/>
      <c r="P131" s="1123"/>
      <c r="Q131" s="1123"/>
      <c r="R131" s="1123"/>
      <c r="S131" s="1123"/>
      <c r="T131" s="1123"/>
      <c r="U131" s="1123"/>
      <c r="V131" s="1224"/>
    </row>
    <row r="132" spans="1:22" s="1919" customFormat="1" ht="12.75" customHeight="1">
      <c r="A132" s="1289"/>
      <c r="B132" s="1123"/>
      <c r="C132" s="1123"/>
      <c r="D132" s="1123"/>
      <c r="E132" s="1123"/>
      <c r="F132" s="1123"/>
      <c r="G132" s="1123"/>
      <c r="H132" s="1123"/>
      <c r="I132" s="1123"/>
      <c r="J132" s="1123"/>
      <c r="K132" s="1123"/>
      <c r="L132" s="1123"/>
      <c r="M132" s="1123"/>
      <c r="N132" s="1123"/>
      <c r="O132" s="1123"/>
      <c r="P132" s="1123"/>
      <c r="Q132" s="1123"/>
      <c r="R132" s="1123"/>
      <c r="S132" s="1123"/>
      <c r="T132" s="1123"/>
      <c r="U132" s="1123"/>
      <c r="V132" s="1224"/>
    </row>
    <row r="133" spans="1:22" s="1919" customFormat="1">
      <c r="A133" s="1289"/>
      <c r="B133" s="1123"/>
      <c r="C133" s="1123"/>
      <c r="D133" s="1123"/>
      <c r="E133" s="1123"/>
      <c r="F133" s="1123"/>
      <c r="G133" s="1123"/>
      <c r="H133" s="1123"/>
      <c r="I133" s="1123"/>
      <c r="J133" s="1123"/>
      <c r="K133" s="1123"/>
      <c r="L133" s="1123"/>
      <c r="M133" s="1123"/>
      <c r="N133" s="1123"/>
      <c r="O133" s="1123"/>
      <c r="P133" s="1123"/>
      <c r="Q133" s="1123"/>
      <c r="R133" s="1123"/>
      <c r="S133" s="1123"/>
      <c r="T133" s="1123"/>
      <c r="U133" s="1123"/>
      <c r="V133" s="1224"/>
    </row>
    <row r="134" spans="1:22" s="1919" customFormat="1">
      <c r="A134" s="1289"/>
      <c r="B134" s="1123"/>
      <c r="C134" s="1123"/>
      <c r="D134" s="1123"/>
      <c r="E134" s="1123"/>
      <c r="F134" s="1123"/>
      <c r="G134" s="1123"/>
      <c r="H134" s="1123"/>
      <c r="I134" s="1123"/>
      <c r="J134" s="1123"/>
      <c r="K134" s="1123"/>
      <c r="L134" s="1123"/>
      <c r="M134" s="1123"/>
      <c r="N134" s="1123"/>
      <c r="O134" s="1123"/>
      <c r="P134" s="1123"/>
      <c r="Q134" s="1123"/>
      <c r="R134" s="1123"/>
      <c r="S134" s="1123"/>
      <c r="T134" s="1123"/>
      <c r="U134" s="1123"/>
      <c r="V134" s="1224"/>
    </row>
    <row r="135" spans="1:22" s="1921" customFormat="1" ht="33.75" customHeight="1">
      <c r="A135" s="1289"/>
      <c r="B135" s="1123"/>
      <c r="C135" s="1123"/>
      <c r="D135" s="1123"/>
      <c r="E135" s="1123"/>
      <c r="F135" s="1123"/>
      <c r="G135" s="1123"/>
      <c r="H135" s="1123"/>
      <c r="I135" s="1123"/>
      <c r="J135" s="1123"/>
      <c r="K135" s="1123"/>
      <c r="L135" s="1123"/>
      <c r="M135" s="1123"/>
      <c r="N135" s="1123"/>
      <c r="O135" s="1123"/>
      <c r="P135" s="1123"/>
      <c r="Q135" s="1123"/>
      <c r="R135" s="1123"/>
      <c r="S135" s="1123"/>
      <c r="T135" s="1123"/>
      <c r="U135" s="1123"/>
      <c r="V135" s="1224"/>
    </row>
    <row r="136" spans="1:22" s="1919" customFormat="1" ht="12.75" customHeight="1">
      <c r="A136" s="1289"/>
      <c r="B136" s="1123"/>
      <c r="C136" s="1123"/>
      <c r="D136" s="1123"/>
      <c r="E136" s="1123"/>
      <c r="F136" s="1123"/>
      <c r="G136" s="1123"/>
      <c r="H136" s="1123"/>
      <c r="I136" s="1123"/>
      <c r="J136" s="1123"/>
      <c r="K136" s="1123"/>
      <c r="L136" s="1123"/>
      <c r="M136" s="1123"/>
      <c r="N136" s="1123"/>
      <c r="O136" s="1123"/>
      <c r="P136" s="1123"/>
      <c r="Q136" s="1123"/>
      <c r="R136" s="1123"/>
      <c r="S136" s="1123"/>
      <c r="T136" s="1123"/>
      <c r="U136" s="1123"/>
      <c r="V136" s="1224"/>
    </row>
    <row r="137" spans="1:22" s="1919" customFormat="1" ht="12.75" customHeight="1">
      <c r="A137" s="1289"/>
      <c r="B137" s="1123"/>
      <c r="C137" s="1123"/>
      <c r="D137" s="1123"/>
      <c r="E137" s="1123"/>
      <c r="F137" s="1123"/>
      <c r="G137" s="1123"/>
      <c r="H137" s="1123"/>
      <c r="I137" s="1123"/>
      <c r="J137" s="1123"/>
      <c r="K137" s="1123"/>
      <c r="L137" s="1123"/>
      <c r="M137" s="1123"/>
      <c r="N137" s="1123"/>
      <c r="O137" s="1123"/>
      <c r="P137" s="1123"/>
      <c r="Q137" s="1123"/>
      <c r="R137" s="1123"/>
      <c r="S137" s="1123"/>
      <c r="T137" s="1123"/>
      <c r="U137" s="1123"/>
      <c r="V137" s="1224"/>
    </row>
    <row r="138" spans="1:22" s="1919" customFormat="1" ht="12.75" customHeight="1">
      <c r="A138" s="1289"/>
      <c r="B138" s="1123"/>
      <c r="C138" s="1123"/>
      <c r="D138" s="1123"/>
      <c r="E138" s="1123"/>
      <c r="F138" s="1123"/>
      <c r="G138" s="1123"/>
      <c r="H138" s="1123"/>
      <c r="I138" s="1123"/>
      <c r="J138" s="1123"/>
      <c r="K138" s="1123"/>
      <c r="L138" s="1123"/>
      <c r="M138" s="1123"/>
      <c r="N138" s="1123"/>
      <c r="O138" s="1123"/>
      <c r="P138" s="1123"/>
      <c r="Q138" s="1123"/>
      <c r="R138" s="1123"/>
      <c r="S138" s="1123"/>
      <c r="T138" s="1123"/>
      <c r="U138" s="1123"/>
      <c r="V138" s="1224"/>
    </row>
    <row r="139" spans="1:22" s="1919" customFormat="1" ht="12.75" customHeight="1">
      <c r="A139" s="1289"/>
      <c r="B139" s="1123"/>
      <c r="C139" s="1123"/>
      <c r="D139" s="1123"/>
      <c r="E139" s="1123"/>
      <c r="F139" s="1123"/>
      <c r="G139" s="1123"/>
      <c r="H139" s="1123"/>
      <c r="I139" s="1123"/>
      <c r="J139" s="1123"/>
      <c r="K139" s="1123"/>
      <c r="L139" s="1123"/>
      <c r="M139" s="1123"/>
      <c r="N139" s="1123"/>
      <c r="O139" s="1123"/>
      <c r="P139" s="1123"/>
      <c r="Q139" s="1123"/>
      <c r="R139" s="1123"/>
      <c r="S139" s="1123"/>
      <c r="T139" s="1123"/>
      <c r="U139" s="1123"/>
      <c r="V139" s="1224"/>
    </row>
    <row r="140" spans="1:22" s="1919" customFormat="1">
      <c r="A140" s="1289"/>
      <c r="B140" s="1123"/>
      <c r="C140" s="1123"/>
      <c r="D140" s="1123"/>
      <c r="E140" s="1123"/>
      <c r="F140" s="1123"/>
      <c r="G140" s="1123"/>
      <c r="H140" s="1123"/>
      <c r="I140" s="1123"/>
      <c r="J140" s="1123"/>
      <c r="K140" s="1123"/>
      <c r="L140" s="1123"/>
      <c r="M140" s="1123"/>
      <c r="N140" s="1123"/>
      <c r="O140" s="1123"/>
      <c r="P140" s="1123"/>
      <c r="Q140" s="1123"/>
      <c r="R140" s="1123"/>
      <c r="S140" s="1123"/>
      <c r="T140" s="1123"/>
      <c r="U140" s="1123"/>
      <c r="V140" s="1224"/>
    </row>
    <row r="141" spans="1:22" s="1921" customFormat="1" ht="12" customHeight="1">
      <c r="A141" s="1289"/>
      <c r="B141" s="1123"/>
      <c r="C141" s="1123"/>
      <c r="D141" s="1123"/>
      <c r="E141" s="1123"/>
      <c r="F141" s="1123"/>
      <c r="G141" s="1123"/>
      <c r="H141" s="1123"/>
      <c r="I141" s="1123"/>
      <c r="J141" s="1123"/>
      <c r="K141" s="1123"/>
      <c r="L141" s="1123"/>
      <c r="M141" s="1123"/>
      <c r="N141" s="1123"/>
      <c r="O141" s="1123"/>
      <c r="P141" s="1123"/>
      <c r="Q141" s="1123"/>
      <c r="R141" s="1123"/>
      <c r="S141" s="1123"/>
      <c r="T141" s="1123"/>
      <c r="U141" s="1123"/>
      <c r="V141" s="1224"/>
    </row>
    <row r="142" spans="1:22" s="1919" customFormat="1" ht="12.75" customHeight="1">
      <c r="A142" s="1289"/>
      <c r="B142" s="1123"/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224"/>
    </row>
    <row r="143" spans="1:22" s="1919" customFormat="1" ht="12.75" customHeight="1">
      <c r="A143" s="1289"/>
      <c r="B143" s="1123"/>
      <c r="C143" s="1123"/>
      <c r="D143" s="1123"/>
      <c r="E143" s="1123"/>
      <c r="F143" s="1123"/>
      <c r="G143" s="1123"/>
      <c r="H143" s="1123"/>
      <c r="I143" s="1123"/>
      <c r="J143" s="1123"/>
      <c r="K143" s="1123"/>
      <c r="L143" s="1123"/>
      <c r="M143" s="1123"/>
      <c r="N143" s="1123"/>
      <c r="O143" s="1123"/>
      <c r="P143" s="1123"/>
      <c r="Q143" s="1123"/>
      <c r="R143" s="1123"/>
      <c r="S143" s="1123"/>
      <c r="T143" s="1123"/>
      <c r="U143" s="1123"/>
      <c r="V143" s="1224"/>
    </row>
    <row r="144" spans="1:22" s="1919" customFormat="1">
      <c r="A144" s="1289"/>
      <c r="B144" s="1123"/>
      <c r="C144" s="1123"/>
      <c r="D144" s="1123"/>
      <c r="E144" s="1123"/>
      <c r="F144" s="1123"/>
      <c r="G144" s="1123"/>
      <c r="H144" s="1123"/>
      <c r="I144" s="1123"/>
      <c r="J144" s="1123"/>
      <c r="K144" s="1123"/>
      <c r="L144" s="1123"/>
      <c r="M144" s="1123"/>
      <c r="N144" s="1123"/>
      <c r="O144" s="1123"/>
      <c r="P144" s="1123"/>
      <c r="Q144" s="1123"/>
      <c r="R144" s="1123"/>
      <c r="S144" s="1123"/>
      <c r="T144" s="1123"/>
      <c r="U144" s="1123"/>
      <c r="V144" s="1224"/>
    </row>
    <row r="145" spans="1:22" s="1919" customFormat="1">
      <c r="A145" s="1289"/>
      <c r="B145" s="1123"/>
      <c r="C145" s="1123"/>
      <c r="D145" s="1123"/>
      <c r="E145" s="1123"/>
      <c r="F145" s="1123"/>
      <c r="G145" s="1123"/>
      <c r="H145" s="1123"/>
      <c r="I145" s="1123"/>
      <c r="J145" s="1123"/>
      <c r="K145" s="1123"/>
      <c r="L145" s="1123"/>
      <c r="M145" s="1123"/>
      <c r="N145" s="1123"/>
      <c r="O145" s="1123"/>
      <c r="P145" s="1123"/>
      <c r="Q145" s="1123"/>
      <c r="R145" s="1123"/>
      <c r="S145" s="1123"/>
      <c r="T145" s="1123"/>
      <c r="U145" s="1123"/>
      <c r="V145" s="1224"/>
    </row>
    <row r="146" spans="1:22" s="1921" customFormat="1" ht="22.5" customHeight="1">
      <c r="A146" s="1289"/>
      <c r="B146" s="1123"/>
      <c r="C146" s="1123"/>
      <c r="D146" s="1123"/>
      <c r="E146" s="1123"/>
      <c r="F146" s="1123"/>
      <c r="G146" s="1123"/>
      <c r="H146" s="1123"/>
      <c r="I146" s="1123"/>
      <c r="J146" s="1123"/>
      <c r="K146" s="1123"/>
      <c r="L146" s="1123"/>
      <c r="M146" s="1123"/>
      <c r="N146" s="1123"/>
      <c r="O146" s="1123"/>
      <c r="P146" s="1123"/>
      <c r="Q146" s="1123"/>
      <c r="R146" s="1123"/>
      <c r="S146" s="1123"/>
      <c r="T146" s="1123"/>
      <c r="U146" s="1123"/>
      <c r="V146" s="1224"/>
    </row>
    <row r="147" spans="1:22" s="1919" customFormat="1" ht="12.75" customHeight="1">
      <c r="A147" s="1289"/>
      <c r="B147" s="1123"/>
      <c r="C147" s="1123"/>
      <c r="D147" s="1123"/>
      <c r="E147" s="1123"/>
      <c r="F147" s="1123"/>
      <c r="G147" s="1123"/>
      <c r="H147" s="1123"/>
      <c r="I147" s="1123"/>
      <c r="J147" s="1123"/>
      <c r="K147" s="1123"/>
      <c r="L147" s="1123"/>
      <c r="M147" s="1123"/>
      <c r="N147" s="1123"/>
      <c r="O147" s="1123"/>
      <c r="P147" s="1123"/>
      <c r="Q147" s="1123"/>
      <c r="R147" s="1123"/>
      <c r="S147" s="1123"/>
      <c r="T147" s="1123"/>
      <c r="U147" s="1123"/>
      <c r="V147" s="1224"/>
    </row>
    <row r="148" spans="1:22" s="1919" customFormat="1" ht="12.75" customHeight="1">
      <c r="A148" s="1289"/>
      <c r="B148" s="1123"/>
      <c r="C148" s="1123"/>
      <c r="D148" s="1123"/>
      <c r="E148" s="1123"/>
      <c r="F148" s="1123"/>
      <c r="G148" s="1123"/>
      <c r="H148" s="1123"/>
      <c r="I148" s="1123"/>
      <c r="J148" s="1123"/>
      <c r="K148" s="1123"/>
      <c r="L148" s="1123"/>
      <c r="M148" s="1123"/>
      <c r="N148" s="1123"/>
      <c r="O148" s="1123"/>
      <c r="P148" s="1123"/>
      <c r="Q148" s="1123"/>
      <c r="R148" s="1123"/>
      <c r="S148" s="1123"/>
      <c r="T148" s="1123"/>
      <c r="U148" s="1123"/>
      <c r="V148" s="1224"/>
    </row>
    <row r="149" spans="1:22" s="1919" customFormat="1">
      <c r="A149" s="1289"/>
      <c r="B149" s="1123"/>
      <c r="C149" s="1123"/>
      <c r="D149" s="1123"/>
      <c r="E149" s="1123"/>
      <c r="F149" s="1123"/>
      <c r="G149" s="1123"/>
      <c r="H149" s="1123"/>
      <c r="I149" s="1123"/>
      <c r="J149" s="1123"/>
      <c r="K149" s="1123"/>
      <c r="L149" s="1123"/>
      <c r="M149" s="1123"/>
      <c r="N149" s="1123"/>
      <c r="O149" s="1123"/>
      <c r="P149" s="1123"/>
      <c r="Q149" s="1123"/>
      <c r="R149" s="1123"/>
      <c r="S149" s="1123"/>
      <c r="T149" s="1123"/>
      <c r="U149" s="1123"/>
      <c r="V149" s="1224"/>
    </row>
    <row r="150" spans="1:22" s="1919" customFormat="1">
      <c r="A150" s="1289"/>
      <c r="B150" s="1123"/>
      <c r="C150" s="1123"/>
      <c r="D150" s="1123"/>
      <c r="E150" s="1123"/>
      <c r="F150" s="1123"/>
      <c r="G150" s="1123"/>
      <c r="H150" s="1123"/>
      <c r="I150" s="1123"/>
      <c r="J150" s="1123"/>
      <c r="K150" s="1123"/>
      <c r="L150" s="1123"/>
      <c r="M150" s="1123"/>
      <c r="N150" s="1123"/>
      <c r="O150" s="1123"/>
      <c r="P150" s="1123"/>
      <c r="Q150" s="1123"/>
      <c r="R150" s="1123"/>
      <c r="S150" s="1123"/>
      <c r="T150" s="1123"/>
      <c r="U150" s="1123"/>
      <c r="V150" s="1224"/>
    </row>
    <row r="151" spans="1:22" s="1921" customFormat="1" ht="15" customHeight="1">
      <c r="A151" s="1289"/>
      <c r="B151" s="1123"/>
      <c r="C151" s="1123"/>
      <c r="D151" s="1123"/>
      <c r="E151" s="1123"/>
      <c r="F151" s="1123"/>
      <c r="G151" s="1123"/>
      <c r="H151" s="1123"/>
      <c r="I151" s="1123"/>
      <c r="J151" s="1123"/>
      <c r="K151" s="1123"/>
      <c r="L151" s="1123"/>
      <c r="M151" s="1123"/>
      <c r="N151" s="1123"/>
      <c r="O151" s="1123"/>
      <c r="P151" s="1123"/>
      <c r="Q151" s="1123"/>
      <c r="R151" s="1123"/>
      <c r="S151" s="1123"/>
      <c r="T151" s="1123"/>
      <c r="U151" s="1123"/>
      <c r="V151" s="1224"/>
    </row>
    <row r="152" spans="1:22" s="1919" customFormat="1" ht="12.75" customHeight="1">
      <c r="A152" s="1289"/>
      <c r="B152" s="1123"/>
      <c r="C152" s="1123"/>
      <c r="D152" s="1123"/>
      <c r="E152" s="1123"/>
      <c r="F152" s="1123"/>
      <c r="G152" s="1123"/>
      <c r="H152" s="1123"/>
      <c r="I152" s="1123"/>
      <c r="J152" s="1123"/>
      <c r="K152" s="1123"/>
      <c r="L152" s="1123"/>
      <c r="M152" s="1123"/>
      <c r="N152" s="1123"/>
      <c r="O152" s="1123"/>
      <c r="P152" s="1123"/>
      <c r="Q152" s="1123"/>
      <c r="R152" s="1123"/>
      <c r="S152" s="1123"/>
      <c r="T152" s="1123"/>
      <c r="U152" s="1123"/>
      <c r="V152" s="1224"/>
    </row>
    <row r="153" spans="1:22" s="1919" customFormat="1" ht="12.75" customHeight="1">
      <c r="A153" s="1289"/>
      <c r="B153" s="1123"/>
      <c r="C153" s="1123"/>
      <c r="D153" s="1123"/>
      <c r="E153" s="1123"/>
      <c r="F153" s="1123"/>
      <c r="G153" s="1123"/>
      <c r="H153" s="1123"/>
      <c r="I153" s="1123"/>
      <c r="J153" s="1123"/>
      <c r="K153" s="1123"/>
      <c r="L153" s="1123"/>
      <c r="M153" s="1123"/>
      <c r="N153" s="1123"/>
      <c r="O153" s="1123"/>
      <c r="P153" s="1123"/>
      <c r="Q153" s="1123"/>
      <c r="R153" s="1123"/>
      <c r="S153" s="1123"/>
      <c r="T153" s="1123"/>
      <c r="U153" s="1123"/>
      <c r="V153" s="1224"/>
    </row>
    <row r="154" spans="1:22" s="1919" customFormat="1">
      <c r="A154" s="1289"/>
      <c r="B154" s="1123"/>
      <c r="C154" s="1123"/>
      <c r="D154" s="1123"/>
      <c r="E154" s="1123"/>
      <c r="F154" s="1123"/>
      <c r="G154" s="1123"/>
      <c r="H154" s="1123"/>
      <c r="I154" s="1123"/>
      <c r="J154" s="1123"/>
      <c r="K154" s="1123"/>
      <c r="L154" s="1123"/>
      <c r="M154" s="1123"/>
      <c r="N154" s="1123"/>
      <c r="O154" s="1123"/>
      <c r="P154" s="1123"/>
      <c r="Q154" s="1123"/>
      <c r="R154" s="1123"/>
      <c r="S154" s="1123"/>
      <c r="T154" s="1123"/>
      <c r="U154" s="1123"/>
      <c r="V154" s="1224"/>
    </row>
    <row r="155" spans="1:22" s="1919" customFormat="1">
      <c r="A155" s="1289"/>
      <c r="B155" s="1123"/>
      <c r="C155" s="1123"/>
      <c r="D155" s="1123"/>
      <c r="E155" s="1123"/>
      <c r="F155" s="1123"/>
      <c r="G155" s="1123"/>
      <c r="H155" s="1123"/>
      <c r="I155" s="1123"/>
      <c r="J155" s="1123"/>
      <c r="K155" s="1123"/>
      <c r="L155" s="1123"/>
      <c r="M155" s="1123"/>
      <c r="N155" s="1123"/>
      <c r="O155" s="1123"/>
      <c r="P155" s="1123"/>
      <c r="Q155" s="1123"/>
      <c r="R155" s="1123"/>
      <c r="S155" s="1123"/>
      <c r="T155" s="1123"/>
      <c r="U155" s="1123"/>
      <c r="V155" s="1224"/>
    </row>
    <row r="156" spans="1:22" s="1921" customFormat="1" ht="13.5" customHeight="1">
      <c r="A156" s="1289"/>
      <c r="B156" s="1123"/>
      <c r="C156" s="1123"/>
      <c r="D156" s="1123"/>
      <c r="E156" s="1123"/>
      <c r="F156" s="1123"/>
      <c r="G156" s="1123"/>
      <c r="H156" s="1123"/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3"/>
      <c r="T156" s="1123"/>
      <c r="U156" s="1123"/>
      <c r="V156" s="1224"/>
    </row>
    <row r="157" spans="1:22" s="1919" customFormat="1" ht="12.75" customHeight="1">
      <c r="A157" s="1289"/>
      <c r="B157" s="1123"/>
      <c r="C157" s="1123"/>
      <c r="D157" s="1123"/>
      <c r="E157" s="1123"/>
      <c r="F157" s="1123"/>
      <c r="G157" s="1123"/>
      <c r="H157" s="1123"/>
      <c r="I157" s="1123"/>
      <c r="J157" s="1123"/>
      <c r="K157" s="1123"/>
      <c r="L157" s="1123"/>
      <c r="M157" s="1123"/>
      <c r="N157" s="1123"/>
      <c r="O157" s="1123"/>
      <c r="P157" s="1123"/>
      <c r="Q157" s="1123"/>
      <c r="R157" s="1123"/>
      <c r="S157" s="1123"/>
      <c r="T157" s="1123"/>
      <c r="U157" s="1123"/>
      <c r="V157" s="1224"/>
    </row>
    <row r="158" spans="1:22" s="1919" customFormat="1" ht="12.75" customHeight="1">
      <c r="A158" s="1289"/>
      <c r="B158" s="1123"/>
      <c r="C158" s="1123"/>
      <c r="D158" s="1123"/>
      <c r="E158" s="1123"/>
      <c r="F158" s="1123"/>
      <c r="G158" s="1123"/>
      <c r="H158" s="1123"/>
      <c r="I158" s="1123"/>
      <c r="J158" s="1123"/>
      <c r="K158" s="1123"/>
      <c r="L158" s="1123"/>
      <c r="M158" s="1123"/>
      <c r="N158" s="1123"/>
      <c r="O158" s="1123"/>
      <c r="P158" s="1123"/>
      <c r="Q158" s="1123"/>
      <c r="R158" s="1123"/>
      <c r="S158" s="1123"/>
      <c r="T158" s="1123"/>
      <c r="U158" s="1123"/>
      <c r="V158" s="1224"/>
    </row>
    <row r="159" spans="1:22" s="1919" customFormat="1">
      <c r="A159" s="1289"/>
      <c r="B159" s="1123"/>
      <c r="C159" s="1123"/>
      <c r="D159" s="1123"/>
      <c r="E159" s="1123"/>
      <c r="F159" s="1123"/>
      <c r="G159" s="1123"/>
      <c r="H159" s="1123"/>
      <c r="I159" s="1123"/>
      <c r="J159" s="1123"/>
      <c r="K159" s="1123"/>
      <c r="L159" s="1123"/>
      <c r="M159" s="1123"/>
      <c r="N159" s="1123"/>
      <c r="O159" s="1123"/>
      <c r="P159" s="1123"/>
      <c r="Q159" s="1123"/>
      <c r="R159" s="1123"/>
      <c r="S159" s="1123"/>
      <c r="T159" s="1123"/>
      <c r="U159" s="1123"/>
      <c r="V159" s="1224"/>
    </row>
    <row r="160" spans="1:22" s="1919" customFormat="1">
      <c r="A160" s="1289"/>
      <c r="B160" s="1123"/>
      <c r="C160" s="1123"/>
      <c r="D160" s="1123"/>
      <c r="E160" s="1123"/>
      <c r="F160" s="1123"/>
      <c r="G160" s="1123"/>
      <c r="H160" s="1123"/>
      <c r="I160" s="1123"/>
      <c r="J160" s="1123"/>
      <c r="K160" s="1123"/>
      <c r="L160" s="1123"/>
      <c r="M160" s="1123"/>
      <c r="N160" s="1123"/>
      <c r="O160" s="1123"/>
      <c r="P160" s="1123"/>
      <c r="Q160" s="1123"/>
      <c r="R160" s="1123"/>
      <c r="S160" s="1123"/>
      <c r="T160" s="1123"/>
      <c r="U160" s="1123"/>
      <c r="V160" s="1224"/>
    </row>
    <row r="161" spans="1:22" s="1919" customFormat="1">
      <c r="A161" s="1289"/>
      <c r="B161" s="1123"/>
      <c r="C161" s="1123"/>
      <c r="D161" s="1123"/>
      <c r="E161" s="1123"/>
      <c r="F161" s="1123"/>
      <c r="G161" s="1123"/>
      <c r="H161" s="1123"/>
      <c r="I161" s="1123"/>
      <c r="J161" s="1123"/>
      <c r="K161" s="1123"/>
      <c r="L161" s="1123"/>
      <c r="M161" s="1123"/>
      <c r="N161" s="1123"/>
      <c r="O161" s="1123"/>
      <c r="P161" s="1123"/>
      <c r="Q161" s="1123"/>
      <c r="R161" s="1123"/>
      <c r="S161" s="1123"/>
      <c r="T161" s="1123"/>
      <c r="U161" s="1123"/>
      <c r="V161" s="1224"/>
    </row>
    <row r="162" spans="1:22" s="1921" customFormat="1" ht="22.5" customHeight="1">
      <c r="A162" s="1289"/>
      <c r="B162" s="1123"/>
      <c r="C162" s="1123"/>
      <c r="D162" s="1123"/>
      <c r="E162" s="1123"/>
      <c r="F162" s="1123"/>
      <c r="G162" s="1123"/>
      <c r="H162" s="1123"/>
      <c r="I162" s="1123"/>
      <c r="J162" s="1123"/>
      <c r="K162" s="1123"/>
      <c r="L162" s="1123"/>
      <c r="M162" s="1123"/>
      <c r="N162" s="1123"/>
      <c r="O162" s="1123"/>
      <c r="P162" s="1123"/>
      <c r="Q162" s="1123"/>
      <c r="R162" s="1123"/>
      <c r="S162" s="1123"/>
      <c r="T162" s="1123"/>
      <c r="U162" s="1123"/>
      <c r="V162" s="1224"/>
    </row>
    <row r="163" spans="1:22" s="1919" customFormat="1" ht="12.75" customHeight="1">
      <c r="A163" s="1289"/>
      <c r="B163" s="1123"/>
      <c r="C163" s="1123"/>
      <c r="D163" s="1123"/>
      <c r="E163" s="1123"/>
      <c r="F163" s="1123"/>
      <c r="G163" s="1123"/>
      <c r="H163" s="1123"/>
      <c r="I163" s="1123"/>
      <c r="J163" s="1123"/>
      <c r="K163" s="1123"/>
      <c r="L163" s="1123"/>
      <c r="M163" s="1123"/>
      <c r="N163" s="1123"/>
      <c r="O163" s="1123"/>
      <c r="P163" s="1123"/>
      <c r="Q163" s="1123"/>
      <c r="R163" s="1123"/>
      <c r="S163" s="1123"/>
      <c r="T163" s="1123"/>
      <c r="U163" s="1123"/>
      <c r="V163" s="1224"/>
    </row>
    <row r="164" spans="1:22" s="1919" customFormat="1" ht="12.75" customHeight="1">
      <c r="A164" s="1289"/>
      <c r="B164" s="1123"/>
      <c r="C164" s="1123"/>
      <c r="D164" s="1123"/>
      <c r="E164" s="1123"/>
      <c r="F164" s="1123"/>
      <c r="G164" s="1123"/>
      <c r="H164" s="1123"/>
      <c r="I164" s="1123"/>
      <c r="J164" s="1123"/>
      <c r="K164" s="1123"/>
      <c r="L164" s="1123"/>
      <c r="M164" s="1123"/>
      <c r="N164" s="1123"/>
      <c r="O164" s="1123"/>
      <c r="P164" s="1123"/>
      <c r="Q164" s="1123"/>
      <c r="R164" s="1123"/>
      <c r="S164" s="1123"/>
      <c r="T164" s="1123"/>
      <c r="U164" s="1123"/>
      <c r="V164" s="1224"/>
    </row>
    <row r="165" spans="1:22" s="1919" customFormat="1">
      <c r="A165" s="1289"/>
      <c r="B165" s="1123"/>
      <c r="C165" s="1123"/>
      <c r="D165" s="1123"/>
      <c r="E165" s="1123"/>
      <c r="F165" s="1123"/>
      <c r="G165" s="1123"/>
      <c r="H165" s="1123"/>
      <c r="I165" s="1123"/>
      <c r="J165" s="1123"/>
      <c r="K165" s="1123"/>
      <c r="L165" s="1123"/>
      <c r="M165" s="1123"/>
      <c r="N165" s="1123"/>
      <c r="O165" s="1123"/>
      <c r="P165" s="1123"/>
      <c r="Q165" s="1123"/>
      <c r="R165" s="1123"/>
      <c r="S165" s="1123"/>
      <c r="T165" s="1123"/>
      <c r="U165" s="1123"/>
      <c r="V165" s="1224"/>
    </row>
    <row r="166" spans="1:22" s="1919" customFormat="1">
      <c r="A166" s="1289"/>
      <c r="B166" s="1123"/>
      <c r="C166" s="1123"/>
      <c r="D166" s="1123"/>
      <c r="E166" s="1123"/>
      <c r="F166" s="1123"/>
      <c r="G166" s="1123"/>
      <c r="H166" s="1123"/>
      <c r="I166" s="1123"/>
      <c r="J166" s="1123"/>
      <c r="K166" s="1123"/>
      <c r="L166" s="1123"/>
      <c r="M166" s="1123"/>
      <c r="N166" s="1123"/>
      <c r="O166" s="1123"/>
      <c r="P166" s="1123"/>
      <c r="Q166" s="1123"/>
      <c r="R166" s="1123"/>
      <c r="S166" s="1123"/>
      <c r="T166" s="1123"/>
      <c r="U166" s="1123"/>
      <c r="V166" s="1224"/>
    </row>
    <row r="167" spans="1:22" s="1921" customFormat="1" ht="12.75" customHeight="1">
      <c r="A167" s="1289"/>
      <c r="B167" s="1123"/>
      <c r="C167" s="1123"/>
      <c r="D167" s="1123"/>
      <c r="E167" s="1123"/>
      <c r="F167" s="1123"/>
      <c r="G167" s="1123"/>
      <c r="H167" s="1123"/>
      <c r="I167" s="1123"/>
      <c r="J167" s="1123"/>
      <c r="K167" s="1123"/>
      <c r="L167" s="1123"/>
      <c r="M167" s="1123"/>
      <c r="N167" s="1123"/>
      <c r="O167" s="1123"/>
      <c r="P167" s="1123"/>
      <c r="Q167" s="1123"/>
      <c r="R167" s="1123"/>
      <c r="S167" s="1123"/>
      <c r="T167" s="1123"/>
      <c r="U167" s="1123"/>
      <c r="V167" s="1224"/>
    </row>
    <row r="168" spans="1:22" s="1919" customFormat="1" ht="9.75" customHeight="1">
      <c r="A168" s="1289"/>
      <c r="B168" s="1123"/>
      <c r="C168" s="1123"/>
      <c r="D168" s="1123"/>
      <c r="E168" s="1123"/>
      <c r="F168" s="1123"/>
      <c r="G168" s="1123"/>
      <c r="H168" s="1123"/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3"/>
      <c r="T168" s="1123"/>
      <c r="U168" s="1123"/>
      <c r="V168" s="1224"/>
    </row>
    <row r="169" spans="1:22" s="1919" customFormat="1" ht="12.75" customHeight="1">
      <c r="A169" s="1289"/>
      <c r="B169" s="1123"/>
      <c r="C169" s="1123"/>
      <c r="D169" s="1123"/>
      <c r="E169" s="1123"/>
      <c r="F169" s="1123"/>
      <c r="G169" s="1123"/>
      <c r="H169" s="1123"/>
      <c r="I169" s="1123"/>
      <c r="J169" s="1123"/>
      <c r="K169" s="1123"/>
      <c r="L169" s="1123"/>
      <c r="M169" s="1123"/>
      <c r="N169" s="1123"/>
      <c r="O169" s="1123"/>
      <c r="P169" s="1123"/>
      <c r="Q169" s="1123"/>
      <c r="R169" s="1123"/>
      <c r="S169" s="1123"/>
      <c r="T169" s="1123"/>
      <c r="U169" s="1123"/>
      <c r="V169" s="1224"/>
    </row>
    <row r="170" spans="1:22" s="1919" customFormat="1">
      <c r="A170" s="1289"/>
      <c r="B170" s="1123"/>
      <c r="C170" s="1123"/>
      <c r="D170" s="1123"/>
      <c r="E170" s="1123"/>
      <c r="F170" s="1123"/>
      <c r="G170" s="1123"/>
      <c r="H170" s="1123"/>
      <c r="I170" s="1123"/>
      <c r="J170" s="1123"/>
      <c r="K170" s="1123"/>
      <c r="L170" s="1123"/>
      <c r="M170" s="1123"/>
      <c r="N170" s="1123"/>
      <c r="O170" s="1123"/>
      <c r="P170" s="1123"/>
      <c r="Q170" s="1123"/>
      <c r="R170" s="1123"/>
      <c r="S170" s="1123"/>
      <c r="T170" s="1123"/>
      <c r="U170" s="1123"/>
      <c r="V170" s="1224"/>
    </row>
    <row r="171" spans="1:22" s="1919" customFormat="1">
      <c r="A171" s="1289"/>
      <c r="B171" s="1123"/>
      <c r="C171" s="1123"/>
      <c r="D171" s="1123"/>
      <c r="E171" s="1123"/>
      <c r="F171" s="1123"/>
      <c r="G171" s="1123"/>
      <c r="H171" s="1123"/>
      <c r="I171" s="1123"/>
      <c r="J171" s="1123"/>
      <c r="K171" s="1123"/>
      <c r="L171" s="1123"/>
      <c r="M171" s="1123"/>
      <c r="N171" s="1123"/>
      <c r="O171" s="1123"/>
      <c r="P171" s="1123"/>
      <c r="Q171" s="1123"/>
      <c r="R171" s="1123"/>
      <c r="S171" s="1123"/>
      <c r="T171" s="1123"/>
      <c r="U171" s="1123"/>
      <c r="V171" s="1224"/>
    </row>
    <row r="172" spans="1:22" s="1921" customFormat="1" ht="13.5" customHeight="1">
      <c r="A172" s="1289"/>
      <c r="B172" s="1123"/>
      <c r="C172" s="1123"/>
      <c r="D172" s="1123"/>
      <c r="E172" s="1123"/>
      <c r="F172" s="1123"/>
      <c r="G172" s="1123"/>
      <c r="H172" s="1123"/>
      <c r="I172" s="1123"/>
      <c r="J172" s="1123"/>
      <c r="K172" s="1123"/>
      <c r="L172" s="1123"/>
      <c r="M172" s="1123"/>
      <c r="N172" s="1123"/>
      <c r="O172" s="1123"/>
      <c r="P172" s="1123"/>
      <c r="Q172" s="1123"/>
      <c r="R172" s="1123"/>
      <c r="S172" s="1123"/>
      <c r="T172" s="1123"/>
      <c r="U172" s="1123"/>
      <c r="V172" s="1224"/>
    </row>
    <row r="173" spans="1:22" s="1919" customFormat="1" ht="9.75" customHeight="1">
      <c r="A173" s="1289"/>
      <c r="B173" s="1123"/>
      <c r="C173" s="1123"/>
      <c r="D173" s="1123"/>
      <c r="E173" s="1123"/>
      <c r="F173" s="1123"/>
      <c r="G173" s="1123"/>
      <c r="H173" s="1123"/>
      <c r="I173" s="1123"/>
      <c r="J173" s="1123"/>
      <c r="K173" s="1123"/>
      <c r="L173" s="1123"/>
      <c r="M173" s="1123"/>
      <c r="N173" s="1123"/>
      <c r="O173" s="1123"/>
      <c r="P173" s="1123"/>
      <c r="Q173" s="1123"/>
      <c r="R173" s="1123"/>
      <c r="S173" s="1123"/>
      <c r="T173" s="1123"/>
      <c r="U173" s="1123"/>
      <c r="V173" s="1224"/>
    </row>
    <row r="174" spans="1:22" s="1919" customFormat="1" ht="12.75" customHeight="1">
      <c r="A174" s="1289"/>
      <c r="B174" s="1123"/>
      <c r="C174" s="1123"/>
      <c r="D174" s="1123"/>
      <c r="E174" s="1123"/>
      <c r="F174" s="1123"/>
      <c r="G174" s="1123"/>
      <c r="H174" s="1123"/>
      <c r="I174" s="1123"/>
      <c r="J174" s="1123"/>
      <c r="K174" s="1123"/>
      <c r="L174" s="1123"/>
      <c r="M174" s="1123"/>
      <c r="N174" s="1123"/>
      <c r="O174" s="1123"/>
      <c r="P174" s="1123"/>
      <c r="Q174" s="1123"/>
      <c r="R174" s="1123"/>
      <c r="S174" s="1123"/>
      <c r="T174" s="1123"/>
      <c r="U174" s="1123"/>
      <c r="V174" s="1224"/>
    </row>
    <row r="175" spans="1:22" s="1919" customFormat="1">
      <c r="A175" s="1289"/>
      <c r="B175" s="1123"/>
      <c r="C175" s="1123"/>
      <c r="D175" s="1123"/>
      <c r="E175" s="1123"/>
      <c r="F175" s="1123"/>
      <c r="G175" s="1123"/>
      <c r="H175" s="1123"/>
      <c r="I175" s="1123"/>
      <c r="J175" s="1123"/>
      <c r="K175" s="1123"/>
      <c r="L175" s="1123"/>
      <c r="M175" s="1123"/>
      <c r="N175" s="1123"/>
      <c r="O175" s="1123"/>
      <c r="P175" s="1123"/>
      <c r="Q175" s="1123"/>
      <c r="R175" s="1123"/>
      <c r="S175" s="1123"/>
      <c r="T175" s="1123"/>
      <c r="U175" s="1123"/>
      <c r="V175" s="1224"/>
    </row>
    <row r="176" spans="1:22" s="1919" customFormat="1">
      <c r="A176" s="1289"/>
      <c r="B176" s="1123"/>
      <c r="C176" s="1123"/>
      <c r="D176" s="1123"/>
      <c r="E176" s="1123"/>
      <c r="F176" s="1123"/>
      <c r="G176" s="1123"/>
      <c r="H176" s="1123"/>
      <c r="I176" s="1123"/>
      <c r="J176" s="1123"/>
      <c r="K176" s="1123"/>
      <c r="L176" s="1123"/>
      <c r="M176" s="1123"/>
      <c r="N176" s="1123"/>
      <c r="O176" s="1123"/>
      <c r="P176" s="1123"/>
      <c r="Q176" s="1123"/>
      <c r="R176" s="1123"/>
      <c r="S176" s="1123"/>
      <c r="T176" s="1123"/>
      <c r="U176" s="1123"/>
      <c r="V176" s="1224"/>
    </row>
    <row r="177" spans="1:22" s="1919" customFormat="1">
      <c r="A177" s="1289"/>
      <c r="B177" s="1123"/>
      <c r="C177" s="1123"/>
      <c r="D177" s="1123"/>
      <c r="E177" s="1123"/>
      <c r="F177" s="1123"/>
      <c r="G177" s="1123"/>
      <c r="H177" s="1123"/>
      <c r="I177" s="1123"/>
      <c r="J177" s="1123"/>
      <c r="K177" s="1123"/>
      <c r="L177" s="1123"/>
      <c r="M177" s="1123"/>
      <c r="N177" s="1123"/>
      <c r="O177" s="1123"/>
      <c r="P177" s="1123"/>
      <c r="Q177" s="1123"/>
      <c r="R177" s="1123"/>
      <c r="S177" s="1123"/>
      <c r="T177" s="1123"/>
      <c r="U177" s="1123"/>
      <c r="V177" s="1224"/>
    </row>
    <row r="178" spans="1:22" s="1919" customFormat="1">
      <c r="A178" s="1289"/>
      <c r="B178" s="1123"/>
      <c r="C178" s="1123"/>
      <c r="D178" s="1123"/>
      <c r="E178" s="1123"/>
      <c r="F178" s="1123"/>
      <c r="G178" s="1123"/>
      <c r="H178" s="1123"/>
      <c r="I178" s="1123"/>
      <c r="J178" s="1123"/>
      <c r="K178" s="1123"/>
      <c r="L178" s="1123"/>
      <c r="M178" s="1123"/>
      <c r="N178" s="1123"/>
      <c r="O178" s="1123"/>
      <c r="P178" s="1123"/>
      <c r="Q178" s="1123"/>
      <c r="R178" s="1123"/>
      <c r="S178" s="1123"/>
      <c r="T178" s="1123"/>
      <c r="U178" s="1123"/>
      <c r="V178" s="1224"/>
    </row>
    <row r="179" spans="1:22" s="1919" customFormat="1">
      <c r="A179" s="1289"/>
      <c r="B179" s="1123"/>
      <c r="C179" s="1123"/>
      <c r="D179" s="1123"/>
      <c r="E179" s="1123"/>
      <c r="F179" s="1123"/>
      <c r="G179" s="1123"/>
      <c r="H179" s="1123"/>
      <c r="I179" s="1123"/>
      <c r="J179" s="1123"/>
      <c r="K179" s="1123"/>
      <c r="L179" s="1123"/>
      <c r="M179" s="1123"/>
      <c r="N179" s="1123"/>
      <c r="O179" s="1123"/>
      <c r="P179" s="1123"/>
      <c r="Q179" s="1123"/>
      <c r="R179" s="1123"/>
      <c r="S179" s="1123"/>
      <c r="T179" s="1123"/>
      <c r="U179" s="1123"/>
      <c r="V179" s="1224"/>
    </row>
    <row r="180" spans="1:22" s="1921" customFormat="1" ht="22.5" customHeight="1">
      <c r="A180" s="1289"/>
      <c r="B180" s="1123"/>
      <c r="C180" s="1123"/>
      <c r="D180" s="1123"/>
      <c r="E180" s="1123"/>
      <c r="F180" s="1123"/>
      <c r="G180" s="1123"/>
      <c r="H180" s="1123"/>
      <c r="I180" s="1123"/>
      <c r="J180" s="1123"/>
      <c r="K180" s="1123"/>
      <c r="L180" s="1123"/>
      <c r="M180" s="1123"/>
      <c r="N180" s="1123"/>
      <c r="O180" s="1123"/>
      <c r="P180" s="1123"/>
      <c r="Q180" s="1123"/>
      <c r="R180" s="1123"/>
      <c r="S180" s="1123"/>
      <c r="T180" s="1123"/>
      <c r="U180" s="1123"/>
      <c r="V180" s="1224"/>
    </row>
    <row r="181" spans="1:22" s="1919" customFormat="1" ht="12.75" customHeight="1">
      <c r="A181" s="1289"/>
      <c r="B181" s="1123"/>
      <c r="C181" s="1123"/>
      <c r="D181" s="1123"/>
      <c r="E181" s="1123"/>
      <c r="F181" s="1123"/>
      <c r="G181" s="1123"/>
      <c r="H181" s="1123"/>
      <c r="I181" s="1123"/>
      <c r="J181" s="1123"/>
      <c r="K181" s="1123"/>
      <c r="L181" s="1123"/>
      <c r="M181" s="1123"/>
      <c r="N181" s="1123"/>
      <c r="O181" s="1123"/>
      <c r="P181" s="1123"/>
      <c r="Q181" s="1123"/>
      <c r="R181" s="1123"/>
      <c r="S181" s="1123"/>
      <c r="T181" s="1123"/>
      <c r="U181" s="1123"/>
      <c r="V181" s="1224"/>
    </row>
    <row r="182" spans="1:22" s="1919" customFormat="1" ht="12.75" customHeight="1">
      <c r="A182" s="1289"/>
      <c r="B182" s="1123"/>
      <c r="C182" s="1123"/>
      <c r="D182" s="1123"/>
      <c r="E182" s="1123"/>
      <c r="F182" s="1123"/>
      <c r="G182" s="1123"/>
      <c r="H182" s="1123"/>
      <c r="I182" s="1123"/>
      <c r="J182" s="1123"/>
      <c r="K182" s="1123"/>
      <c r="L182" s="1123"/>
      <c r="M182" s="1123"/>
      <c r="N182" s="1123"/>
      <c r="O182" s="1123"/>
      <c r="P182" s="1123"/>
      <c r="Q182" s="1123"/>
      <c r="R182" s="1123"/>
      <c r="S182" s="1123"/>
      <c r="T182" s="1123"/>
      <c r="U182" s="1123"/>
      <c r="V182" s="1224"/>
    </row>
    <row r="183" spans="1:22" s="1919" customFormat="1">
      <c r="A183" s="1289"/>
      <c r="B183" s="1123"/>
      <c r="C183" s="1123"/>
      <c r="D183" s="1123"/>
      <c r="E183" s="1123"/>
      <c r="F183" s="1123"/>
      <c r="G183" s="1123"/>
      <c r="H183" s="1123"/>
      <c r="I183" s="1123"/>
      <c r="J183" s="1123"/>
      <c r="K183" s="1123"/>
      <c r="L183" s="1123"/>
      <c r="M183" s="1123"/>
      <c r="N183" s="1123"/>
      <c r="O183" s="1123"/>
      <c r="P183" s="1123"/>
      <c r="Q183" s="1123"/>
      <c r="R183" s="1123"/>
      <c r="S183" s="1123"/>
      <c r="T183" s="1123"/>
      <c r="U183" s="1123"/>
      <c r="V183" s="1224"/>
    </row>
    <row r="184" spans="1:22" s="1919" customFormat="1">
      <c r="A184" s="1289"/>
      <c r="B184" s="1123"/>
      <c r="C184" s="1123"/>
      <c r="D184" s="1123"/>
      <c r="E184" s="1123"/>
      <c r="F184" s="1123"/>
      <c r="G184" s="1123"/>
      <c r="H184" s="1123"/>
      <c r="I184" s="1123"/>
      <c r="J184" s="1123"/>
      <c r="K184" s="1123"/>
      <c r="L184" s="1123"/>
      <c r="M184" s="1123"/>
      <c r="N184" s="1123"/>
      <c r="O184" s="1123"/>
      <c r="P184" s="1123"/>
      <c r="Q184" s="1123"/>
      <c r="R184" s="1123"/>
      <c r="S184" s="1123"/>
      <c r="T184" s="1123"/>
      <c r="U184" s="1123"/>
      <c r="V184" s="1224"/>
    </row>
    <row r="185" spans="1:22" s="1921" customFormat="1" ht="34.5" customHeight="1">
      <c r="A185" s="1289"/>
      <c r="B185" s="1123"/>
      <c r="C185" s="1123"/>
      <c r="D185" s="1123"/>
      <c r="E185" s="1123"/>
      <c r="F185" s="1123"/>
      <c r="G185" s="1123"/>
      <c r="H185" s="1123"/>
      <c r="I185" s="1123"/>
      <c r="J185" s="1123"/>
      <c r="K185" s="1123"/>
      <c r="L185" s="1123"/>
      <c r="M185" s="1123"/>
      <c r="N185" s="1123"/>
      <c r="O185" s="1123"/>
      <c r="P185" s="1123"/>
      <c r="Q185" s="1123"/>
      <c r="R185" s="1123"/>
      <c r="S185" s="1123"/>
      <c r="T185" s="1123"/>
      <c r="U185" s="1123"/>
      <c r="V185" s="1224"/>
    </row>
    <row r="186" spans="1:22" s="1919" customFormat="1" ht="14.25" customHeight="1">
      <c r="A186" s="1289"/>
      <c r="B186" s="1123"/>
      <c r="C186" s="1123"/>
      <c r="D186" s="1123"/>
      <c r="E186" s="1123"/>
      <c r="F186" s="1123"/>
      <c r="G186" s="1123"/>
      <c r="H186" s="1123"/>
      <c r="I186" s="1123"/>
      <c r="J186" s="1123"/>
      <c r="K186" s="1123"/>
      <c r="L186" s="1123"/>
      <c r="M186" s="1123"/>
      <c r="N186" s="1123"/>
      <c r="O186" s="1123"/>
      <c r="P186" s="1123"/>
      <c r="Q186" s="1123"/>
      <c r="R186" s="1123"/>
      <c r="S186" s="1123"/>
      <c r="T186" s="1123"/>
      <c r="U186" s="1123"/>
      <c r="V186" s="1224"/>
    </row>
    <row r="187" spans="1:22" s="1919" customFormat="1" ht="12.75" customHeight="1">
      <c r="A187" s="1289"/>
      <c r="B187" s="1123"/>
      <c r="C187" s="1123"/>
      <c r="D187" s="1123"/>
      <c r="E187" s="1123"/>
      <c r="F187" s="1123"/>
      <c r="G187" s="1123"/>
      <c r="H187" s="1123"/>
      <c r="I187" s="1123"/>
      <c r="J187" s="1123"/>
      <c r="K187" s="1123"/>
      <c r="L187" s="1123"/>
      <c r="M187" s="1123"/>
      <c r="N187" s="1123"/>
      <c r="O187" s="1123"/>
      <c r="P187" s="1123"/>
      <c r="Q187" s="1123"/>
      <c r="R187" s="1123"/>
      <c r="S187" s="1123"/>
      <c r="T187" s="1123"/>
      <c r="U187" s="1123"/>
      <c r="V187" s="1224"/>
    </row>
    <row r="188" spans="1:22" s="1919" customFormat="1">
      <c r="A188" s="1289"/>
      <c r="B188" s="1123"/>
      <c r="C188" s="1123"/>
      <c r="D188" s="1123"/>
      <c r="E188" s="1123"/>
      <c r="F188" s="1123"/>
      <c r="G188" s="1123"/>
      <c r="H188" s="1123"/>
      <c r="I188" s="1123"/>
      <c r="J188" s="1123"/>
      <c r="K188" s="1123"/>
      <c r="L188" s="1123"/>
      <c r="M188" s="1123"/>
      <c r="N188" s="1123"/>
      <c r="O188" s="1123"/>
      <c r="P188" s="1123"/>
      <c r="Q188" s="1123"/>
      <c r="R188" s="1123"/>
      <c r="S188" s="1123"/>
      <c r="T188" s="1123"/>
      <c r="U188" s="1123"/>
      <c r="V188" s="1224"/>
    </row>
    <row r="189" spans="1:22" s="1919" customFormat="1">
      <c r="A189" s="1289"/>
      <c r="B189" s="1123"/>
      <c r="C189" s="1123"/>
      <c r="D189" s="1123"/>
      <c r="E189" s="1123"/>
      <c r="F189" s="1123"/>
      <c r="G189" s="1123"/>
      <c r="H189" s="1123"/>
      <c r="I189" s="1123"/>
      <c r="J189" s="1123"/>
      <c r="K189" s="1123"/>
      <c r="L189" s="1123"/>
      <c r="M189" s="1123"/>
      <c r="N189" s="1123"/>
      <c r="O189" s="1123"/>
      <c r="P189" s="1123"/>
      <c r="Q189" s="1123"/>
      <c r="R189" s="1123"/>
      <c r="S189" s="1123"/>
      <c r="T189" s="1123"/>
      <c r="U189" s="1123"/>
      <c r="V189" s="1224"/>
    </row>
    <row r="190" spans="1:22" s="1919" customFormat="1">
      <c r="A190" s="1289"/>
      <c r="B190" s="1123"/>
      <c r="C190" s="1123"/>
      <c r="D190" s="1123"/>
      <c r="E190" s="1123"/>
      <c r="F190" s="1123"/>
      <c r="G190" s="1123"/>
      <c r="H190" s="1123"/>
      <c r="I190" s="1123"/>
      <c r="J190" s="1123"/>
      <c r="K190" s="1123"/>
      <c r="L190" s="1123"/>
      <c r="M190" s="1123"/>
      <c r="N190" s="1123"/>
      <c r="O190" s="1123"/>
      <c r="P190" s="1123"/>
      <c r="Q190" s="1123"/>
      <c r="R190" s="1123"/>
      <c r="S190" s="1123"/>
      <c r="T190" s="1123"/>
      <c r="U190" s="1123"/>
      <c r="V190" s="1224"/>
    </row>
    <row r="191" spans="1:22" s="1921" customFormat="1" ht="36.75" customHeight="1">
      <c r="A191" s="1289"/>
      <c r="B191" s="1123"/>
      <c r="C191" s="1123"/>
      <c r="D191" s="1123"/>
      <c r="E191" s="1123"/>
      <c r="F191" s="1123"/>
      <c r="G191" s="1123"/>
      <c r="H191" s="1123"/>
      <c r="I191" s="1123"/>
      <c r="J191" s="1123"/>
      <c r="K191" s="1123"/>
      <c r="L191" s="1123"/>
      <c r="M191" s="1123"/>
      <c r="N191" s="1123"/>
      <c r="O191" s="1123"/>
      <c r="P191" s="1123"/>
      <c r="Q191" s="1123"/>
      <c r="R191" s="1123"/>
      <c r="S191" s="1123"/>
      <c r="T191" s="1123"/>
      <c r="U191" s="1123"/>
      <c r="V191" s="1224"/>
    </row>
    <row r="192" spans="1:22" s="1919" customFormat="1" ht="9.75" customHeight="1">
      <c r="A192" s="1289"/>
      <c r="B192" s="1123"/>
      <c r="C192" s="1123"/>
      <c r="D192" s="1123"/>
      <c r="E192" s="1123"/>
      <c r="F192" s="1123"/>
      <c r="G192" s="1123"/>
      <c r="H192" s="1123"/>
      <c r="I192" s="1123"/>
      <c r="J192" s="1123"/>
      <c r="K192" s="1123"/>
      <c r="L192" s="1123"/>
      <c r="M192" s="1123"/>
      <c r="N192" s="1123"/>
      <c r="O192" s="1123"/>
      <c r="P192" s="1123"/>
      <c r="Q192" s="1123"/>
      <c r="R192" s="1123"/>
      <c r="S192" s="1123"/>
      <c r="T192" s="1123"/>
      <c r="U192" s="1123"/>
      <c r="V192" s="1224"/>
    </row>
    <row r="193" spans="1:22" s="1919" customFormat="1" ht="12.75" customHeight="1">
      <c r="A193" s="1289"/>
      <c r="B193" s="1123"/>
      <c r="C193" s="1123"/>
      <c r="D193" s="1123"/>
      <c r="E193" s="1123"/>
      <c r="F193" s="1123"/>
      <c r="G193" s="1123"/>
      <c r="H193" s="1123"/>
      <c r="I193" s="1123"/>
      <c r="J193" s="1123"/>
      <c r="K193" s="1123"/>
      <c r="L193" s="1123"/>
      <c r="M193" s="1123"/>
      <c r="N193" s="1123"/>
      <c r="O193" s="1123"/>
      <c r="P193" s="1123"/>
      <c r="Q193" s="1123"/>
      <c r="R193" s="1123"/>
      <c r="S193" s="1123"/>
      <c r="T193" s="1123"/>
      <c r="U193" s="1123"/>
      <c r="V193" s="1224"/>
    </row>
    <row r="194" spans="1:22" s="1919" customFormat="1">
      <c r="A194" s="1289"/>
      <c r="B194" s="1123"/>
      <c r="C194" s="1123"/>
      <c r="D194" s="1123"/>
      <c r="E194" s="1123"/>
      <c r="F194" s="1123"/>
      <c r="G194" s="1123"/>
      <c r="H194" s="1123"/>
      <c r="I194" s="1123"/>
      <c r="J194" s="1123"/>
      <c r="K194" s="1123"/>
      <c r="L194" s="1123"/>
      <c r="M194" s="1123"/>
      <c r="N194" s="1123"/>
      <c r="O194" s="1123"/>
      <c r="P194" s="1123"/>
      <c r="Q194" s="1123"/>
      <c r="R194" s="1123"/>
      <c r="S194" s="1123"/>
      <c r="T194" s="1123"/>
      <c r="U194" s="1123"/>
      <c r="V194" s="1224"/>
    </row>
    <row r="195" spans="1:22" s="1919" customFormat="1">
      <c r="A195" s="1289"/>
      <c r="B195" s="1123"/>
      <c r="C195" s="1123"/>
      <c r="D195" s="1123"/>
      <c r="E195" s="1123"/>
      <c r="F195" s="1123"/>
      <c r="G195" s="1123"/>
      <c r="H195" s="1123"/>
      <c r="I195" s="1123"/>
      <c r="J195" s="1123"/>
      <c r="K195" s="1123"/>
      <c r="L195" s="1123"/>
      <c r="M195" s="1123"/>
      <c r="N195" s="1123"/>
      <c r="O195" s="1123"/>
      <c r="P195" s="1123"/>
      <c r="Q195" s="1123"/>
      <c r="R195" s="1123"/>
      <c r="S195" s="1123"/>
      <c r="T195" s="1123"/>
      <c r="U195" s="1123"/>
      <c r="V195" s="1224"/>
    </row>
    <row r="196" spans="1:22" s="1919" customFormat="1">
      <c r="A196" s="1289"/>
      <c r="B196" s="1123"/>
      <c r="C196" s="1123"/>
      <c r="D196" s="1123"/>
      <c r="E196" s="1123"/>
      <c r="F196" s="1123"/>
      <c r="G196" s="1123"/>
      <c r="H196" s="1123"/>
      <c r="I196" s="1123"/>
      <c r="J196" s="1123"/>
      <c r="K196" s="1123"/>
      <c r="L196" s="1123"/>
      <c r="M196" s="1123"/>
      <c r="N196" s="1123"/>
      <c r="O196" s="1123"/>
      <c r="P196" s="1123"/>
      <c r="Q196" s="1123"/>
      <c r="R196" s="1123"/>
      <c r="S196" s="1123"/>
      <c r="T196" s="1123"/>
      <c r="U196" s="1123"/>
      <c r="V196" s="1224"/>
    </row>
    <row r="197" spans="1:22" s="1921" customFormat="1" ht="33.75" customHeight="1">
      <c r="A197" s="1289"/>
      <c r="B197" s="1123"/>
      <c r="C197" s="1123"/>
      <c r="D197" s="1123"/>
      <c r="E197" s="1123"/>
      <c r="F197" s="1123"/>
      <c r="G197" s="1123"/>
      <c r="H197" s="1123"/>
      <c r="I197" s="1123"/>
      <c r="J197" s="1123"/>
      <c r="K197" s="1123"/>
      <c r="L197" s="1123"/>
      <c r="M197" s="1123"/>
      <c r="N197" s="1123"/>
      <c r="O197" s="1123"/>
      <c r="P197" s="1123"/>
      <c r="Q197" s="1123"/>
      <c r="R197" s="1123"/>
      <c r="S197" s="1123"/>
      <c r="T197" s="1123"/>
      <c r="U197" s="1123"/>
      <c r="V197" s="1224"/>
    </row>
    <row r="198" spans="1:22" s="1919" customFormat="1" ht="9.75" customHeight="1">
      <c r="A198" s="1289"/>
      <c r="B198" s="1123"/>
      <c r="C198" s="1123"/>
      <c r="D198" s="1123"/>
      <c r="E198" s="1123"/>
      <c r="F198" s="1123"/>
      <c r="G198" s="1123"/>
      <c r="H198" s="1123"/>
      <c r="I198" s="1123"/>
      <c r="J198" s="1123"/>
      <c r="K198" s="1123"/>
      <c r="L198" s="1123"/>
      <c r="M198" s="1123"/>
      <c r="N198" s="1123"/>
      <c r="O198" s="1123"/>
      <c r="P198" s="1123"/>
      <c r="Q198" s="1123"/>
      <c r="R198" s="1123"/>
      <c r="S198" s="1123"/>
      <c r="T198" s="1123"/>
      <c r="U198" s="1123"/>
      <c r="V198" s="1224"/>
    </row>
    <row r="199" spans="1:22" s="1919" customFormat="1" ht="12.75" customHeight="1">
      <c r="A199" s="1289"/>
      <c r="B199" s="1123"/>
      <c r="C199" s="1123"/>
      <c r="D199" s="1123"/>
      <c r="E199" s="1123"/>
      <c r="F199" s="1123"/>
      <c r="G199" s="1123"/>
      <c r="H199" s="1123"/>
      <c r="I199" s="1123"/>
      <c r="J199" s="1123"/>
      <c r="K199" s="1123"/>
      <c r="L199" s="1123"/>
      <c r="M199" s="1123"/>
      <c r="N199" s="1123"/>
      <c r="O199" s="1123"/>
      <c r="P199" s="1123"/>
      <c r="Q199" s="1123"/>
      <c r="R199" s="1123"/>
      <c r="S199" s="1123"/>
      <c r="T199" s="1123"/>
      <c r="U199" s="1123"/>
      <c r="V199" s="1224"/>
    </row>
    <row r="200" spans="1:22" s="1919" customFormat="1">
      <c r="A200" s="1289"/>
      <c r="B200" s="1123"/>
      <c r="C200" s="1123"/>
      <c r="D200" s="1123"/>
      <c r="E200" s="1123"/>
      <c r="F200" s="1123"/>
      <c r="G200" s="1123"/>
      <c r="H200" s="1123"/>
      <c r="I200" s="1123"/>
      <c r="J200" s="1123"/>
      <c r="K200" s="1123"/>
      <c r="L200" s="1123"/>
      <c r="M200" s="1123"/>
      <c r="N200" s="1123"/>
      <c r="O200" s="1123"/>
      <c r="P200" s="1123"/>
      <c r="Q200" s="1123"/>
      <c r="R200" s="1123"/>
      <c r="S200" s="1123"/>
      <c r="T200" s="1123"/>
      <c r="U200" s="1123"/>
      <c r="V200" s="1224"/>
    </row>
    <row r="201" spans="1:22" s="1919" customFormat="1">
      <c r="A201" s="1289"/>
      <c r="B201" s="1123"/>
      <c r="C201" s="1123"/>
      <c r="D201" s="1123"/>
      <c r="E201" s="1123"/>
      <c r="F201" s="1123"/>
      <c r="G201" s="1123"/>
      <c r="H201" s="1123"/>
      <c r="I201" s="1123"/>
      <c r="J201" s="1123"/>
      <c r="K201" s="1123"/>
      <c r="L201" s="1123"/>
      <c r="M201" s="1123"/>
      <c r="N201" s="1123"/>
      <c r="O201" s="1123"/>
      <c r="P201" s="1123"/>
      <c r="Q201" s="1123"/>
      <c r="R201" s="1123"/>
      <c r="S201" s="1123"/>
      <c r="T201" s="1123"/>
      <c r="U201" s="1123"/>
      <c r="V201" s="1224"/>
    </row>
    <row r="202" spans="1:22" s="1919" customFormat="1">
      <c r="A202" s="1289"/>
      <c r="B202" s="1123"/>
      <c r="C202" s="1123"/>
      <c r="D202" s="1123"/>
      <c r="E202" s="1123"/>
      <c r="F202" s="1123"/>
      <c r="G202" s="1123"/>
      <c r="H202" s="1123"/>
      <c r="I202" s="1123"/>
      <c r="J202" s="1123"/>
      <c r="K202" s="1123"/>
      <c r="L202" s="1123"/>
      <c r="M202" s="1123"/>
      <c r="N202" s="1123"/>
      <c r="O202" s="1123"/>
      <c r="P202" s="1123"/>
      <c r="Q202" s="1123"/>
      <c r="R202" s="1123"/>
      <c r="S202" s="1123"/>
      <c r="T202" s="1123"/>
      <c r="U202" s="1123"/>
      <c r="V202" s="1224"/>
    </row>
    <row r="203" spans="1:22" s="1919" customFormat="1">
      <c r="A203" s="1289"/>
      <c r="B203" s="1123"/>
      <c r="C203" s="1123"/>
      <c r="D203" s="1123"/>
      <c r="E203" s="1123"/>
      <c r="F203" s="1123"/>
      <c r="G203" s="1123"/>
      <c r="H203" s="1123"/>
      <c r="I203" s="1123"/>
      <c r="J203" s="1123"/>
      <c r="K203" s="1123"/>
      <c r="L203" s="1123"/>
      <c r="M203" s="1123"/>
      <c r="N203" s="1123"/>
      <c r="O203" s="1123"/>
      <c r="P203" s="1123"/>
      <c r="Q203" s="1123"/>
      <c r="R203" s="1123"/>
      <c r="S203" s="1123"/>
      <c r="T203" s="1123"/>
      <c r="U203" s="1123"/>
      <c r="V203" s="1224"/>
    </row>
    <row r="204" spans="1:22" s="1222" customFormat="1" ht="14.25" customHeight="1">
      <c r="A204" s="1289"/>
      <c r="B204" s="1123"/>
      <c r="C204" s="1123"/>
      <c r="D204" s="1123"/>
      <c r="E204" s="1123"/>
      <c r="F204" s="1123"/>
      <c r="G204" s="1123"/>
      <c r="H204" s="1123"/>
      <c r="I204" s="1123"/>
      <c r="J204" s="1123"/>
      <c r="K204" s="1123"/>
      <c r="L204" s="1123"/>
      <c r="M204" s="1123"/>
      <c r="N204" s="1123"/>
      <c r="O204" s="1123"/>
      <c r="P204" s="1123"/>
      <c r="Q204" s="1123"/>
      <c r="R204" s="1123"/>
      <c r="S204" s="1123"/>
      <c r="T204" s="1123"/>
      <c r="U204" s="1123"/>
      <c r="V204" s="1224"/>
    </row>
    <row r="205" spans="1:22" s="1919" customFormat="1">
      <c r="A205" s="1289"/>
      <c r="B205" s="1123"/>
      <c r="C205" s="1123"/>
      <c r="D205" s="1123"/>
      <c r="E205" s="1123"/>
      <c r="F205" s="1123"/>
      <c r="G205" s="1123"/>
      <c r="H205" s="1123"/>
      <c r="I205" s="1123"/>
      <c r="J205" s="1123"/>
      <c r="K205" s="1123"/>
      <c r="L205" s="1123"/>
      <c r="M205" s="1123"/>
      <c r="N205" s="1123"/>
      <c r="O205" s="1123"/>
      <c r="P205" s="1123"/>
      <c r="Q205" s="1123"/>
      <c r="R205" s="1123"/>
      <c r="S205" s="1123"/>
      <c r="T205" s="1123"/>
      <c r="U205" s="1123"/>
      <c r="V205" s="1224"/>
    </row>
    <row r="206" spans="1:22" s="1288" customFormat="1" ht="23.25" customHeight="1">
      <c r="A206" s="1289"/>
      <c r="B206" s="1123"/>
      <c r="C206" s="1123"/>
      <c r="D206" s="1123"/>
      <c r="E206" s="1123"/>
      <c r="F206" s="1123"/>
      <c r="G206" s="1123"/>
      <c r="H206" s="1123"/>
      <c r="I206" s="1123"/>
      <c r="J206" s="1123"/>
      <c r="K206" s="1123"/>
      <c r="L206" s="1123"/>
      <c r="M206" s="1123"/>
      <c r="N206" s="1123"/>
      <c r="O206" s="1123"/>
      <c r="P206" s="1123"/>
      <c r="Q206" s="1123"/>
      <c r="R206" s="1123"/>
      <c r="S206" s="1123"/>
      <c r="T206" s="1123"/>
      <c r="U206" s="1123"/>
      <c r="V206" s="1224"/>
    </row>
    <row r="207" spans="1:22" s="1919" customFormat="1">
      <c r="A207" s="1289"/>
      <c r="B207" s="1123"/>
      <c r="C207" s="1123"/>
      <c r="D207" s="1123"/>
      <c r="E207" s="1123"/>
      <c r="F207" s="1123"/>
      <c r="G207" s="1123"/>
      <c r="H207" s="1123"/>
      <c r="I207" s="1123"/>
      <c r="J207" s="1123"/>
      <c r="K207" s="1123"/>
      <c r="L207" s="1123"/>
      <c r="M207" s="1123"/>
      <c r="N207" s="1123"/>
      <c r="O207" s="1123"/>
      <c r="P207" s="1123"/>
      <c r="Q207" s="1123"/>
      <c r="R207" s="1123"/>
      <c r="S207" s="1123"/>
      <c r="T207" s="1123"/>
      <c r="U207" s="1123"/>
      <c r="V207" s="1224"/>
    </row>
    <row r="208" spans="1:22" s="1286" customFormat="1" ht="15.75" customHeight="1">
      <c r="A208" s="1289"/>
      <c r="B208" s="1123"/>
      <c r="C208" s="1123"/>
      <c r="D208" s="1123"/>
      <c r="E208" s="1123"/>
      <c r="F208" s="1123"/>
      <c r="G208" s="1123"/>
      <c r="H208" s="1123"/>
      <c r="I208" s="1123"/>
      <c r="J208" s="1123"/>
      <c r="K208" s="1123"/>
      <c r="L208" s="1123"/>
      <c r="M208" s="1123"/>
      <c r="N208" s="1123"/>
      <c r="O208" s="1123"/>
      <c r="P208" s="1123"/>
      <c r="Q208" s="1123"/>
      <c r="R208" s="1123"/>
      <c r="S208" s="1123"/>
      <c r="T208" s="1123"/>
      <c r="U208" s="1123"/>
      <c r="V208" s="1224"/>
    </row>
    <row r="209" spans="1:22" s="1286" customFormat="1" ht="12.75" customHeight="1">
      <c r="A209" s="1289"/>
      <c r="B209" s="1123"/>
      <c r="C209" s="1123"/>
      <c r="D209" s="1123"/>
      <c r="E209" s="1123"/>
      <c r="F209" s="1123"/>
      <c r="G209" s="1123"/>
      <c r="H209" s="1123"/>
      <c r="I209" s="1123"/>
      <c r="J209" s="1123"/>
      <c r="K209" s="1123"/>
      <c r="L209" s="1123"/>
      <c r="M209" s="1123"/>
      <c r="N209" s="1123"/>
      <c r="O209" s="1123"/>
      <c r="P209" s="1123"/>
      <c r="Q209" s="1123"/>
      <c r="R209" s="1123"/>
      <c r="S209" s="1123"/>
      <c r="T209" s="1123"/>
      <c r="U209" s="1123"/>
      <c r="V209" s="1224"/>
    </row>
    <row r="210" spans="1:22" s="1286" customFormat="1" ht="12.75" customHeight="1">
      <c r="A210" s="1289"/>
      <c r="B210" s="1123"/>
      <c r="C210" s="1123"/>
      <c r="D210" s="1123"/>
      <c r="E210" s="1123"/>
      <c r="F210" s="1123"/>
      <c r="G210" s="1123"/>
      <c r="H210" s="1123"/>
      <c r="I210" s="1123"/>
      <c r="J210" s="1123"/>
      <c r="K210" s="1123"/>
      <c r="L210" s="1123"/>
      <c r="M210" s="1123"/>
      <c r="N210" s="1123"/>
      <c r="O210" s="1123"/>
      <c r="P210" s="1123"/>
      <c r="Q210" s="1123"/>
      <c r="R210" s="1123"/>
      <c r="S210" s="1123"/>
      <c r="T210" s="1123"/>
      <c r="U210" s="1123"/>
      <c r="V210" s="1224"/>
    </row>
    <row r="211" spans="1:22" s="1286" customFormat="1" ht="12" customHeight="1">
      <c r="A211" s="1289"/>
      <c r="B211" s="1123"/>
      <c r="C211" s="1123"/>
      <c r="D211" s="1123"/>
      <c r="E211" s="1123"/>
      <c r="F211" s="1123"/>
      <c r="G211" s="1123"/>
      <c r="H211" s="1123"/>
      <c r="I211" s="1123"/>
      <c r="J211" s="1123"/>
      <c r="K211" s="1123"/>
      <c r="L211" s="1123"/>
      <c r="M211" s="1123"/>
      <c r="N211" s="1123"/>
      <c r="O211" s="1123"/>
      <c r="P211" s="1123"/>
      <c r="Q211" s="1123"/>
      <c r="R211" s="1123"/>
      <c r="S211" s="1123"/>
      <c r="T211" s="1123"/>
      <c r="U211" s="1123"/>
      <c r="V211" s="1224"/>
    </row>
    <row r="212" spans="1:22" s="1222" customFormat="1" ht="24" customHeight="1">
      <c r="A212" s="1289"/>
      <c r="B212" s="1123"/>
      <c r="C212" s="1123"/>
      <c r="D212" s="1123"/>
      <c r="E212" s="1123"/>
      <c r="F212" s="1123"/>
      <c r="G212" s="1123"/>
      <c r="H212" s="1123"/>
      <c r="I212" s="1123"/>
      <c r="J212" s="1123"/>
      <c r="K212" s="1123"/>
      <c r="L212" s="1123"/>
      <c r="M212" s="1123"/>
      <c r="N212" s="1123"/>
      <c r="O212" s="1123"/>
      <c r="P212" s="1123"/>
      <c r="Q212" s="1123"/>
      <c r="R212" s="1123"/>
      <c r="S212" s="1123"/>
      <c r="T212" s="1123"/>
      <c r="U212" s="1123"/>
      <c r="V212" s="1224"/>
    </row>
    <row r="213" spans="1:22" s="1919" customFormat="1" ht="11.25" customHeight="1">
      <c r="A213" s="1289"/>
      <c r="B213" s="1123"/>
      <c r="C213" s="1123"/>
      <c r="D213" s="1123"/>
      <c r="E213" s="1123"/>
      <c r="F213" s="1123"/>
      <c r="G213" s="1123"/>
      <c r="H213" s="1123"/>
      <c r="I213" s="1123"/>
      <c r="J213" s="1123"/>
      <c r="K213" s="1123"/>
      <c r="L213" s="1123"/>
      <c r="M213" s="1123"/>
      <c r="N213" s="1123"/>
      <c r="O213" s="1123"/>
      <c r="P213" s="1123"/>
      <c r="Q213" s="1123"/>
      <c r="R213" s="1123"/>
      <c r="S213" s="1123"/>
      <c r="T213" s="1123"/>
      <c r="U213" s="1123"/>
      <c r="V213" s="1224"/>
    </row>
    <row r="214" spans="1:22" s="1919" customFormat="1" ht="12.75" customHeight="1">
      <c r="A214" s="1289"/>
      <c r="B214" s="1123"/>
      <c r="C214" s="1123"/>
      <c r="D214" s="1123"/>
      <c r="E214" s="1123"/>
      <c r="F214" s="1123"/>
      <c r="G214" s="1123"/>
      <c r="H214" s="1123"/>
      <c r="I214" s="1123"/>
      <c r="J214" s="1123"/>
      <c r="K214" s="1123"/>
      <c r="L214" s="1123"/>
      <c r="M214" s="1123"/>
      <c r="N214" s="1123"/>
      <c r="O214" s="1123"/>
      <c r="P214" s="1123"/>
      <c r="Q214" s="1123"/>
      <c r="R214" s="1123"/>
      <c r="S214" s="1123"/>
      <c r="T214" s="1123"/>
      <c r="U214" s="1123"/>
      <c r="V214" s="1224"/>
    </row>
    <row r="215" spans="1:22" s="1919" customFormat="1">
      <c r="A215" s="1289"/>
      <c r="B215" s="1123"/>
      <c r="C215" s="1123"/>
      <c r="D215" s="1123"/>
      <c r="E215" s="1123"/>
      <c r="F215" s="1123"/>
      <c r="G215" s="1123"/>
      <c r="H215" s="1123"/>
      <c r="I215" s="1123"/>
      <c r="J215" s="1123"/>
      <c r="K215" s="1123"/>
      <c r="L215" s="1123"/>
      <c r="M215" s="1123"/>
      <c r="N215" s="1123"/>
      <c r="O215" s="1123"/>
      <c r="P215" s="1123"/>
      <c r="Q215" s="1123"/>
      <c r="R215" s="1123"/>
      <c r="S215" s="1123"/>
      <c r="T215" s="1123"/>
      <c r="U215" s="1123"/>
      <c r="V215" s="1224"/>
    </row>
    <row r="216" spans="1:22" s="1919" customFormat="1">
      <c r="A216" s="1289"/>
      <c r="B216" s="1123"/>
      <c r="C216" s="1123"/>
      <c r="D216" s="1123"/>
      <c r="E216" s="1123"/>
      <c r="F216" s="1123"/>
      <c r="G216" s="1123"/>
      <c r="H216" s="1123"/>
      <c r="I216" s="1123"/>
      <c r="J216" s="1123"/>
      <c r="K216" s="1123"/>
      <c r="L216" s="1123"/>
      <c r="M216" s="1123"/>
      <c r="N216" s="1123"/>
      <c r="O216" s="1123"/>
      <c r="P216" s="1123"/>
      <c r="Q216" s="1123"/>
      <c r="R216" s="1123"/>
      <c r="S216" s="1123"/>
      <c r="T216" s="1123"/>
      <c r="U216" s="1123"/>
      <c r="V216" s="1224"/>
    </row>
    <row r="217" spans="1:22" s="1919" customFormat="1">
      <c r="A217" s="1289"/>
      <c r="B217" s="1123"/>
      <c r="C217" s="1123"/>
      <c r="D217" s="1123"/>
      <c r="E217" s="1123"/>
      <c r="F217" s="1123"/>
      <c r="G217" s="1123"/>
      <c r="H217" s="1123"/>
      <c r="I217" s="1123"/>
      <c r="J217" s="1123"/>
      <c r="K217" s="1123"/>
      <c r="L217" s="1123"/>
      <c r="M217" s="1123"/>
      <c r="N217" s="1123"/>
      <c r="O217" s="1123"/>
      <c r="P217" s="1123"/>
      <c r="Q217" s="1123"/>
      <c r="R217" s="1123"/>
      <c r="S217" s="1123"/>
      <c r="T217" s="1123"/>
      <c r="U217" s="1123"/>
      <c r="V217" s="1224"/>
    </row>
    <row r="218" spans="1:22" s="1919" customFormat="1">
      <c r="A218" s="1289"/>
      <c r="B218" s="1123"/>
      <c r="C218" s="1123"/>
      <c r="D218" s="1123"/>
      <c r="E218" s="1123"/>
      <c r="F218" s="1123"/>
      <c r="G218" s="1123"/>
      <c r="H218" s="1123"/>
      <c r="I218" s="1123"/>
      <c r="J218" s="1123"/>
      <c r="K218" s="1123"/>
      <c r="L218" s="1123"/>
      <c r="M218" s="1123"/>
      <c r="N218" s="1123"/>
      <c r="O218" s="1123"/>
      <c r="P218" s="1123"/>
      <c r="Q218" s="1123"/>
      <c r="R218" s="1123"/>
      <c r="S218" s="1123"/>
      <c r="T218" s="1123"/>
      <c r="U218" s="1123"/>
      <c r="V218" s="1224"/>
    </row>
    <row r="219" spans="1:22" s="1919" customFormat="1" ht="21.75" customHeight="1">
      <c r="A219" s="1289"/>
      <c r="B219" s="1123"/>
      <c r="C219" s="1123"/>
      <c r="D219" s="1123"/>
      <c r="E219" s="1123"/>
      <c r="F219" s="1123"/>
      <c r="G219" s="1123"/>
      <c r="H219" s="1123"/>
      <c r="I219" s="1123"/>
      <c r="J219" s="1123"/>
      <c r="K219" s="1123"/>
      <c r="L219" s="1123"/>
      <c r="M219" s="1123"/>
      <c r="N219" s="1123"/>
      <c r="O219" s="1123"/>
      <c r="P219" s="1123"/>
      <c r="Q219" s="1123"/>
      <c r="R219" s="1123"/>
      <c r="S219" s="1123"/>
      <c r="T219" s="1123"/>
      <c r="U219" s="1123"/>
      <c r="V219" s="1224"/>
    </row>
    <row r="220" spans="1:22" s="1919" customFormat="1" ht="12.75" customHeight="1">
      <c r="A220" s="1289"/>
      <c r="B220" s="1123"/>
      <c r="C220" s="1123"/>
      <c r="D220" s="1123"/>
      <c r="E220" s="1123"/>
      <c r="F220" s="1123"/>
      <c r="G220" s="1123"/>
      <c r="H220" s="1123"/>
      <c r="I220" s="1123"/>
      <c r="J220" s="1123"/>
      <c r="K220" s="1123"/>
      <c r="L220" s="1123"/>
      <c r="M220" s="1123"/>
      <c r="N220" s="1123"/>
      <c r="O220" s="1123"/>
      <c r="P220" s="1123"/>
      <c r="Q220" s="1123"/>
      <c r="R220" s="1123"/>
      <c r="S220" s="1123"/>
      <c r="T220" s="1123"/>
      <c r="U220" s="1123"/>
      <c r="V220" s="1224"/>
    </row>
    <row r="221" spans="1:22" s="1919" customFormat="1">
      <c r="A221" s="1289"/>
      <c r="B221" s="1123"/>
      <c r="C221" s="1123"/>
      <c r="D221" s="1123"/>
      <c r="E221" s="1123"/>
      <c r="F221" s="1123"/>
      <c r="G221" s="1123"/>
      <c r="H221" s="1123"/>
      <c r="I221" s="1123"/>
      <c r="J221" s="1123"/>
      <c r="K221" s="1123"/>
      <c r="L221" s="1123"/>
      <c r="M221" s="1123"/>
      <c r="N221" s="1123"/>
      <c r="O221" s="1123"/>
      <c r="P221" s="1123"/>
      <c r="Q221" s="1123"/>
      <c r="R221" s="1123"/>
      <c r="S221" s="1123"/>
      <c r="T221" s="1123"/>
      <c r="U221" s="1123"/>
      <c r="V221" s="1224"/>
    </row>
    <row r="222" spans="1:22" s="1919" customFormat="1">
      <c r="A222" s="1289"/>
      <c r="B222" s="1123"/>
      <c r="C222" s="1123"/>
      <c r="D222" s="1123"/>
      <c r="E222" s="1123"/>
      <c r="F222" s="1123"/>
      <c r="G222" s="1123"/>
      <c r="H222" s="1123"/>
      <c r="I222" s="1123"/>
      <c r="J222" s="1123"/>
      <c r="K222" s="1123"/>
      <c r="L222" s="1123"/>
      <c r="M222" s="1123"/>
      <c r="N222" s="1123"/>
      <c r="O222" s="1123"/>
      <c r="P222" s="1123"/>
      <c r="Q222" s="1123"/>
      <c r="R222" s="1123"/>
      <c r="S222" s="1123"/>
      <c r="T222" s="1123"/>
      <c r="U222" s="1123"/>
      <c r="V222" s="1224"/>
    </row>
    <row r="223" spans="1:22" s="1919" customFormat="1">
      <c r="A223" s="1289"/>
      <c r="B223" s="1123"/>
      <c r="C223" s="1123"/>
      <c r="D223" s="1123"/>
      <c r="E223" s="1123"/>
      <c r="F223" s="1123"/>
      <c r="G223" s="1123"/>
      <c r="H223" s="1123"/>
      <c r="I223" s="1123"/>
      <c r="J223" s="1123"/>
      <c r="K223" s="1123"/>
      <c r="L223" s="1123"/>
      <c r="M223" s="1123"/>
      <c r="N223" s="1123"/>
      <c r="O223" s="1123"/>
      <c r="P223" s="1123"/>
      <c r="Q223" s="1123"/>
      <c r="R223" s="1123"/>
      <c r="S223" s="1123"/>
      <c r="T223" s="1123"/>
      <c r="U223" s="1123"/>
      <c r="V223" s="1224"/>
    </row>
    <row r="224" spans="1:22" s="1919" customFormat="1">
      <c r="A224" s="1289"/>
      <c r="B224" s="1123"/>
      <c r="C224" s="1123"/>
      <c r="D224" s="1123"/>
      <c r="E224" s="1123"/>
      <c r="F224" s="1123"/>
      <c r="G224" s="1123"/>
      <c r="H224" s="1123"/>
      <c r="I224" s="1123"/>
      <c r="J224" s="1123"/>
      <c r="K224" s="1123"/>
      <c r="L224" s="1123"/>
      <c r="M224" s="1123"/>
      <c r="N224" s="1123"/>
      <c r="O224" s="1123"/>
      <c r="P224" s="1123"/>
      <c r="Q224" s="1123"/>
      <c r="R224" s="1123"/>
      <c r="S224" s="1123"/>
      <c r="T224" s="1123"/>
      <c r="U224" s="1123"/>
      <c r="V224" s="1224"/>
    </row>
    <row r="225" spans="1:22" s="1919" customFormat="1">
      <c r="A225" s="1289"/>
      <c r="B225" s="1123"/>
      <c r="C225" s="1123"/>
      <c r="D225" s="1123"/>
      <c r="E225" s="1123"/>
      <c r="F225" s="1123"/>
      <c r="G225" s="1123"/>
      <c r="H225" s="1123"/>
      <c r="I225" s="1123"/>
      <c r="J225" s="1123"/>
      <c r="K225" s="1123"/>
      <c r="L225" s="1123"/>
      <c r="M225" s="1123"/>
      <c r="N225" s="1123"/>
      <c r="O225" s="1123"/>
      <c r="P225" s="1123"/>
      <c r="Q225" s="1123"/>
      <c r="R225" s="1123"/>
      <c r="S225" s="1123"/>
      <c r="T225" s="1123"/>
      <c r="U225" s="1123"/>
      <c r="V225" s="1224"/>
    </row>
    <row r="226" spans="1:22" s="1919" customFormat="1" ht="32.25" customHeight="1">
      <c r="A226" s="1289"/>
      <c r="B226" s="1123"/>
      <c r="C226" s="1123"/>
      <c r="D226" s="1123"/>
      <c r="E226" s="1123"/>
      <c r="F226" s="1123"/>
      <c r="G226" s="1123"/>
      <c r="H226" s="1123"/>
      <c r="I226" s="1123"/>
      <c r="J226" s="1123"/>
      <c r="K226" s="1123"/>
      <c r="L226" s="1123"/>
      <c r="M226" s="1123"/>
      <c r="N226" s="1123"/>
      <c r="O226" s="1123"/>
      <c r="P226" s="1123"/>
      <c r="Q226" s="1123"/>
      <c r="R226" s="1123"/>
      <c r="S226" s="1123"/>
      <c r="T226" s="1123"/>
      <c r="U226" s="1123"/>
      <c r="V226" s="1224"/>
    </row>
    <row r="227" spans="1:22" s="1919" customFormat="1" ht="15" customHeight="1">
      <c r="A227" s="1289"/>
      <c r="B227" s="1123"/>
      <c r="C227" s="1123"/>
      <c r="D227" s="1123"/>
      <c r="E227" s="1123"/>
      <c r="F227" s="1123"/>
      <c r="G227" s="1123"/>
      <c r="H227" s="1123"/>
      <c r="I227" s="1123"/>
      <c r="J227" s="1123"/>
      <c r="K227" s="1123"/>
      <c r="L227" s="1123"/>
      <c r="M227" s="1123"/>
      <c r="N227" s="1123"/>
      <c r="O227" s="1123"/>
      <c r="P227" s="1123"/>
      <c r="Q227" s="1123"/>
      <c r="R227" s="1123"/>
      <c r="S227" s="1123"/>
      <c r="T227" s="1123"/>
      <c r="U227" s="1123"/>
      <c r="V227" s="1224"/>
    </row>
    <row r="228" spans="1:22" s="1919" customFormat="1" ht="12.75" customHeight="1">
      <c r="A228" s="1289"/>
      <c r="B228" s="1123"/>
      <c r="C228" s="1123"/>
      <c r="D228" s="1123"/>
      <c r="E228" s="1123"/>
      <c r="F228" s="1123"/>
      <c r="G228" s="1123"/>
      <c r="H228" s="1123"/>
      <c r="I228" s="1123"/>
      <c r="J228" s="1123"/>
      <c r="K228" s="1123"/>
      <c r="L228" s="1123"/>
      <c r="M228" s="1123"/>
      <c r="N228" s="1123"/>
      <c r="O228" s="1123"/>
      <c r="P228" s="1123"/>
      <c r="Q228" s="1123"/>
      <c r="R228" s="1123"/>
      <c r="S228" s="1123"/>
      <c r="T228" s="1123"/>
      <c r="U228" s="1123"/>
      <c r="V228" s="1224"/>
    </row>
    <row r="229" spans="1:22" s="1919" customFormat="1">
      <c r="A229" s="1289"/>
      <c r="B229" s="1123"/>
      <c r="C229" s="1123"/>
      <c r="D229" s="1123"/>
      <c r="E229" s="1123"/>
      <c r="F229" s="1123"/>
      <c r="G229" s="1123"/>
      <c r="H229" s="1123"/>
      <c r="I229" s="1123"/>
      <c r="J229" s="1123"/>
      <c r="K229" s="1123"/>
      <c r="L229" s="1123"/>
      <c r="M229" s="1123"/>
      <c r="N229" s="1123"/>
      <c r="O229" s="1123"/>
      <c r="P229" s="1123"/>
      <c r="Q229" s="1123"/>
      <c r="R229" s="1123"/>
      <c r="S229" s="1123"/>
      <c r="T229" s="1123"/>
      <c r="U229" s="1123"/>
      <c r="V229" s="1224"/>
    </row>
    <row r="230" spans="1:22" s="1919" customFormat="1">
      <c r="A230" s="1289"/>
      <c r="B230" s="1123"/>
      <c r="C230" s="1123"/>
      <c r="D230" s="1123"/>
      <c r="E230" s="1123"/>
      <c r="F230" s="1123"/>
      <c r="G230" s="1123"/>
      <c r="H230" s="1123"/>
      <c r="I230" s="1123"/>
      <c r="J230" s="1123"/>
      <c r="K230" s="1123"/>
      <c r="L230" s="1123"/>
      <c r="M230" s="1123"/>
      <c r="N230" s="1123"/>
      <c r="O230" s="1123"/>
      <c r="P230" s="1123"/>
      <c r="Q230" s="1123"/>
      <c r="R230" s="1123"/>
      <c r="S230" s="1123"/>
      <c r="T230" s="1123"/>
      <c r="U230" s="1123"/>
      <c r="V230" s="1224"/>
    </row>
    <row r="231" spans="1:22" s="1919" customFormat="1">
      <c r="A231" s="1289"/>
      <c r="B231" s="1123"/>
      <c r="C231" s="1123"/>
      <c r="D231" s="1123"/>
      <c r="E231" s="1123"/>
      <c r="F231" s="1123"/>
      <c r="G231" s="1123"/>
      <c r="H231" s="1123"/>
      <c r="I231" s="1123"/>
      <c r="J231" s="1123"/>
      <c r="K231" s="1123"/>
      <c r="L231" s="1123"/>
      <c r="M231" s="1123"/>
      <c r="N231" s="1123"/>
      <c r="O231" s="1123"/>
      <c r="P231" s="1123"/>
      <c r="Q231" s="1123"/>
      <c r="R231" s="1123"/>
      <c r="S231" s="1123"/>
      <c r="T231" s="1123"/>
      <c r="U231" s="1123"/>
      <c r="V231" s="1224"/>
    </row>
    <row r="232" spans="1:22" s="1919" customFormat="1" ht="11.25" customHeight="1">
      <c r="A232" s="1289"/>
      <c r="B232" s="1123"/>
      <c r="C232" s="1123"/>
      <c r="D232" s="1123"/>
      <c r="E232" s="1123"/>
      <c r="F232" s="1123"/>
      <c r="G232" s="1123"/>
      <c r="H232" s="1123"/>
      <c r="I232" s="1123"/>
      <c r="J232" s="1123"/>
      <c r="K232" s="1123"/>
      <c r="L232" s="1123"/>
      <c r="M232" s="1123"/>
      <c r="N232" s="1123"/>
      <c r="O232" s="1123"/>
      <c r="P232" s="1123"/>
      <c r="Q232" s="1123"/>
      <c r="R232" s="1123"/>
      <c r="S232" s="1123"/>
      <c r="T232" s="1123"/>
      <c r="U232" s="1123"/>
      <c r="V232" s="1224"/>
    </row>
    <row r="233" spans="1:22" s="1919" customFormat="1" ht="12.75" customHeight="1">
      <c r="A233" s="1289"/>
      <c r="B233" s="1123"/>
      <c r="C233" s="1123"/>
      <c r="D233" s="1123"/>
      <c r="E233" s="1123"/>
      <c r="F233" s="1123"/>
      <c r="G233" s="1123"/>
      <c r="H233" s="1123"/>
      <c r="I233" s="1123"/>
      <c r="J233" s="1123"/>
      <c r="K233" s="1123"/>
      <c r="L233" s="1123"/>
      <c r="M233" s="1123"/>
      <c r="N233" s="1123"/>
      <c r="O233" s="1123"/>
      <c r="P233" s="1123"/>
      <c r="Q233" s="1123"/>
      <c r="R233" s="1123"/>
      <c r="S233" s="1123"/>
      <c r="T233" s="1123"/>
      <c r="U233" s="1123"/>
      <c r="V233" s="1224"/>
    </row>
    <row r="234" spans="1:22" s="1919" customFormat="1" ht="12.75" customHeight="1">
      <c r="A234" s="1289"/>
      <c r="B234" s="1123"/>
      <c r="C234" s="1123"/>
      <c r="D234" s="1123"/>
      <c r="E234" s="1123"/>
      <c r="F234" s="1123"/>
      <c r="G234" s="1123"/>
      <c r="H234" s="1123"/>
      <c r="I234" s="1123"/>
      <c r="J234" s="1123"/>
      <c r="K234" s="1123"/>
      <c r="L234" s="1123"/>
      <c r="M234" s="1123"/>
      <c r="N234" s="1123"/>
      <c r="O234" s="1123"/>
      <c r="P234" s="1123"/>
      <c r="Q234" s="1123"/>
      <c r="R234" s="1123"/>
      <c r="S234" s="1123"/>
      <c r="T234" s="1123"/>
      <c r="U234" s="1123"/>
      <c r="V234" s="1224"/>
    </row>
    <row r="235" spans="1:22" s="1919" customFormat="1">
      <c r="A235" s="1289"/>
      <c r="B235" s="1123"/>
      <c r="C235" s="1123"/>
      <c r="D235" s="1123"/>
      <c r="E235" s="1123"/>
      <c r="F235" s="1123"/>
      <c r="G235" s="1123"/>
      <c r="H235" s="1123"/>
      <c r="I235" s="1123"/>
      <c r="J235" s="1123"/>
      <c r="K235" s="1123"/>
      <c r="L235" s="1123"/>
      <c r="M235" s="1123"/>
      <c r="N235" s="1123"/>
      <c r="O235" s="1123"/>
      <c r="P235" s="1123"/>
      <c r="Q235" s="1123"/>
      <c r="R235" s="1123"/>
      <c r="S235" s="1123"/>
      <c r="T235" s="1123"/>
      <c r="U235" s="1123"/>
      <c r="V235" s="1224"/>
    </row>
    <row r="236" spans="1:22" s="1919" customFormat="1">
      <c r="A236" s="1289"/>
      <c r="B236" s="1123"/>
      <c r="C236" s="1123"/>
      <c r="D236" s="1123"/>
      <c r="E236" s="1123"/>
      <c r="F236" s="1123"/>
      <c r="G236" s="1123"/>
      <c r="H236" s="1123"/>
      <c r="I236" s="1123"/>
      <c r="J236" s="1123"/>
      <c r="K236" s="1123"/>
      <c r="L236" s="1123"/>
      <c r="M236" s="1123"/>
      <c r="N236" s="1123"/>
      <c r="O236" s="1123"/>
      <c r="P236" s="1123"/>
      <c r="Q236" s="1123"/>
      <c r="R236" s="1123"/>
      <c r="S236" s="1123"/>
      <c r="T236" s="1123"/>
      <c r="U236" s="1123"/>
      <c r="V236" s="1224"/>
    </row>
    <row r="237" spans="1:22" s="1919" customFormat="1">
      <c r="A237" s="1289"/>
      <c r="B237" s="1123"/>
      <c r="C237" s="1123"/>
      <c r="D237" s="1123"/>
      <c r="E237" s="1123"/>
      <c r="F237" s="1123"/>
      <c r="G237" s="1123"/>
      <c r="H237" s="1123"/>
      <c r="I237" s="1123"/>
      <c r="J237" s="1123"/>
      <c r="K237" s="1123"/>
      <c r="L237" s="1123"/>
      <c r="M237" s="1123"/>
      <c r="N237" s="1123"/>
      <c r="O237" s="1123"/>
      <c r="P237" s="1123"/>
      <c r="Q237" s="1123"/>
      <c r="R237" s="1123"/>
      <c r="S237" s="1123"/>
      <c r="T237" s="1123"/>
      <c r="U237" s="1123"/>
      <c r="V237" s="1224"/>
    </row>
    <row r="238" spans="1:22" s="1919" customFormat="1">
      <c r="A238" s="1289"/>
      <c r="B238" s="1123"/>
      <c r="C238" s="1123"/>
      <c r="D238" s="1123"/>
      <c r="E238" s="1123"/>
      <c r="F238" s="1123"/>
      <c r="G238" s="1123"/>
      <c r="H238" s="1123"/>
      <c r="I238" s="1123"/>
      <c r="J238" s="1123"/>
      <c r="K238" s="1123"/>
      <c r="L238" s="1123"/>
      <c r="M238" s="1123"/>
      <c r="N238" s="1123"/>
      <c r="O238" s="1123"/>
      <c r="P238" s="1123"/>
      <c r="Q238" s="1123"/>
      <c r="R238" s="1123"/>
      <c r="S238" s="1123"/>
      <c r="T238" s="1123"/>
      <c r="U238" s="1123"/>
      <c r="V238" s="1224"/>
    </row>
    <row r="239" spans="1:22" s="1921" customFormat="1" ht="24.75" customHeight="1">
      <c r="A239" s="1289"/>
      <c r="B239" s="1123"/>
      <c r="C239" s="1123"/>
      <c r="D239" s="1123"/>
      <c r="E239" s="1123"/>
      <c r="F239" s="1123"/>
      <c r="G239" s="1123"/>
      <c r="H239" s="1123"/>
      <c r="I239" s="1123"/>
      <c r="J239" s="1123"/>
      <c r="K239" s="1123"/>
      <c r="L239" s="1123"/>
      <c r="M239" s="1123"/>
      <c r="N239" s="1123"/>
      <c r="O239" s="1123"/>
      <c r="P239" s="1123"/>
      <c r="Q239" s="1123"/>
      <c r="R239" s="1123"/>
      <c r="S239" s="1123"/>
      <c r="T239" s="1123"/>
      <c r="U239" s="1123"/>
      <c r="V239" s="1224"/>
    </row>
    <row r="240" spans="1:22" s="1919" customFormat="1" ht="12.75" customHeight="1">
      <c r="A240" s="1289"/>
      <c r="B240" s="1123"/>
      <c r="C240" s="1123"/>
      <c r="D240" s="1123"/>
      <c r="E240" s="1123"/>
      <c r="F240" s="1123"/>
      <c r="G240" s="1123"/>
      <c r="H240" s="1123"/>
      <c r="I240" s="1123"/>
      <c r="J240" s="1123"/>
      <c r="K240" s="1123"/>
      <c r="L240" s="1123"/>
      <c r="M240" s="1123"/>
      <c r="N240" s="1123"/>
      <c r="O240" s="1123"/>
      <c r="P240" s="1123"/>
      <c r="Q240" s="1123"/>
      <c r="R240" s="1123"/>
      <c r="S240" s="1123"/>
      <c r="T240" s="1123"/>
      <c r="U240" s="1123"/>
      <c r="V240" s="1224"/>
    </row>
    <row r="241" spans="1:22" s="1919" customFormat="1" ht="12.75" customHeight="1">
      <c r="A241" s="1289"/>
      <c r="B241" s="1123"/>
      <c r="C241" s="1123"/>
      <c r="D241" s="1123"/>
      <c r="E241" s="1123"/>
      <c r="F241" s="1123"/>
      <c r="G241" s="1123"/>
      <c r="H241" s="1123"/>
      <c r="I241" s="1123"/>
      <c r="J241" s="1123"/>
      <c r="K241" s="1123"/>
      <c r="L241" s="1123"/>
      <c r="M241" s="1123"/>
      <c r="N241" s="1123"/>
      <c r="O241" s="1123"/>
      <c r="P241" s="1123"/>
      <c r="Q241" s="1123"/>
      <c r="R241" s="1123"/>
      <c r="S241" s="1123"/>
      <c r="T241" s="1123"/>
      <c r="U241" s="1123"/>
      <c r="V241" s="1224"/>
    </row>
    <row r="242" spans="1:22" s="1919" customFormat="1">
      <c r="A242" s="1289"/>
      <c r="B242" s="1123"/>
      <c r="C242" s="1123"/>
      <c r="D242" s="1123"/>
      <c r="E242" s="1123"/>
      <c r="F242" s="1123"/>
      <c r="G242" s="1123"/>
      <c r="H242" s="1123"/>
      <c r="I242" s="1123"/>
      <c r="J242" s="1123"/>
      <c r="K242" s="1123"/>
      <c r="L242" s="1123"/>
      <c r="M242" s="1123"/>
      <c r="N242" s="1123"/>
      <c r="O242" s="1123"/>
      <c r="P242" s="1123"/>
      <c r="Q242" s="1123"/>
      <c r="R242" s="1123"/>
      <c r="S242" s="1123"/>
      <c r="T242" s="1123"/>
      <c r="U242" s="1123"/>
      <c r="V242" s="1224"/>
    </row>
    <row r="243" spans="1:22" s="1919" customFormat="1">
      <c r="A243" s="1289"/>
      <c r="B243" s="1123"/>
      <c r="C243" s="1123"/>
      <c r="D243" s="1123"/>
      <c r="E243" s="1123"/>
      <c r="F243" s="1123"/>
      <c r="G243" s="1123"/>
      <c r="H243" s="1123"/>
      <c r="I243" s="1123"/>
      <c r="J243" s="1123"/>
      <c r="K243" s="1123"/>
      <c r="L243" s="1123"/>
      <c r="M243" s="1123"/>
      <c r="N243" s="1123"/>
      <c r="O243" s="1123"/>
      <c r="P243" s="1123"/>
      <c r="Q243" s="1123"/>
      <c r="R243" s="1123"/>
      <c r="S243" s="1123"/>
      <c r="T243" s="1123"/>
      <c r="U243" s="1123"/>
      <c r="V243" s="1224"/>
    </row>
    <row r="244" spans="1:22" s="1919" customFormat="1">
      <c r="A244" s="1289"/>
      <c r="B244" s="1123"/>
      <c r="C244" s="1123"/>
      <c r="D244" s="1123"/>
      <c r="E244" s="1123"/>
      <c r="F244" s="1123"/>
      <c r="G244" s="1123"/>
      <c r="H244" s="1123"/>
      <c r="I244" s="1123"/>
      <c r="J244" s="1123"/>
      <c r="K244" s="1123"/>
      <c r="L244" s="1123"/>
      <c r="M244" s="1123"/>
      <c r="N244" s="1123"/>
      <c r="O244" s="1123"/>
      <c r="P244" s="1123"/>
      <c r="Q244" s="1123"/>
      <c r="R244" s="1123"/>
      <c r="S244" s="1123"/>
      <c r="T244" s="1123"/>
      <c r="U244" s="1123"/>
      <c r="V244" s="1224"/>
    </row>
    <row r="245" spans="1:22" s="1921" customFormat="1" ht="23.25" customHeight="1">
      <c r="A245" s="1289"/>
      <c r="B245" s="1123"/>
      <c r="C245" s="1123"/>
      <c r="D245" s="1123"/>
      <c r="E245" s="1123"/>
      <c r="F245" s="1123"/>
      <c r="G245" s="1123"/>
      <c r="H245" s="1123"/>
      <c r="I245" s="1123"/>
      <c r="J245" s="1123"/>
      <c r="K245" s="1123"/>
      <c r="L245" s="1123"/>
      <c r="M245" s="1123"/>
      <c r="N245" s="1123"/>
      <c r="O245" s="1123"/>
      <c r="P245" s="1123"/>
      <c r="Q245" s="1123"/>
      <c r="R245" s="1123"/>
      <c r="S245" s="1123"/>
      <c r="T245" s="1123"/>
      <c r="U245" s="1123"/>
      <c r="V245" s="1224"/>
    </row>
    <row r="246" spans="1:22" s="1919" customFormat="1" ht="15" customHeight="1">
      <c r="A246" s="1289"/>
      <c r="B246" s="1123"/>
      <c r="C246" s="1123"/>
      <c r="D246" s="1123"/>
      <c r="E246" s="1123"/>
      <c r="F246" s="1123"/>
      <c r="G246" s="1123"/>
      <c r="H246" s="1123"/>
      <c r="I246" s="1123"/>
      <c r="J246" s="1123"/>
      <c r="K246" s="1123"/>
      <c r="L246" s="1123"/>
      <c r="M246" s="1123"/>
      <c r="N246" s="1123"/>
      <c r="O246" s="1123"/>
      <c r="P246" s="1123"/>
      <c r="Q246" s="1123"/>
      <c r="R246" s="1123"/>
      <c r="S246" s="1123"/>
      <c r="T246" s="1123"/>
      <c r="U246" s="1123"/>
      <c r="V246" s="1224"/>
    </row>
    <row r="247" spans="1:22" s="1919" customFormat="1" ht="12.75" customHeight="1">
      <c r="A247" s="1289"/>
      <c r="B247" s="1123"/>
      <c r="C247" s="1123"/>
      <c r="D247" s="1123"/>
      <c r="E247" s="1123"/>
      <c r="F247" s="1123"/>
      <c r="G247" s="1123"/>
      <c r="H247" s="1123"/>
      <c r="I247" s="1123"/>
      <c r="J247" s="1123"/>
      <c r="K247" s="1123"/>
      <c r="L247" s="1123"/>
      <c r="M247" s="1123"/>
      <c r="N247" s="1123"/>
      <c r="O247" s="1123"/>
      <c r="P247" s="1123"/>
      <c r="Q247" s="1123"/>
      <c r="R247" s="1123"/>
      <c r="S247" s="1123"/>
      <c r="T247" s="1123"/>
      <c r="U247" s="1123"/>
      <c r="V247" s="1224"/>
    </row>
    <row r="248" spans="1:22" s="1919" customFormat="1">
      <c r="A248" s="1289"/>
      <c r="B248" s="1123"/>
      <c r="C248" s="1123"/>
      <c r="D248" s="1123"/>
      <c r="E248" s="1123"/>
      <c r="F248" s="1123"/>
      <c r="G248" s="1123"/>
      <c r="H248" s="1123"/>
      <c r="I248" s="1123"/>
      <c r="J248" s="1123"/>
      <c r="K248" s="1123"/>
      <c r="L248" s="1123"/>
      <c r="M248" s="1123"/>
      <c r="N248" s="1123"/>
      <c r="O248" s="1123"/>
      <c r="P248" s="1123"/>
      <c r="Q248" s="1123"/>
      <c r="R248" s="1123"/>
      <c r="S248" s="1123"/>
      <c r="T248" s="1123"/>
      <c r="U248" s="1123"/>
      <c r="V248" s="1224"/>
    </row>
    <row r="249" spans="1:22" s="1919" customFormat="1">
      <c r="A249" s="1289"/>
      <c r="B249" s="1123"/>
      <c r="C249" s="1123"/>
      <c r="D249" s="1123"/>
      <c r="E249" s="1123"/>
      <c r="F249" s="1123"/>
      <c r="G249" s="1123"/>
      <c r="H249" s="1123"/>
      <c r="I249" s="1123"/>
      <c r="J249" s="1123"/>
      <c r="K249" s="1123"/>
      <c r="L249" s="1123"/>
      <c r="M249" s="1123"/>
      <c r="N249" s="1123"/>
      <c r="O249" s="1123"/>
      <c r="P249" s="1123"/>
      <c r="Q249" s="1123"/>
      <c r="R249" s="1123"/>
      <c r="S249" s="1123"/>
      <c r="T249" s="1123"/>
      <c r="U249" s="1123"/>
      <c r="V249" s="1224"/>
    </row>
    <row r="250" spans="1:22" s="1921" customFormat="1" ht="12.75" customHeight="1">
      <c r="A250" s="1289"/>
      <c r="B250" s="1123"/>
      <c r="C250" s="1123"/>
      <c r="D250" s="1123"/>
      <c r="E250" s="1123"/>
      <c r="F250" s="1123"/>
      <c r="G250" s="1123"/>
      <c r="H250" s="1123"/>
      <c r="I250" s="1123"/>
      <c r="J250" s="1123"/>
      <c r="K250" s="1123"/>
      <c r="L250" s="1123"/>
      <c r="M250" s="1123"/>
      <c r="N250" s="1123"/>
      <c r="O250" s="1123"/>
      <c r="P250" s="1123"/>
      <c r="Q250" s="1123"/>
      <c r="R250" s="1123"/>
      <c r="S250" s="1123"/>
      <c r="T250" s="1123"/>
      <c r="U250" s="1123"/>
      <c r="V250" s="1224"/>
    </row>
    <row r="251" spans="1:22" s="1919" customFormat="1" ht="9.75" customHeight="1">
      <c r="A251" s="1289"/>
      <c r="B251" s="1123"/>
      <c r="C251" s="1123"/>
      <c r="D251" s="1123"/>
      <c r="E251" s="1123"/>
      <c r="F251" s="1123"/>
      <c r="G251" s="1123"/>
      <c r="H251" s="1123"/>
      <c r="I251" s="1123"/>
      <c r="J251" s="1123"/>
      <c r="K251" s="1123"/>
      <c r="L251" s="1123"/>
      <c r="M251" s="1123"/>
      <c r="N251" s="1123"/>
      <c r="O251" s="1123"/>
      <c r="P251" s="1123"/>
      <c r="Q251" s="1123"/>
      <c r="R251" s="1123"/>
      <c r="S251" s="1123"/>
      <c r="T251" s="1123"/>
      <c r="U251" s="1123"/>
      <c r="V251" s="1224"/>
    </row>
    <row r="252" spans="1:22" s="1919" customFormat="1" ht="12.75" customHeight="1">
      <c r="A252" s="1289"/>
      <c r="B252" s="1123"/>
      <c r="C252" s="1123"/>
      <c r="D252" s="1123"/>
      <c r="E252" s="1123"/>
      <c r="F252" s="1123"/>
      <c r="G252" s="1123"/>
      <c r="H252" s="1123"/>
      <c r="I252" s="1123"/>
      <c r="J252" s="1123"/>
      <c r="K252" s="1123"/>
      <c r="L252" s="1123"/>
      <c r="M252" s="1123"/>
      <c r="N252" s="1123"/>
      <c r="O252" s="1123"/>
      <c r="P252" s="1123"/>
      <c r="Q252" s="1123"/>
      <c r="R252" s="1123"/>
      <c r="S252" s="1123"/>
      <c r="T252" s="1123"/>
      <c r="U252" s="1123"/>
      <c r="V252" s="1224"/>
    </row>
    <row r="253" spans="1:22" s="1919" customFormat="1">
      <c r="A253" s="1289"/>
      <c r="B253" s="1123"/>
      <c r="C253" s="1123"/>
      <c r="D253" s="1123"/>
      <c r="E253" s="1123"/>
      <c r="F253" s="1123"/>
      <c r="G253" s="1123"/>
      <c r="H253" s="1123"/>
      <c r="I253" s="1123"/>
      <c r="J253" s="1123"/>
      <c r="K253" s="1123"/>
      <c r="L253" s="1123"/>
      <c r="M253" s="1123"/>
      <c r="N253" s="1123"/>
      <c r="O253" s="1123"/>
      <c r="P253" s="1123"/>
      <c r="Q253" s="1123"/>
      <c r="R253" s="1123"/>
      <c r="S253" s="1123"/>
      <c r="T253" s="1123"/>
      <c r="U253" s="1123"/>
      <c r="V253" s="1224"/>
    </row>
    <row r="254" spans="1:22" s="1919" customFormat="1">
      <c r="A254" s="1289"/>
      <c r="B254" s="1123"/>
      <c r="C254" s="1123"/>
      <c r="D254" s="1123"/>
      <c r="E254" s="1123"/>
      <c r="F254" s="1123"/>
      <c r="G254" s="1123"/>
      <c r="H254" s="1123"/>
      <c r="I254" s="1123"/>
      <c r="J254" s="1123"/>
      <c r="K254" s="1123"/>
      <c r="L254" s="1123"/>
      <c r="M254" s="1123"/>
      <c r="N254" s="1123"/>
      <c r="O254" s="1123"/>
      <c r="P254" s="1123"/>
      <c r="Q254" s="1123"/>
      <c r="R254" s="1123"/>
      <c r="S254" s="1123"/>
      <c r="T254" s="1123"/>
      <c r="U254" s="1123"/>
      <c r="V254" s="1224"/>
    </row>
    <row r="255" spans="1:22" s="1222" customFormat="1" ht="24" customHeight="1">
      <c r="A255" s="1289"/>
      <c r="B255" s="1123"/>
      <c r="C255" s="1123"/>
      <c r="D255" s="1123"/>
      <c r="E255" s="1123"/>
      <c r="F255" s="1123"/>
      <c r="G255" s="1123"/>
      <c r="H255" s="1123"/>
      <c r="I255" s="1123"/>
      <c r="J255" s="1123"/>
      <c r="K255" s="1123"/>
      <c r="L255" s="1123"/>
      <c r="M255" s="1123"/>
      <c r="N255" s="1123"/>
      <c r="O255" s="1123"/>
      <c r="P255" s="1123"/>
      <c r="Q255" s="1123"/>
      <c r="R255" s="1123"/>
      <c r="S255" s="1123"/>
      <c r="T255" s="1123"/>
      <c r="U255" s="1123"/>
      <c r="V255" s="1224"/>
    </row>
    <row r="256" spans="1:22" s="1919" customFormat="1" ht="11.25" customHeight="1">
      <c r="A256" s="1289"/>
      <c r="B256" s="1123"/>
      <c r="C256" s="1123"/>
      <c r="D256" s="1123"/>
      <c r="E256" s="1123"/>
      <c r="F256" s="1123"/>
      <c r="G256" s="1123"/>
      <c r="H256" s="1123"/>
      <c r="I256" s="1123"/>
      <c r="J256" s="1123"/>
      <c r="K256" s="1123"/>
      <c r="L256" s="1123"/>
      <c r="M256" s="1123"/>
      <c r="N256" s="1123"/>
      <c r="O256" s="1123"/>
      <c r="P256" s="1123"/>
      <c r="Q256" s="1123"/>
      <c r="R256" s="1123"/>
      <c r="S256" s="1123"/>
      <c r="T256" s="1123"/>
      <c r="U256" s="1123"/>
      <c r="V256" s="1224"/>
    </row>
    <row r="257" spans="1:22" s="1919" customFormat="1" ht="12.75" customHeight="1">
      <c r="A257" s="1289"/>
      <c r="B257" s="1123"/>
      <c r="C257" s="1123"/>
      <c r="D257" s="1123"/>
      <c r="E257" s="1123"/>
      <c r="F257" s="1123"/>
      <c r="G257" s="1123"/>
      <c r="H257" s="1123"/>
      <c r="I257" s="1123"/>
      <c r="J257" s="1123"/>
      <c r="K257" s="1123"/>
      <c r="L257" s="1123"/>
      <c r="M257" s="1123"/>
      <c r="N257" s="1123"/>
      <c r="O257" s="1123"/>
      <c r="P257" s="1123"/>
      <c r="Q257" s="1123"/>
      <c r="R257" s="1123"/>
      <c r="S257" s="1123"/>
      <c r="T257" s="1123"/>
      <c r="U257" s="1123"/>
      <c r="V257" s="1224"/>
    </row>
    <row r="258" spans="1:22" s="1919" customFormat="1">
      <c r="A258" s="1289"/>
      <c r="B258" s="1123"/>
      <c r="C258" s="1123"/>
      <c r="D258" s="1123"/>
      <c r="E258" s="1123"/>
      <c r="F258" s="1123"/>
      <c r="G258" s="1123"/>
      <c r="H258" s="1123"/>
      <c r="I258" s="1123"/>
      <c r="J258" s="1123"/>
      <c r="K258" s="1123"/>
      <c r="L258" s="1123"/>
      <c r="M258" s="1123"/>
      <c r="N258" s="1123"/>
      <c r="O258" s="1123"/>
      <c r="P258" s="1123"/>
      <c r="Q258" s="1123"/>
      <c r="R258" s="1123"/>
      <c r="S258" s="1123"/>
      <c r="T258" s="1123"/>
      <c r="U258" s="1123"/>
      <c r="V258" s="1224"/>
    </row>
    <row r="259" spans="1:22" s="1919" customFormat="1">
      <c r="A259" s="1289"/>
      <c r="B259" s="1123"/>
      <c r="C259" s="1123"/>
      <c r="D259" s="1123"/>
      <c r="E259" s="1123"/>
      <c r="F259" s="1123"/>
      <c r="G259" s="1123"/>
      <c r="H259" s="1123"/>
      <c r="I259" s="1123"/>
      <c r="J259" s="1123"/>
      <c r="K259" s="1123"/>
      <c r="L259" s="1123"/>
      <c r="M259" s="1123"/>
      <c r="N259" s="1123"/>
      <c r="O259" s="1123"/>
      <c r="P259" s="1123"/>
      <c r="Q259" s="1123"/>
      <c r="R259" s="1123"/>
      <c r="S259" s="1123"/>
      <c r="T259" s="1123"/>
      <c r="U259" s="1123"/>
      <c r="V259" s="1224"/>
    </row>
    <row r="260" spans="1:22" s="1919" customFormat="1">
      <c r="A260" s="1289"/>
      <c r="B260" s="1123"/>
      <c r="C260" s="1123"/>
      <c r="D260" s="1123"/>
      <c r="E260" s="1123"/>
      <c r="F260" s="1123"/>
      <c r="G260" s="1123"/>
      <c r="H260" s="1123"/>
      <c r="I260" s="1123"/>
      <c r="J260" s="1123"/>
      <c r="K260" s="1123"/>
      <c r="L260" s="1123"/>
      <c r="M260" s="1123"/>
      <c r="N260" s="1123"/>
      <c r="O260" s="1123"/>
      <c r="P260" s="1123"/>
      <c r="Q260" s="1123"/>
      <c r="R260" s="1123"/>
      <c r="S260" s="1123"/>
      <c r="T260" s="1123"/>
      <c r="U260" s="1123"/>
      <c r="V260" s="1224"/>
    </row>
    <row r="261" spans="1:22" s="1919" customFormat="1">
      <c r="A261" s="1289"/>
      <c r="B261" s="1123"/>
      <c r="C261" s="1123"/>
      <c r="D261" s="1123"/>
      <c r="E261" s="1123"/>
      <c r="F261" s="1123"/>
      <c r="G261" s="1123"/>
      <c r="H261" s="1123"/>
      <c r="I261" s="1123"/>
      <c r="J261" s="1123"/>
      <c r="K261" s="1123"/>
      <c r="L261" s="1123"/>
      <c r="M261" s="1123"/>
      <c r="N261" s="1123"/>
      <c r="O261" s="1123"/>
      <c r="P261" s="1123"/>
      <c r="Q261" s="1123"/>
      <c r="R261" s="1123"/>
      <c r="S261" s="1123"/>
      <c r="T261" s="1123"/>
      <c r="U261" s="1123"/>
      <c r="V261" s="1224"/>
    </row>
    <row r="262" spans="1:22" s="1919" customFormat="1" ht="12" customHeight="1">
      <c r="A262" s="1289"/>
      <c r="B262" s="1123"/>
      <c r="C262" s="1123"/>
      <c r="D262" s="1123"/>
      <c r="E262" s="1123"/>
      <c r="F262" s="1123"/>
      <c r="G262" s="1123"/>
      <c r="H262" s="1123"/>
      <c r="I262" s="1123"/>
      <c r="J262" s="1123"/>
      <c r="K262" s="1123"/>
      <c r="L262" s="1123"/>
      <c r="M262" s="1123"/>
      <c r="N262" s="1123"/>
      <c r="O262" s="1123"/>
      <c r="P262" s="1123"/>
      <c r="Q262" s="1123"/>
      <c r="R262" s="1123"/>
      <c r="S262" s="1123"/>
      <c r="T262" s="1123"/>
      <c r="U262" s="1123"/>
      <c r="V262" s="1224"/>
    </row>
    <row r="263" spans="1:22" s="1919" customFormat="1" ht="10.5" customHeight="1">
      <c r="A263" s="1289"/>
      <c r="B263" s="1123"/>
      <c r="C263" s="1123"/>
      <c r="D263" s="1123"/>
      <c r="E263" s="1123"/>
      <c r="F263" s="1123"/>
      <c r="G263" s="1123"/>
      <c r="H263" s="1123"/>
      <c r="I263" s="1123"/>
      <c r="J263" s="1123"/>
      <c r="K263" s="1123"/>
      <c r="L263" s="1123"/>
      <c r="M263" s="1123"/>
      <c r="N263" s="1123"/>
      <c r="O263" s="1123"/>
      <c r="P263" s="1123"/>
      <c r="Q263" s="1123"/>
      <c r="R263" s="1123"/>
      <c r="S263" s="1123"/>
      <c r="T263" s="1123"/>
      <c r="U263" s="1123"/>
      <c r="V263" s="1224"/>
    </row>
    <row r="264" spans="1:22" s="1919" customFormat="1">
      <c r="A264" s="1289"/>
      <c r="B264" s="1123"/>
      <c r="C264" s="1123"/>
      <c r="D264" s="1123"/>
      <c r="E264" s="1123"/>
      <c r="F264" s="1123"/>
      <c r="G264" s="1123"/>
      <c r="H264" s="1123"/>
      <c r="I264" s="1123"/>
      <c r="J264" s="1123"/>
      <c r="K264" s="1123"/>
      <c r="L264" s="1123"/>
      <c r="M264" s="1123"/>
      <c r="N264" s="1123"/>
      <c r="O264" s="1123"/>
      <c r="P264" s="1123"/>
      <c r="Q264" s="1123"/>
      <c r="R264" s="1123"/>
      <c r="S264" s="1123"/>
      <c r="T264" s="1123"/>
      <c r="U264" s="1123"/>
      <c r="V264" s="1224"/>
    </row>
    <row r="265" spans="1:22" s="1919" customFormat="1">
      <c r="A265" s="1289"/>
      <c r="B265" s="1123"/>
      <c r="C265" s="1123"/>
      <c r="D265" s="1123"/>
      <c r="E265" s="1123"/>
      <c r="F265" s="1123"/>
      <c r="G265" s="1123"/>
      <c r="H265" s="1123"/>
      <c r="I265" s="1123"/>
      <c r="J265" s="1123"/>
      <c r="K265" s="1123"/>
      <c r="L265" s="1123"/>
      <c r="M265" s="1123"/>
      <c r="N265" s="1123"/>
      <c r="O265" s="1123"/>
      <c r="P265" s="1123"/>
      <c r="Q265" s="1123"/>
      <c r="R265" s="1123"/>
      <c r="S265" s="1123"/>
      <c r="T265" s="1123"/>
      <c r="U265" s="1123"/>
      <c r="V265" s="1224"/>
    </row>
    <row r="266" spans="1:22" s="1919" customFormat="1">
      <c r="A266" s="1289"/>
      <c r="B266" s="1123"/>
      <c r="C266" s="1123"/>
      <c r="D266" s="1123"/>
      <c r="E266" s="1123"/>
      <c r="F266" s="1123"/>
      <c r="G266" s="1123"/>
      <c r="H266" s="1123"/>
      <c r="I266" s="1123"/>
      <c r="J266" s="1123"/>
      <c r="K266" s="1123"/>
      <c r="L266" s="1123"/>
      <c r="M266" s="1123"/>
      <c r="N266" s="1123"/>
      <c r="O266" s="1123"/>
      <c r="P266" s="1123"/>
      <c r="Q266" s="1123"/>
      <c r="R266" s="1123"/>
      <c r="S266" s="1123"/>
      <c r="T266" s="1123"/>
      <c r="U266" s="1123"/>
      <c r="V266" s="1224"/>
    </row>
    <row r="267" spans="1:22" s="1919" customFormat="1">
      <c r="A267" s="1289"/>
      <c r="B267" s="1123"/>
      <c r="C267" s="1123"/>
      <c r="D267" s="1123"/>
      <c r="E267" s="1123"/>
      <c r="F267" s="1123"/>
      <c r="G267" s="1123"/>
      <c r="H267" s="1123"/>
      <c r="I267" s="1123"/>
      <c r="J267" s="1123"/>
      <c r="K267" s="1123"/>
      <c r="L267" s="1123"/>
      <c r="M267" s="1123"/>
      <c r="N267" s="1123"/>
      <c r="O267" s="1123"/>
      <c r="P267" s="1123"/>
      <c r="Q267" s="1123"/>
      <c r="R267" s="1123"/>
      <c r="S267" s="1123"/>
      <c r="T267" s="1123"/>
      <c r="U267" s="1123"/>
      <c r="V267" s="1224"/>
    </row>
    <row r="268" spans="1:22" s="1919" customFormat="1">
      <c r="A268" s="1289"/>
      <c r="B268" s="1123"/>
      <c r="C268" s="1123"/>
      <c r="D268" s="1123"/>
      <c r="E268" s="1123"/>
      <c r="F268" s="1123"/>
      <c r="G268" s="1123"/>
      <c r="H268" s="1123"/>
      <c r="I268" s="1123"/>
      <c r="J268" s="1123"/>
      <c r="K268" s="1123"/>
      <c r="L268" s="1123"/>
      <c r="M268" s="1123"/>
      <c r="N268" s="1123"/>
      <c r="O268" s="1123"/>
      <c r="P268" s="1123"/>
      <c r="Q268" s="1123"/>
      <c r="R268" s="1123"/>
      <c r="S268" s="1123"/>
      <c r="T268" s="1123"/>
      <c r="U268" s="1123"/>
      <c r="V268" s="1224"/>
    </row>
    <row r="269" spans="1:22" s="1919" customFormat="1" ht="32.25" customHeight="1">
      <c r="A269" s="1289"/>
      <c r="B269" s="1123"/>
      <c r="C269" s="1123"/>
      <c r="D269" s="1123"/>
      <c r="E269" s="1123"/>
      <c r="F269" s="1123"/>
      <c r="G269" s="1123"/>
      <c r="H269" s="1123"/>
      <c r="I269" s="1123"/>
      <c r="J269" s="1123"/>
      <c r="K269" s="1123"/>
      <c r="L269" s="1123"/>
      <c r="M269" s="1123"/>
      <c r="N269" s="1123"/>
      <c r="O269" s="1123"/>
      <c r="P269" s="1123"/>
      <c r="Q269" s="1123"/>
      <c r="R269" s="1123"/>
      <c r="S269" s="1123"/>
      <c r="T269" s="1123"/>
      <c r="U269" s="1123"/>
      <c r="V269" s="1224"/>
    </row>
    <row r="270" spans="1:22" s="1919" customFormat="1" ht="15" customHeight="1">
      <c r="A270" s="1289"/>
      <c r="B270" s="1123"/>
      <c r="C270" s="1123"/>
      <c r="D270" s="1123"/>
      <c r="E270" s="1123"/>
      <c r="F270" s="1123"/>
      <c r="G270" s="1123"/>
      <c r="H270" s="1123"/>
      <c r="I270" s="1123"/>
      <c r="J270" s="1123"/>
      <c r="K270" s="1123"/>
      <c r="L270" s="1123"/>
      <c r="M270" s="1123"/>
      <c r="N270" s="1123"/>
      <c r="O270" s="1123"/>
      <c r="P270" s="1123"/>
      <c r="Q270" s="1123"/>
      <c r="R270" s="1123"/>
      <c r="S270" s="1123"/>
      <c r="T270" s="1123"/>
      <c r="U270" s="1123"/>
      <c r="V270" s="1224"/>
    </row>
    <row r="271" spans="1:22" s="1919" customFormat="1" ht="12.75" customHeight="1">
      <c r="A271" s="1289"/>
      <c r="B271" s="1123"/>
      <c r="C271" s="1123"/>
      <c r="D271" s="1123"/>
      <c r="E271" s="1123"/>
      <c r="F271" s="1123"/>
      <c r="G271" s="1123"/>
      <c r="H271" s="1123"/>
      <c r="I271" s="1123"/>
      <c r="J271" s="1123"/>
      <c r="K271" s="1123"/>
      <c r="L271" s="1123"/>
      <c r="M271" s="1123"/>
      <c r="N271" s="1123"/>
      <c r="O271" s="1123"/>
      <c r="P271" s="1123"/>
      <c r="Q271" s="1123"/>
      <c r="R271" s="1123"/>
      <c r="S271" s="1123"/>
      <c r="T271" s="1123"/>
      <c r="U271" s="1123"/>
      <c r="V271" s="1224"/>
    </row>
    <row r="272" spans="1:22" s="1919" customFormat="1">
      <c r="A272" s="1289"/>
      <c r="B272" s="1123"/>
      <c r="C272" s="1123"/>
      <c r="D272" s="1123"/>
      <c r="E272" s="1123"/>
      <c r="F272" s="1123"/>
      <c r="G272" s="1123"/>
      <c r="H272" s="1123"/>
      <c r="I272" s="1123"/>
      <c r="J272" s="1123"/>
      <c r="K272" s="1123"/>
      <c r="L272" s="1123"/>
      <c r="M272" s="1123"/>
      <c r="N272" s="1123"/>
      <c r="O272" s="1123"/>
      <c r="P272" s="1123"/>
      <c r="Q272" s="1123"/>
      <c r="R272" s="1123"/>
      <c r="S272" s="1123"/>
      <c r="T272" s="1123"/>
      <c r="U272" s="1123"/>
      <c r="V272" s="1224"/>
    </row>
    <row r="273" spans="1:22" s="1919" customFormat="1">
      <c r="A273" s="1289"/>
      <c r="B273" s="1123"/>
      <c r="C273" s="1123"/>
      <c r="D273" s="1123"/>
      <c r="E273" s="1123"/>
      <c r="F273" s="1123"/>
      <c r="G273" s="1123"/>
      <c r="H273" s="1123"/>
      <c r="I273" s="1123"/>
      <c r="J273" s="1123"/>
      <c r="K273" s="1123"/>
      <c r="L273" s="1123"/>
      <c r="M273" s="1123"/>
      <c r="N273" s="1123"/>
      <c r="O273" s="1123"/>
      <c r="P273" s="1123"/>
      <c r="Q273" s="1123"/>
      <c r="R273" s="1123"/>
      <c r="S273" s="1123"/>
      <c r="T273" s="1123"/>
      <c r="U273" s="1123"/>
      <c r="V273" s="1290"/>
    </row>
    <row r="274" spans="1:22" s="1919" customFormat="1">
      <c r="A274" s="1289"/>
      <c r="B274" s="1123"/>
      <c r="C274" s="1123"/>
      <c r="D274" s="1123"/>
      <c r="E274" s="1123"/>
      <c r="F274" s="1123"/>
      <c r="G274" s="1123"/>
      <c r="H274" s="1123"/>
      <c r="I274" s="1123"/>
      <c r="J274" s="1123"/>
      <c r="K274" s="1123"/>
      <c r="L274" s="1123"/>
      <c r="M274" s="1123"/>
      <c r="N274" s="1123"/>
      <c r="O274" s="1123"/>
      <c r="P274" s="1123"/>
      <c r="Q274" s="1123"/>
      <c r="R274" s="1123"/>
      <c r="S274" s="1123"/>
      <c r="T274" s="1123"/>
      <c r="U274" s="1123"/>
      <c r="V274" s="1290"/>
    </row>
    <row r="275" spans="1:22" s="1919" customFormat="1" ht="21.75" customHeight="1">
      <c r="A275" s="1289"/>
      <c r="B275" s="1123"/>
      <c r="C275" s="1123"/>
      <c r="D275" s="1123"/>
      <c r="E275" s="1123"/>
      <c r="F275" s="1123"/>
      <c r="G275" s="1123"/>
      <c r="H275" s="1123"/>
      <c r="I275" s="1123"/>
      <c r="J275" s="1123"/>
      <c r="K275" s="1123"/>
      <c r="L275" s="1123"/>
      <c r="M275" s="1123"/>
      <c r="N275" s="1123"/>
      <c r="O275" s="1123"/>
      <c r="P275" s="1123"/>
      <c r="Q275" s="1123"/>
      <c r="R275" s="1123"/>
      <c r="S275" s="1123"/>
      <c r="T275" s="1123"/>
      <c r="U275" s="1123"/>
      <c r="V275" s="1290"/>
    </row>
    <row r="276" spans="1:22" s="1919" customFormat="1" ht="12.75" customHeight="1">
      <c r="A276" s="1289"/>
      <c r="B276" s="1123"/>
      <c r="C276" s="1123"/>
      <c r="D276" s="1123"/>
      <c r="E276" s="1123"/>
      <c r="F276" s="1123"/>
      <c r="G276" s="1123"/>
      <c r="H276" s="1123"/>
      <c r="I276" s="1123"/>
      <c r="J276" s="1123"/>
      <c r="K276" s="1123"/>
      <c r="L276" s="1123"/>
      <c r="M276" s="1123"/>
      <c r="N276" s="1123"/>
      <c r="O276" s="1123"/>
      <c r="P276" s="1123"/>
      <c r="Q276" s="1123"/>
      <c r="R276" s="1123"/>
      <c r="S276" s="1123"/>
      <c r="T276" s="1123"/>
      <c r="U276" s="1123"/>
      <c r="V276" s="1290"/>
    </row>
    <row r="277" spans="1:22" s="1919" customFormat="1" ht="12.75" customHeight="1">
      <c r="A277" s="1289"/>
      <c r="B277" s="1123"/>
      <c r="C277" s="1123"/>
      <c r="D277" s="1123"/>
      <c r="E277" s="1123"/>
      <c r="F277" s="1123"/>
      <c r="G277" s="1123"/>
      <c r="H277" s="1123"/>
      <c r="I277" s="1123"/>
      <c r="J277" s="1123"/>
      <c r="K277" s="1123"/>
      <c r="L277" s="1123"/>
      <c r="M277" s="1123"/>
      <c r="N277" s="1123"/>
      <c r="O277" s="1123"/>
      <c r="P277" s="1123"/>
      <c r="Q277" s="1123"/>
      <c r="R277" s="1123"/>
      <c r="S277" s="1123"/>
      <c r="T277" s="1123"/>
      <c r="U277" s="1123"/>
      <c r="V277" s="1290"/>
    </row>
    <row r="278" spans="1:22" s="1919" customFormat="1">
      <c r="A278" s="1289"/>
      <c r="B278" s="1123"/>
      <c r="C278" s="1123"/>
      <c r="D278" s="1123"/>
      <c r="E278" s="1123"/>
      <c r="F278" s="1123"/>
      <c r="G278" s="1123"/>
      <c r="H278" s="1123"/>
      <c r="I278" s="1123"/>
      <c r="J278" s="1123"/>
      <c r="K278" s="1123"/>
      <c r="L278" s="1123"/>
      <c r="M278" s="1123"/>
      <c r="N278" s="1123"/>
      <c r="O278" s="1123"/>
      <c r="P278" s="1123"/>
      <c r="Q278" s="1123"/>
      <c r="R278" s="1123"/>
      <c r="S278" s="1123"/>
      <c r="T278" s="1123"/>
      <c r="U278" s="1123"/>
      <c r="V278" s="1290"/>
    </row>
    <row r="279" spans="1:22" s="1919" customFormat="1">
      <c r="A279" s="1289"/>
      <c r="B279" s="1123"/>
      <c r="C279" s="1123"/>
      <c r="D279" s="1123"/>
      <c r="E279" s="1123"/>
      <c r="F279" s="1123"/>
      <c r="G279" s="1123"/>
      <c r="H279" s="1123"/>
      <c r="I279" s="1123"/>
      <c r="J279" s="1123"/>
      <c r="K279" s="1123"/>
      <c r="L279" s="1123"/>
      <c r="M279" s="1123"/>
      <c r="N279" s="1123"/>
      <c r="O279" s="1123"/>
      <c r="P279" s="1123"/>
      <c r="Q279" s="1123"/>
      <c r="R279" s="1123"/>
      <c r="S279" s="1123"/>
      <c r="T279" s="1123"/>
      <c r="U279" s="1123"/>
      <c r="V279" s="1290"/>
    </row>
    <row r="280" spans="1:22" s="1919" customFormat="1">
      <c r="A280" s="1289"/>
      <c r="B280" s="1123"/>
      <c r="C280" s="1123"/>
      <c r="D280" s="1123"/>
      <c r="E280" s="1123"/>
      <c r="F280" s="1123"/>
      <c r="G280" s="1123"/>
      <c r="H280" s="1123"/>
      <c r="I280" s="1123"/>
      <c r="J280" s="1123"/>
      <c r="K280" s="1123"/>
      <c r="L280" s="1123"/>
      <c r="M280" s="1123"/>
      <c r="N280" s="1123"/>
      <c r="O280" s="1123"/>
      <c r="P280" s="1123"/>
      <c r="Q280" s="1123"/>
      <c r="R280" s="1123"/>
      <c r="S280" s="1123"/>
      <c r="T280" s="1123"/>
      <c r="U280" s="1123"/>
      <c r="V280" s="1290"/>
    </row>
    <row r="281" spans="1:22" s="1919" customFormat="1">
      <c r="A281" s="1289"/>
      <c r="B281" s="1123"/>
      <c r="C281" s="1123"/>
      <c r="D281" s="1123"/>
      <c r="E281" s="1123"/>
      <c r="F281" s="1123"/>
      <c r="G281" s="1123"/>
      <c r="H281" s="1123"/>
      <c r="I281" s="1123"/>
      <c r="J281" s="1123"/>
      <c r="K281" s="1123"/>
      <c r="L281" s="1123"/>
      <c r="M281" s="1123"/>
      <c r="N281" s="1123"/>
      <c r="O281" s="1123"/>
      <c r="P281" s="1123"/>
      <c r="Q281" s="1123"/>
      <c r="R281" s="1123"/>
      <c r="S281" s="1123"/>
      <c r="T281" s="1123"/>
      <c r="U281" s="1123"/>
      <c r="V281" s="1290"/>
    </row>
    <row r="282" spans="1:22" s="1222" customFormat="1" ht="35.25" customHeight="1">
      <c r="A282" s="1289"/>
      <c r="B282" s="1123"/>
      <c r="C282" s="1123"/>
      <c r="D282" s="1123"/>
      <c r="E282" s="1123"/>
      <c r="F282" s="1123"/>
      <c r="G282" s="1123"/>
      <c r="H282" s="1123"/>
      <c r="I282" s="1123"/>
      <c r="J282" s="1123"/>
      <c r="K282" s="1123"/>
      <c r="L282" s="1123"/>
      <c r="M282" s="1123"/>
      <c r="N282" s="1123"/>
      <c r="O282" s="1123"/>
      <c r="P282" s="1123"/>
      <c r="Q282" s="1123"/>
      <c r="R282" s="1123"/>
      <c r="S282" s="1123"/>
      <c r="T282" s="1123"/>
      <c r="U282" s="1123"/>
      <c r="V282" s="1290"/>
    </row>
    <row r="283" spans="1:22" s="1919" customFormat="1" ht="11.25" customHeight="1">
      <c r="A283" s="1289"/>
      <c r="B283" s="1123"/>
      <c r="C283" s="1123"/>
      <c r="D283" s="1123"/>
      <c r="E283" s="1123"/>
      <c r="F283" s="1123"/>
      <c r="G283" s="1123"/>
      <c r="H283" s="1123"/>
      <c r="I283" s="1123"/>
      <c r="J283" s="1123"/>
      <c r="K283" s="1123"/>
      <c r="L283" s="1123"/>
      <c r="M283" s="1123"/>
      <c r="N283" s="1123"/>
      <c r="O283" s="1123"/>
      <c r="P283" s="1123"/>
      <c r="Q283" s="1123"/>
      <c r="R283" s="1123"/>
      <c r="S283" s="1123"/>
      <c r="T283" s="1123"/>
      <c r="U283" s="1123"/>
      <c r="V283" s="1290"/>
    </row>
    <row r="284" spans="1:22" s="1919" customFormat="1" ht="12.75" customHeight="1">
      <c r="A284" s="1289"/>
      <c r="B284" s="1123"/>
      <c r="C284" s="1123"/>
      <c r="D284" s="1123"/>
      <c r="E284" s="1123"/>
      <c r="F284" s="1123"/>
      <c r="G284" s="1123"/>
      <c r="H284" s="1123"/>
      <c r="I284" s="1123"/>
      <c r="J284" s="1123"/>
      <c r="K284" s="1123"/>
      <c r="L284" s="1123"/>
      <c r="M284" s="1123"/>
      <c r="N284" s="1123"/>
      <c r="O284" s="1123"/>
      <c r="P284" s="1123"/>
      <c r="Q284" s="1123"/>
      <c r="R284" s="1123"/>
      <c r="S284" s="1123"/>
      <c r="T284" s="1123"/>
      <c r="U284" s="1123"/>
      <c r="V284" s="1290"/>
    </row>
    <row r="285" spans="1:22" s="1222" customFormat="1" ht="14.25" customHeight="1">
      <c r="A285" s="1289"/>
      <c r="B285" s="1123"/>
      <c r="C285" s="1123"/>
      <c r="D285" s="1123"/>
      <c r="E285" s="1123"/>
      <c r="F285" s="1123"/>
      <c r="G285" s="1123"/>
      <c r="H285" s="1123"/>
      <c r="I285" s="1123"/>
      <c r="J285" s="1123"/>
      <c r="K285" s="1123"/>
      <c r="L285" s="1123"/>
      <c r="M285" s="1123"/>
      <c r="N285" s="1123"/>
      <c r="O285" s="1123"/>
      <c r="P285" s="1123"/>
      <c r="Q285" s="1123"/>
      <c r="R285" s="1123"/>
      <c r="S285" s="1123"/>
      <c r="T285" s="1123"/>
      <c r="U285" s="1123"/>
      <c r="V285" s="1290"/>
    </row>
    <row r="286" spans="1:22" s="1919" customFormat="1" ht="11.25" customHeight="1">
      <c r="A286" s="1289"/>
      <c r="B286" s="1123"/>
      <c r="C286" s="1123"/>
      <c r="D286" s="1123"/>
      <c r="E286" s="1123"/>
      <c r="F286" s="1123"/>
      <c r="G286" s="1123"/>
      <c r="H286" s="1123"/>
      <c r="I286" s="1123"/>
      <c r="J286" s="1123"/>
      <c r="K286" s="1123"/>
      <c r="L286" s="1123"/>
      <c r="M286" s="1123"/>
      <c r="N286" s="1123"/>
      <c r="O286" s="1123"/>
      <c r="P286" s="1123"/>
      <c r="Q286" s="1123"/>
      <c r="R286" s="1123"/>
      <c r="S286" s="1123"/>
      <c r="T286" s="1123"/>
      <c r="U286" s="1123"/>
      <c r="V286" s="1290"/>
    </row>
    <row r="287" spans="1:22" s="1919" customFormat="1" ht="12.75" customHeight="1">
      <c r="A287" s="1289"/>
      <c r="B287" s="1123"/>
      <c r="C287" s="1123"/>
      <c r="D287" s="1123"/>
      <c r="E287" s="1123"/>
      <c r="F287" s="1123"/>
      <c r="G287" s="1123"/>
      <c r="H287" s="1123"/>
      <c r="I287" s="1123"/>
      <c r="J287" s="1123"/>
      <c r="K287" s="1123"/>
      <c r="L287" s="1123"/>
      <c r="M287" s="1123"/>
      <c r="N287" s="1123"/>
      <c r="O287" s="1123"/>
      <c r="P287" s="1123"/>
      <c r="Q287" s="1123"/>
      <c r="R287" s="1123"/>
      <c r="S287" s="1123"/>
      <c r="T287" s="1123"/>
      <c r="U287" s="1123"/>
      <c r="V287" s="1290"/>
    </row>
    <row r="288" spans="1:22" s="1222" customFormat="1" ht="23.25" customHeight="1">
      <c r="A288" s="1289"/>
      <c r="B288" s="1123"/>
      <c r="C288" s="1123"/>
      <c r="D288" s="1123"/>
      <c r="E288" s="1123"/>
      <c r="F288" s="1123"/>
      <c r="G288" s="1123"/>
      <c r="H288" s="1123"/>
      <c r="I288" s="1123"/>
      <c r="J288" s="1123"/>
      <c r="K288" s="1123"/>
      <c r="L288" s="1123"/>
      <c r="M288" s="1123"/>
      <c r="N288" s="1123"/>
      <c r="O288" s="1123"/>
      <c r="P288" s="1123"/>
      <c r="Q288" s="1123"/>
      <c r="R288" s="1123"/>
      <c r="S288" s="1123"/>
      <c r="T288" s="1123"/>
      <c r="U288" s="1123"/>
      <c r="V288" s="1290"/>
    </row>
    <row r="289" spans="1:22" s="1919" customFormat="1" ht="11.25" customHeight="1">
      <c r="A289" s="1289"/>
      <c r="B289" s="1123"/>
      <c r="C289" s="1123"/>
      <c r="D289" s="1123"/>
      <c r="E289" s="1123"/>
      <c r="F289" s="1123"/>
      <c r="G289" s="1123"/>
      <c r="H289" s="1123"/>
      <c r="I289" s="1123"/>
      <c r="J289" s="1123"/>
      <c r="K289" s="1123"/>
      <c r="L289" s="1123"/>
      <c r="M289" s="1123"/>
      <c r="N289" s="1123"/>
      <c r="O289" s="1123"/>
      <c r="P289" s="1123"/>
      <c r="Q289" s="1123"/>
      <c r="R289" s="1123"/>
      <c r="S289" s="1123"/>
      <c r="T289" s="1123"/>
      <c r="U289" s="1123"/>
      <c r="V289" s="1290"/>
    </row>
    <row r="290" spans="1:22" s="1919" customFormat="1">
      <c r="A290" s="1289"/>
      <c r="B290" s="1123"/>
      <c r="C290" s="1123"/>
      <c r="D290" s="1123"/>
      <c r="E290" s="1123"/>
      <c r="F290" s="1123"/>
      <c r="G290" s="1123"/>
      <c r="H290" s="1123"/>
      <c r="I290" s="1123"/>
      <c r="J290" s="1123"/>
      <c r="K290" s="1123"/>
      <c r="L290" s="1123"/>
      <c r="M290" s="1123"/>
      <c r="N290" s="1123"/>
      <c r="O290" s="1123"/>
      <c r="P290" s="1123"/>
      <c r="Q290" s="1123"/>
      <c r="R290" s="1123"/>
      <c r="S290" s="1123"/>
      <c r="T290" s="1123"/>
      <c r="U290" s="1123"/>
      <c r="V290" s="1290"/>
    </row>
    <row r="291" spans="1:22" s="1919" customFormat="1">
      <c r="A291" s="1289"/>
      <c r="B291" s="1123"/>
      <c r="C291" s="1123"/>
      <c r="D291" s="1123"/>
      <c r="E291" s="1123"/>
      <c r="F291" s="1123"/>
      <c r="G291" s="1123"/>
      <c r="H291" s="1123"/>
      <c r="I291" s="1123"/>
      <c r="J291" s="1123"/>
      <c r="K291" s="1123"/>
      <c r="L291" s="1123"/>
      <c r="M291" s="1123"/>
      <c r="N291" s="1123"/>
      <c r="O291" s="1123"/>
      <c r="P291" s="1123"/>
      <c r="Q291" s="1123"/>
      <c r="R291" s="1123"/>
      <c r="S291" s="1123"/>
      <c r="T291" s="1123"/>
      <c r="U291" s="1123"/>
      <c r="V291" s="1290"/>
    </row>
    <row r="292" spans="1:22" s="1222" customFormat="1" ht="23.25" customHeight="1">
      <c r="A292" s="1289"/>
      <c r="B292" s="1123"/>
      <c r="C292" s="1123"/>
      <c r="D292" s="1123"/>
      <c r="E292" s="1123"/>
      <c r="F292" s="1123"/>
      <c r="G292" s="1123"/>
      <c r="H292" s="1123"/>
      <c r="I292" s="1123"/>
      <c r="J292" s="1123"/>
      <c r="K292" s="1123"/>
      <c r="L292" s="1123"/>
      <c r="M292" s="1123"/>
      <c r="N292" s="1123"/>
      <c r="O292" s="1123"/>
      <c r="P292" s="1123"/>
      <c r="Q292" s="1123"/>
      <c r="R292" s="1123"/>
      <c r="S292" s="1123"/>
      <c r="T292" s="1123"/>
      <c r="U292" s="1123"/>
      <c r="V292" s="1290"/>
    </row>
    <row r="293" spans="1:22" s="1919" customFormat="1" ht="11.25" customHeight="1">
      <c r="A293" s="1289"/>
      <c r="B293" s="1123"/>
      <c r="C293" s="1123"/>
      <c r="D293" s="1123"/>
      <c r="E293" s="1123"/>
      <c r="F293" s="1123"/>
      <c r="G293" s="1123"/>
      <c r="H293" s="1123"/>
      <c r="I293" s="1123"/>
      <c r="J293" s="1123"/>
      <c r="K293" s="1123"/>
      <c r="L293" s="1123"/>
      <c r="M293" s="1123"/>
      <c r="N293" s="1123"/>
      <c r="O293" s="1123"/>
      <c r="P293" s="1123"/>
      <c r="Q293" s="1123"/>
      <c r="R293" s="1123"/>
      <c r="S293" s="1123"/>
      <c r="T293" s="1123"/>
      <c r="U293" s="1123"/>
      <c r="V293" s="1290"/>
    </row>
    <row r="294" spans="1:22" s="1919" customFormat="1">
      <c r="A294" s="1289"/>
      <c r="B294" s="1123"/>
      <c r="C294" s="1123"/>
      <c r="D294" s="1123"/>
      <c r="E294" s="1123"/>
      <c r="F294" s="1123"/>
      <c r="G294" s="1123"/>
      <c r="H294" s="1123"/>
      <c r="I294" s="1123"/>
      <c r="J294" s="1123"/>
      <c r="K294" s="1123"/>
      <c r="L294" s="1123"/>
      <c r="M294" s="1123"/>
      <c r="N294" s="1123"/>
      <c r="O294" s="1123"/>
      <c r="P294" s="1123"/>
      <c r="Q294" s="1123"/>
      <c r="R294" s="1123"/>
      <c r="S294" s="1123"/>
      <c r="T294" s="1123"/>
      <c r="U294" s="1123"/>
      <c r="V294" s="1290"/>
    </row>
    <row r="295" spans="1:22">
      <c r="A295" s="1289"/>
      <c r="B295" s="1123"/>
      <c r="C295" s="1123"/>
      <c r="D295" s="1123"/>
      <c r="E295" s="1123"/>
      <c r="G295" s="1123"/>
      <c r="H295" s="1123"/>
      <c r="I295" s="1123"/>
      <c r="J295" s="1123"/>
      <c r="K295" s="1123"/>
      <c r="L295" s="1123"/>
      <c r="M295" s="1123"/>
      <c r="N295" s="1123"/>
      <c r="V295" s="1290"/>
    </row>
    <row r="296" spans="1:22">
      <c r="A296" s="1289"/>
      <c r="B296" s="1123"/>
      <c r="C296" s="1123"/>
      <c r="D296" s="1123"/>
      <c r="E296" s="1123"/>
      <c r="G296" s="1123"/>
      <c r="H296" s="1123"/>
      <c r="I296" s="1123"/>
      <c r="J296" s="1123"/>
      <c r="K296" s="1123"/>
      <c r="L296" s="1123"/>
      <c r="M296" s="1123"/>
      <c r="N296" s="1123"/>
      <c r="V296" s="1290"/>
    </row>
    <row r="297" spans="1:22">
      <c r="A297" s="1289"/>
      <c r="B297" s="1123"/>
      <c r="C297" s="1123"/>
      <c r="D297" s="1123"/>
      <c r="E297" s="1123"/>
      <c r="G297" s="1123"/>
      <c r="H297" s="1123"/>
      <c r="I297" s="1123"/>
      <c r="J297" s="1123"/>
      <c r="K297" s="1123"/>
      <c r="L297" s="1123"/>
      <c r="M297" s="1123"/>
      <c r="N297" s="1123"/>
      <c r="V297" s="1290"/>
    </row>
    <row r="298" spans="1:22">
      <c r="A298" s="1289"/>
      <c r="B298" s="1123"/>
      <c r="C298" s="1123"/>
      <c r="D298" s="1123"/>
      <c r="E298" s="1123"/>
      <c r="G298" s="1123"/>
      <c r="H298" s="1123"/>
      <c r="I298" s="1123"/>
      <c r="J298" s="1123"/>
      <c r="K298" s="1123"/>
      <c r="L298" s="1123"/>
      <c r="M298" s="1123"/>
      <c r="N298" s="1123"/>
      <c r="V298" s="1290"/>
    </row>
    <row r="299" spans="1:22">
      <c r="A299" s="1289"/>
      <c r="B299" s="1123"/>
      <c r="C299" s="1123"/>
      <c r="D299" s="1123"/>
      <c r="E299" s="1123"/>
      <c r="G299" s="1123"/>
      <c r="H299" s="1123"/>
      <c r="I299" s="1123"/>
      <c r="J299" s="1123"/>
      <c r="K299" s="1123"/>
      <c r="L299" s="1123"/>
      <c r="M299" s="1123"/>
      <c r="N299" s="1123"/>
      <c r="V299" s="1290"/>
    </row>
    <row r="300" spans="1:22">
      <c r="A300" s="1289"/>
      <c r="B300" s="1123"/>
      <c r="C300" s="1123"/>
      <c r="D300" s="1123"/>
      <c r="E300" s="1123"/>
      <c r="G300" s="1123"/>
      <c r="H300" s="1123"/>
      <c r="I300" s="1123"/>
      <c r="J300" s="1123"/>
      <c r="K300" s="1123"/>
      <c r="L300" s="1123"/>
      <c r="M300" s="1123"/>
      <c r="N300" s="1123"/>
      <c r="V300" s="1290"/>
    </row>
    <row r="301" spans="1:22">
      <c r="A301" s="1289"/>
      <c r="B301" s="1123"/>
      <c r="C301" s="1123"/>
      <c r="D301" s="1123"/>
      <c r="E301" s="1123"/>
      <c r="G301" s="1123"/>
      <c r="H301" s="1123"/>
      <c r="I301" s="1123"/>
      <c r="J301" s="1123"/>
      <c r="K301" s="1123"/>
      <c r="L301" s="1123"/>
      <c r="M301" s="1123"/>
      <c r="N301" s="1123"/>
      <c r="V301" s="1290"/>
    </row>
    <row r="302" spans="1:22">
      <c r="A302" s="1289"/>
      <c r="B302" s="1123"/>
      <c r="C302" s="1123"/>
      <c r="D302" s="1123"/>
      <c r="E302" s="1123"/>
      <c r="G302" s="1123"/>
      <c r="H302" s="1123"/>
      <c r="I302" s="1123"/>
      <c r="J302" s="1123"/>
      <c r="K302" s="1123"/>
      <c r="L302" s="1123"/>
      <c r="M302" s="1123"/>
      <c r="N302" s="1123"/>
      <c r="V302" s="1224"/>
    </row>
    <row r="303" spans="1:22">
      <c r="A303" s="1289"/>
      <c r="B303" s="1123"/>
      <c r="C303" s="1123"/>
      <c r="D303" s="1123"/>
      <c r="E303" s="1123"/>
      <c r="G303" s="1123"/>
      <c r="H303" s="1123"/>
      <c r="I303" s="1123"/>
      <c r="J303" s="1123"/>
      <c r="K303" s="1123"/>
      <c r="L303" s="1123"/>
      <c r="M303" s="1123"/>
      <c r="N303" s="1123"/>
      <c r="V303" s="1224"/>
    </row>
    <row r="304" spans="1:22">
      <c r="A304" s="1289"/>
      <c r="B304" s="1123"/>
      <c r="C304" s="1123"/>
      <c r="D304" s="1123"/>
      <c r="E304" s="1123"/>
      <c r="G304" s="1123"/>
      <c r="H304" s="1123"/>
      <c r="I304" s="1123"/>
      <c r="J304" s="1123"/>
      <c r="K304" s="1123"/>
      <c r="L304" s="1123"/>
      <c r="M304" s="1123"/>
      <c r="N304" s="1123"/>
      <c r="V304" s="1224"/>
    </row>
    <row r="305" spans="1:22">
      <c r="A305" s="1289"/>
      <c r="B305" s="1123"/>
      <c r="C305" s="1123"/>
      <c r="D305" s="1123"/>
      <c r="E305" s="1123"/>
      <c r="G305" s="1123"/>
      <c r="H305" s="1123"/>
      <c r="I305" s="1123"/>
      <c r="J305" s="1123"/>
      <c r="K305" s="1123"/>
      <c r="L305" s="1123"/>
      <c r="M305" s="1123"/>
      <c r="N305" s="1123"/>
      <c r="V305" s="1224"/>
    </row>
    <row r="306" spans="1:22">
      <c r="A306" s="1289"/>
      <c r="B306" s="1123"/>
      <c r="C306" s="1123"/>
      <c r="D306" s="1123"/>
      <c r="E306" s="1123"/>
      <c r="G306" s="1123"/>
      <c r="H306" s="1123"/>
      <c r="I306" s="1123"/>
      <c r="J306" s="1123"/>
      <c r="K306" s="1123"/>
      <c r="L306" s="1123"/>
      <c r="M306" s="1123"/>
      <c r="N306" s="1123"/>
      <c r="V306" s="1224"/>
    </row>
    <row r="307" spans="1:22">
      <c r="A307" s="1289"/>
      <c r="B307" s="1123"/>
      <c r="C307" s="1123"/>
      <c r="D307" s="1123"/>
      <c r="E307" s="1123"/>
      <c r="G307" s="1123"/>
      <c r="H307" s="1123"/>
      <c r="I307" s="1123"/>
      <c r="J307" s="1123"/>
      <c r="K307" s="1123"/>
      <c r="L307" s="1123"/>
      <c r="M307" s="1123"/>
      <c r="N307" s="1123"/>
      <c r="V307" s="1224"/>
    </row>
    <row r="308" spans="1:22">
      <c r="A308" s="1289"/>
      <c r="B308" s="1123"/>
      <c r="C308" s="1123"/>
      <c r="D308" s="1123"/>
      <c r="E308" s="1123"/>
      <c r="G308" s="1123"/>
      <c r="H308" s="1123"/>
      <c r="I308" s="1123"/>
      <c r="J308" s="1123"/>
      <c r="K308" s="1123"/>
      <c r="L308" s="1123"/>
      <c r="M308" s="1123"/>
      <c r="N308" s="1123"/>
      <c r="V308" s="1224"/>
    </row>
    <row r="309" spans="1:22">
      <c r="A309" s="1289"/>
      <c r="B309" s="1123"/>
      <c r="C309" s="1123"/>
      <c r="D309" s="1123"/>
      <c r="E309" s="1123"/>
      <c r="G309" s="1123"/>
      <c r="H309" s="1123"/>
      <c r="I309" s="1123"/>
      <c r="J309" s="1123"/>
      <c r="K309" s="1123"/>
      <c r="L309" s="1123"/>
      <c r="M309" s="1123"/>
      <c r="N309" s="1123"/>
      <c r="V309" s="1224"/>
    </row>
    <row r="310" spans="1:22">
      <c r="A310" s="1289"/>
      <c r="B310" s="1123"/>
      <c r="C310" s="1123"/>
      <c r="D310" s="1123"/>
      <c r="E310" s="1123"/>
      <c r="G310" s="1123"/>
      <c r="H310" s="1123"/>
      <c r="I310" s="1123"/>
      <c r="J310" s="1123"/>
      <c r="K310" s="1123"/>
      <c r="L310" s="1123"/>
      <c r="M310" s="1123"/>
      <c r="N310" s="1123"/>
      <c r="V310" s="1224"/>
    </row>
    <row r="311" spans="1:22">
      <c r="A311" s="1289"/>
      <c r="B311" s="1123"/>
      <c r="C311" s="1123"/>
      <c r="D311" s="1123"/>
      <c r="E311" s="1123"/>
      <c r="G311" s="1123"/>
      <c r="H311" s="1123"/>
      <c r="I311" s="1123"/>
      <c r="J311" s="1123"/>
      <c r="K311" s="1123"/>
      <c r="L311" s="1123"/>
      <c r="M311" s="1123"/>
      <c r="N311" s="1123"/>
      <c r="V311" s="1224"/>
    </row>
    <row r="312" spans="1:22">
      <c r="A312" s="1289"/>
      <c r="B312" s="1123"/>
      <c r="C312" s="1123"/>
      <c r="D312" s="1123"/>
      <c r="E312" s="1123"/>
      <c r="G312" s="1123"/>
      <c r="H312" s="1123"/>
      <c r="I312" s="1123"/>
      <c r="J312" s="1123"/>
      <c r="K312" s="1123"/>
      <c r="L312" s="1123"/>
      <c r="M312" s="1123"/>
      <c r="N312" s="1123"/>
      <c r="V312" s="1224"/>
    </row>
    <row r="313" spans="1:22">
      <c r="A313" s="1289"/>
      <c r="B313" s="1123"/>
      <c r="C313" s="1123"/>
      <c r="D313" s="1123"/>
      <c r="E313" s="1123"/>
      <c r="G313" s="1123"/>
      <c r="H313" s="1123"/>
      <c r="I313" s="1123"/>
      <c r="J313" s="1123"/>
      <c r="K313" s="1123"/>
      <c r="L313" s="1123"/>
      <c r="M313" s="1123"/>
      <c r="N313" s="1123"/>
      <c r="V313" s="1224"/>
    </row>
    <row r="314" spans="1:22">
      <c r="A314" s="1289"/>
      <c r="B314" s="1123"/>
      <c r="C314" s="1123"/>
      <c r="D314" s="1123"/>
      <c r="E314" s="1123"/>
      <c r="G314" s="1123"/>
      <c r="H314" s="1123"/>
      <c r="I314" s="1123"/>
      <c r="J314" s="1123"/>
      <c r="K314" s="1123"/>
      <c r="L314" s="1123"/>
      <c r="M314" s="1123"/>
      <c r="N314" s="1123"/>
      <c r="V314" s="1224"/>
    </row>
    <row r="315" spans="1:22">
      <c r="A315" s="1289"/>
      <c r="B315" s="1123"/>
      <c r="C315" s="1123"/>
      <c r="D315" s="1123"/>
      <c r="E315" s="1123"/>
      <c r="G315" s="1123"/>
      <c r="H315" s="1123"/>
      <c r="I315" s="1123"/>
      <c r="J315" s="1123"/>
      <c r="K315" s="1123"/>
      <c r="L315" s="1123"/>
      <c r="M315" s="1123"/>
      <c r="N315" s="1123"/>
      <c r="V315" s="1224"/>
    </row>
    <row r="316" spans="1:22">
      <c r="A316" s="1289"/>
      <c r="B316" s="1123"/>
      <c r="C316" s="1123"/>
      <c r="D316" s="1123"/>
      <c r="E316" s="1123"/>
      <c r="G316" s="1123"/>
      <c r="H316" s="1123"/>
      <c r="I316" s="1123"/>
      <c r="J316" s="1123"/>
      <c r="K316" s="1123"/>
      <c r="L316" s="1123"/>
      <c r="M316" s="1123"/>
      <c r="N316" s="1123"/>
      <c r="V316" s="1224"/>
    </row>
    <row r="317" spans="1:22">
      <c r="A317" s="1289"/>
      <c r="B317" s="1123"/>
      <c r="C317" s="1123"/>
      <c r="D317" s="1123"/>
      <c r="E317" s="1123"/>
      <c r="G317" s="1123"/>
      <c r="H317" s="1123"/>
      <c r="I317" s="1123"/>
      <c r="J317" s="1123"/>
      <c r="K317" s="1123"/>
      <c r="L317" s="1123"/>
      <c r="M317" s="1123"/>
      <c r="N317" s="1123"/>
      <c r="V317" s="1224"/>
    </row>
    <row r="318" spans="1:22">
      <c r="A318" s="1289"/>
      <c r="B318" s="1123"/>
      <c r="C318" s="1123"/>
      <c r="D318" s="1123"/>
      <c r="E318" s="1123"/>
      <c r="G318" s="1123"/>
      <c r="H318" s="1123"/>
      <c r="I318" s="1123"/>
      <c r="J318" s="1123"/>
      <c r="K318" s="1123"/>
      <c r="L318" s="1123"/>
      <c r="M318" s="1123"/>
      <c r="N318" s="1123"/>
      <c r="V318" s="1224"/>
    </row>
    <row r="319" spans="1:22">
      <c r="A319" s="1289"/>
      <c r="B319" s="1123"/>
      <c r="C319" s="1123"/>
      <c r="D319" s="1123"/>
      <c r="E319" s="1123"/>
      <c r="G319" s="1123"/>
      <c r="H319" s="1123"/>
      <c r="I319" s="1123"/>
      <c r="J319" s="1123"/>
      <c r="K319" s="1123"/>
      <c r="L319" s="1123"/>
      <c r="M319" s="1123"/>
      <c r="N319" s="1123"/>
      <c r="V319" s="1224"/>
    </row>
    <row r="320" spans="1:22">
      <c r="A320" s="1289"/>
      <c r="B320" s="1123"/>
      <c r="C320" s="1123"/>
      <c r="D320" s="1123"/>
      <c r="E320" s="1123"/>
      <c r="G320" s="1123"/>
      <c r="H320" s="1123"/>
      <c r="I320" s="1123"/>
      <c r="J320" s="1123"/>
      <c r="K320" s="1123"/>
      <c r="L320" s="1123"/>
      <c r="M320" s="1123"/>
      <c r="N320" s="1123"/>
      <c r="V320" s="1224"/>
    </row>
    <row r="321" spans="1:22">
      <c r="A321" s="1289"/>
      <c r="B321" s="1123"/>
      <c r="C321" s="1123"/>
      <c r="D321" s="1123"/>
      <c r="E321" s="1123"/>
      <c r="G321" s="1123"/>
      <c r="H321" s="1123"/>
      <c r="I321" s="1123"/>
      <c r="J321" s="1123"/>
      <c r="K321" s="1123"/>
      <c r="L321" s="1123"/>
      <c r="M321" s="1123"/>
      <c r="N321" s="1123"/>
      <c r="V321" s="1224"/>
    </row>
    <row r="322" spans="1:22">
      <c r="A322" s="1289"/>
      <c r="B322" s="1123"/>
      <c r="C322" s="1123"/>
      <c r="D322" s="1123"/>
      <c r="E322" s="1123"/>
      <c r="G322" s="1123"/>
      <c r="H322" s="1123"/>
      <c r="I322" s="1123"/>
      <c r="J322" s="1123"/>
      <c r="K322" s="1123"/>
      <c r="L322" s="1123"/>
      <c r="M322" s="1123"/>
      <c r="N322" s="1123"/>
      <c r="V322" s="1224"/>
    </row>
    <row r="323" spans="1:22">
      <c r="A323" s="1289"/>
      <c r="B323" s="1123"/>
      <c r="C323" s="1123"/>
      <c r="D323" s="1123"/>
      <c r="E323" s="1123"/>
      <c r="G323" s="1123"/>
      <c r="H323" s="1123"/>
      <c r="I323" s="1123"/>
      <c r="J323" s="1123"/>
      <c r="K323" s="1123"/>
      <c r="L323" s="1123"/>
      <c r="M323" s="1123"/>
      <c r="N323" s="1123"/>
      <c r="V323" s="1224"/>
    </row>
    <row r="324" spans="1:22">
      <c r="A324" s="1289"/>
      <c r="B324" s="1123"/>
      <c r="C324" s="1123"/>
      <c r="D324" s="1123"/>
      <c r="E324" s="1123"/>
      <c r="G324" s="1123"/>
      <c r="H324" s="1123"/>
      <c r="I324" s="1123"/>
      <c r="J324" s="1123"/>
      <c r="K324" s="1123"/>
      <c r="L324" s="1123"/>
      <c r="M324" s="1123"/>
      <c r="N324" s="1123"/>
      <c r="V324" s="1224"/>
    </row>
    <row r="325" spans="1:22">
      <c r="A325" s="1289"/>
      <c r="B325" s="1123"/>
      <c r="C325" s="1123"/>
      <c r="D325" s="1123"/>
      <c r="E325" s="1123"/>
      <c r="G325" s="1123"/>
      <c r="H325" s="1123"/>
      <c r="I325" s="1123"/>
      <c r="J325" s="1123"/>
      <c r="K325" s="1123"/>
      <c r="L325" s="1123"/>
      <c r="M325" s="1123"/>
      <c r="N325" s="1123"/>
      <c r="V325" s="1224"/>
    </row>
    <row r="326" spans="1:22">
      <c r="A326" s="1289"/>
      <c r="B326" s="1123"/>
      <c r="C326" s="1123"/>
      <c r="D326" s="1123"/>
      <c r="E326" s="1123"/>
      <c r="G326" s="1123"/>
      <c r="H326" s="1123"/>
      <c r="I326" s="1123"/>
      <c r="J326" s="1123"/>
      <c r="K326" s="1123"/>
      <c r="L326" s="1123"/>
      <c r="M326" s="1123"/>
      <c r="N326" s="1123"/>
      <c r="V326" s="1224"/>
    </row>
    <row r="327" spans="1:22">
      <c r="A327" s="1289"/>
      <c r="B327" s="1123"/>
      <c r="C327" s="1123"/>
      <c r="D327" s="1123"/>
      <c r="E327" s="1123"/>
      <c r="G327" s="1123"/>
      <c r="H327" s="1123"/>
      <c r="I327" s="1123"/>
      <c r="J327" s="1123"/>
      <c r="K327" s="1123"/>
      <c r="L327" s="1123"/>
      <c r="M327" s="1123"/>
      <c r="N327" s="1123"/>
      <c r="V327" s="1224"/>
    </row>
    <row r="328" spans="1:22">
      <c r="A328" s="1289"/>
      <c r="B328" s="1123"/>
      <c r="C328" s="1123"/>
      <c r="D328" s="1123"/>
      <c r="E328" s="1123"/>
      <c r="G328" s="1123"/>
      <c r="H328" s="1123"/>
      <c r="I328" s="1123"/>
      <c r="J328" s="1123"/>
      <c r="K328" s="1123"/>
      <c r="L328" s="1123"/>
      <c r="M328" s="1123"/>
      <c r="N328" s="1123"/>
      <c r="V328" s="1224"/>
    </row>
    <row r="329" spans="1:22">
      <c r="A329" s="1289"/>
      <c r="B329" s="1123"/>
      <c r="C329" s="1123"/>
      <c r="D329" s="1123"/>
      <c r="E329" s="1123"/>
      <c r="G329" s="1123"/>
      <c r="H329" s="1123"/>
      <c r="I329" s="1123"/>
      <c r="J329" s="1123"/>
      <c r="K329" s="1123"/>
      <c r="L329" s="1123"/>
      <c r="M329" s="1123"/>
      <c r="N329" s="1123"/>
      <c r="V329" s="1224"/>
    </row>
    <row r="330" spans="1:22">
      <c r="A330" s="1289"/>
      <c r="B330" s="1123"/>
      <c r="C330" s="1123"/>
      <c r="D330" s="1123"/>
      <c r="E330" s="1123"/>
      <c r="G330" s="1123"/>
      <c r="H330" s="1123"/>
      <c r="I330" s="1123"/>
      <c r="J330" s="1123"/>
      <c r="K330" s="1123"/>
      <c r="L330" s="1123"/>
      <c r="M330" s="1123"/>
      <c r="N330" s="1123"/>
      <c r="V330" s="1224"/>
    </row>
    <row r="331" spans="1:22">
      <c r="A331" s="1289"/>
      <c r="B331" s="1123"/>
      <c r="C331" s="1123"/>
      <c r="D331" s="1123"/>
      <c r="E331" s="1123"/>
      <c r="G331" s="1123"/>
      <c r="H331" s="1123"/>
      <c r="I331" s="1123"/>
      <c r="J331" s="1123"/>
      <c r="K331" s="1123"/>
      <c r="L331" s="1123"/>
      <c r="M331" s="1123"/>
      <c r="N331" s="1123"/>
      <c r="V331" s="1224"/>
    </row>
    <row r="332" spans="1:22">
      <c r="A332" s="1289"/>
      <c r="B332" s="1123"/>
      <c r="C332" s="1123"/>
      <c r="D332" s="1123"/>
      <c r="E332" s="1123"/>
      <c r="G332" s="1123"/>
      <c r="H332" s="1123"/>
      <c r="I332" s="1123"/>
      <c r="J332" s="1123"/>
      <c r="K332" s="1123"/>
      <c r="L332" s="1123"/>
      <c r="M332" s="1123"/>
      <c r="N332" s="1123"/>
      <c r="V332" s="1224"/>
    </row>
    <row r="333" spans="1:22">
      <c r="A333" s="1289"/>
      <c r="B333" s="1123"/>
      <c r="C333" s="1123"/>
      <c r="D333" s="1123"/>
      <c r="E333" s="1123"/>
      <c r="G333" s="1123"/>
      <c r="H333" s="1123"/>
      <c r="I333" s="1123"/>
      <c r="J333" s="1123"/>
      <c r="K333" s="1123"/>
      <c r="L333" s="1123"/>
      <c r="M333" s="1123"/>
      <c r="N333" s="1123"/>
      <c r="V333" s="1224"/>
    </row>
    <row r="334" spans="1:22">
      <c r="A334" s="1289"/>
      <c r="B334" s="1123"/>
      <c r="C334" s="1123"/>
      <c r="D334" s="1123"/>
      <c r="E334" s="1123"/>
      <c r="G334" s="1123"/>
      <c r="H334" s="1123"/>
      <c r="I334" s="1123"/>
      <c r="J334" s="1123"/>
      <c r="K334" s="1123"/>
      <c r="L334" s="1123"/>
      <c r="M334" s="1123"/>
      <c r="N334" s="1123"/>
      <c r="V334" s="1224"/>
    </row>
    <row r="335" spans="1:22">
      <c r="A335" s="1289"/>
      <c r="B335" s="1123"/>
      <c r="C335" s="1123"/>
      <c r="D335" s="1123"/>
      <c r="E335" s="1123"/>
      <c r="G335" s="1123"/>
      <c r="H335" s="1123"/>
      <c r="I335" s="1123"/>
      <c r="J335" s="1123"/>
      <c r="K335" s="1123"/>
      <c r="L335" s="1123"/>
      <c r="M335" s="1123"/>
      <c r="N335" s="1123"/>
      <c r="V335" s="1224"/>
    </row>
    <row r="336" spans="1:22">
      <c r="A336" s="1289"/>
      <c r="B336" s="1123"/>
      <c r="C336" s="1123"/>
      <c r="D336" s="1123"/>
      <c r="E336" s="1123"/>
      <c r="G336" s="1123"/>
      <c r="H336" s="1123"/>
      <c r="I336" s="1123"/>
      <c r="J336" s="1123"/>
      <c r="K336" s="1123"/>
      <c r="L336" s="1123"/>
      <c r="M336" s="1123"/>
      <c r="N336" s="1123"/>
      <c r="V336" s="1224"/>
    </row>
    <row r="337" spans="1:22">
      <c r="A337" s="1289"/>
      <c r="B337" s="1123"/>
      <c r="C337" s="1123"/>
      <c r="D337" s="1123"/>
      <c r="E337" s="1123"/>
      <c r="G337" s="1123"/>
      <c r="H337" s="1123"/>
      <c r="I337" s="1123"/>
      <c r="J337" s="1123"/>
      <c r="K337" s="1123"/>
      <c r="L337" s="1123"/>
      <c r="M337" s="1123"/>
      <c r="N337" s="1123"/>
      <c r="V337" s="1224"/>
    </row>
    <row r="338" spans="1:22">
      <c r="A338" s="1289"/>
      <c r="B338" s="1123"/>
      <c r="C338" s="1123"/>
      <c r="D338" s="1123"/>
      <c r="E338" s="1123"/>
      <c r="G338" s="1123"/>
      <c r="H338" s="1123"/>
      <c r="I338" s="1123"/>
      <c r="J338" s="1123"/>
      <c r="K338" s="1123"/>
      <c r="L338" s="1123"/>
      <c r="M338" s="1123"/>
      <c r="N338" s="1123"/>
      <c r="V338" s="1224"/>
    </row>
    <row r="339" spans="1:22">
      <c r="A339" s="1289"/>
      <c r="B339" s="1123"/>
      <c r="C339" s="1123"/>
      <c r="D339" s="1123"/>
      <c r="E339" s="1123"/>
      <c r="G339" s="1123"/>
      <c r="H339" s="1123"/>
      <c r="I339" s="1123"/>
      <c r="J339" s="1123"/>
      <c r="K339" s="1123"/>
      <c r="L339" s="1123"/>
      <c r="M339" s="1123"/>
      <c r="N339" s="1123"/>
      <c r="V339" s="1224"/>
    </row>
    <row r="340" spans="1:22">
      <c r="A340" s="1289"/>
      <c r="B340" s="1123"/>
      <c r="C340" s="1123"/>
      <c r="D340" s="1123"/>
      <c r="E340" s="1123"/>
      <c r="G340" s="1123"/>
      <c r="H340" s="1123"/>
      <c r="I340" s="1123"/>
      <c r="J340" s="1123"/>
      <c r="K340" s="1123"/>
      <c r="L340" s="1123"/>
      <c r="M340" s="1123"/>
      <c r="N340" s="1123"/>
      <c r="V340" s="1224"/>
    </row>
    <row r="341" spans="1:22">
      <c r="A341" s="1289"/>
      <c r="B341" s="1123"/>
      <c r="C341" s="1123"/>
      <c r="D341" s="1123"/>
      <c r="E341" s="1123"/>
      <c r="G341" s="1123"/>
      <c r="H341" s="1123"/>
      <c r="I341" s="1123"/>
      <c r="J341" s="1123"/>
      <c r="K341" s="1123"/>
      <c r="L341" s="1123"/>
      <c r="M341" s="1123"/>
      <c r="N341" s="1123"/>
      <c r="V341" s="1224"/>
    </row>
    <row r="342" spans="1:22">
      <c r="A342" s="1289"/>
      <c r="B342" s="1123"/>
      <c r="C342" s="1123"/>
      <c r="D342" s="1123"/>
      <c r="E342" s="1123"/>
      <c r="G342" s="1123"/>
      <c r="H342" s="1123"/>
      <c r="I342" s="1123"/>
      <c r="J342" s="1123"/>
      <c r="K342" s="1123"/>
      <c r="L342" s="1123"/>
      <c r="M342" s="1123"/>
      <c r="N342" s="1123"/>
      <c r="V342" s="1224"/>
    </row>
    <row r="343" spans="1:22">
      <c r="A343" s="1289"/>
      <c r="B343" s="1123"/>
      <c r="C343" s="1123"/>
      <c r="D343" s="1123"/>
      <c r="E343" s="1123"/>
      <c r="G343" s="1123"/>
      <c r="H343" s="1123"/>
      <c r="I343" s="1123"/>
      <c r="J343" s="1123"/>
      <c r="K343" s="1123"/>
      <c r="L343" s="1123"/>
      <c r="M343" s="1123"/>
      <c r="N343" s="1123"/>
      <c r="V343" s="1224"/>
    </row>
    <row r="344" spans="1:22">
      <c r="A344" s="1289"/>
      <c r="B344" s="1123"/>
      <c r="C344" s="1123"/>
      <c r="D344" s="1123"/>
      <c r="E344" s="1123"/>
      <c r="G344" s="1123"/>
      <c r="H344" s="1123"/>
      <c r="I344" s="1123"/>
      <c r="J344" s="1123"/>
      <c r="K344" s="1123"/>
      <c r="L344" s="1123"/>
      <c r="M344" s="1123"/>
      <c r="N344" s="1123"/>
      <c r="V344" s="1224"/>
    </row>
    <row r="345" spans="1:22">
      <c r="A345" s="1289"/>
      <c r="B345" s="1123"/>
      <c r="C345" s="1123"/>
      <c r="D345" s="1123"/>
      <c r="E345" s="1123"/>
      <c r="G345" s="1123"/>
      <c r="H345" s="1123"/>
      <c r="I345" s="1123"/>
      <c r="J345" s="1123"/>
      <c r="K345" s="1123"/>
      <c r="L345" s="1123"/>
      <c r="M345" s="1123"/>
      <c r="N345" s="1123"/>
      <c r="V345" s="1224"/>
    </row>
    <row r="346" spans="1:22">
      <c r="A346" s="1289"/>
      <c r="B346" s="1123"/>
      <c r="C346" s="1123"/>
      <c r="D346" s="1123"/>
      <c r="E346" s="1123"/>
      <c r="G346" s="1123"/>
      <c r="H346" s="1123"/>
      <c r="I346" s="1123"/>
      <c r="J346" s="1123"/>
      <c r="K346" s="1123"/>
      <c r="L346" s="1123"/>
      <c r="M346" s="1123"/>
      <c r="N346" s="1123"/>
      <c r="V346" s="1224"/>
    </row>
    <row r="347" spans="1:22">
      <c r="A347" s="1289"/>
      <c r="B347" s="1123"/>
      <c r="C347" s="1123"/>
      <c r="D347" s="1123"/>
      <c r="E347" s="1123"/>
      <c r="G347" s="1123"/>
      <c r="H347" s="1123"/>
      <c r="I347" s="1123"/>
      <c r="J347" s="1123"/>
      <c r="K347" s="1123"/>
      <c r="L347" s="1123"/>
      <c r="M347" s="1123"/>
      <c r="N347" s="1123"/>
      <c r="V347" s="1224"/>
    </row>
    <row r="348" spans="1:22">
      <c r="A348" s="1289"/>
      <c r="B348" s="1123"/>
      <c r="C348" s="1123"/>
      <c r="D348" s="1123"/>
      <c r="E348" s="1123"/>
      <c r="G348" s="1123"/>
      <c r="H348" s="1123"/>
      <c r="I348" s="1123"/>
      <c r="J348" s="1123"/>
      <c r="K348" s="1123"/>
      <c r="L348" s="1123"/>
      <c r="M348" s="1123"/>
      <c r="N348" s="1123"/>
      <c r="V348" s="1224"/>
    </row>
    <row r="349" spans="1:22">
      <c r="A349" s="1289"/>
      <c r="B349" s="1123"/>
      <c r="C349" s="1123"/>
      <c r="D349" s="1123"/>
      <c r="E349" s="1123"/>
      <c r="G349" s="1123"/>
      <c r="H349" s="1123"/>
      <c r="I349" s="1123"/>
      <c r="J349" s="1123"/>
      <c r="K349" s="1123"/>
      <c r="L349" s="1123"/>
      <c r="M349" s="1123"/>
      <c r="N349" s="1123"/>
      <c r="V349" s="1224"/>
    </row>
    <row r="350" spans="1:22">
      <c r="A350" s="1289"/>
      <c r="B350" s="1123"/>
      <c r="C350" s="1123"/>
      <c r="D350" s="1123"/>
      <c r="E350" s="1123"/>
      <c r="G350" s="1123"/>
      <c r="H350" s="1123"/>
      <c r="I350" s="1123"/>
      <c r="J350" s="1123"/>
      <c r="K350" s="1123"/>
      <c r="L350" s="1123"/>
      <c r="M350" s="1123"/>
      <c r="N350" s="1123"/>
      <c r="V350" s="1224"/>
    </row>
    <row r="351" spans="1:22">
      <c r="A351" s="1289"/>
      <c r="B351" s="1123"/>
      <c r="C351" s="1123"/>
      <c r="D351" s="1123"/>
      <c r="E351" s="1123"/>
      <c r="G351" s="1123"/>
      <c r="H351" s="1123"/>
      <c r="I351" s="1123"/>
      <c r="J351" s="1123"/>
      <c r="K351" s="1123"/>
      <c r="L351" s="1123"/>
      <c r="M351" s="1123"/>
      <c r="N351" s="1123"/>
      <c r="V351" s="1224"/>
    </row>
    <row r="352" spans="1:22">
      <c r="A352" s="1289"/>
      <c r="B352" s="1123"/>
      <c r="C352" s="1123"/>
      <c r="D352" s="1123"/>
      <c r="E352" s="1123"/>
      <c r="G352" s="1123"/>
      <c r="H352" s="1123"/>
      <c r="I352" s="1123"/>
      <c r="J352" s="1123"/>
      <c r="K352" s="1123"/>
      <c r="L352" s="1123"/>
      <c r="M352" s="1123"/>
      <c r="N352" s="1123"/>
      <c r="V352" s="1224"/>
    </row>
    <row r="353" spans="1:22">
      <c r="A353" s="1289"/>
      <c r="B353" s="1123"/>
      <c r="C353" s="1123"/>
      <c r="D353" s="1123"/>
      <c r="E353" s="1123"/>
      <c r="G353" s="1123"/>
      <c r="H353" s="1123"/>
      <c r="I353" s="1123"/>
      <c r="J353" s="1123"/>
      <c r="K353" s="1123"/>
      <c r="L353" s="1123"/>
      <c r="M353" s="1123"/>
      <c r="N353" s="1123"/>
      <c r="V353" s="1224"/>
    </row>
    <row r="354" spans="1:22">
      <c r="A354" s="1289"/>
      <c r="B354" s="1123"/>
      <c r="C354" s="1123"/>
      <c r="D354" s="1123"/>
      <c r="E354" s="1123"/>
      <c r="G354" s="1123"/>
      <c r="H354" s="1123"/>
      <c r="I354" s="1123"/>
      <c r="J354" s="1123"/>
      <c r="K354" s="1123"/>
      <c r="L354" s="1123"/>
      <c r="M354" s="1123"/>
      <c r="N354" s="1123"/>
      <c r="V354" s="1224"/>
    </row>
    <row r="355" spans="1:22">
      <c r="A355" s="1289"/>
      <c r="B355" s="1123"/>
      <c r="C355" s="1123"/>
      <c r="D355" s="1123"/>
      <c r="E355" s="1123"/>
      <c r="G355" s="1123"/>
      <c r="H355" s="1123"/>
      <c r="I355" s="1123"/>
      <c r="J355" s="1123"/>
      <c r="K355" s="1123"/>
      <c r="L355" s="1123"/>
      <c r="M355" s="1123"/>
      <c r="N355" s="1123"/>
      <c r="V355" s="1224"/>
    </row>
    <row r="356" spans="1:22">
      <c r="A356" s="1289"/>
      <c r="B356" s="1123"/>
      <c r="C356" s="1123"/>
      <c r="D356" s="1123"/>
      <c r="E356" s="1123"/>
      <c r="G356" s="1123"/>
      <c r="H356" s="1123"/>
      <c r="I356" s="1123"/>
      <c r="J356" s="1123"/>
      <c r="K356" s="1123"/>
      <c r="L356" s="1123"/>
      <c r="M356" s="1123"/>
      <c r="N356" s="1123"/>
      <c r="V356" s="1224"/>
    </row>
    <row r="357" spans="1:22">
      <c r="A357" s="1289"/>
      <c r="B357" s="1123"/>
      <c r="C357" s="1123"/>
      <c r="D357" s="1123"/>
      <c r="E357" s="1123"/>
      <c r="G357" s="1123"/>
      <c r="H357" s="1123"/>
      <c r="I357" s="1123"/>
      <c r="J357" s="1123"/>
      <c r="K357" s="1123"/>
      <c r="L357" s="1123"/>
      <c r="M357" s="1123"/>
      <c r="N357" s="1123"/>
      <c r="V357" s="1224"/>
    </row>
    <row r="358" spans="1:22">
      <c r="A358" s="1289"/>
      <c r="B358" s="1123"/>
      <c r="C358" s="1123"/>
      <c r="D358" s="1123"/>
      <c r="E358" s="1123"/>
      <c r="G358" s="1123"/>
      <c r="H358" s="1123"/>
      <c r="I358" s="1123"/>
      <c r="J358" s="1123"/>
      <c r="K358" s="1123"/>
      <c r="L358" s="1123"/>
      <c r="M358" s="1123"/>
      <c r="N358" s="1123"/>
      <c r="V358" s="1224"/>
    </row>
    <row r="359" spans="1:22">
      <c r="A359" s="1289"/>
      <c r="B359" s="1123"/>
      <c r="C359" s="1123"/>
      <c r="D359" s="1123"/>
      <c r="E359" s="1123"/>
      <c r="G359" s="1123"/>
      <c r="H359" s="1123"/>
      <c r="I359" s="1123"/>
      <c r="J359" s="1123"/>
      <c r="K359" s="1123"/>
      <c r="L359" s="1123"/>
      <c r="M359" s="1123"/>
      <c r="N359" s="1123"/>
      <c r="V359" s="1224"/>
    </row>
    <row r="360" spans="1:22">
      <c r="A360" s="1289"/>
      <c r="B360" s="1123"/>
      <c r="C360" s="1123"/>
      <c r="D360" s="1123"/>
      <c r="E360" s="1123"/>
      <c r="G360" s="1123"/>
      <c r="H360" s="1123"/>
      <c r="I360" s="1123"/>
      <c r="J360" s="1123"/>
      <c r="K360" s="1123"/>
      <c r="L360" s="1123"/>
      <c r="M360" s="1123"/>
      <c r="N360" s="1123"/>
      <c r="V360" s="1224"/>
    </row>
    <row r="361" spans="1:22">
      <c r="A361" s="1289"/>
      <c r="B361" s="1123"/>
      <c r="C361" s="1123"/>
      <c r="D361" s="1123"/>
      <c r="E361" s="1123"/>
      <c r="G361" s="1123"/>
      <c r="H361" s="1123"/>
      <c r="I361" s="1123"/>
      <c r="J361" s="1123"/>
      <c r="K361" s="1123"/>
      <c r="L361" s="1123"/>
      <c r="M361" s="1123"/>
      <c r="N361" s="1123"/>
      <c r="V361" s="1224"/>
    </row>
    <row r="362" spans="1:22">
      <c r="A362" s="1289"/>
      <c r="B362" s="1123"/>
      <c r="C362" s="1123"/>
      <c r="D362" s="1123"/>
      <c r="E362" s="1123"/>
      <c r="G362" s="1123"/>
      <c r="H362" s="1123"/>
      <c r="I362" s="1123"/>
      <c r="J362" s="1123"/>
      <c r="K362" s="1123"/>
      <c r="L362" s="1123"/>
      <c r="M362" s="1123"/>
      <c r="N362" s="1123"/>
      <c r="V362" s="1224"/>
    </row>
    <row r="363" spans="1:22">
      <c r="A363" s="1289"/>
      <c r="B363" s="1123"/>
      <c r="C363" s="1123"/>
      <c r="D363" s="1123"/>
      <c r="E363" s="1123"/>
      <c r="G363" s="1123"/>
      <c r="H363" s="1123"/>
      <c r="I363" s="1123"/>
      <c r="J363" s="1123"/>
      <c r="K363" s="1123"/>
      <c r="L363" s="1123"/>
      <c r="M363" s="1123"/>
      <c r="N363" s="1123"/>
      <c r="V363" s="1224"/>
    </row>
    <row r="364" spans="1:22">
      <c r="A364" s="1289"/>
      <c r="B364" s="1123"/>
      <c r="C364" s="1123"/>
      <c r="D364" s="1123"/>
      <c r="E364" s="1123"/>
      <c r="G364" s="1123"/>
      <c r="H364" s="1123"/>
      <c r="I364" s="1123"/>
      <c r="J364" s="1123"/>
      <c r="K364" s="1123"/>
      <c r="L364" s="1123"/>
      <c r="M364" s="1123"/>
      <c r="N364" s="1123"/>
      <c r="V364" s="1224"/>
    </row>
    <row r="365" spans="1:22">
      <c r="A365" s="1289"/>
      <c r="B365" s="1123"/>
      <c r="C365" s="1123"/>
      <c r="D365" s="1123"/>
      <c r="E365" s="1123"/>
      <c r="G365" s="1123"/>
      <c r="H365" s="1123"/>
      <c r="I365" s="1123"/>
      <c r="J365" s="1123"/>
      <c r="K365" s="1123"/>
      <c r="L365" s="1123"/>
      <c r="M365" s="1123"/>
      <c r="N365" s="1123"/>
      <c r="V365" s="1224"/>
    </row>
    <row r="366" spans="1:22">
      <c r="A366" s="1289"/>
      <c r="B366" s="1123"/>
      <c r="C366" s="1123"/>
      <c r="D366" s="1123"/>
      <c r="E366" s="1123"/>
      <c r="G366" s="1123"/>
      <c r="H366" s="1123"/>
      <c r="I366" s="1123"/>
      <c r="J366" s="1123"/>
      <c r="K366" s="1123"/>
      <c r="L366" s="1123"/>
      <c r="M366" s="1123"/>
      <c r="N366" s="1123"/>
      <c r="V366" s="1224"/>
    </row>
    <row r="367" spans="1:22">
      <c r="A367" s="1289"/>
      <c r="B367" s="1123"/>
      <c r="C367" s="1123"/>
      <c r="D367" s="1123"/>
      <c r="E367" s="1123"/>
      <c r="G367" s="1123"/>
      <c r="H367" s="1123"/>
      <c r="I367" s="1123"/>
      <c r="J367" s="1123"/>
      <c r="K367" s="1123"/>
      <c r="L367" s="1123"/>
      <c r="M367" s="1123"/>
      <c r="N367" s="1123"/>
      <c r="V367" s="1224"/>
    </row>
    <row r="368" spans="1:22">
      <c r="A368" s="1289"/>
      <c r="B368" s="1123"/>
      <c r="C368" s="1123"/>
      <c r="D368" s="1123"/>
      <c r="E368" s="1123"/>
      <c r="G368" s="1123"/>
      <c r="H368" s="1123"/>
      <c r="I368" s="1123"/>
      <c r="J368" s="1123"/>
      <c r="K368" s="1123"/>
      <c r="L368" s="1123"/>
      <c r="M368" s="1123"/>
      <c r="N368" s="1123"/>
      <c r="V368" s="1224"/>
    </row>
    <row r="369" spans="1:22">
      <c r="A369" s="1289"/>
      <c r="B369" s="1123"/>
      <c r="C369" s="1123"/>
      <c r="D369" s="1123"/>
      <c r="E369" s="1123"/>
      <c r="G369" s="1123"/>
      <c r="H369" s="1123"/>
      <c r="I369" s="1123"/>
      <c r="J369" s="1123"/>
      <c r="K369" s="1123"/>
      <c r="L369" s="1123"/>
      <c r="M369" s="1123"/>
      <c r="N369" s="1123"/>
      <c r="V369" s="1224"/>
    </row>
    <row r="370" spans="1:22">
      <c r="A370" s="1289"/>
      <c r="B370" s="1123"/>
      <c r="C370" s="1123"/>
      <c r="D370" s="1123"/>
      <c r="E370" s="1123"/>
      <c r="G370" s="1123"/>
      <c r="H370" s="1123"/>
      <c r="I370" s="1123"/>
      <c r="J370" s="1123"/>
      <c r="K370" s="1123"/>
      <c r="L370" s="1123"/>
      <c r="M370" s="1123"/>
      <c r="N370" s="1123"/>
      <c r="V370" s="1224"/>
    </row>
    <row r="371" spans="1:22">
      <c r="A371" s="1289"/>
      <c r="B371" s="1123"/>
      <c r="C371" s="1123"/>
      <c r="D371" s="1123"/>
      <c r="E371" s="1123"/>
      <c r="G371" s="1123"/>
      <c r="H371" s="1123"/>
      <c r="I371" s="1123"/>
      <c r="J371" s="1123"/>
      <c r="K371" s="1123"/>
      <c r="L371" s="1123"/>
      <c r="M371" s="1123"/>
      <c r="N371" s="1123"/>
      <c r="V371" s="1224"/>
    </row>
    <row r="372" spans="1:22">
      <c r="A372" s="1289"/>
      <c r="B372" s="1123"/>
      <c r="C372" s="1123"/>
      <c r="D372" s="1123"/>
      <c r="E372" s="1123"/>
      <c r="G372" s="1123"/>
      <c r="H372" s="1123"/>
      <c r="I372" s="1123"/>
      <c r="J372" s="1123"/>
      <c r="K372" s="1123"/>
      <c r="L372" s="1123"/>
      <c r="M372" s="1123"/>
      <c r="N372" s="1123"/>
      <c r="V372" s="1224"/>
    </row>
    <row r="373" spans="1:22">
      <c r="A373" s="1289"/>
      <c r="B373" s="1123"/>
      <c r="C373" s="1123"/>
      <c r="D373" s="1123"/>
      <c r="E373" s="1123"/>
      <c r="G373" s="1123"/>
      <c r="H373" s="1123"/>
      <c r="I373" s="1123"/>
      <c r="J373" s="1123"/>
      <c r="K373" s="1123"/>
      <c r="L373" s="1123"/>
      <c r="M373" s="1123"/>
      <c r="N373" s="1123"/>
      <c r="V373" s="1224"/>
    </row>
    <row r="374" spans="1:22">
      <c r="A374" s="1289"/>
      <c r="B374" s="1123"/>
      <c r="C374" s="1123"/>
      <c r="D374" s="1123"/>
      <c r="E374" s="1123"/>
      <c r="G374" s="1123"/>
      <c r="H374" s="1123"/>
      <c r="I374" s="1123"/>
      <c r="J374" s="1123"/>
      <c r="K374" s="1123"/>
      <c r="L374" s="1123"/>
      <c r="M374" s="1123"/>
      <c r="N374" s="1123"/>
      <c r="V374" s="1224"/>
    </row>
    <row r="375" spans="1:22">
      <c r="A375" s="1289"/>
      <c r="B375" s="1123"/>
      <c r="C375" s="1123"/>
      <c r="D375" s="1123"/>
      <c r="E375" s="1123"/>
      <c r="G375" s="1123"/>
      <c r="H375" s="1123"/>
      <c r="I375" s="1123"/>
      <c r="J375" s="1123"/>
      <c r="K375" s="1123"/>
      <c r="L375" s="1123"/>
      <c r="M375" s="1123"/>
      <c r="N375" s="1123"/>
      <c r="V375" s="1224"/>
    </row>
    <row r="376" spans="1:22">
      <c r="A376" s="1289"/>
      <c r="B376" s="1123"/>
      <c r="C376" s="1123"/>
      <c r="D376" s="1123"/>
      <c r="E376" s="1123"/>
      <c r="G376" s="1123"/>
      <c r="H376" s="1123"/>
      <c r="I376" s="1123"/>
      <c r="J376" s="1123"/>
      <c r="K376" s="1123"/>
      <c r="L376" s="1123"/>
      <c r="M376" s="1123"/>
      <c r="N376" s="1123"/>
      <c r="V376" s="1224"/>
    </row>
    <row r="377" spans="1:22">
      <c r="A377" s="1289"/>
      <c r="B377" s="1123"/>
      <c r="C377" s="1123"/>
      <c r="D377" s="1123"/>
      <c r="E377" s="1123"/>
      <c r="G377" s="1123"/>
      <c r="H377" s="1123"/>
      <c r="I377" s="1123"/>
      <c r="J377" s="1123"/>
      <c r="K377" s="1123"/>
      <c r="L377" s="1123"/>
      <c r="M377" s="1123"/>
      <c r="N377" s="1123"/>
      <c r="V377" s="1224"/>
    </row>
    <row r="378" spans="1:22">
      <c r="A378" s="1289"/>
      <c r="B378" s="1123"/>
      <c r="C378" s="1123"/>
      <c r="D378" s="1123"/>
      <c r="E378" s="1123"/>
      <c r="G378" s="1123"/>
      <c r="H378" s="1123"/>
      <c r="I378" s="1123"/>
      <c r="J378" s="1123"/>
      <c r="K378" s="1123"/>
      <c r="L378" s="1123"/>
      <c r="M378" s="1123"/>
      <c r="N378" s="1123"/>
      <c r="V378" s="1224"/>
    </row>
    <row r="379" spans="1:22">
      <c r="A379" s="1289"/>
      <c r="B379" s="1123"/>
      <c r="C379" s="1123"/>
      <c r="D379" s="1123"/>
      <c r="E379" s="1123"/>
      <c r="G379" s="1123"/>
      <c r="H379" s="1123"/>
      <c r="I379" s="1123"/>
      <c r="J379" s="1123"/>
      <c r="K379" s="1123"/>
      <c r="L379" s="1123"/>
      <c r="M379" s="1123"/>
      <c r="N379" s="1123"/>
      <c r="V379" s="1224"/>
    </row>
    <row r="380" spans="1:22">
      <c r="A380" s="1289"/>
      <c r="B380" s="1123"/>
      <c r="C380" s="1123"/>
      <c r="D380" s="1123"/>
      <c r="E380" s="1123"/>
      <c r="G380" s="1123"/>
      <c r="H380" s="1123"/>
      <c r="I380" s="1123"/>
      <c r="J380" s="1123"/>
      <c r="K380" s="1123"/>
      <c r="L380" s="1123"/>
      <c r="M380" s="1123"/>
      <c r="N380" s="1123"/>
      <c r="V380" s="1224"/>
    </row>
    <row r="381" spans="1:22">
      <c r="A381" s="1289"/>
      <c r="B381" s="1123"/>
      <c r="C381" s="1123"/>
      <c r="D381" s="1123"/>
      <c r="E381" s="1123"/>
      <c r="G381" s="1123"/>
      <c r="H381" s="1123"/>
      <c r="I381" s="1123"/>
      <c r="J381" s="1123"/>
      <c r="K381" s="1123"/>
      <c r="L381" s="1123"/>
      <c r="M381" s="1123"/>
      <c r="N381" s="1123"/>
      <c r="V381" s="1224"/>
    </row>
    <row r="382" spans="1:22">
      <c r="A382" s="1289"/>
      <c r="B382" s="1123"/>
      <c r="C382" s="1123"/>
      <c r="D382" s="1123"/>
      <c r="E382" s="1123"/>
      <c r="G382" s="1123"/>
      <c r="H382" s="1123"/>
      <c r="I382" s="1123"/>
      <c r="J382" s="1123"/>
      <c r="K382" s="1123"/>
      <c r="L382" s="1123"/>
      <c r="M382" s="1123"/>
      <c r="N382" s="1123"/>
      <c r="V382" s="1224"/>
    </row>
    <row r="383" spans="1:22">
      <c r="A383" s="1289"/>
      <c r="B383" s="1123"/>
      <c r="C383" s="1123"/>
      <c r="D383" s="1123"/>
      <c r="E383" s="1123"/>
      <c r="G383" s="1123"/>
      <c r="H383" s="1123"/>
      <c r="I383" s="1123"/>
      <c r="J383" s="1123"/>
      <c r="K383" s="1123"/>
      <c r="L383" s="1123"/>
      <c r="M383" s="1123"/>
      <c r="N383" s="1123"/>
      <c r="V383" s="1224"/>
    </row>
    <row r="384" spans="1:22">
      <c r="A384" s="1289"/>
      <c r="B384" s="1123"/>
      <c r="C384" s="1123"/>
      <c r="D384" s="1123"/>
      <c r="E384" s="1123"/>
      <c r="G384" s="1123"/>
      <c r="H384" s="1123"/>
      <c r="I384" s="1123"/>
      <c r="J384" s="1123"/>
      <c r="K384" s="1123"/>
      <c r="L384" s="1123"/>
      <c r="M384" s="1123"/>
      <c r="N384" s="1123"/>
      <c r="V384" s="1224"/>
    </row>
    <row r="385" spans="1:22">
      <c r="A385" s="1289"/>
      <c r="B385" s="1123"/>
      <c r="C385" s="1123"/>
      <c r="D385" s="1123"/>
      <c r="E385" s="1123"/>
      <c r="G385" s="1123"/>
      <c r="H385" s="1123"/>
      <c r="I385" s="1123"/>
      <c r="J385" s="1123"/>
      <c r="K385" s="1123"/>
      <c r="L385" s="1123"/>
      <c r="M385" s="1123"/>
      <c r="N385" s="1123"/>
      <c r="V385" s="1224"/>
    </row>
    <row r="386" spans="1:22">
      <c r="A386" s="1289"/>
      <c r="B386" s="1123"/>
      <c r="C386" s="1123"/>
      <c r="D386" s="1123"/>
      <c r="E386" s="1123"/>
      <c r="G386" s="1123"/>
      <c r="H386" s="1123"/>
      <c r="I386" s="1123"/>
      <c r="J386" s="1123"/>
      <c r="K386" s="1123"/>
      <c r="L386" s="1123"/>
      <c r="M386" s="1123"/>
      <c r="N386" s="1123"/>
      <c r="V386" s="1224"/>
    </row>
    <row r="387" spans="1:22">
      <c r="A387" s="1289"/>
      <c r="B387" s="1123"/>
      <c r="C387" s="1123"/>
      <c r="D387" s="1123"/>
      <c r="E387" s="1123"/>
      <c r="G387" s="1123"/>
      <c r="H387" s="1123"/>
      <c r="I387" s="1123"/>
      <c r="J387" s="1123"/>
      <c r="K387" s="1123"/>
      <c r="L387" s="1123"/>
      <c r="M387" s="1123"/>
      <c r="N387" s="1123"/>
      <c r="V387" s="1224"/>
    </row>
    <row r="388" spans="1:22">
      <c r="A388" s="1289"/>
      <c r="B388" s="1123"/>
      <c r="C388" s="1123"/>
      <c r="D388" s="1123"/>
      <c r="E388" s="1123"/>
      <c r="G388" s="1123"/>
      <c r="H388" s="1123"/>
      <c r="I388" s="1123"/>
      <c r="J388" s="1123"/>
      <c r="K388" s="1123"/>
      <c r="L388" s="1123"/>
      <c r="M388" s="1123"/>
      <c r="N388" s="1123"/>
      <c r="V388" s="1224"/>
    </row>
    <row r="389" spans="1:22">
      <c r="A389" s="1289"/>
      <c r="B389" s="1123"/>
      <c r="C389" s="1123"/>
      <c r="D389" s="1123"/>
      <c r="E389" s="1123"/>
      <c r="G389" s="1123"/>
      <c r="H389" s="1123"/>
      <c r="I389" s="1123"/>
      <c r="J389" s="1123"/>
      <c r="K389" s="1123"/>
      <c r="L389" s="1123"/>
      <c r="M389" s="1123"/>
      <c r="N389" s="1123"/>
      <c r="V389" s="1224"/>
    </row>
    <row r="390" spans="1:22">
      <c r="A390" s="1289"/>
      <c r="B390" s="1123"/>
      <c r="C390" s="1123"/>
      <c r="D390" s="1123"/>
      <c r="E390" s="1123"/>
      <c r="G390" s="1123"/>
      <c r="H390" s="1123"/>
      <c r="I390" s="1123"/>
      <c r="J390" s="1123"/>
      <c r="K390" s="1123"/>
      <c r="L390" s="1123"/>
      <c r="M390" s="1123"/>
      <c r="N390" s="1123"/>
      <c r="V390" s="1224"/>
    </row>
    <row r="391" spans="1:22">
      <c r="A391" s="1289"/>
      <c r="B391" s="1123"/>
      <c r="C391" s="1123"/>
      <c r="D391" s="1123"/>
      <c r="E391" s="1123"/>
      <c r="G391" s="1123"/>
      <c r="H391" s="1123"/>
      <c r="I391" s="1123"/>
      <c r="J391" s="1123"/>
      <c r="K391" s="1123"/>
      <c r="L391" s="1123"/>
      <c r="M391" s="1123"/>
      <c r="N391" s="1123"/>
      <c r="V391" s="1224"/>
    </row>
    <row r="392" spans="1:22">
      <c r="A392" s="1289"/>
      <c r="B392" s="1123"/>
      <c r="C392" s="1123"/>
      <c r="D392" s="1123"/>
      <c r="E392" s="1123"/>
      <c r="G392" s="1123"/>
      <c r="H392" s="1123"/>
      <c r="I392" s="1123"/>
      <c r="J392" s="1123"/>
      <c r="K392" s="1123"/>
      <c r="L392" s="1123"/>
      <c r="M392" s="1123"/>
      <c r="N392" s="1123"/>
      <c r="V392" s="1224"/>
    </row>
    <row r="393" spans="1:22">
      <c r="A393" s="1289"/>
      <c r="B393" s="1123"/>
      <c r="C393" s="1123"/>
      <c r="D393" s="1123"/>
      <c r="E393" s="1123"/>
      <c r="G393" s="1123"/>
      <c r="H393" s="1123"/>
      <c r="I393" s="1123"/>
      <c r="J393" s="1123"/>
      <c r="K393" s="1123"/>
      <c r="L393" s="1123"/>
      <c r="M393" s="1123"/>
      <c r="N393" s="1123"/>
      <c r="V393" s="1224"/>
    </row>
    <row r="394" spans="1:22">
      <c r="A394" s="1289"/>
      <c r="B394" s="1123"/>
      <c r="C394" s="1123"/>
      <c r="D394" s="1123"/>
      <c r="E394" s="1123"/>
      <c r="G394" s="1123"/>
      <c r="H394" s="1123"/>
      <c r="I394" s="1123"/>
      <c r="J394" s="1123"/>
      <c r="K394" s="1123"/>
      <c r="L394" s="1123"/>
      <c r="M394" s="1123"/>
      <c r="N394" s="1123"/>
      <c r="V394" s="1224"/>
    </row>
    <row r="395" spans="1:22">
      <c r="A395" s="1289"/>
      <c r="B395" s="1123"/>
      <c r="C395" s="1123"/>
      <c r="D395" s="1123"/>
      <c r="E395" s="1123"/>
      <c r="G395" s="1123"/>
      <c r="H395" s="1123"/>
      <c r="I395" s="1123"/>
      <c r="J395" s="1123"/>
      <c r="K395" s="1123"/>
      <c r="L395" s="1123"/>
      <c r="M395" s="1123"/>
      <c r="N395" s="1123"/>
      <c r="V395" s="1224"/>
    </row>
    <row r="396" spans="1:22">
      <c r="A396" s="1289"/>
      <c r="B396" s="1123"/>
      <c r="C396" s="1123"/>
      <c r="D396" s="1123"/>
      <c r="E396" s="1123"/>
      <c r="G396" s="1123"/>
      <c r="H396" s="1123"/>
      <c r="I396" s="1123"/>
      <c r="J396" s="1123"/>
      <c r="K396" s="1123"/>
      <c r="L396" s="1123"/>
      <c r="M396" s="1123"/>
      <c r="N396" s="1123"/>
      <c r="V396" s="1224"/>
    </row>
    <row r="397" spans="1:22">
      <c r="A397" s="1289"/>
      <c r="B397" s="1123"/>
      <c r="C397" s="1123"/>
      <c r="D397" s="1123"/>
      <c r="E397" s="1123"/>
      <c r="G397" s="1123"/>
      <c r="H397" s="1123"/>
      <c r="I397" s="1123"/>
      <c r="J397" s="1123"/>
      <c r="K397" s="1123"/>
      <c r="L397" s="1123"/>
      <c r="M397" s="1123"/>
      <c r="N397" s="1123"/>
      <c r="V397" s="1224"/>
    </row>
    <row r="398" spans="1:22">
      <c r="A398" s="1289"/>
      <c r="B398" s="1123"/>
      <c r="C398" s="1123"/>
      <c r="D398" s="1123"/>
      <c r="E398" s="1123"/>
      <c r="G398" s="1123"/>
      <c r="H398" s="1123"/>
      <c r="I398" s="1123"/>
      <c r="J398" s="1123"/>
      <c r="K398" s="1123"/>
      <c r="L398" s="1123"/>
      <c r="M398" s="1123"/>
      <c r="N398" s="1123"/>
      <c r="V398" s="1224"/>
    </row>
    <row r="399" spans="1:22">
      <c r="A399" s="1289"/>
      <c r="B399" s="1123"/>
      <c r="C399" s="1123"/>
      <c r="D399" s="1123"/>
      <c r="E399" s="1123"/>
      <c r="G399" s="1123"/>
      <c r="H399" s="1123"/>
      <c r="I399" s="1123"/>
      <c r="J399" s="1123"/>
      <c r="K399" s="1123"/>
      <c r="L399" s="1123"/>
      <c r="M399" s="1123"/>
      <c r="N399" s="1123"/>
      <c r="V399" s="1224"/>
    </row>
    <row r="400" spans="1:22">
      <c r="A400" s="1289"/>
      <c r="B400" s="1123"/>
      <c r="C400" s="1123"/>
      <c r="D400" s="1123"/>
      <c r="E400" s="1123"/>
      <c r="G400" s="1123"/>
      <c r="H400" s="1123"/>
      <c r="I400" s="1123"/>
      <c r="J400" s="1123"/>
      <c r="K400" s="1123"/>
      <c r="L400" s="1123"/>
      <c r="M400" s="1123"/>
      <c r="N400" s="1123"/>
      <c r="V400" s="1224"/>
    </row>
    <row r="401" spans="1:22">
      <c r="A401" s="1289"/>
      <c r="B401" s="1123"/>
      <c r="C401" s="1123"/>
      <c r="D401" s="1123"/>
      <c r="E401" s="1123"/>
      <c r="G401" s="1123"/>
      <c r="H401" s="1123"/>
      <c r="I401" s="1123"/>
      <c r="J401" s="1123"/>
      <c r="K401" s="1123"/>
      <c r="L401" s="1123"/>
      <c r="M401" s="1123"/>
      <c r="N401" s="1123"/>
      <c r="V401" s="1224"/>
    </row>
    <row r="402" spans="1:22">
      <c r="A402" s="1289"/>
      <c r="B402" s="1123"/>
      <c r="C402" s="1123"/>
      <c r="D402" s="1123"/>
      <c r="E402" s="1123"/>
      <c r="G402" s="1123"/>
      <c r="H402" s="1123"/>
      <c r="I402" s="1123"/>
      <c r="J402" s="1123"/>
      <c r="K402" s="1123"/>
      <c r="L402" s="1123"/>
      <c r="M402" s="1123"/>
      <c r="N402" s="1123"/>
      <c r="V402" s="1224"/>
    </row>
    <row r="403" spans="1:22">
      <c r="A403" s="1289"/>
      <c r="B403" s="1123"/>
      <c r="C403" s="1123"/>
      <c r="D403" s="1123"/>
      <c r="E403" s="1123"/>
      <c r="G403" s="1123"/>
      <c r="H403" s="1123"/>
      <c r="I403" s="1123"/>
      <c r="J403" s="1123"/>
      <c r="K403" s="1123"/>
      <c r="L403" s="1123"/>
      <c r="M403" s="1123"/>
      <c r="N403" s="1123"/>
      <c r="V403" s="1224"/>
    </row>
    <row r="404" spans="1:22">
      <c r="A404" s="1289"/>
      <c r="B404" s="1123"/>
      <c r="C404" s="1123"/>
      <c r="D404" s="1123"/>
      <c r="E404" s="1123"/>
      <c r="G404" s="1123"/>
      <c r="H404" s="1123"/>
      <c r="I404" s="1123"/>
      <c r="J404" s="1123"/>
      <c r="K404" s="1123"/>
      <c r="L404" s="1123"/>
      <c r="M404" s="1123"/>
      <c r="N404" s="1123"/>
      <c r="V404" s="1224"/>
    </row>
    <row r="405" spans="1:22">
      <c r="A405" s="1289"/>
      <c r="B405" s="1123"/>
      <c r="C405" s="1123"/>
      <c r="D405" s="1123"/>
      <c r="E405" s="1123"/>
      <c r="G405" s="1123"/>
      <c r="H405" s="1123"/>
      <c r="I405" s="1123"/>
      <c r="J405" s="1123"/>
      <c r="K405" s="1123"/>
      <c r="L405" s="1123"/>
      <c r="M405" s="1123"/>
      <c r="N405" s="1123"/>
      <c r="V405" s="1224"/>
    </row>
    <row r="406" spans="1:22">
      <c r="A406" s="1289"/>
      <c r="B406" s="1123"/>
      <c r="C406" s="1123"/>
      <c r="D406" s="1123"/>
      <c r="E406" s="1123"/>
      <c r="G406" s="1123"/>
      <c r="H406" s="1123"/>
      <c r="I406" s="1123"/>
      <c r="J406" s="1123"/>
      <c r="K406" s="1123"/>
      <c r="L406" s="1123"/>
      <c r="M406" s="1123"/>
      <c r="N406" s="1123"/>
      <c r="V406" s="1224"/>
    </row>
    <row r="407" spans="1:22">
      <c r="A407" s="1289"/>
      <c r="B407" s="1123"/>
      <c r="C407" s="1123"/>
      <c r="D407" s="1123"/>
      <c r="E407" s="1123"/>
      <c r="G407" s="1123"/>
      <c r="H407" s="1123"/>
      <c r="I407" s="1123"/>
      <c r="J407" s="1123"/>
      <c r="K407" s="1123"/>
      <c r="L407" s="1123"/>
      <c r="M407" s="1123"/>
      <c r="N407" s="1123"/>
      <c r="V407" s="1224"/>
    </row>
    <row r="408" spans="1:22">
      <c r="A408" s="1289"/>
      <c r="B408" s="1123"/>
      <c r="C408" s="1123"/>
      <c r="D408" s="1123"/>
      <c r="E408" s="1123"/>
      <c r="G408" s="1123"/>
      <c r="H408" s="1123"/>
      <c r="I408" s="1123"/>
      <c r="J408" s="1123"/>
      <c r="K408" s="1123"/>
      <c r="L408" s="1123"/>
      <c r="M408" s="1123"/>
      <c r="N408" s="1123"/>
      <c r="V408" s="1224"/>
    </row>
    <row r="409" spans="1:22">
      <c r="A409" s="1289"/>
      <c r="B409" s="1123"/>
      <c r="C409" s="1123"/>
      <c r="D409" s="1123"/>
      <c r="E409" s="1123"/>
      <c r="G409" s="1123"/>
      <c r="H409" s="1123"/>
      <c r="I409" s="1123"/>
      <c r="J409" s="1123"/>
      <c r="K409" s="1123"/>
      <c r="L409" s="1123"/>
      <c r="M409" s="1123"/>
      <c r="N409" s="1123"/>
      <c r="V409" s="1224"/>
    </row>
    <row r="410" spans="1:22">
      <c r="A410" s="1289"/>
      <c r="B410" s="1123"/>
      <c r="C410" s="1123"/>
      <c r="D410" s="1123"/>
      <c r="E410" s="1123"/>
      <c r="G410" s="1123"/>
      <c r="H410" s="1123"/>
      <c r="I410" s="1123"/>
      <c r="J410" s="1123"/>
      <c r="K410" s="1123"/>
      <c r="L410" s="1123"/>
      <c r="M410" s="1123"/>
      <c r="N410" s="1123"/>
      <c r="V410" s="1224"/>
    </row>
    <row r="411" spans="1:22">
      <c r="A411" s="1289"/>
      <c r="B411" s="1123"/>
      <c r="C411" s="1123"/>
      <c r="D411" s="1123"/>
      <c r="E411" s="1123"/>
      <c r="G411" s="1123"/>
      <c r="H411" s="1123"/>
      <c r="I411" s="1123"/>
      <c r="J411" s="1123"/>
      <c r="K411" s="1123"/>
      <c r="L411" s="1123"/>
      <c r="M411" s="1123"/>
      <c r="N411" s="1123"/>
      <c r="V411" s="1224"/>
    </row>
    <row r="412" spans="1:22">
      <c r="A412" s="1289"/>
      <c r="B412" s="1123"/>
      <c r="C412" s="1123"/>
      <c r="D412" s="1123"/>
      <c r="E412" s="1123"/>
      <c r="G412" s="1123"/>
      <c r="H412" s="1123"/>
      <c r="I412" s="1123"/>
      <c r="J412" s="1123"/>
      <c r="K412" s="1123"/>
      <c r="L412" s="1123"/>
      <c r="M412" s="1123"/>
      <c r="N412" s="1123"/>
      <c r="V412" s="1224"/>
    </row>
    <row r="413" spans="1:22">
      <c r="A413" s="1289"/>
      <c r="B413" s="1123"/>
      <c r="C413" s="1123"/>
      <c r="D413" s="1123"/>
      <c r="E413" s="1123"/>
      <c r="G413" s="1123"/>
      <c r="H413" s="1123"/>
      <c r="I413" s="1123"/>
      <c r="J413" s="1123"/>
      <c r="K413" s="1123"/>
      <c r="L413" s="1123"/>
      <c r="M413" s="1123"/>
      <c r="N413" s="1123"/>
      <c r="V413" s="1224"/>
    </row>
    <row r="414" spans="1:22">
      <c r="A414" s="1289"/>
      <c r="B414" s="1123"/>
      <c r="C414" s="1123"/>
      <c r="D414" s="1123"/>
      <c r="E414" s="1123"/>
      <c r="G414" s="1123"/>
      <c r="H414" s="1123"/>
      <c r="I414" s="1123"/>
      <c r="J414" s="1123"/>
      <c r="K414" s="1123"/>
      <c r="L414" s="1123"/>
      <c r="M414" s="1123"/>
      <c r="N414" s="1123"/>
      <c r="V414" s="1224"/>
    </row>
    <row r="415" spans="1:22">
      <c r="A415" s="1289"/>
      <c r="B415" s="1123"/>
      <c r="C415" s="1123"/>
      <c r="D415" s="1123"/>
      <c r="E415" s="1123"/>
      <c r="G415" s="1123"/>
      <c r="H415" s="1123"/>
      <c r="I415" s="1123"/>
      <c r="J415" s="1123"/>
      <c r="K415" s="1123"/>
      <c r="L415" s="1123"/>
      <c r="M415" s="1123"/>
      <c r="N415" s="1123"/>
      <c r="V415" s="1224"/>
    </row>
    <row r="416" spans="1:22">
      <c r="A416" s="1289"/>
      <c r="B416" s="1123"/>
      <c r="C416" s="1123"/>
      <c r="D416" s="1123"/>
      <c r="E416" s="1123"/>
      <c r="G416" s="1123"/>
      <c r="H416" s="1123"/>
      <c r="I416" s="1123"/>
      <c r="J416" s="1123"/>
      <c r="K416" s="1123"/>
      <c r="L416" s="1123"/>
      <c r="M416" s="1123"/>
      <c r="N416" s="1123"/>
      <c r="V416" s="1224"/>
    </row>
    <row r="417" spans="1:22">
      <c r="A417" s="1289"/>
      <c r="B417" s="1123"/>
      <c r="C417" s="1123"/>
      <c r="D417" s="1123"/>
      <c r="E417" s="1123"/>
      <c r="G417" s="1123"/>
      <c r="H417" s="1123"/>
      <c r="I417" s="1123"/>
      <c r="J417" s="1123"/>
      <c r="K417" s="1123"/>
      <c r="L417" s="1123"/>
      <c r="M417" s="1123"/>
      <c r="N417" s="1123"/>
      <c r="V417" s="1224"/>
    </row>
    <row r="418" spans="1:22">
      <c r="A418" s="1289"/>
      <c r="B418" s="1123"/>
      <c r="C418" s="1123"/>
      <c r="D418" s="1123"/>
      <c r="E418" s="1123"/>
      <c r="G418" s="1123"/>
      <c r="H418" s="1123"/>
      <c r="I418" s="1123"/>
      <c r="J418" s="1123"/>
      <c r="K418" s="1123"/>
      <c r="L418" s="1123"/>
      <c r="M418" s="1123"/>
      <c r="N418" s="1123"/>
      <c r="V418" s="1224"/>
    </row>
    <row r="419" spans="1:22">
      <c r="A419" s="1289"/>
      <c r="B419" s="1123"/>
      <c r="C419" s="1123"/>
      <c r="D419" s="1123"/>
      <c r="E419" s="1123"/>
      <c r="G419" s="1123"/>
      <c r="H419" s="1123"/>
      <c r="I419" s="1123"/>
      <c r="J419" s="1123"/>
      <c r="K419" s="1123"/>
      <c r="L419" s="1123"/>
      <c r="M419" s="1123"/>
      <c r="N419" s="1123"/>
      <c r="V419" s="1224"/>
    </row>
    <row r="420" spans="1:22">
      <c r="A420" s="1289"/>
      <c r="B420" s="1123"/>
      <c r="C420" s="1123"/>
      <c r="D420" s="1123"/>
      <c r="E420" s="1123"/>
      <c r="G420" s="1123"/>
      <c r="H420" s="1123"/>
      <c r="I420" s="1123"/>
      <c r="J420" s="1123"/>
      <c r="K420" s="1123"/>
      <c r="L420" s="1123"/>
      <c r="M420" s="1123"/>
      <c r="N420" s="1123"/>
      <c r="V420" s="1224"/>
    </row>
    <row r="421" spans="1:22">
      <c r="A421" s="1289"/>
      <c r="B421" s="1123"/>
      <c r="C421" s="1123"/>
      <c r="D421" s="1123"/>
      <c r="E421" s="1123"/>
      <c r="G421" s="1123"/>
      <c r="H421" s="1123"/>
      <c r="I421" s="1123"/>
      <c r="J421" s="1123"/>
      <c r="K421" s="1123"/>
      <c r="L421" s="1123"/>
      <c r="M421" s="1123"/>
      <c r="N421" s="1123"/>
      <c r="V421" s="1224"/>
    </row>
    <row r="422" spans="1:22">
      <c r="A422" s="1289"/>
      <c r="B422" s="1123"/>
      <c r="C422" s="1123"/>
      <c r="D422" s="1123"/>
      <c r="E422" s="1123"/>
      <c r="G422" s="1123"/>
      <c r="H422" s="1123"/>
      <c r="I422" s="1123"/>
      <c r="J422" s="1123"/>
      <c r="K422" s="1123"/>
      <c r="L422" s="1123"/>
      <c r="M422" s="1123"/>
      <c r="N422" s="1123"/>
      <c r="V422" s="1224"/>
    </row>
    <row r="423" spans="1:22">
      <c r="A423" s="1289"/>
      <c r="B423" s="1123"/>
      <c r="C423" s="1123"/>
      <c r="D423" s="1123"/>
      <c r="E423" s="1123"/>
      <c r="G423" s="1123"/>
      <c r="H423" s="1123"/>
      <c r="I423" s="1123"/>
      <c r="J423" s="1123"/>
      <c r="K423" s="1123"/>
      <c r="L423" s="1123"/>
      <c r="M423" s="1123"/>
      <c r="N423" s="1123"/>
      <c r="V423" s="1224"/>
    </row>
    <row r="424" spans="1:22">
      <c r="A424" s="1289"/>
      <c r="B424" s="1123"/>
      <c r="C424" s="1123"/>
      <c r="D424" s="1123"/>
      <c r="E424" s="1123"/>
      <c r="G424" s="1123"/>
      <c r="H424" s="1123"/>
      <c r="I424" s="1123"/>
      <c r="J424" s="1123"/>
      <c r="K424" s="1123"/>
      <c r="L424" s="1123"/>
      <c r="M424" s="1123"/>
      <c r="N424" s="1123"/>
      <c r="V424" s="1224"/>
    </row>
    <row r="425" spans="1:22">
      <c r="A425" s="1289"/>
      <c r="B425" s="1123"/>
      <c r="C425" s="1123"/>
      <c r="D425" s="1123"/>
      <c r="E425" s="1123"/>
      <c r="G425" s="1123"/>
      <c r="H425" s="1123"/>
      <c r="I425" s="1123"/>
      <c r="J425" s="1123"/>
      <c r="K425" s="1123"/>
      <c r="L425" s="1123"/>
      <c r="M425" s="1123"/>
      <c r="N425" s="1123"/>
      <c r="V425" s="1224"/>
    </row>
    <row r="426" spans="1:22">
      <c r="A426" s="1289"/>
      <c r="B426" s="1123"/>
      <c r="C426" s="1123"/>
      <c r="D426" s="1123"/>
      <c r="E426" s="1123"/>
      <c r="G426" s="1123"/>
      <c r="H426" s="1123"/>
      <c r="I426" s="1123"/>
      <c r="J426" s="1123"/>
      <c r="K426" s="1123"/>
      <c r="L426" s="1123"/>
      <c r="M426" s="1123"/>
      <c r="N426" s="1123"/>
      <c r="V426" s="1224"/>
    </row>
    <row r="427" spans="1:22">
      <c r="A427" s="1289"/>
      <c r="B427" s="1123"/>
      <c r="C427" s="1123"/>
      <c r="D427" s="1123"/>
      <c r="E427" s="1123"/>
      <c r="G427" s="1123"/>
      <c r="H427" s="1123"/>
      <c r="I427" s="1123"/>
      <c r="J427" s="1123"/>
      <c r="K427" s="1123"/>
      <c r="L427" s="1123"/>
      <c r="M427" s="1123"/>
      <c r="N427" s="1123"/>
      <c r="V427" s="1224"/>
    </row>
    <row r="428" spans="1:22">
      <c r="A428" s="1289"/>
      <c r="B428" s="1123"/>
      <c r="C428" s="1123"/>
      <c r="D428" s="1123"/>
      <c r="E428" s="1123"/>
      <c r="G428" s="1123"/>
      <c r="H428" s="1123"/>
      <c r="I428" s="1123"/>
      <c r="J428" s="1123"/>
      <c r="K428" s="1123"/>
      <c r="L428" s="1123"/>
      <c r="M428" s="1123"/>
      <c r="N428" s="1123"/>
      <c r="V428" s="1224"/>
    </row>
    <row r="429" spans="1:22">
      <c r="A429" s="1289"/>
      <c r="B429" s="1123"/>
      <c r="C429" s="1123"/>
      <c r="D429" s="1123"/>
      <c r="E429" s="1123"/>
      <c r="G429" s="1123"/>
      <c r="H429" s="1123"/>
      <c r="I429" s="1123"/>
      <c r="J429" s="1123"/>
      <c r="K429" s="1123"/>
      <c r="L429" s="1123"/>
      <c r="M429" s="1123"/>
      <c r="N429" s="1123"/>
      <c r="V429" s="1224"/>
    </row>
    <row r="430" spans="1:22">
      <c r="A430" s="1289"/>
      <c r="B430" s="1123"/>
      <c r="C430" s="1123"/>
      <c r="D430" s="1123"/>
      <c r="E430" s="1123"/>
      <c r="G430" s="1123"/>
      <c r="H430" s="1123"/>
      <c r="I430" s="1123"/>
      <c r="J430" s="1123"/>
      <c r="K430" s="1123"/>
      <c r="L430" s="1123"/>
      <c r="M430" s="1123"/>
      <c r="N430" s="1123"/>
      <c r="V430" s="1224"/>
    </row>
    <row r="431" spans="1:22">
      <c r="A431" s="1289"/>
      <c r="B431" s="1123"/>
      <c r="C431" s="1123"/>
      <c r="D431" s="1123"/>
      <c r="E431" s="1123"/>
      <c r="G431" s="1123"/>
      <c r="H431" s="1123"/>
      <c r="I431" s="1123"/>
      <c r="J431" s="1123"/>
      <c r="K431" s="1123"/>
      <c r="L431" s="1123"/>
      <c r="M431" s="1123"/>
      <c r="N431" s="1123"/>
      <c r="V431" s="1224"/>
    </row>
    <row r="432" spans="1:22">
      <c r="A432" s="1289"/>
      <c r="B432" s="1123"/>
      <c r="C432" s="1123"/>
      <c r="D432" s="1123"/>
      <c r="E432" s="1123"/>
      <c r="G432" s="1123"/>
      <c r="H432" s="1123"/>
      <c r="I432" s="1123"/>
      <c r="J432" s="1123"/>
      <c r="K432" s="1123"/>
      <c r="L432" s="1123"/>
      <c r="M432" s="1123"/>
      <c r="N432" s="1123"/>
      <c r="V432" s="1224"/>
    </row>
    <row r="433" spans="1:22">
      <c r="A433" s="1289"/>
      <c r="B433" s="1123"/>
      <c r="C433" s="1123"/>
      <c r="D433" s="1123"/>
      <c r="E433" s="1123"/>
      <c r="G433" s="1123"/>
      <c r="H433" s="1123"/>
      <c r="I433" s="1123"/>
      <c r="J433" s="1123"/>
      <c r="K433" s="1123"/>
      <c r="L433" s="1123"/>
      <c r="M433" s="1123"/>
      <c r="N433" s="1123"/>
      <c r="V433" s="1224"/>
    </row>
    <row r="434" spans="1:22">
      <c r="A434" s="1289"/>
      <c r="B434" s="1123"/>
      <c r="C434" s="1123"/>
      <c r="D434" s="1123"/>
      <c r="E434" s="1123"/>
      <c r="G434" s="1123"/>
      <c r="H434" s="1123"/>
      <c r="I434" s="1123"/>
      <c r="J434" s="1123"/>
      <c r="K434" s="1123"/>
      <c r="L434" s="1123"/>
      <c r="M434" s="1123"/>
      <c r="N434" s="1123"/>
      <c r="V434" s="1224"/>
    </row>
    <row r="435" spans="1:22">
      <c r="A435" s="1289"/>
      <c r="B435" s="1123"/>
      <c r="C435" s="1123"/>
      <c r="D435" s="1123"/>
      <c r="E435" s="1123"/>
      <c r="G435" s="1123"/>
      <c r="H435" s="1123"/>
      <c r="I435" s="1123"/>
      <c r="J435" s="1123"/>
      <c r="K435" s="1123"/>
      <c r="L435" s="1123"/>
      <c r="M435" s="1123"/>
      <c r="N435" s="1123"/>
      <c r="V435" s="1224"/>
    </row>
    <row r="436" spans="1:22">
      <c r="A436" s="1289"/>
      <c r="B436" s="1123"/>
      <c r="C436" s="1123"/>
      <c r="D436" s="1123"/>
      <c r="E436" s="1123"/>
      <c r="G436" s="1123"/>
      <c r="H436" s="1123"/>
      <c r="I436" s="1123"/>
      <c r="J436" s="1123"/>
      <c r="K436" s="1123"/>
      <c r="L436" s="1123"/>
      <c r="M436" s="1123"/>
      <c r="N436" s="1123"/>
      <c r="V436" s="1224"/>
    </row>
    <row r="437" spans="1:22">
      <c r="A437" s="1289"/>
      <c r="B437" s="1123"/>
      <c r="C437" s="1123"/>
      <c r="D437" s="1123"/>
      <c r="E437" s="1123"/>
      <c r="G437" s="1123"/>
      <c r="H437" s="1123"/>
      <c r="I437" s="1123"/>
      <c r="J437" s="1123"/>
      <c r="K437" s="1123"/>
      <c r="L437" s="1123"/>
      <c r="M437" s="1123"/>
      <c r="N437" s="1123"/>
      <c r="V437" s="1224"/>
    </row>
    <row r="438" spans="1:22">
      <c r="A438" s="1289"/>
      <c r="B438" s="1123"/>
      <c r="C438" s="1123"/>
      <c r="D438" s="1123"/>
      <c r="E438" s="1123"/>
      <c r="G438" s="1123"/>
      <c r="H438" s="1123"/>
      <c r="I438" s="1123"/>
      <c r="J438" s="1123"/>
      <c r="K438" s="1123"/>
      <c r="L438" s="1123"/>
      <c r="M438" s="1123"/>
      <c r="N438" s="1123"/>
      <c r="V438" s="1224"/>
    </row>
    <row r="439" spans="1:22">
      <c r="A439" s="1289"/>
      <c r="B439" s="1123"/>
      <c r="C439" s="1123"/>
      <c r="D439" s="1123"/>
      <c r="E439" s="1123"/>
      <c r="G439" s="1123"/>
      <c r="H439" s="1123"/>
      <c r="I439" s="1123"/>
      <c r="J439" s="1123"/>
      <c r="K439" s="1123"/>
      <c r="L439" s="1123"/>
      <c r="M439" s="1123"/>
      <c r="N439" s="1123"/>
      <c r="V439" s="1224"/>
    </row>
    <row r="440" spans="1:22">
      <c r="A440" s="1289"/>
      <c r="B440" s="1123"/>
      <c r="C440" s="1123"/>
      <c r="D440" s="1123"/>
      <c r="E440" s="1123"/>
      <c r="G440" s="1123"/>
      <c r="H440" s="1123"/>
      <c r="I440" s="1123"/>
      <c r="J440" s="1123"/>
      <c r="K440" s="1123"/>
      <c r="L440" s="1123"/>
      <c r="M440" s="1123"/>
      <c r="N440" s="1123"/>
      <c r="V440" s="1224"/>
    </row>
    <row r="441" spans="1:22">
      <c r="A441" s="1289"/>
      <c r="B441" s="1123"/>
      <c r="C441" s="1123"/>
      <c r="D441" s="1123"/>
      <c r="E441" s="1123"/>
      <c r="G441" s="1123"/>
      <c r="H441" s="1123"/>
      <c r="I441" s="1123"/>
      <c r="J441" s="1123"/>
      <c r="K441" s="1123"/>
      <c r="L441" s="1123"/>
      <c r="M441" s="1123"/>
      <c r="N441" s="1123"/>
      <c r="V441" s="1224"/>
    </row>
    <row r="442" spans="1:22">
      <c r="A442" s="1289"/>
      <c r="B442" s="1123"/>
      <c r="C442" s="1123"/>
      <c r="D442" s="1123"/>
      <c r="E442" s="1123"/>
      <c r="G442" s="1123"/>
      <c r="H442" s="1123"/>
      <c r="I442" s="1123"/>
      <c r="J442" s="1123"/>
      <c r="K442" s="1123"/>
      <c r="L442" s="1123"/>
      <c r="M442" s="1123"/>
      <c r="N442" s="1123"/>
      <c r="V442" s="1224"/>
    </row>
    <row r="443" spans="1:22">
      <c r="A443" s="1289"/>
      <c r="B443" s="1123"/>
      <c r="C443" s="1123"/>
      <c r="D443" s="1123"/>
      <c r="E443" s="1123"/>
      <c r="G443" s="1123"/>
      <c r="H443" s="1123"/>
      <c r="I443" s="1123"/>
      <c r="J443" s="1123"/>
      <c r="K443" s="1123"/>
      <c r="L443" s="1123"/>
      <c r="M443" s="1123"/>
      <c r="N443" s="1123"/>
      <c r="V443" s="1224"/>
    </row>
    <row r="444" spans="1:22">
      <c r="A444" s="1289"/>
      <c r="B444" s="1123"/>
      <c r="C444" s="1123"/>
      <c r="D444" s="1123"/>
      <c r="E444" s="1123"/>
      <c r="G444" s="1123"/>
      <c r="H444" s="1123"/>
      <c r="I444" s="1123"/>
      <c r="J444" s="1123"/>
      <c r="K444" s="1123"/>
      <c r="L444" s="1123"/>
      <c r="M444" s="1123"/>
      <c r="N444" s="1123"/>
      <c r="V444" s="1224"/>
    </row>
    <row r="445" spans="1:22">
      <c r="A445" s="1289"/>
      <c r="B445" s="1123"/>
      <c r="C445" s="1123"/>
      <c r="D445" s="1123"/>
      <c r="E445" s="1123"/>
      <c r="G445" s="1123"/>
      <c r="H445" s="1123"/>
      <c r="I445" s="1123"/>
      <c r="J445" s="1123"/>
      <c r="K445" s="1123"/>
      <c r="L445" s="1123"/>
      <c r="M445" s="1123"/>
      <c r="N445" s="1123"/>
      <c r="V445" s="1224"/>
    </row>
    <row r="446" spans="1:22">
      <c r="A446" s="1289"/>
      <c r="B446" s="1123"/>
      <c r="C446" s="1123"/>
      <c r="D446" s="1123"/>
      <c r="E446" s="1123"/>
      <c r="G446" s="1123"/>
      <c r="H446" s="1123"/>
      <c r="I446" s="1123"/>
      <c r="J446" s="1123"/>
      <c r="K446" s="1123"/>
      <c r="L446" s="1123"/>
      <c r="M446" s="1123"/>
      <c r="N446" s="1123"/>
      <c r="V446" s="1224"/>
    </row>
    <row r="447" spans="1:22">
      <c r="A447" s="1289"/>
      <c r="B447" s="1123"/>
      <c r="C447" s="1123"/>
      <c r="D447" s="1123"/>
      <c r="E447" s="1123"/>
      <c r="G447" s="1123"/>
      <c r="H447" s="1123"/>
      <c r="I447" s="1123"/>
      <c r="J447" s="1123"/>
      <c r="K447" s="1123"/>
      <c r="L447" s="1123"/>
      <c r="M447" s="1123"/>
      <c r="N447" s="1123"/>
      <c r="V447" s="1224"/>
    </row>
    <row r="448" spans="1:22">
      <c r="A448" s="1289"/>
      <c r="B448" s="1123"/>
      <c r="C448" s="1123"/>
      <c r="D448" s="1123"/>
      <c r="E448" s="1123"/>
      <c r="G448" s="1123"/>
      <c r="H448" s="1123"/>
      <c r="I448" s="1123"/>
      <c r="J448" s="1123"/>
      <c r="K448" s="1123"/>
      <c r="L448" s="1123"/>
      <c r="M448" s="1123"/>
      <c r="N448" s="1123"/>
      <c r="V448" s="1224"/>
    </row>
    <row r="449" spans="1:22">
      <c r="A449" s="1289"/>
      <c r="B449" s="1123"/>
      <c r="C449" s="1123"/>
      <c r="D449" s="1123"/>
      <c r="E449" s="1123"/>
      <c r="G449" s="1123"/>
      <c r="H449" s="1123"/>
      <c r="I449" s="1123"/>
      <c r="J449" s="1123"/>
      <c r="K449" s="1123"/>
      <c r="L449" s="1123"/>
      <c r="M449" s="1123"/>
      <c r="N449" s="1123"/>
      <c r="V449" s="1224"/>
    </row>
    <row r="450" spans="1:22">
      <c r="A450" s="1289"/>
      <c r="B450" s="1123"/>
      <c r="C450" s="1123"/>
      <c r="D450" s="1123"/>
      <c r="E450" s="1123"/>
      <c r="G450" s="1123"/>
      <c r="H450" s="1123"/>
      <c r="I450" s="1123"/>
      <c r="J450" s="1123"/>
      <c r="K450" s="1123"/>
      <c r="L450" s="1123"/>
      <c r="M450" s="1123"/>
      <c r="N450" s="1123"/>
      <c r="V450" s="1224"/>
    </row>
    <row r="451" spans="1:22">
      <c r="A451" s="1289"/>
      <c r="B451" s="1123"/>
      <c r="C451" s="1123"/>
      <c r="D451" s="1123"/>
      <c r="E451" s="1123"/>
      <c r="G451" s="1123"/>
      <c r="H451" s="1123"/>
      <c r="I451" s="1123"/>
      <c r="J451" s="1123"/>
      <c r="K451" s="1123"/>
      <c r="L451" s="1123"/>
      <c r="M451" s="1123"/>
      <c r="N451" s="1123"/>
      <c r="V451" s="1224"/>
    </row>
    <row r="452" spans="1:22">
      <c r="A452" s="1289"/>
      <c r="B452" s="1123"/>
      <c r="C452" s="1123"/>
      <c r="D452" s="1123"/>
      <c r="E452" s="1123"/>
      <c r="G452" s="1123"/>
      <c r="H452" s="1123"/>
      <c r="I452" s="1123"/>
      <c r="J452" s="1123"/>
      <c r="K452" s="1123"/>
      <c r="L452" s="1123"/>
      <c r="M452" s="1123"/>
      <c r="N452" s="1123"/>
      <c r="V452" s="1224"/>
    </row>
    <row r="453" spans="1:22">
      <c r="A453" s="1289"/>
      <c r="B453" s="1123"/>
      <c r="C453" s="1123"/>
      <c r="D453" s="1123"/>
      <c r="E453" s="1123"/>
      <c r="G453" s="1123"/>
      <c r="H453" s="1123"/>
      <c r="I453" s="1123"/>
      <c r="J453" s="1123"/>
      <c r="K453" s="1123"/>
      <c r="L453" s="1123"/>
      <c r="M453" s="1123"/>
      <c r="N453" s="1123"/>
      <c r="V453" s="1224"/>
    </row>
    <row r="454" spans="1:22">
      <c r="A454" s="1289"/>
      <c r="B454" s="1123"/>
      <c r="C454" s="1123"/>
      <c r="D454" s="1123"/>
      <c r="E454" s="1123"/>
      <c r="G454" s="1123"/>
      <c r="H454" s="1123"/>
      <c r="I454" s="1123"/>
      <c r="J454" s="1123"/>
      <c r="K454" s="1123"/>
      <c r="L454" s="1123"/>
      <c r="M454" s="1123"/>
      <c r="N454" s="1123"/>
      <c r="V454" s="1224"/>
    </row>
    <row r="455" spans="1:22">
      <c r="A455" s="1289"/>
      <c r="B455" s="1123"/>
      <c r="C455" s="1123"/>
      <c r="D455" s="1123"/>
      <c r="E455" s="1123"/>
      <c r="G455" s="1123"/>
      <c r="H455" s="1123"/>
      <c r="I455" s="1123"/>
      <c r="J455" s="1123"/>
      <c r="K455" s="1123"/>
      <c r="L455" s="1123"/>
      <c r="M455" s="1123"/>
      <c r="N455" s="1123"/>
      <c r="V455" s="1224"/>
    </row>
    <row r="456" spans="1:22">
      <c r="A456" s="1289"/>
      <c r="B456" s="1123"/>
      <c r="C456" s="1123"/>
      <c r="D456" s="1123"/>
      <c r="E456" s="1123"/>
      <c r="G456" s="1123"/>
      <c r="H456" s="1123"/>
      <c r="I456" s="1123"/>
      <c r="J456" s="1123"/>
      <c r="K456" s="1123"/>
      <c r="L456" s="1123"/>
      <c r="M456" s="1123"/>
      <c r="N456" s="1123"/>
      <c r="V456" s="1224"/>
    </row>
    <row r="457" spans="1:22">
      <c r="A457" s="1289"/>
      <c r="B457" s="1123"/>
      <c r="C457" s="1123"/>
      <c r="D457" s="1123"/>
      <c r="E457" s="1123"/>
      <c r="G457" s="1123"/>
      <c r="H457" s="1123"/>
      <c r="I457" s="1123"/>
      <c r="J457" s="1123"/>
      <c r="K457" s="1123"/>
      <c r="L457" s="1123"/>
      <c r="M457" s="1123"/>
      <c r="N457" s="1123"/>
      <c r="V457" s="1224"/>
    </row>
    <row r="458" spans="1:22">
      <c r="A458" s="1289"/>
      <c r="B458" s="1123"/>
      <c r="C458" s="1123"/>
      <c r="D458" s="1123"/>
      <c r="E458" s="1123"/>
      <c r="G458" s="1123"/>
      <c r="H458" s="1123"/>
      <c r="I458" s="1123"/>
      <c r="J458" s="1123"/>
      <c r="K458" s="1123"/>
      <c r="L458" s="1123"/>
      <c r="M458" s="1123"/>
      <c r="N458" s="1123"/>
      <c r="V458" s="1224"/>
    </row>
    <row r="459" spans="1:22">
      <c r="A459" s="1289"/>
      <c r="B459" s="1123"/>
      <c r="C459" s="1123"/>
      <c r="D459" s="1123"/>
      <c r="E459" s="1123"/>
      <c r="G459" s="1123"/>
      <c r="H459" s="1123"/>
      <c r="I459" s="1123"/>
      <c r="J459" s="1123"/>
      <c r="K459" s="1123"/>
      <c r="L459" s="1123"/>
      <c r="M459" s="1123"/>
      <c r="N459" s="1123"/>
      <c r="V459" s="1224"/>
    </row>
    <row r="460" spans="1:22">
      <c r="A460" s="1289"/>
      <c r="B460" s="1123"/>
      <c r="C460" s="1123"/>
      <c r="D460" s="1123"/>
      <c r="E460" s="1123"/>
      <c r="G460" s="1123"/>
      <c r="H460" s="1123"/>
      <c r="I460" s="1123"/>
      <c r="J460" s="1123"/>
      <c r="K460" s="1123"/>
      <c r="L460" s="1123"/>
      <c r="M460" s="1123"/>
      <c r="N460" s="1123"/>
      <c r="V460" s="1224"/>
    </row>
    <row r="461" spans="1:22">
      <c r="A461" s="1289"/>
      <c r="B461" s="1123"/>
      <c r="C461" s="1123"/>
      <c r="D461" s="1123"/>
      <c r="E461" s="1123"/>
      <c r="G461" s="1123"/>
      <c r="H461" s="1123"/>
      <c r="I461" s="1123"/>
      <c r="J461" s="1123"/>
      <c r="K461" s="1123"/>
      <c r="L461" s="1123"/>
      <c r="M461" s="1123"/>
      <c r="N461" s="1123"/>
      <c r="V461" s="1224"/>
    </row>
    <row r="462" spans="1:22">
      <c r="A462" s="1289"/>
      <c r="B462" s="1123"/>
      <c r="C462" s="1123"/>
      <c r="D462" s="1123"/>
      <c r="E462" s="1123"/>
      <c r="G462" s="1123"/>
      <c r="H462" s="1123"/>
      <c r="I462" s="1123"/>
      <c r="J462" s="1123"/>
      <c r="K462" s="1123"/>
      <c r="L462" s="1123"/>
      <c r="M462" s="1123"/>
      <c r="N462" s="1123"/>
      <c r="V462" s="1224"/>
    </row>
    <row r="463" spans="1:22">
      <c r="A463" s="1289"/>
      <c r="B463" s="1123"/>
      <c r="C463" s="1123"/>
      <c r="D463" s="1123"/>
      <c r="E463" s="1123"/>
      <c r="G463" s="1123"/>
      <c r="H463" s="1123"/>
      <c r="I463" s="1123"/>
      <c r="J463" s="1123"/>
      <c r="K463" s="1123"/>
      <c r="L463" s="1123"/>
      <c r="M463" s="1123"/>
      <c r="N463" s="1123"/>
      <c r="V463" s="1224"/>
    </row>
    <row r="464" spans="1:22">
      <c r="A464" s="1289"/>
      <c r="B464" s="1123"/>
      <c r="C464" s="1123"/>
      <c r="D464" s="1123"/>
      <c r="E464" s="1123"/>
      <c r="G464" s="1123"/>
      <c r="H464" s="1123"/>
      <c r="I464" s="1123"/>
      <c r="J464" s="1123"/>
      <c r="K464" s="1123"/>
      <c r="L464" s="1123"/>
      <c r="M464" s="1123"/>
      <c r="N464" s="1123"/>
      <c r="V464" s="1224"/>
    </row>
    <row r="465" spans="1:22">
      <c r="A465" s="1289"/>
      <c r="B465" s="1123"/>
      <c r="C465" s="1123"/>
      <c r="D465" s="1123"/>
      <c r="E465" s="1123"/>
      <c r="G465" s="1123"/>
      <c r="H465" s="1123"/>
      <c r="I465" s="1123"/>
      <c r="J465" s="1123"/>
      <c r="K465" s="1123"/>
      <c r="L465" s="1123"/>
      <c r="M465" s="1123"/>
      <c r="N465" s="1123"/>
      <c r="V465" s="1224"/>
    </row>
    <row r="466" spans="1:22">
      <c r="A466" s="1289"/>
      <c r="B466" s="1123"/>
      <c r="C466" s="1123"/>
      <c r="D466" s="1123"/>
      <c r="E466" s="1123"/>
      <c r="G466" s="1123"/>
      <c r="H466" s="1123"/>
      <c r="I466" s="1123"/>
      <c r="J466" s="1123"/>
      <c r="K466" s="1123"/>
      <c r="L466" s="1123"/>
      <c r="M466" s="1123"/>
      <c r="N466" s="1123"/>
      <c r="V466" s="1224"/>
    </row>
    <row r="467" spans="1:22">
      <c r="A467" s="1289"/>
      <c r="B467" s="1123"/>
      <c r="C467" s="1123"/>
      <c r="D467" s="1123"/>
      <c r="E467" s="1123"/>
      <c r="G467" s="1123"/>
      <c r="H467" s="1123"/>
      <c r="I467" s="1123"/>
      <c r="J467" s="1123"/>
      <c r="K467" s="1123"/>
      <c r="L467" s="1123"/>
      <c r="M467" s="1123"/>
      <c r="N467" s="1123"/>
      <c r="V467" s="1224"/>
    </row>
    <row r="468" spans="1:22">
      <c r="A468" s="1289"/>
      <c r="B468" s="1123"/>
      <c r="C468" s="1123"/>
      <c r="D468" s="1123"/>
      <c r="E468" s="1123"/>
      <c r="G468" s="1123"/>
      <c r="H468" s="1123"/>
      <c r="I468" s="1123"/>
      <c r="J468" s="1123"/>
      <c r="K468" s="1123"/>
      <c r="L468" s="1123"/>
      <c r="M468" s="1123"/>
      <c r="N468" s="1123"/>
      <c r="V468" s="1224"/>
    </row>
    <row r="469" spans="1:22">
      <c r="A469" s="1289"/>
      <c r="B469" s="1123"/>
      <c r="C469" s="1123"/>
      <c r="D469" s="1123"/>
      <c r="E469" s="1123"/>
      <c r="G469" s="1123"/>
      <c r="H469" s="1123"/>
      <c r="I469" s="1123"/>
      <c r="J469" s="1123"/>
      <c r="K469" s="1123"/>
      <c r="L469" s="1123"/>
      <c r="M469" s="1123"/>
      <c r="N469" s="1123"/>
      <c r="V469" s="1224"/>
    </row>
    <row r="470" spans="1:22">
      <c r="A470" s="1289"/>
      <c r="B470" s="1123"/>
      <c r="C470" s="1123"/>
      <c r="D470" s="1123"/>
      <c r="E470" s="1123"/>
      <c r="G470" s="1123"/>
      <c r="H470" s="1123"/>
      <c r="I470" s="1123"/>
      <c r="J470" s="1123"/>
      <c r="K470" s="1123"/>
      <c r="L470" s="1123"/>
      <c r="M470" s="1123"/>
      <c r="N470" s="1123"/>
      <c r="V470" s="1224"/>
    </row>
    <row r="471" spans="1:22">
      <c r="A471" s="1289"/>
      <c r="B471" s="1123"/>
      <c r="C471" s="1123"/>
      <c r="D471" s="1123"/>
      <c r="E471" s="1123"/>
      <c r="G471" s="1123"/>
      <c r="H471" s="1123"/>
      <c r="I471" s="1123"/>
      <c r="J471" s="1123"/>
      <c r="K471" s="1123"/>
      <c r="L471" s="1123"/>
      <c r="M471" s="1123"/>
      <c r="N471" s="1123"/>
      <c r="V471" s="1224"/>
    </row>
    <row r="472" spans="1:22">
      <c r="A472" s="1289"/>
      <c r="B472" s="1123"/>
      <c r="C472" s="1123"/>
      <c r="D472" s="1123"/>
      <c r="E472" s="1123"/>
      <c r="G472" s="1123"/>
      <c r="H472" s="1123"/>
      <c r="I472" s="1123"/>
      <c r="J472" s="1123"/>
      <c r="K472" s="1123"/>
      <c r="L472" s="1123"/>
      <c r="M472" s="1123"/>
      <c r="N472" s="1123"/>
      <c r="V472" s="1224"/>
    </row>
    <row r="473" spans="1:22">
      <c r="A473" s="1289"/>
      <c r="B473" s="1123"/>
      <c r="C473" s="1123"/>
      <c r="D473" s="1123"/>
      <c r="E473" s="1123"/>
      <c r="G473" s="1123"/>
      <c r="H473" s="1123"/>
      <c r="I473" s="1123"/>
      <c r="J473" s="1123"/>
      <c r="K473" s="1123"/>
      <c r="L473" s="1123"/>
      <c r="M473" s="1123"/>
      <c r="N473" s="1123"/>
      <c r="V473" s="1224"/>
    </row>
    <row r="474" spans="1:22">
      <c r="A474" s="1289"/>
      <c r="B474" s="1123"/>
      <c r="C474" s="1123"/>
      <c r="D474" s="1123"/>
      <c r="E474" s="1123"/>
      <c r="G474" s="1123"/>
      <c r="H474" s="1123"/>
      <c r="I474" s="1123"/>
      <c r="J474" s="1123"/>
      <c r="K474" s="1123"/>
      <c r="L474" s="1123"/>
      <c r="M474" s="1123"/>
      <c r="N474" s="1123"/>
      <c r="V474" s="1224"/>
    </row>
    <row r="475" spans="1:22">
      <c r="A475" s="1289"/>
      <c r="B475" s="1123"/>
      <c r="C475" s="1123"/>
      <c r="D475" s="1123"/>
      <c r="E475" s="1123"/>
      <c r="G475" s="1123"/>
      <c r="H475" s="1123"/>
      <c r="I475" s="1123"/>
      <c r="J475" s="1123"/>
      <c r="K475" s="1123"/>
      <c r="L475" s="1123"/>
      <c r="M475" s="1123"/>
      <c r="N475" s="1123"/>
      <c r="V475" s="1224"/>
    </row>
    <row r="476" spans="1:22">
      <c r="A476" s="1289"/>
      <c r="B476" s="1123"/>
      <c r="C476" s="1123"/>
      <c r="D476" s="1123"/>
      <c r="E476" s="1123"/>
      <c r="G476" s="1123"/>
      <c r="H476" s="1123"/>
      <c r="I476" s="1123"/>
      <c r="J476" s="1123"/>
      <c r="K476" s="1123"/>
      <c r="L476" s="1123"/>
      <c r="M476" s="1123"/>
      <c r="N476" s="1123"/>
      <c r="V476" s="1224"/>
    </row>
    <row r="477" spans="1:22">
      <c r="A477" s="1289"/>
      <c r="B477" s="1123"/>
      <c r="C477" s="1123"/>
      <c r="D477" s="1123"/>
      <c r="E477" s="1123"/>
      <c r="G477" s="1123"/>
      <c r="H477" s="1123"/>
      <c r="I477" s="1123"/>
      <c r="J477" s="1123"/>
      <c r="K477" s="1123"/>
      <c r="L477" s="1123"/>
      <c r="M477" s="1123"/>
      <c r="N477" s="1123"/>
      <c r="V477" s="1224"/>
    </row>
    <row r="478" spans="1:22">
      <c r="A478" s="1289"/>
      <c r="B478" s="1123"/>
      <c r="C478" s="1123"/>
      <c r="D478" s="1123"/>
      <c r="E478" s="1123"/>
      <c r="G478" s="1123"/>
      <c r="H478" s="1123"/>
      <c r="I478" s="1123"/>
      <c r="J478" s="1123"/>
      <c r="K478" s="1123"/>
      <c r="L478" s="1123"/>
      <c r="M478" s="1123"/>
      <c r="N478" s="1123"/>
      <c r="V478" s="1224"/>
    </row>
    <row r="479" spans="1:22">
      <c r="A479" s="1289"/>
      <c r="B479" s="1123"/>
      <c r="C479" s="1123"/>
      <c r="D479" s="1123"/>
      <c r="E479" s="1123"/>
      <c r="G479" s="1123"/>
      <c r="H479" s="1123"/>
      <c r="I479" s="1123"/>
      <c r="J479" s="1123"/>
      <c r="K479" s="1123"/>
      <c r="L479" s="1123"/>
      <c r="M479" s="1123"/>
      <c r="N479" s="1123"/>
      <c r="V479" s="1224"/>
    </row>
    <row r="480" spans="1:22">
      <c r="A480" s="1289"/>
      <c r="B480" s="1123"/>
      <c r="C480" s="1123"/>
      <c r="D480" s="1123"/>
      <c r="E480" s="1123"/>
      <c r="G480" s="1123"/>
      <c r="H480" s="1123"/>
      <c r="I480" s="1123"/>
      <c r="J480" s="1123"/>
      <c r="K480" s="1123"/>
      <c r="L480" s="1123"/>
      <c r="M480" s="1123"/>
      <c r="N480" s="1123"/>
      <c r="V480" s="1224"/>
    </row>
    <row r="481" spans="1:22">
      <c r="A481" s="1289"/>
      <c r="B481" s="1123"/>
      <c r="C481" s="1123"/>
      <c r="D481" s="1123"/>
      <c r="E481" s="1123"/>
      <c r="G481" s="1123"/>
      <c r="H481" s="1123"/>
      <c r="I481" s="1123"/>
      <c r="J481" s="1123"/>
      <c r="K481" s="1123"/>
      <c r="L481" s="1123"/>
      <c r="M481" s="1123"/>
      <c r="N481" s="1123"/>
      <c r="V481" s="1224"/>
    </row>
    <row r="482" spans="1:22">
      <c r="A482" s="1289"/>
      <c r="B482" s="1123"/>
      <c r="C482" s="1123"/>
      <c r="D482" s="1123"/>
      <c r="E482" s="1123"/>
      <c r="G482" s="1123"/>
      <c r="H482" s="1123"/>
      <c r="I482" s="1123"/>
      <c r="J482" s="1123"/>
      <c r="K482" s="1123"/>
      <c r="L482" s="1123"/>
      <c r="M482" s="1123"/>
      <c r="N482" s="1123"/>
      <c r="V482" s="1224"/>
    </row>
    <row r="483" spans="1:22">
      <c r="A483" s="1289"/>
      <c r="B483" s="1123"/>
      <c r="C483" s="1123"/>
      <c r="D483" s="1123"/>
      <c r="E483" s="1123"/>
      <c r="G483" s="1123"/>
      <c r="H483" s="1123"/>
      <c r="I483" s="1123"/>
      <c r="J483" s="1123"/>
      <c r="K483" s="1123"/>
      <c r="L483" s="1123"/>
      <c r="M483" s="1123"/>
      <c r="N483" s="1123"/>
      <c r="V483" s="1224"/>
    </row>
    <row r="484" spans="1:22">
      <c r="A484" s="1289"/>
      <c r="B484" s="1123"/>
      <c r="C484" s="1123"/>
      <c r="D484" s="1123"/>
      <c r="E484" s="1123"/>
      <c r="G484" s="1123"/>
      <c r="H484" s="1123"/>
      <c r="I484" s="1123"/>
      <c r="J484" s="1123"/>
      <c r="K484" s="1123"/>
      <c r="L484" s="1123"/>
      <c r="M484" s="1123"/>
      <c r="N484" s="1123"/>
      <c r="V484" s="1224"/>
    </row>
    <row r="485" spans="1:22">
      <c r="A485" s="1289"/>
      <c r="B485" s="1123"/>
      <c r="C485" s="1123"/>
      <c r="D485" s="1123"/>
      <c r="E485" s="1123"/>
      <c r="G485" s="1123"/>
      <c r="H485" s="1123"/>
      <c r="I485" s="1123"/>
      <c r="J485" s="1123"/>
      <c r="K485" s="1123"/>
      <c r="L485" s="1123"/>
      <c r="M485" s="1123"/>
      <c r="N485" s="1123"/>
      <c r="V485" s="1224"/>
    </row>
    <row r="486" spans="1:22">
      <c r="A486" s="1289"/>
      <c r="B486" s="1123"/>
      <c r="C486" s="1123"/>
      <c r="D486" s="1123"/>
      <c r="E486" s="1123"/>
      <c r="G486" s="1123"/>
      <c r="H486" s="1123"/>
      <c r="I486" s="1123"/>
      <c r="J486" s="1123"/>
      <c r="K486" s="1123"/>
      <c r="L486" s="1123"/>
      <c r="M486" s="1123"/>
      <c r="N486" s="1123"/>
      <c r="V486" s="1224"/>
    </row>
    <row r="487" spans="1:22">
      <c r="A487" s="1289"/>
      <c r="B487" s="1123"/>
      <c r="C487" s="1123"/>
      <c r="D487" s="1123"/>
      <c r="E487" s="1123"/>
      <c r="G487" s="1123"/>
      <c r="H487" s="1123"/>
      <c r="I487" s="1123"/>
      <c r="J487" s="1123"/>
      <c r="K487" s="1123"/>
      <c r="L487" s="1123"/>
      <c r="M487" s="1123"/>
      <c r="N487" s="1123"/>
      <c r="V487" s="1224"/>
    </row>
    <row r="488" spans="1:22">
      <c r="A488" s="1289"/>
      <c r="B488" s="1123"/>
      <c r="C488" s="1123"/>
      <c r="D488" s="1123"/>
      <c r="E488" s="1123"/>
      <c r="G488" s="1123"/>
      <c r="H488" s="1123"/>
      <c r="I488" s="1123"/>
      <c r="J488" s="1123"/>
      <c r="K488" s="1123"/>
      <c r="L488" s="1123"/>
      <c r="M488" s="1123"/>
      <c r="N488" s="1123"/>
      <c r="V488" s="1224"/>
    </row>
    <row r="489" spans="1:22">
      <c r="A489" s="1289"/>
      <c r="B489" s="1123"/>
      <c r="C489" s="1123"/>
      <c r="D489" s="1123"/>
      <c r="E489" s="1123"/>
      <c r="G489" s="1123"/>
      <c r="H489" s="1123"/>
      <c r="I489" s="1123"/>
      <c r="J489" s="1123"/>
      <c r="K489" s="1123"/>
      <c r="L489" s="1123"/>
      <c r="M489" s="1123"/>
      <c r="N489" s="1123"/>
      <c r="V489" s="1224"/>
    </row>
    <row r="490" spans="1:22">
      <c r="A490" s="1289"/>
      <c r="B490" s="1123"/>
      <c r="C490" s="1123"/>
      <c r="D490" s="1123"/>
      <c r="E490" s="1123"/>
      <c r="G490" s="1123"/>
      <c r="H490" s="1123"/>
      <c r="I490" s="1123"/>
      <c r="J490" s="1123"/>
      <c r="K490" s="1123"/>
      <c r="L490" s="1123"/>
      <c r="M490" s="1123"/>
      <c r="N490" s="1123"/>
      <c r="V490" s="1224"/>
    </row>
    <row r="491" spans="1:22">
      <c r="A491" s="1289"/>
      <c r="B491" s="1123"/>
      <c r="C491" s="1123"/>
      <c r="D491" s="1123"/>
      <c r="E491" s="1123"/>
      <c r="G491" s="1123"/>
      <c r="H491" s="1123"/>
      <c r="I491" s="1123"/>
      <c r="J491" s="1123"/>
      <c r="K491" s="1123"/>
      <c r="L491" s="1123"/>
      <c r="M491" s="1123"/>
      <c r="N491" s="1123"/>
      <c r="V491" s="1224"/>
    </row>
    <row r="492" spans="1:22">
      <c r="A492" s="1289"/>
      <c r="B492" s="1123"/>
      <c r="C492" s="1123"/>
      <c r="D492" s="1123"/>
      <c r="E492" s="1123"/>
      <c r="G492" s="1123"/>
      <c r="H492" s="1123"/>
      <c r="I492" s="1123"/>
      <c r="J492" s="1123"/>
      <c r="K492" s="1123"/>
      <c r="L492" s="1123"/>
      <c r="M492" s="1123"/>
      <c r="N492" s="1123"/>
      <c r="V492" s="1224"/>
    </row>
    <row r="493" spans="1:22">
      <c r="A493" s="1289"/>
      <c r="B493" s="1123"/>
      <c r="C493" s="1123"/>
      <c r="D493" s="1123"/>
      <c r="E493" s="1123"/>
      <c r="G493" s="1123"/>
      <c r="H493" s="1123"/>
      <c r="I493" s="1123"/>
      <c r="J493" s="1123"/>
      <c r="K493" s="1123"/>
      <c r="L493" s="1123"/>
      <c r="M493" s="1123"/>
      <c r="N493" s="1123"/>
      <c r="V493" s="1224"/>
    </row>
    <row r="494" spans="1:22">
      <c r="A494" s="1289"/>
      <c r="B494" s="1123"/>
      <c r="C494" s="1123"/>
      <c r="D494" s="1123"/>
      <c r="E494" s="1123"/>
      <c r="G494" s="1123"/>
      <c r="H494" s="1123"/>
      <c r="I494" s="1123"/>
      <c r="J494" s="1123"/>
      <c r="K494" s="1123"/>
      <c r="L494" s="1123"/>
      <c r="M494" s="1123"/>
      <c r="N494" s="1123"/>
      <c r="V494" s="1224"/>
    </row>
    <row r="495" spans="1:22">
      <c r="A495" s="1289"/>
      <c r="B495" s="1123"/>
      <c r="C495" s="1123"/>
      <c r="D495" s="1123"/>
      <c r="E495" s="1123"/>
      <c r="G495" s="1123"/>
      <c r="H495" s="1123"/>
      <c r="I495" s="1123"/>
      <c r="J495" s="1123"/>
      <c r="K495" s="1123"/>
      <c r="L495" s="1123"/>
      <c r="M495" s="1123"/>
      <c r="N495" s="1123"/>
      <c r="V495" s="1224"/>
    </row>
    <row r="496" spans="1:22">
      <c r="A496" s="1289"/>
      <c r="B496" s="1123"/>
      <c r="C496" s="1123"/>
      <c r="D496" s="1123"/>
      <c r="E496" s="1123"/>
      <c r="G496" s="1123"/>
      <c r="H496" s="1123"/>
      <c r="I496" s="1123"/>
      <c r="J496" s="1123"/>
      <c r="K496" s="1123"/>
      <c r="L496" s="1123"/>
      <c r="M496" s="1123"/>
      <c r="N496" s="1123"/>
      <c r="V496" s="1224"/>
    </row>
    <row r="497" spans="1:22">
      <c r="A497" s="1289"/>
      <c r="B497" s="1123"/>
      <c r="C497" s="1123"/>
      <c r="D497" s="1123"/>
      <c r="E497" s="1123"/>
      <c r="G497" s="1123"/>
      <c r="H497" s="1123"/>
      <c r="I497" s="1123"/>
      <c r="J497" s="1123"/>
      <c r="K497" s="1123"/>
      <c r="L497" s="1123"/>
      <c r="M497" s="1123"/>
      <c r="N497" s="1123"/>
      <c r="V497" s="1224"/>
    </row>
    <row r="498" spans="1:22">
      <c r="A498" s="1289"/>
      <c r="B498" s="1123"/>
      <c r="C498" s="1123"/>
      <c r="D498" s="1123"/>
      <c r="E498" s="1123"/>
      <c r="G498" s="1123"/>
      <c r="H498" s="1123"/>
      <c r="I498" s="1123"/>
      <c r="J498" s="1123"/>
      <c r="K498" s="1123"/>
      <c r="L498" s="1123"/>
      <c r="M498" s="1123"/>
      <c r="N498" s="1123"/>
      <c r="V498" s="1224"/>
    </row>
    <row r="499" spans="1:22">
      <c r="A499" s="1289"/>
      <c r="B499" s="1123"/>
      <c r="C499" s="1123"/>
      <c r="D499" s="1123"/>
      <c r="E499" s="1123"/>
      <c r="G499" s="1123"/>
      <c r="H499" s="1123"/>
      <c r="I499" s="1123"/>
      <c r="J499" s="1123"/>
      <c r="K499" s="1123"/>
      <c r="L499" s="1123"/>
      <c r="M499" s="1123"/>
      <c r="N499" s="1123"/>
      <c r="V499" s="1224"/>
    </row>
    <row r="500" spans="1:22">
      <c r="A500" s="1289"/>
      <c r="B500" s="1123"/>
      <c r="C500" s="1123"/>
      <c r="D500" s="1123"/>
      <c r="E500" s="1123"/>
      <c r="G500" s="1123"/>
      <c r="H500" s="1123"/>
      <c r="I500" s="1123"/>
      <c r="J500" s="1123"/>
      <c r="K500" s="1123"/>
      <c r="L500" s="1123"/>
      <c r="M500" s="1123"/>
      <c r="N500" s="1123"/>
      <c r="V500" s="1224"/>
    </row>
    <row r="501" spans="1:22">
      <c r="A501" s="1289"/>
      <c r="B501" s="1123"/>
      <c r="C501" s="1123"/>
      <c r="D501" s="1123"/>
      <c r="E501" s="1123"/>
      <c r="G501" s="1123"/>
      <c r="H501" s="1123"/>
      <c r="I501" s="1123"/>
      <c r="J501" s="1123"/>
      <c r="K501" s="1123"/>
      <c r="L501" s="1123"/>
      <c r="M501" s="1123"/>
      <c r="N501" s="1123"/>
      <c r="V501" s="1224"/>
    </row>
    <row r="502" spans="1:22">
      <c r="A502" s="1289"/>
      <c r="B502" s="1123"/>
      <c r="C502" s="1123"/>
      <c r="D502" s="1123"/>
      <c r="E502" s="1123"/>
      <c r="G502" s="1123"/>
      <c r="H502" s="1123"/>
      <c r="I502" s="1123"/>
      <c r="J502" s="1123"/>
      <c r="K502" s="1123"/>
      <c r="L502" s="1123"/>
      <c r="M502" s="1123"/>
      <c r="N502" s="1123"/>
      <c r="V502" s="1224"/>
    </row>
    <row r="503" spans="1:22">
      <c r="A503" s="1289"/>
      <c r="B503" s="1123"/>
      <c r="C503" s="1123"/>
      <c r="D503" s="1123"/>
      <c r="E503" s="1123"/>
      <c r="G503" s="1123"/>
      <c r="H503" s="1123"/>
      <c r="I503" s="1123"/>
      <c r="J503" s="1123"/>
      <c r="K503" s="1123"/>
      <c r="L503" s="1123"/>
      <c r="M503" s="1123"/>
      <c r="N503" s="1123"/>
      <c r="V503" s="1224"/>
    </row>
    <row r="504" spans="1:22">
      <c r="A504" s="1289"/>
      <c r="B504" s="1123"/>
      <c r="C504" s="1123"/>
      <c r="D504" s="1123"/>
      <c r="E504" s="1123"/>
      <c r="G504" s="1123"/>
      <c r="H504" s="1123"/>
      <c r="I504" s="1123"/>
      <c r="J504" s="1123"/>
      <c r="K504" s="1123"/>
      <c r="L504" s="1123"/>
      <c r="M504" s="1123"/>
      <c r="N504" s="1123"/>
      <c r="V504" s="1224"/>
    </row>
    <row r="505" spans="1:22">
      <c r="A505" s="1289"/>
      <c r="B505" s="1123"/>
      <c r="C505" s="1123"/>
      <c r="D505" s="1123"/>
      <c r="E505" s="1123"/>
      <c r="G505" s="1123"/>
      <c r="H505" s="1123"/>
      <c r="I505" s="1123"/>
      <c r="J505" s="1123"/>
      <c r="K505" s="1123"/>
      <c r="L505" s="1123"/>
      <c r="M505" s="1123"/>
      <c r="N505" s="1123"/>
      <c r="V505" s="1224"/>
    </row>
    <row r="506" spans="1:22">
      <c r="A506" s="1289"/>
      <c r="B506" s="1123"/>
      <c r="C506" s="1123"/>
      <c r="D506" s="1123"/>
      <c r="E506" s="1123"/>
      <c r="G506" s="1123"/>
      <c r="H506" s="1123"/>
      <c r="I506" s="1123"/>
      <c r="J506" s="1123"/>
      <c r="K506" s="1123"/>
      <c r="L506" s="1123"/>
      <c r="M506" s="1123"/>
      <c r="N506" s="1123"/>
      <c r="V506" s="1224"/>
    </row>
    <row r="507" spans="1:22">
      <c r="A507" s="1289"/>
      <c r="B507" s="1123"/>
      <c r="C507" s="1123"/>
      <c r="D507" s="1123"/>
      <c r="E507" s="1123"/>
      <c r="G507" s="1123"/>
      <c r="H507" s="1123"/>
      <c r="I507" s="1123"/>
      <c r="J507" s="1123"/>
      <c r="K507" s="1123"/>
      <c r="L507" s="1123"/>
      <c r="M507" s="1123"/>
      <c r="N507" s="1123"/>
      <c r="V507" s="1224"/>
    </row>
    <row r="508" spans="1:22">
      <c r="A508" s="1289"/>
      <c r="B508" s="1123"/>
      <c r="C508" s="1123"/>
      <c r="D508" s="1123"/>
      <c r="E508" s="1123"/>
      <c r="G508" s="1123"/>
      <c r="H508" s="1123"/>
      <c r="I508" s="1123"/>
      <c r="J508" s="1123"/>
      <c r="K508" s="1123"/>
      <c r="L508" s="1123"/>
      <c r="M508" s="1123"/>
      <c r="N508" s="1123"/>
      <c r="V508" s="1224"/>
    </row>
    <row r="509" spans="1:22">
      <c r="A509" s="1289"/>
      <c r="B509" s="1123"/>
      <c r="C509" s="1123"/>
      <c r="D509" s="1123"/>
      <c r="E509" s="1123"/>
      <c r="G509" s="1123"/>
      <c r="H509" s="1123"/>
      <c r="I509" s="1123"/>
      <c r="J509" s="1123"/>
      <c r="K509" s="1123"/>
      <c r="L509" s="1123"/>
      <c r="M509" s="1123"/>
      <c r="N509" s="1123"/>
      <c r="V509" s="1224"/>
    </row>
    <row r="510" spans="1:22">
      <c r="A510" s="1289"/>
      <c r="B510" s="1123"/>
      <c r="C510" s="1123"/>
      <c r="D510" s="1123"/>
      <c r="E510" s="1123"/>
      <c r="G510" s="1123"/>
      <c r="H510" s="1123"/>
      <c r="I510" s="1123"/>
      <c r="J510" s="1123"/>
      <c r="K510" s="1123"/>
      <c r="L510" s="1123"/>
      <c r="M510" s="1123"/>
      <c r="N510" s="1123"/>
      <c r="V510" s="1224"/>
    </row>
    <row r="511" spans="1:22">
      <c r="A511" s="1289"/>
      <c r="B511" s="1123"/>
      <c r="C511" s="1123"/>
      <c r="D511" s="1123"/>
      <c r="E511" s="1123"/>
      <c r="G511" s="1123"/>
      <c r="H511" s="1123"/>
      <c r="I511" s="1123"/>
      <c r="J511" s="1123"/>
      <c r="K511" s="1123"/>
      <c r="L511" s="1123"/>
      <c r="M511" s="1123"/>
      <c r="N511" s="1123"/>
      <c r="V511" s="1224"/>
    </row>
    <row r="512" spans="1:22">
      <c r="A512" s="1289"/>
      <c r="B512" s="1123"/>
      <c r="C512" s="1123"/>
      <c r="D512" s="1123"/>
      <c r="E512" s="1123"/>
      <c r="G512" s="1123"/>
      <c r="H512" s="1123"/>
      <c r="I512" s="1123"/>
      <c r="J512" s="1123"/>
      <c r="K512" s="1123"/>
      <c r="L512" s="1123"/>
      <c r="M512" s="1123"/>
      <c r="N512" s="1123"/>
      <c r="V512" s="1224"/>
    </row>
    <row r="513" spans="1:22">
      <c r="A513" s="1289"/>
      <c r="B513" s="1123"/>
      <c r="C513" s="1123"/>
      <c r="D513" s="1123"/>
      <c r="E513" s="1123"/>
      <c r="G513" s="1123"/>
      <c r="H513" s="1123"/>
      <c r="I513" s="1123"/>
      <c r="J513" s="1123"/>
      <c r="K513" s="1123"/>
      <c r="L513" s="1123"/>
      <c r="M513" s="1123"/>
      <c r="N513" s="1123"/>
      <c r="V513" s="1224"/>
    </row>
    <row r="514" spans="1:22">
      <c r="A514" s="1289"/>
      <c r="B514" s="1123"/>
      <c r="C514" s="1123"/>
      <c r="D514" s="1123"/>
      <c r="E514" s="1123"/>
      <c r="G514" s="1123"/>
      <c r="H514" s="1123"/>
      <c r="I514" s="1123"/>
      <c r="J514" s="1123"/>
      <c r="K514" s="1123"/>
      <c r="L514" s="1123"/>
      <c r="M514" s="1123"/>
      <c r="N514" s="1123"/>
      <c r="V514" s="1224"/>
    </row>
    <row r="515" spans="1:22">
      <c r="A515" s="1289"/>
      <c r="B515" s="1123"/>
      <c r="C515" s="1123"/>
      <c r="D515" s="1123"/>
      <c r="E515" s="1123"/>
      <c r="G515" s="1123"/>
      <c r="H515" s="1123"/>
      <c r="I515" s="1123"/>
      <c r="J515" s="1123"/>
      <c r="K515" s="1123"/>
      <c r="L515" s="1123"/>
      <c r="M515" s="1123"/>
      <c r="N515" s="1123"/>
      <c r="V515" s="1224"/>
    </row>
    <row r="516" spans="1:22" ht="13.5" thickBot="1">
      <c r="A516" s="1289"/>
      <c r="B516" s="1123"/>
      <c r="C516" s="1123"/>
      <c r="D516" s="1123"/>
      <c r="E516" s="1123"/>
      <c r="G516" s="1123"/>
      <c r="H516" s="1123"/>
      <c r="I516" s="1123"/>
      <c r="J516" s="1123"/>
      <c r="K516" s="1123"/>
      <c r="L516" s="1123"/>
      <c r="M516" s="1123"/>
      <c r="N516" s="1123"/>
      <c r="V516" s="1224"/>
    </row>
    <row r="517" spans="1:22" ht="33.75">
      <c r="A517" s="1021"/>
      <c r="B517" s="1022" t="s">
        <v>89</v>
      </c>
      <c r="C517" s="1022"/>
      <c r="D517" s="1291"/>
      <c r="E517" s="1291"/>
      <c r="F517" s="1291"/>
      <c r="G517" s="1291"/>
      <c r="H517" s="1291"/>
      <c r="I517" s="1291"/>
      <c r="J517" s="1291"/>
      <c r="K517" s="1291"/>
      <c r="L517" s="1291"/>
      <c r="M517" s="1291"/>
      <c r="N517" s="1291"/>
      <c r="O517" s="1291"/>
      <c r="P517" s="1291"/>
      <c r="Q517" s="1291"/>
      <c r="R517" s="1291"/>
      <c r="S517" s="1291"/>
      <c r="T517" s="1291"/>
      <c r="U517" s="1291"/>
      <c r="V517" s="1292"/>
    </row>
    <row r="518" spans="1:22">
      <c r="A518" s="1023"/>
      <c r="B518" s="1123"/>
      <c r="C518" s="1123"/>
      <c r="D518" s="1123"/>
      <c r="E518" s="1123"/>
      <c r="G518" s="1123"/>
      <c r="H518" s="1123"/>
      <c r="I518" s="1123"/>
      <c r="J518" s="1123"/>
      <c r="K518" s="1123"/>
      <c r="L518" s="1123"/>
      <c r="M518" s="1123"/>
      <c r="N518" s="1123"/>
      <c r="V518" s="1293"/>
    </row>
    <row r="519" spans="1:22">
      <c r="A519" s="1023"/>
      <c r="B519" s="1123"/>
      <c r="C519" s="1123"/>
      <c r="D519" s="1123"/>
      <c r="E519" s="1123"/>
      <c r="G519" s="1123"/>
      <c r="H519" s="1123"/>
      <c r="I519" s="1123"/>
      <c r="J519" s="1123"/>
      <c r="K519" s="1123"/>
      <c r="L519" s="1123"/>
      <c r="M519" s="1123"/>
      <c r="N519" s="1123"/>
      <c r="V519" s="1293"/>
    </row>
    <row r="520" spans="1:22">
      <c r="A520" s="1023"/>
      <c r="B520" s="1123"/>
      <c r="C520" s="1123"/>
      <c r="D520" s="1123"/>
      <c r="E520" s="1123"/>
      <c r="G520" s="1123"/>
      <c r="H520" s="1123"/>
      <c r="I520" s="1123"/>
      <c r="J520" s="1123"/>
      <c r="K520" s="1123"/>
      <c r="L520" s="1123"/>
      <c r="M520" s="1123"/>
      <c r="N520" s="1123"/>
      <c r="V520" s="1293"/>
    </row>
    <row r="521" spans="1:22">
      <c r="A521" s="1023"/>
      <c r="B521" s="1123"/>
      <c r="C521" s="1123"/>
      <c r="D521" s="1123"/>
      <c r="E521" s="1123"/>
      <c r="G521" s="1123"/>
      <c r="H521" s="1123"/>
      <c r="I521" s="1123"/>
      <c r="J521" s="1123"/>
      <c r="K521" s="1123"/>
      <c r="L521" s="1123"/>
      <c r="M521" s="1123"/>
      <c r="N521" s="1123"/>
      <c r="V521" s="1293"/>
    </row>
    <row r="522" spans="1:22">
      <c r="A522" s="1023"/>
      <c r="B522" s="1123"/>
      <c r="C522" s="1123"/>
      <c r="D522" s="1123"/>
      <c r="E522" s="1123"/>
      <c r="G522" s="1123"/>
      <c r="H522" s="1123"/>
      <c r="I522" s="1123"/>
      <c r="J522" s="1123"/>
      <c r="K522" s="1123"/>
      <c r="L522" s="1123"/>
      <c r="M522" s="1123"/>
      <c r="N522" s="1123"/>
      <c r="V522" s="1293"/>
    </row>
    <row r="523" spans="1:22">
      <c r="A523" s="1023"/>
      <c r="B523" s="1123"/>
      <c r="C523" s="1123"/>
      <c r="D523" s="1123"/>
      <c r="E523" s="1123"/>
      <c r="G523" s="1123"/>
      <c r="H523" s="1123"/>
      <c r="I523" s="1123"/>
      <c r="J523" s="1123"/>
      <c r="K523" s="1123"/>
      <c r="L523" s="1123"/>
      <c r="M523" s="1123"/>
      <c r="N523" s="1123"/>
      <c r="V523" s="1293"/>
    </row>
    <row r="524" spans="1:22">
      <c r="A524" s="1023"/>
      <c r="B524" s="1123"/>
      <c r="C524" s="1123"/>
      <c r="D524" s="1123"/>
      <c r="E524" s="1123"/>
      <c r="G524" s="1123"/>
      <c r="H524" s="1123"/>
      <c r="I524" s="1123"/>
      <c r="J524" s="1123"/>
      <c r="K524" s="1123"/>
      <c r="L524" s="1123"/>
      <c r="M524" s="1123"/>
      <c r="N524" s="1123"/>
      <c r="V524" s="1293"/>
    </row>
    <row r="525" spans="1:22">
      <c r="A525" s="1023"/>
      <c r="B525" s="1123"/>
      <c r="C525" s="1123"/>
      <c r="D525" s="1123"/>
      <c r="E525" s="1123"/>
      <c r="G525" s="1123"/>
      <c r="H525" s="1123"/>
      <c r="I525" s="1123"/>
      <c r="J525" s="1123"/>
      <c r="K525" s="1123"/>
      <c r="L525" s="1123"/>
      <c r="M525" s="1123"/>
      <c r="N525" s="1123"/>
      <c r="V525" s="1293"/>
    </row>
    <row r="526" spans="1:22">
      <c r="A526" s="1023"/>
      <c r="B526" s="1123"/>
      <c r="C526" s="1123"/>
      <c r="D526" s="1123"/>
      <c r="E526" s="1123"/>
      <c r="G526" s="1123"/>
      <c r="H526" s="1123"/>
      <c r="I526" s="1123"/>
      <c r="J526" s="1123"/>
      <c r="K526" s="1123"/>
      <c r="L526" s="1123"/>
      <c r="M526" s="1123"/>
      <c r="N526" s="1123"/>
      <c r="V526" s="1293"/>
    </row>
    <row r="527" spans="1:22">
      <c r="A527" s="1023"/>
      <c r="B527" s="1123"/>
      <c r="C527" s="1123"/>
      <c r="D527" s="1123"/>
      <c r="E527" s="1123"/>
      <c r="G527" s="1123"/>
      <c r="H527" s="1123"/>
      <c r="I527" s="1123"/>
      <c r="J527" s="1123"/>
      <c r="K527" s="1123"/>
      <c r="L527" s="1123"/>
      <c r="M527" s="1123"/>
      <c r="N527" s="1123"/>
      <c r="V527" s="1293"/>
    </row>
    <row r="528" spans="1:22" ht="13.5" thickBot="1">
      <c r="A528" s="1024"/>
      <c r="B528" s="1294"/>
      <c r="C528" s="1294"/>
      <c r="D528" s="1294"/>
      <c r="E528" s="1294"/>
      <c r="F528" s="1294"/>
      <c r="G528" s="1294"/>
      <c r="H528" s="1294"/>
      <c r="I528" s="1294"/>
      <c r="J528" s="1294"/>
      <c r="K528" s="1294"/>
      <c r="L528" s="1294"/>
      <c r="M528" s="1294"/>
      <c r="N528" s="1294"/>
      <c r="O528" s="1294"/>
      <c r="P528" s="1294"/>
      <c r="Q528" s="1294"/>
      <c r="R528" s="1294"/>
      <c r="S528" s="1294"/>
      <c r="T528" s="1294"/>
      <c r="U528" s="1294"/>
      <c r="V528" s="1295"/>
    </row>
    <row r="529" spans="1:22">
      <c r="A529" s="1289"/>
      <c r="B529" s="1123"/>
      <c r="C529" s="1123"/>
      <c r="D529" s="1123"/>
      <c r="E529" s="1123"/>
      <c r="G529" s="1123"/>
      <c r="H529" s="1123"/>
      <c r="I529" s="1123"/>
      <c r="J529" s="1123"/>
      <c r="K529" s="1123"/>
      <c r="L529" s="1123"/>
      <c r="M529" s="1123"/>
      <c r="N529" s="1123"/>
      <c r="V529" s="1224"/>
    </row>
    <row r="530" spans="1:22">
      <c r="A530" s="1289"/>
      <c r="B530" s="1123"/>
      <c r="C530" s="1123"/>
      <c r="D530" s="1123"/>
      <c r="E530" s="1123"/>
      <c r="G530" s="1123"/>
      <c r="H530" s="1123"/>
      <c r="I530" s="1123"/>
      <c r="J530" s="1123"/>
      <c r="K530" s="1123"/>
      <c r="L530" s="1123"/>
      <c r="M530" s="1123"/>
      <c r="N530" s="1123"/>
      <c r="V530" s="1224"/>
    </row>
    <row r="531" spans="1:22">
      <c r="A531" s="1289"/>
      <c r="B531" s="1123"/>
      <c r="C531" s="1123"/>
      <c r="D531" s="1123"/>
      <c r="E531" s="1123"/>
      <c r="G531" s="1123"/>
      <c r="H531" s="1123"/>
      <c r="I531" s="1123"/>
      <c r="J531" s="1123"/>
      <c r="K531" s="1123"/>
      <c r="L531" s="1123"/>
      <c r="M531" s="1123"/>
      <c r="N531" s="1123"/>
      <c r="V531" s="1224"/>
    </row>
    <row r="532" spans="1:22">
      <c r="A532" s="1289"/>
      <c r="B532" s="1123"/>
      <c r="C532" s="1123"/>
      <c r="D532" s="1123"/>
      <c r="E532" s="1123"/>
      <c r="G532" s="1123"/>
      <c r="H532" s="1123"/>
      <c r="I532" s="1123"/>
      <c r="J532" s="1123"/>
      <c r="K532" s="1123"/>
      <c r="L532" s="1123"/>
      <c r="M532" s="1123"/>
      <c r="N532" s="1123"/>
      <c r="V532" s="1224"/>
    </row>
    <row r="533" spans="1:22">
      <c r="A533" s="1289"/>
      <c r="B533" s="1123"/>
      <c r="C533" s="1123"/>
      <c r="D533" s="1123"/>
      <c r="E533" s="1123"/>
      <c r="G533" s="1123"/>
      <c r="H533" s="1123"/>
      <c r="I533" s="1123"/>
      <c r="J533" s="1123"/>
      <c r="K533" s="1123"/>
      <c r="L533" s="1123"/>
      <c r="M533" s="1123"/>
      <c r="N533" s="1123"/>
      <c r="V533" s="1224"/>
    </row>
    <row r="534" spans="1:22">
      <c r="A534" s="1289"/>
      <c r="B534" s="1123"/>
      <c r="C534" s="1123"/>
      <c r="D534" s="1123"/>
      <c r="E534" s="1123"/>
      <c r="G534" s="1123"/>
      <c r="H534" s="1123"/>
      <c r="I534" s="1123"/>
      <c r="J534" s="1123"/>
      <c r="K534" s="1123"/>
      <c r="L534" s="1123"/>
      <c r="M534" s="1123"/>
      <c r="N534" s="1123"/>
      <c r="V534" s="1224"/>
    </row>
    <row r="535" spans="1:22">
      <c r="A535" s="1289"/>
      <c r="B535" s="1123"/>
      <c r="C535" s="1123"/>
      <c r="D535" s="1123"/>
      <c r="E535" s="1123"/>
      <c r="G535" s="1123"/>
      <c r="H535" s="1123"/>
      <c r="I535" s="1123"/>
      <c r="J535" s="1123"/>
      <c r="K535" s="1123"/>
      <c r="L535" s="1123"/>
      <c r="M535" s="1123"/>
      <c r="N535" s="1123"/>
      <c r="V535" s="1224"/>
    </row>
    <row r="536" spans="1:22">
      <c r="A536" s="1289"/>
      <c r="B536" s="1123"/>
      <c r="C536" s="1123"/>
      <c r="D536" s="1123"/>
      <c r="E536" s="1123"/>
      <c r="G536" s="1123"/>
      <c r="H536" s="1123"/>
      <c r="I536" s="1123"/>
      <c r="J536" s="1123"/>
      <c r="K536" s="1123"/>
      <c r="L536" s="1123"/>
      <c r="M536" s="1123"/>
      <c r="N536" s="1123"/>
      <c r="V536" s="1224"/>
    </row>
    <row r="537" spans="1:22">
      <c r="A537" s="1289"/>
      <c r="B537" s="1123"/>
      <c r="C537" s="1123"/>
      <c r="D537" s="1123"/>
      <c r="E537" s="1123"/>
      <c r="G537" s="1123"/>
      <c r="H537" s="1123"/>
      <c r="I537" s="1123"/>
      <c r="J537" s="1123"/>
      <c r="K537" s="1123"/>
      <c r="L537" s="1123"/>
      <c r="M537" s="1123"/>
      <c r="N537" s="1123"/>
      <c r="V537" s="1224"/>
    </row>
    <row r="538" spans="1:22">
      <c r="A538" s="1289"/>
      <c r="B538" s="1123"/>
      <c r="C538" s="1123"/>
      <c r="D538" s="1123"/>
      <c r="E538" s="1123"/>
      <c r="G538" s="1123"/>
      <c r="H538" s="1123"/>
      <c r="I538" s="1123"/>
      <c r="J538" s="1123"/>
      <c r="K538" s="1123"/>
      <c r="L538" s="1123"/>
      <c r="M538" s="1123"/>
      <c r="N538" s="1123"/>
      <c r="V538" s="1224"/>
    </row>
    <row r="539" spans="1:22">
      <c r="A539" s="1289"/>
      <c r="B539" s="1123"/>
      <c r="C539" s="1123"/>
      <c r="D539" s="1123"/>
      <c r="E539" s="1123"/>
      <c r="G539" s="1123"/>
      <c r="H539" s="1123"/>
      <c r="I539" s="1123"/>
      <c r="J539" s="1123"/>
      <c r="K539" s="1123"/>
      <c r="L539" s="1123"/>
      <c r="M539" s="1123"/>
      <c r="N539" s="1123"/>
      <c r="V539" s="1224"/>
    </row>
    <row r="540" spans="1:22">
      <c r="A540" s="1289"/>
      <c r="B540" s="1123"/>
      <c r="C540" s="1123"/>
      <c r="D540" s="1123"/>
      <c r="E540" s="1123"/>
      <c r="G540" s="1123"/>
      <c r="H540" s="1123"/>
      <c r="I540" s="1123"/>
      <c r="J540" s="1123"/>
      <c r="K540" s="1123"/>
      <c r="L540" s="1123"/>
      <c r="M540" s="1123"/>
      <c r="N540" s="1123"/>
      <c r="V540" s="1224"/>
    </row>
    <row r="541" spans="1:22">
      <c r="A541" s="1289"/>
      <c r="B541" s="1123"/>
      <c r="C541" s="1123"/>
      <c r="D541" s="1123"/>
      <c r="E541" s="1123"/>
      <c r="G541" s="1123"/>
      <c r="H541" s="1123"/>
      <c r="I541" s="1123"/>
      <c r="J541" s="1123"/>
      <c r="K541" s="1123"/>
      <c r="L541" s="1123"/>
      <c r="M541" s="1123"/>
      <c r="N541" s="1123"/>
      <c r="V541" s="1224"/>
    </row>
    <row r="542" spans="1:22">
      <c r="A542" s="1289"/>
      <c r="B542" s="1123"/>
      <c r="C542" s="1123"/>
      <c r="D542" s="1123"/>
      <c r="E542" s="1123"/>
      <c r="G542" s="1123"/>
      <c r="H542" s="1123"/>
      <c r="I542" s="1123"/>
      <c r="J542" s="1123"/>
      <c r="K542" s="1123"/>
      <c r="L542" s="1123"/>
      <c r="M542" s="1123"/>
      <c r="N542" s="1123"/>
      <c r="V542" s="1224"/>
    </row>
    <row r="543" spans="1:22">
      <c r="A543" s="1289"/>
      <c r="B543" s="1123"/>
      <c r="C543" s="1123"/>
      <c r="D543" s="1123"/>
      <c r="E543" s="1123"/>
      <c r="G543" s="1123"/>
      <c r="H543" s="1123"/>
      <c r="I543" s="1123"/>
      <c r="J543" s="1123"/>
      <c r="K543" s="1123"/>
      <c r="L543" s="1123"/>
      <c r="M543" s="1123"/>
      <c r="N543" s="1123"/>
      <c r="V543" s="1224"/>
    </row>
    <row r="544" spans="1:22">
      <c r="A544" s="1289"/>
      <c r="B544" s="1123"/>
      <c r="C544" s="1123"/>
      <c r="D544" s="1123"/>
      <c r="E544" s="1123"/>
      <c r="G544" s="1123"/>
      <c r="H544" s="1123"/>
      <c r="I544" s="1123"/>
      <c r="J544" s="1123"/>
      <c r="K544" s="1123"/>
      <c r="L544" s="1123"/>
      <c r="M544" s="1123"/>
      <c r="N544" s="1123"/>
      <c r="V544" s="1224"/>
    </row>
    <row r="545" spans="1:22">
      <c r="A545" s="1289"/>
      <c r="B545" s="1123"/>
      <c r="C545" s="1123"/>
      <c r="D545" s="1123"/>
      <c r="E545" s="1123"/>
      <c r="G545" s="1123"/>
      <c r="H545" s="1123"/>
      <c r="I545" s="1123"/>
      <c r="J545" s="1123"/>
      <c r="K545" s="1123"/>
      <c r="L545" s="1123"/>
      <c r="M545" s="1123"/>
      <c r="N545" s="1123"/>
      <c r="V545" s="1224"/>
    </row>
    <row r="546" spans="1:22">
      <c r="A546" s="1289"/>
      <c r="B546" s="1123"/>
      <c r="C546" s="1123"/>
      <c r="D546" s="1123"/>
      <c r="E546" s="1123"/>
      <c r="G546" s="1123"/>
      <c r="H546" s="1123"/>
      <c r="I546" s="1123"/>
      <c r="J546" s="1123"/>
      <c r="K546" s="1123"/>
      <c r="L546" s="1123"/>
      <c r="M546" s="1123"/>
      <c r="N546" s="1123"/>
      <c r="V546" s="1224"/>
    </row>
    <row r="547" spans="1:22">
      <c r="A547" s="1289"/>
      <c r="B547" s="1123"/>
      <c r="C547" s="1123"/>
      <c r="D547" s="1123"/>
      <c r="E547" s="1123"/>
      <c r="G547" s="1123"/>
      <c r="H547" s="1123"/>
      <c r="I547" s="1123"/>
      <c r="J547" s="1123"/>
      <c r="K547" s="1123"/>
      <c r="L547" s="1123"/>
      <c r="M547" s="1123"/>
      <c r="N547" s="1123"/>
      <c r="V547" s="1224"/>
    </row>
    <row r="548" spans="1:22">
      <c r="A548" s="1289"/>
      <c r="B548" s="1123"/>
      <c r="C548" s="1123"/>
      <c r="D548" s="1123"/>
      <c r="E548" s="1123"/>
      <c r="G548" s="1123"/>
      <c r="H548" s="1123"/>
      <c r="I548" s="1123"/>
      <c r="J548" s="1123"/>
      <c r="K548" s="1123"/>
      <c r="L548" s="1123"/>
      <c r="M548" s="1123"/>
      <c r="N548" s="1123"/>
      <c r="V548" s="1224"/>
    </row>
    <row r="549" spans="1:22">
      <c r="A549" s="1289"/>
      <c r="B549" s="1123"/>
      <c r="C549" s="1123"/>
      <c r="D549" s="1123"/>
      <c r="E549" s="1123"/>
      <c r="G549" s="1123"/>
      <c r="H549" s="1123"/>
      <c r="I549" s="1123"/>
      <c r="J549" s="1123"/>
      <c r="K549" s="1123"/>
      <c r="L549" s="1123"/>
      <c r="M549" s="1123"/>
      <c r="N549" s="1123"/>
      <c r="V549" s="1224"/>
    </row>
    <row r="550" spans="1:22">
      <c r="A550" s="1289"/>
      <c r="B550" s="1123"/>
      <c r="C550" s="1123"/>
      <c r="D550" s="1123"/>
      <c r="E550" s="1123"/>
      <c r="G550" s="1123"/>
      <c r="H550" s="1123"/>
      <c r="I550" s="1123"/>
      <c r="J550" s="1123"/>
      <c r="K550" s="1123"/>
      <c r="L550" s="1123"/>
      <c r="M550" s="1123"/>
      <c r="N550" s="1123"/>
      <c r="V550" s="1224"/>
    </row>
    <row r="551" spans="1:22">
      <c r="A551" s="1289"/>
      <c r="B551" s="1123"/>
      <c r="C551" s="1123"/>
      <c r="D551" s="1123"/>
      <c r="E551" s="1123"/>
      <c r="G551" s="1123"/>
      <c r="H551" s="1123"/>
      <c r="I551" s="1123"/>
      <c r="J551" s="1123"/>
      <c r="K551" s="1123"/>
      <c r="L551" s="1123"/>
      <c r="M551" s="1123"/>
      <c r="N551" s="1123"/>
      <c r="V551" s="1224"/>
    </row>
    <row r="552" spans="1:22">
      <c r="A552" s="1289"/>
      <c r="B552" s="1123"/>
      <c r="C552" s="1123"/>
      <c r="D552" s="1123"/>
      <c r="E552" s="1123"/>
      <c r="G552" s="1123"/>
      <c r="H552" s="1123"/>
      <c r="I552" s="1123"/>
      <c r="J552" s="1123"/>
      <c r="K552" s="1123"/>
      <c r="L552" s="1123"/>
      <c r="M552" s="1123"/>
      <c r="N552" s="1123"/>
      <c r="V552" s="1224"/>
    </row>
    <row r="553" spans="1:22">
      <c r="A553" s="1289"/>
      <c r="B553" s="1123"/>
      <c r="C553" s="1123"/>
      <c r="D553" s="1123"/>
      <c r="E553" s="1123"/>
      <c r="G553" s="1123"/>
      <c r="H553" s="1123"/>
      <c r="I553" s="1123"/>
      <c r="J553" s="1123"/>
      <c r="K553" s="1123"/>
      <c r="L553" s="1123"/>
      <c r="M553" s="1123"/>
      <c r="N553" s="1123"/>
      <c r="V553" s="1224"/>
    </row>
    <row r="554" spans="1:22">
      <c r="A554" s="1289"/>
      <c r="B554" s="1123"/>
      <c r="C554" s="1123"/>
      <c r="D554" s="1123"/>
      <c r="E554" s="1123"/>
      <c r="G554" s="1123"/>
      <c r="H554" s="1123"/>
      <c r="I554" s="1123"/>
      <c r="J554" s="1123"/>
      <c r="K554" s="1123"/>
      <c r="L554" s="1123"/>
      <c r="M554" s="1123"/>
      <c r="N554" s="1123"/>
      <c r="V554" s="1224"/>
    </row>
    <row r="555" spans="1:22">
      <c r="A555" s="1289"/>
      <c r="B555" s="1123"/>
      <c r="C555" s="1123"/>
      <c r="D555" s="1123"/>
      <c r="E555" s="1123"/>
      <c r="G555" s="1123"/>
      <c r="H555" s="1123"/>
      <c r="I555" s="1123"/>
      <c r="J555" s="1123"/>
      <c r="K555" s="1123"/>
      <c r="L555" s="1123"/>
      <c r="M555" s="1123"/>
      <c r="N555" s="1123"/>
      <c r="V555" s="1224"/>
    </row>
    <row r="556" spans="1:22">
      <c r="A556" s="1289"/>
      <c r="B556" s="1123"/>
      <c r="C556" s="1123"/>
      <c r="D556" s="1123"/>
      <c r="E556" s="1123"/>
      <c r="G556" s="1123"/>
      <c r="H556" s="1123"/>
      <c r="I556" s="1123"/>
      <c r="J556" s="1123"/>
      <c r="K556" s="1123"/>
      <c r="L556" s="1123"/>
      <c r="M556" s="1123"/>
      <c r="N556" s="1123"/>
      <c r="V556" s="1224"/>
    </row>
    <row r="557" spans="1:22">
      <c r="A557" s="1289"/>
      <c r="B557" s="1123"/>
      <c r="C557" s="1123"/>
      <c r="D557" s="1123"/>
      <c r="E557" s="1123"/>
      <c r="G557" s="1123"/>
      <c r="H557" s="1123"/>
      <c r="I557" s="1123"/>
      <c r="J557" s="1123"/>
      <c r="K557" s="1123"/>
      <c r="L557" s="1123"/>
      <c r="M557" s="1123"/>
      <c r="N557" s="1123"/>
      <c r="V557" s="1224"/>
    </row>
    <row r="558" spans="1:22">
      <c r="A558" s="1289"/>
      <c r="B558" s="1123"/>
      <c r="C558" s="1123"/>
      <c r="D558" s="1123"/>
      <c r="E558" s="1123"/>
      <c r="G558" s="1123"/>
      <c r="H558" s="1123"/>
      <c r="I558" s="1123"/>
      <c r="J558" s="1123"/>
      <c r="K558" s="1123"/>
      <c r="L558" s="1123"/>
      <c r="M558" s="1123"/>
      <c r="N558" s="1123"/>
      <c r="V558" s="1224"/>
    </row>
    <row r="559" spans="1:22">
      <c r="A559" s="1289"/>
      <c r="B559" s="1123"/>
      <c r="C559" s="1123"/>
      <c r="D559" s="1123"/>
      <c r="E559" s="1123"/>
      <c r="G559" s="1123"/>
      <c r="H559" s="1123"/>
      <c r="I559" s="1123"/>
      <c r="J559" s="1123"/>
      <c r="K559" s="1123"/>
      <c r="L559" s="1123"/>
      <c r="M559" s="1123"/>
      <c r="N559" s="1123"/>
      <c r="V559" s="1224"/>
    </row>
    <row r="560" spans="1:22">
      <c r="A560" s="1289"/>
      <c r="B560" s="1123"/>
      <c r="C560" s="1123"/>
      <c r="D560" s="1123"/>
      <c r="E560" s="1123"/>
      <c r="G560" s="1123"/>
      <c r="H560" s="1123"/>
      <c r="I560" s="1123"/>
      <c r="J560" s="1123"/>
      <c r="K560" s="1123"/>
      <c r="L560" s="1123"/>
      <c r="M560" s="1123"/>
      <c r="N560" s="1123"/>
      <c r="V560" s="1224"/>
    </row>
    <row r="561" spans="1:22">
      <c r="A561" s="1289"/>
      <c r="B561" s="1123"/>
      <c r="C561" s="1123"/>
      <c r="D561" s="1123"/>
      <c r="E561" s="1123"/>
      <c r="G561" s="1123"/>
      <c r="H561" s="1123"/>
      <c r="I561" s="1123"/>
      <c r="J561" s="1123"/>
      <c r="K561" s="1123"/>
      <c r="L561" s="1123"/>
      <c r="M561" s="1123"/>
      <c r="N561" s="1123"/>
      <c r="V561" s="1224"/>
    </row>
    <row r="562" spans="1:22">
      <c r="A562" s="1289"/>
      <c r="B562" s="1123"/>
      <c r="C562" s="1123"/>
      <c r="D562" s="1123"/>
      <c r="E562" s="1123"/>
      <c r="G562" s="1123"/>
      <c r="H562" s="1123"/>
      <c r="I562" s="1123"/>
      <c r="J562" s="1123"/>
      <c r="K562" s="1123"/>
      <c r="L562" s="1123"/>
      <c r="M562" s="1123"/>
      <c r="N562" s="1123"/>
      <c r="V562" s="1224"/>
    </row>
    <row r="563" spans="1:22">
      <c r="A563" s="1289"/>
      <c r="B563" s="1123"/>
      <c r="C563" s="1123"/>
      <c r="D563" s="1123"/>
      <c r="E563" s="1123"/>
      <c r="G563" s="1123"/>
      <c r="H563" s="1123"/>
      <c r="I563" s="1123"/>
      <c r="J563" s="1123"/>
      <c r="K563" s="1123"/>
      <c r="L563" s="1123"/>
      <c r="M563" s="1123"/>
      <c r="N563" s="1123"/>
      <c r="V563" s="1224"/>
    </row>
    <row r="564" spans="1:22">
      <c r="A564" s="1289"/>
      <c r="B564" s="1123"/>
      <c r="C564" s="1123"/>
      <c r="D564" s="1123"/>
      <c r="E564" s="1123"/>
      <c r="G564" s="1123"/>
      <c r="H564" s="1123"/>
      <c r="I564" s="1123"/>
      <c r="J564" s="1123"/>
      <c r="K564" s="1123"/>
      <c r="L564" s="1123"/>
      <c r="M564" s="1123"/>
      <c r="N564" s="1123"/>
      <c r="V564" s="1224"/>
    </row>
    <row r="565" spans="1:22">
      <c r="A565" s="1289"/>
      <c r="B565" s="1123"/>
      <c r="C565" s="1123"/>
      <c r="D565" s="1123"/>
      <c r="E565" s="1123"/>
      <c r="G565" s="1123"/>
      <c r="H565" s="1123"/>
      <c r="I565" s="1123"/>
      <c r="J565" s="1123"/>
      <c r="K565" s="1123"/>
      <c r="L565" s="1123"/>
      <c r="M565" s="1123"/>
      <c r="N565" s="1123"/>
      <c r="V565" s="1224"/>
    </row>
    <row r="566" spans="1:22">
      <c r="A566" s="1289"/>
      <c r="B566" s="1123"/>
      <c r="C566" s="1123"/>
      <c r="D566" s="1123"/>
      <c r="E566" s="1123"/>
      <c r="G566" s="1123"/>
      <c r="H566" s="1123"/>
      <c r="I566" s="1123"/>
      <c r="J566" s="1123"/>
      <c r="K566" s="1123"/>
      <c r="L566" s="1123"/>
      <c r="M566" s="1123"/>
      <c r="N566" s="1123"/>
      <c r="V566" s="1224"/>
    </row>
    <row r="567" spans="1:22">
      <c r="A567" s="1289"/>
      <c r="B567" s="1123"/>
      <c r="C567" s="1123"/>
      <c r="D567" s="1123"/>
      <c r="E567" s="1123"/>
      <c r="G567" s="1123"/>
      <c r="H567" s="1123"/>
      <c r="I567" s="1123"/>
      <c r="J567" s="1123"/>
      <c r="K567" s="1123"/>
      <c r="L567" s="1123"/>
      <c r="M567" s="1123"/>
      <c r="N567" s="1123"/>
      <c r="V567" s="1224"/>
    </row>
    <row r="568" spans="1:22">
      <c r="A568" s="1289"/>
      <c r="B568" s="1123"/>
      <c r="C568" s="1123"/>
      <c r="D568" s="1123"/>
      <c r="E568" s="1123"/>
      <c r="G568" s="1123"/>
      <c r="H568" s="1123"/>
      <c r="I568" s="1123"/>
      <c r="J568" s="1123"/>
      <c r="K568" s="1123"/>
      <c r="L568" s="1123"/>
      <c r="M568" s="1123"/>
      <c r="N568" s="1123"/>
      <c r="V568" s="1224"/>
    </row>
    <row r="569" spans="1:22">
      <c r="A569" s="1289"/>
      <c r="B569" s="1123"/>
      <c r="C569" s="1123"/>
      <c r="D569" s="1123"/>
      <c r="E569" s="1123"/>
      <c r="G569" s="1123"/>
      <c r="H569" s="1123"/>
      <c r="I569" s="1123"/>
      <c r="J569" s="1123"/>
      <c r="K569" s="1123"/>
      <c r="L569" s="1123"/>
      <c r="M569" s="1123"/>
      <c r="N569" s="1123"/>
      <c r="V569" s="1224"/>
    </row>
    <row r="570" spans="1:22">
      <c r="A570" s="1289"/>
      <c r="B570" s="1123"/>
      <c r="C570" s="1123"/>
      <c r="D570" s="1123"/>
      <c r="E570" s="1123"/>
      <c r="G570" s="1123"/>
      <c r="H570" s="1123"/>
      <c r="I570" s="1123"/>
      <c r="J570" s="1123"/>
      <c r="K570" s="1123"/>
      <c r="L570" s="1123"/>
      <c r="M570" s="1123"/>
      <c r="N570" s="1123"/>
      <c r="V570" s="1224"/>
    </row>
    <row r="571" spans="1:22">
      <c r="A571" s="1289"/>
      <c r="B571" s="1123"/>
      <c r="C571" s="1123"/>
      <c r="D571" s="1123"/>
      <c r="E571" s="1123"/>
      <c r="G571" s="1123"/>
      <c r="H571" s="1123"/>
      <c r="I571" s="1123"/>
      <c r="J571" s="1123"/>
      <c r="K571" s="1123"/>
      <c r="L571" s="1123"/>
      <c r="M571" s="1123"/>
      <c r="N571" s="1123"/>
      <c r="V571" s="1224"/>
    </row>
    <row r="572" spans="1:22">
      <c r="A572" s="1289"/>
      <c r="B572" s="1123"/>
      <c r="C572" s="1123"/>
      <c r="D572" s="1123"/>
      <c r="E572" s="1123"/>
      <c r="G572" s="1123"/>
      <c r="H572" s="1123"/>
      <c r="I572" s="1123"/>
      <c r="J572" s="1123"/>
      <c r="K572" s="1123"/>
      <c r="L572" s="1123"/>
      <c r="M572" s="1123"/>
      <c r="N572" s="1123"/>
      <c r="V572" s="1224"/>
    </row>
    <row r="573" spans="1:22">
      <c r="A573" s="1289"/>
      <c r="B573" s="1123"/>
      <c r="C573" s="1123"/>
      <c r="D573" s="1123"/>
      <c r="E573" s="1123"/>
      <c r="G573" s="1123"/>
      <c r="H573" s="1123"/>
      <c r="I573" s="1123"/>
      <c r="J573" s="1123"/>
      <c r="K573" s="1123"/>
      <c r="L573" s="1123"/>
      <c r="M573" s="1123"/>
      <c r="N573" s="1123"/>
      <c r="V573" s="1224"/>
    </row>
    <row r="574" spans="1:22">
      <c r="A574" s="1289"/>
      <c r="B574" s="1123"/>
      <c r="C574" s="1123"/>
      <c r="D574" s="1123"/>
      <c r="E574" s="1123"/>
      <c r="G574" s="1123"/>
      <c r="H574" s="1123"/>
      <c r="I574" s="1123"/>
      <c r="J574" s="1123"/>
      <c r="K574" s="1123"/>
      <c r="L574" s="1123"/>
      <c r="M574" s="1123"/>
      <c r="N574" s="1123"/>
      <c r="V574" s="1224"/>
    </row>
    <row r="575" spans="1:22">
      <c r="A575" s="1289"/>
      <c r="B575" s="1123"/>
      <c r="C575" s="1123"/>
      <c r="D575" s="1123"/>
      <c r="E575" s="1123"/>
      <c r="G575" s="1123"/>
      <c r="H575" s="1123"/>
      <c r="I575" s="1123"/>
      <c r="J575" s="1123"/>
      <c r="K575" s="1123"/>
      <c r="L575" s="1123"/>
      <c r="M575" s="1123"/>
      <c r="N575" s="1123"/>
      <c r="V575" s="1224"/>
    </row>
    <row r="576" spans="1:22">
      <c r="A576" s="1289"/>
      <c r="B576" s="1123"/>
      <c r="C576" s="1123"/>
      <c r="D576" s="1123"/>
      <c r="E576" s="1123"/>
      <c r="G576" s="1123"/>
      <c r="H576" s="1123"/>
      <c r="I576" s="1123"/>
      <c r="J576" s="1123"/>
      <c r="K576" s="1123"/>
      <c r="L576" s="1123"/>
      <c r="M576" s="1123"/>
      <c r="N576" s="1123"/>
      <c r="V576" s="1224"/>
    </row>
    <row r="577" spans="1:22">
      <c r="A577" s="1289"/>
      <c r="B577" s="1123"/>
      <c r="C577" s="1123"/>
      <c r="D577" s="1123"/>
      <c r="E577" s="1123"/>
      <c r="G577" s="1123"/>
      <c r="H577" s="1123"/>
      <c r="I577" s="1123"/>
      <c r="J577" s="1123"/>
      <c r="K577" s="1123"/>
      <c r="L577" s="1123"/>
      <c r="M577" s="1123"/>
      <c r="N577" s="1123"/>
      <c r="V577" s="1224"/>
    </row>
    <row r="578" spans="1:22">
      <c r="A578" s="1289"/>
      <c r="B578" s="1123"/>
      <c r="C578" s="1123"/>
      <c r="D578" s="1123"/>
      <c r="E578" s="1123"/>
      <c r="G578" s="1123"/>
      <c r="H578" s="1123"/>
      <c r="I578" s="1123"/>
      <c r="J578" s="1123"/>
      <c r="K578" s="1123"/>
      <c r="L578" s="1123"/>
      <c r="M578" s="1123"/>
      <c r="N578" s="1123"/>
      <c r="V578" s="1224"/>
    </row>
    <row r="579" spans="1:22">
      <c r="A579" s="1289"/>
      <c r="B579" s="1123"/>
      <c r="C579" s="1123"/>
      <c r="D579" s="1123"/>
      <c r="E579" s="1123"/>
      <c r="G579" s="1123"/>
      <c r="H579" s="1123"/>
      <c r="I579" s="1123"/>
      <c r="J579" s="1123"/>
      <c r="K579" s="1123"/>
      <c r="L579" s="1123"/>
      <c r="M579" s="1123"/>
      <c r="N579" s="1123"/>
      <c r="V579" s="1224"/>
    </row>
    <row r="580" spans="1:22">
      <c r="A580" s="1289"/>
      <c r="B580" s="1123"/>
      <c r="C580" s="1123"/>
      <c r="D580" s="1123"/>
      <c r="E580" s="1123"/>
      <c r="G580" s="1123"/>
      <c r="H580" s="1123"/>
      <c r="I580" s="1123"/>
      <c r="J580" s="1123"/>
      <c r="K580" s="1123"/>
      <c r="L580" s="1123"/>
      <c r="M580" s="1123"/>
      <c r="N580" s="1123"/>
      <c r="V580" s="1224"/>
    </row>
    <row r="581" spans="1:22">
      <c r="A581" s="1289"/>
      <c r="B581" s="1123"/>
      <c r="C581" s="1123"/>
      <c r="D581" s="1123"/>
      <c r="E581" s="1123"/>
      <c r="G581" s="1123"/>
      <c r="H581" s="1123"/>
      <c r="I581" s="1123"/>
      <c r="J581" s="1123"/>
      <c r="K581" s="1123"/>
      <c r="L581" s="1123"/>
      <c r="M581" s="1123"/>
      <c r="N581" s="1123"/>
      <c r="V581" s="1224"/>
    </row>
    <row r="582" spans="1:22">
      <c r="A582" s="1289"/>
      <c r="B582" s="1123"/>
      <c r="C582" s="1123"/>
      <c r="D582" s="1123"/>
      <c r="E582" s="1123"/>
      <c r="G582" s="1123"/>
      <c r="H582" s="1123"/>
      <c r="I582" s="1123"/>
      <c r="J582" s="1123"/>
      <c r="K582" s="1123"/>
      <c r="L582" s="1123"/>
      <c r="M582" s="1123"/>
      <c r="N582" s="1123"/>
      <c r="V582" s="1224"/>
    </row>
    <row r="583" spans="1:22">
      <c r="A583" s="1289"/>
      <c r="B583" s="1123"/>
      <c r="C583" s="1123"/>
      <c r="D583" s="1123"/>
      <c r="E583" s="1123"/>
      <c r="G583" s="1123"/>
      <c r="H583" s="1123"/>
      <c r="I583" s="1123"/>
      <c r="J583" s="1123"/>
      <c r="K583" s="1123"/>
      <c r="L583" s="1123"/>
      <c r="M583" s="1123"/>
      <c r="N583" s="1123"/>
      <c r="V583" s="1224"/>
    </row>
    <row r="584" spans="1:22">
      <c r="A584" s="1289"/>
      <c r="B584" s="1123"/>
      <c r="C584" s="1123"/>
      <c r="D584" s="1123"/>
      <c r="E584" s="1123"/>
      <c r="G584" s="1123"/>
      <c r="H584" s="1123"/>
      <c r="I584" s="1123"/>
      <c r="J584" s="1123"/>
      <c r="K584" s="1123"/>
      <c r="L584" s="1123"/>
      <c r="M584" s="1123"/>
      <c r="N584" s="1123"/>
      <c r="V584" s="1224"/>
    </row>
    <row r="585" spans="1:22">
      <c r="A585" s="1289"/>
      <c r="B585" s="1123"/>
      <c r="C585" s="1123"/>
      <c r="D585" s="1123"/>
      <c r="E585" s="1123"/>
      <c r="G585" s="1123"/>
      <c r="H585" s="1123"/>
      <c r="I585" s="1123"/>
      <c r="J585" s="1123"/>
      <c r="K585" s="1123"/>
      <c r="L585" s="1123"/>
      <c r="M585" s="1123"/>
      <c r="N585" s="1123"/>
      <c r="V585" s="1224"/>
    </row>
    <row r="586" spans="1:22">
      <c r="A586" s="1289"/>
      <c r="B586" s="1123"/>
      <c r="C586" s="1123"/>
      <c r="D586" s="1123"/>
      <c r="E586" s="1123"/>
      <c r="G586" s="1123"/>
      <c r="H586" s="1123"/>
      <c r="I586" s="1123"/>
      <c r="J586" s="1123"/>
      <c r="K586" s="1123"/>
      <c r="L586" s="1123"/>
      <c r="M586" s="1123"/>
      <c r="N586" s="1123"/>
      <c r="V586" s="1224"/>
    </row>
    <row r="587" spans="1:22">
      <c r="A587" s="1289"/>
      <c r="B587" s="1123"/>
      <c r="C587" s="1123"/>
      <c r="D587" s="1123"/>
      <c r="E587" s="1123"/>
      <c r="G587" s="1123"/>
      <c r="H587" s="1123"/>
      <c r="I587" s="1123"/>
      <c r="J587" s="1123"/>
      <c r="K587" s="1123"/>
      <c r="L587" s="1123"/>
      <c r="M587" s="1123"/>
      <c r="N587" s="1123"/>
      <c r="V587" s="1224"/>
    </row>
    <row r="588" spans="1:22">
      <c r="A588" s="1289"/>
      <c r="B588" s="1123"/>
      <c r="C588" s="1123"/>
      <c r="D588" s="1123"/>
      <c r="E588" s="1123"/>
      <c r="G588" s="1123"/>
      <c r="H588" s="1123"/>
      <c r="I588" s="1123"/>
      <c r="J588" s="1123"/>
      <c r="K588" s="1123"/>
      <c r="L588" s="1123"/>
      <c r="M588" s="1123"/>
      <c r="N588" s="1123"/>
      <c r="V588" s="1224"/>
    </row>
    <row r="589" spans="1:22">
      <c r="A589" s="1289"/>
      <c r="B589" s="1123"/>
      <c r="C589" s="1123"/>
      <c r="D589" s="1123"/>
      <c r="E589" s="1123"/>
      <c r="G589" s="1123"/>
      <c r="H589" s="1123"/>
      <c r="I589" s="1123"/>
      <c r="J589" s="1123"/>
      <c r="K589" s="1123"/>
      <c r="L589" s="1123"/>
      <c r="M589" s="1123"/>
      <c r="N589" s="1123"/>
      <c r="V589" s="1224"/>
    </row>
    <row r="590" spans="1:22">
      <c r="A590" s="1289"/>
      <c r="B590" s="1123"/>
      <c r="C590" s="1123"/>
      <c r="D590" s="1123"/>
      <c r="E590" s="1123"/>
      <c r="G590" s="1123"/>
      <c r="H590" s="1123"/>
      <c r="I590" s="1123"/>
      <c r="J590" s="1123"/>
      <c r="K590" s="1123"/>
      <c r="L590" s="1123"/>
      <c r="M590" s="1123"/>
      <c r="N590" s="1123"/>
      <c r="V590" s="1224"/>
    </row>
    <row r="591" spans="1:22">
      <c r="A591" s="1289"/>
      <c r="B591" s="1123"/>
      <c r="C591" s="1123"/>
      <c r="D591" s="1123"/>
      <c r="E591" s="1123"/>
      <c r="G591" s="1123"/>
      <c r="H591" s="1123"/>
      <c r="I591" s="1123"/>
      <c r="J591" s="1123"/>
      <c r="K591" s="1123"/>
      <c r="L591" s="1123"/>
      <c r="M591" s="1123"/>
      <c r="N591" s="1123"/>
      <c r="V591" s="1224"/>
    </row>
    <row r="592" spans="1:22">
      <c r="A592" s="1289"/>
      <c r="B592" s="1123"/>
      <c r="C592" s="1123"/>
      <c r="D592" s="1123"/>
      <c r="E592" s="1123"/>
      <c r="G592" s="1123"/>
      <c r="H592" s="1123"/>
      <c r="I592" s="1123"/>
      <c r="J592" s="1123"/>
      <c r="K592" s="1123"/>
      <c r="L592" s="1123"/>
      <c r="M592" s="1123"/>
      <c r="N592" s="1123"/>
      <c r="V592" s="1224"/>
    </row>
    <row r="593" spans="1:22">
      <c r="A593" s="1289"/>
      <c r="B593" s="1123"/>
      <c r="C593" s="1123"/>
      <c r="D593" s="1123"/>
      <c r="E593" s="1123"/>
      <c r="G593" s="1123"/>
      <c r="H593" s="1123"/>
      <c r="I593" s="1123"/>
      <c r="J593" s="1123"/>
      <c r="K593" s="1123"/>
      <c r="L593" s="1123"/>
      <c r="M593" s="1123"/>
      <c r="N593" s="1123"/>
      <c r="V593" s="1224"/>
    </row>
    <row r="594" spans="1:22">
      <c r="A594" s="1289"/>
      <c r="B594" s="1123"/>
      <c r="C594" s="1123"/>
      <c r="D594" s="1123"/>
      <c r="E594" s="1123"/>
      <c r="G594" s="1123"/>
      <c r="H594" s="1123"/>
      <c r="I594" s="1123"/>
      <c r="J594" s="1123"/>
      <c r="K594" s="1123"/>
      <c r="L594" s="1123"/>
      <c r="M594" s="1123"/>
      <c r="N594" s="1123"/>
      <c r="V594" s="1224"/>
    </row>
    <row r="595" spans="1:22">
      <c r="A595" s="1289"/>
      <c r="B595" s="1123"/>
      <c r="C595" s="1123"/>
      <c r="D595" s="1123"/>
      <c r="E595" s="1123"/>
      <c r="G595" s="1123"/>
      <c r="H595" s="1123"/>
      <c r="I595" s="1123"/>
      <c r="J595" s="1123"/>
      <c r="K595" s="1123"/>
      <c r="L595" s="1123"/>
      <c r="M595" s="1123"/>
      <c r="N595" s="1123"/>
      <c r="V595" s="1224"/>
    </row>
    <row r="596" spans="1:22">
      <c r="A596" s="1289"/>
      <c r="B596" s="1123"/>
      <c r="C596" s="1123"/>
      <c r="D596" s="1123"/>
      <c r="E596" s="1123"/>
      <c r="G596" s="1123"/>
      <c r="H596" s="1123"/>
      <c r="I596" s="1123"/>
      <c r="J596" s="1123"/>
      <c r="K596" s="1123"/>
      <c r="L596" s="1123"/>
      <c r="M596" s="1123"/>
      <c r="N596" s="1123"/>
      <c r="V596" s="1224"/>
    </row>
    <row r="597" spans="1:22">
      <c r="A597" s="1289"/>
      <c r="B597" s="1123"/>
      <c r="C597" s="1123"/>
      <c r="D597" s="1123"/>
      <c r="E597" s="1123"/>
      <c r="G597" s="1123"/>
      <c r="H597" s="1123"/>
      <c r="I597" s="1123"/>
      <c r="J597" s="1123"/>
      <c r="K597" s="1123"/>
      <c r="L597" s="1123"/>
      <c r="M597" s="1123"/>
      <c r="N597" s="1123"/>
      <c r="V597" s="1224"/>
    </row>
    <row r="598" spans="1:22">
      <c r="A598" s="1289"/>
      <c r="B598" s="1123"/>
      <c r="C598" s="1123"/>
      <c r="D598" s="1123"/>
      <c r="E598" s="1123"/>
      <c r="G598" s="1123"/>
      <c r="H598" s="1123"/>
      <c r="I598" s="1123"/>
      <c r="J598" s="1123"/>
      <c r="K598" s="1123"/>
      <c r="L598" s="1123"/>
      <c r="M598" s="1123"/>
      <c r="N598" s="1123"/>
      <c r="V598" s="1224"/>
    </row>
    <row r="599" spans="1:22">
      <c r="A599" s="1289"/>
      <c r="B599" s="1123"/>
      <c r="C599" s="1123"/>
      <c r="D599" s="1123"/>
      <c r="E599" s="1123"/>
      <c r="G599" s="1123"/>
      <c r="H599" s="1123"/>
      <c r="I599" s="1123"/>
      <c r="J599" s="1123"/>
      <c r="K599" s="1123"/>
      <c r="L599" s="1123"/>
      <c r="M599" s="1123"/>
      <c r="N599" s="1123"/>
      <c r="V599" s="1224"/>
    </row>
    <row r="600" spans="1:22">
      <c r="A600" s="1289"/>
      <c r="B600" s="1123"/>
      <c r="C600" s="1123"/>
      <c r="D600" s="1123"/>
      <c r="E600" s="1123"/>
      <c r="G600" s="1123"/>
      <c r="H600" s="1123"/>
      <c r="I600" s="1123"/>
      <c r="J600" s="1123"/>
      <c r="K600" s="1123"/>
      <c r="L600" s="1123"/>
      <c r="M600" s="1123"/>
      <c r="N600" s="1123"/>
      <c r="V600" s="1224"/>
    </row>
    <row r="601" spans="1:22">
      <c r="A601" s="1289"/>
      <c r="B601" s="1123"/>
      <c r="C601" s="1123"/>
      <c r="D601" s="1123"/>
      <c r="E601" s="1123"/>
      <c r="G601" s="1123"/>
      <c r="H601" s="1123"/>
      <c r="I601" s="1123"/>
      <c r="J601" s="1123"/>
      <c r="K601" s="1123"/>
      <c r="L601" s="1123"/>
      <c r="M601" s="1123"/>
      <c r="N601" s="1123"/>
      <c r="V601" s="1224"/>
    </row>
    <row r="602" spans="1:22">
      <c r="A602" s="1289"/>
      <c r="B602" s="1123"/>
      <c r="C602" s="1123"/>
      <c r="D602" s="1123"/>
      <c r="E602" s="1123"/>
      <c r="G602" s="1123"/>
      <c r="H602" s="1123"/>
      <c r="I602" s="1123"/>
      <c r="J602" s="1123"/>
      <c r="K602" s="1123"/>
      <c r="L602" s="1123"/>
      <c r="M602" s="1123"/>
      <c r="N602" s="1123"/>
      <c r="V602" s="1224"/>
    </row>
    <row r="603" spans="1:22">
      <c r="A603" s="1289"/>
      <c r="B603" s="1123"/>
      <c r="C603" s="1123"/>
      <c r="D603" s="1123"/>
      <c r="E603" s="1123"/>
      <c r="G603" s="1123"/>
      <c r="H603" s="1123"/>
      <c r="I603" s="1123"/>
      <c r="J603" s="1123"/>
      <c r="K603" s="1123"/>
      <c r="L603" s="1123"/>
      <c r="M603" s="1123"/>
      <c r="N603" s="1123"/>
      <c r="V603" s="1224"/>
    </row>
    <row r="604" spans="1:22">
      <c r="A604" s="1289"/>
      <c r="B604" s="1123"/>
      <c r="C604" s="1123"/>
      <c r="D604" s="1123"/>
      <c r="E604" s="1123"/>
      <c r="G604" s="1123"/>
      <c r="H604" s="1123"/>
      <c r="I604" s="1123"/>
      <c r="J604" s="1123"/>
      <c r="K604" s="1123"/>
      <c r="L604" s="1123"/>
      <c r="M604" s="1123"/>
      <c r="N604" s="1123"/>
      <c r="V604" s="1224"/>
    </row>
    <row r="605" spans="1:22">
      <c r="A605" s="1289"/>
      <c r="B605" s="1123"/>
      <c r="C605" s="1123"/>
      <c r="D605" s="1123"/>
      <c r="E605" s="1123"/>
      <c r="G605" s="1123"/>
      <c r="H605" s="1123"/>
      <c r="I605" s="1123"/>
      <c r="J605" s="1123"/>
      <c r="K605" s="1123"/>
      <c r="L605" s="1123"/>
      <c r="M605" s="1123"/>
      <c r="N605" s="1123"/>
      <c r="V605" s="1224"/>
    </row>
    <row r="606" spans="1:22">
      <c r="A606" s="1289"/>
      <c r="B606" s="1123"/>
      <c r="C606" s="1123"/>
      <c r="D606" s="1123"/>
      <c r="E606" s="1123"/>
      <c r="G606" s="1123"/>
      <c r="H606" s="1123"/>
      <c r="I606" s="1123"/>
      <c r="J606" s="1123"/>
      <c r="K606" s="1123"/>
      <c r="L606" s="1123"/>
      <c r="M606" s="1123"/>
      <c r="N606" s="1123"/>
      <c r="V606" s="1224"/>
    </row>
    <row r="607" spans="1:22">
      <c r="A607" s="1289"/>
      <c r="B607" s="1123"/>
      <c r="C607" s="1123"/>
      <c r="D607" s="1123"/>
      <c r="E607" s="1123"/>
      <c r="G607" s="1123"/>
      <c r="H607" s="1123"/>
      <c r="I607" s="1123"/>
      <c r="J607" s="1123"/>
      <c r="K607" s="1123"/>
      <c r="L607" s="1123"/>
      <c r="M607" s="1123"/>
      <c r="N607" s="1123"/>
      <c r="V607" s="1224"/>
    </row>
    <row r="608" spans="1:22">
      <c r="A608" s="1289"/>
      <c r="B608" s="1123"/>
      <c r="C608" s="1123"/>
      <c r="D608" s="1123"/>
      <c r="E608" s="1123"/>
      <c r="G608" s="1123"/>
      <c r="H608" s="1123"/>
      <c r="I608" s="1123"/>
      <c r="J608" s="1123"/>
      <c r="K608" s="1123"/>
      <c r="L608" s="1123"/>
      <c r="M608" s="1123"/>
      <c r="N608" s="1123"/>
      <c r="V608" s="1224"/>
    </row>
    <row r="609" spans="1:22">
      <c r="A609" s="1289"/>
      <c r="B609" s="1123"/>
      <c r="C609" s="1123"/>
      <c r="D609" s="1123"/>
      <c r="E609" s="1123"/>
      <c r="G609" s="1123"/>
      <c r="H609" s="1123"/>
      <c r="I609" s="1123"/>
      <c r="J609" s="1123"/>
      <c r="K609" s="1123"/>
      <c r="L609" s="1123"/>
      <c r="M609" s="1123"/>
      <c r="N609" s="1123"/>
      <c r="V609" s="1224"/>
    </row>
    <row r="610" spans="1:22">
      <c r="A610" s="1289"/>
      <c r="B610" s="1123"/>
      <c r="C610" s="1123"/>
      <c r="D610" s="1123"/>
      <c r="E610" s="1123"/>
      <c r="G610" s="1123"/>
      <c r="H610" s="1123"/>
      <c r="I610" s="1123"/>
      <c r="J610" s="1123"/>
      <c r="K610" s="1123"/>
      <c r="L610" s="1123"/>
      <c r="M610" s="1123"/>
      <c r="N610" s="1123"/>
      <c r="V610" s="1224"/>
    </row>
    <row r="611" spans="1:22">
      <c r="A611" s="1289"/>
      <c r="B611" s="1123"/>
      <c r="C611" s="1123"/>
      <c r="D611" s="1123"/>
      <c r="E611" s="1123"/>
      <c r="G611" s="1123"/>
      <c r="H611" s="1123"/>
      <c r="I611" s="1123"/>
      <c r="J611" s="1123"/>
      <c r="K611" s="1123"/>
      <c r="L611" s="1123"/>
      <c r="M611" s="1123"/>
      <c r="N611" s="1123"/>
      <c r="V611" s="1224"/>
    </row>
    <row r="612" spans="1:22">
      <c r="A612" s="1289"/>
      <c r="B612" s="1123"/>
      <c r="C612" s="1123"/>
      <c r="D612" s="1123"/>
      <c r="E612" s="1123"/>
      <c r="G612" s="1123"/>
      <c r="H612" s="1123"/>
      <c r="I612" s="1123"/>
      <c r="J612" s="1123"/>
      <c r="K612" s="1123"/>
      <c r="L612" s="1123"/>
      <c r="M612" s="1123"/>
      <c r="N612" s="1123"/>
      <c r="V612" s="1224"/>
    </row>
    <row r="613" spans="1:22">
      <c r="A613" s="1289"/>
      <c r="B613" s="1123"/>
      <c r="C613" s="1123"/>
      <c r="D613" s="1123"/>
      <c r="E613" s="1123"/>
      <c r="G613" s="1123"/>
      <c r="H613" s="1123"/>
      <c r="I613" s="1123"/>
      <c r="J613" s="1123"/>
      <c r="K613" s="1123"/>
      <c r="L613" s="1123"/>
      <c r="M613" s="1123"/>
      <c r="N613" s="1123"/>
      <c r="V613" s="1224"/>
    </row>
    <row r="614" spans="1:22">
      <c r="A614" s="1289"/>
      <c r="B614" s="1123"/>
      <c r="C614" s="1123"/>
      <c r="D614" s="1123"/>
      <c r="E614" s="1123"/>
      <c r="G614" s="1123"/>
      <c r="H614" s="1123"/>
      <c r="I614" s="1123"/>
      <c r="J614" s="1123"/>
      <c r="K614" s="1123"/>
      <c r="L614" s="1123"/>
      <c r="M614" s="1123"/>
      <c r="N614" s="1123"/>
      <c r="V614" s="1224"/>
    </row>
    <row r="615" spans="1:22">
      <c r="A615" s="1289"/>
      <c r="B615" s="1123"/>
      <c r="C615" s="1123"/>
      <c r="D615" s="1123"/>
      <c r="E615" s="1123"/>
      <c r="G615" s="1123"/>
      <c r="H615" s="1123"/>
      <c r="I615" s="1123"/>
      <c r="J615" s="1123"/>
      <c r="K615" s="1123"/>
      <c r="L615" s="1123"/>
      <c r="M615" s="1123"/>
      <c r="N615" s="1123"/>
      <c r="V615" s="1224"/>
    </row>
    <row r="616" spans="1:22">
      <c r="A616" s="1289"/>
      <c r="B616" s="1123"/>
      <c r="C616" s="1123"/>
      <c r="D616" s="1123"/>
      <c r="E616" s="1123"/>
      <c r="G616" s="1123"/>
      <c r="H616" s="1123"/>
      <c r="I616" s="1123"/>
      <c r="J616" s="1123"/>
      <c r="K616" s="1123"/>
      <c r="L616" s="1123"/>
      <c r="M616" s="1123"/>
      <c r="N616" s="1123"/>
      <c r="V616" s="1224"/>
    </row>
    <row r="617" spans="1:22">
      <c r="A617" s="1289"/>
      <c r="B617" s="1123"/>
      <c r="C617" s="1123"/>
      <c r="D617" s="1123"/>
      <c r="E617" s="1123"/>
      <c r="G617" s="1123"/>
      <c r="H617" s="1123"/>
      <c r="I617" s="1123"/>
      <c r="J617" s="1123"/>
      <c r="K617" s="1123"/>
      <c r="L617" s="1123"/>
      <c r="M617" s="1123"/>
      <c r="N617" s="1123"/>
      <c r="V617" s="1224"/>
    </row>
    <row r="618" spans="1:22">
      <c r="A618" s="1289"/>
      <c r="B618" s="1123"/>
      <c r="C618" s="1123"/>
      <c r="D618" s="1123"/>
      <c r="E618" s="1123"/>
      <c r="G618" s="1123"/>
      <c r="H618" s="1123"/>
      <c r="I618" s="1123"/>
      <c r="J618" s="1123"/>
      <c r="K618" s="1123"/>
      <c r="L618" s="1123"/>
      <c r="M618" s="1123"/>
      <c r="N618" s="1123"/>
      <c r="V618" s="1224"/>
    </row>
    <row r="619" spans="1:22">
      <c r="A619" s="1289"/>
      <c r="B619" s="1123"/>
      <c r="C619" s="1123"/>
      <c r="D619" s="1123"/>
      <c r="E619" s="1123"/>
      <c r="G619" s="1123"/>
      <c r="H619" s="1123"/>
      <c r="I619" s="1123"/>
      <c r="J619" s="1123"/>
      <c r="K619" s="1123"/>
      <c r="L619" s="1123"/>
      <c r="M619" s="1123"/>
      <c r="N619" s="1123"/>
      <c r="V619" s="1224"/>
    </row>
    <row r="620" spans="1:22">
      <c r="A620" s="1289"/>
      <c r="B620" s="1123"/>
      <c r="C620" s="1123"/>
      <c r="D620" s="1123"/>
      <c r="E620" s="1123"/>
      <c r="G620" s="1123"/>
      <c r="H620" s="1123"/>
      <c r="I620" s="1123"/>
      <c r="J620" s="1123"/>
      <c r="K620" s="1123"/>
      <c r="L620" s="1123"/>
      <c r="M620" s="1123"/>
      <c r="N620" s="1123"/>
      <c r="V620" s="1224"/>
    </row>
    <row r="621" spans="1:22">
      <c r="A621" s="1289"/>
      <c r="B621" s="1123"/>
      <c r="C621" s="1123"/>
      <c r="D621" s="1123"/>
      <c r="E621" s="1123"/>
      <c r="G621" s="1123"/>
      <c r="H621" s="1123"/>
      <c r="I621" s="1123"/>
      <c r="J621" s="1123"/>
      <c r="K621" s="1123"/>
      <c r="L621" s="1123"/>
      <c r="M621" s="1123"/>
      <c r="N621" s="1123"/>
      <c r="V621" s="1224"/>
    </row>
    <row r="622" spans="1:22">
      <c r="A622" s="1289"/>
      <c r="B622" s="1123"/>
      <c r="C622" s="1123"/>
      <c r="D622" s="1123"/>
      <c r="E622" s="1123"/>
      <c r="G622" s="1123"/>
      <c r="H622" s="1123"/>
      <c r="I622" s="1123"/>
      <c r="J622" s="1123"/>
      <c r="K622" s="1123"/>
      <c r="L622" s="1123"/>
      <c r="M622" s="1123"/>
      <c r="N622" s="1123"/>
      <c r="V622" s="1224"/>
    </row>
    <row r="623" spans="1:22">
      <c r="A623" s="1289"/>
      <c r="B623" s="1123"/>
      <c r="C623" s="1123"/>
      <c r="D623" s="1123"/>
      <c r="E623" s="1123"/>
      <c r="G623" s="1123"/>
      <c r="H623" s="1123"/>
      <c r="I623" s="1123"/>
      <c r="J623" s="1123"/>
      <c r="K623" s="1123"/>
      <c r="L623" s="1123"/>
      <c r="M623" s="1123"/>
      <c r="N623" s="1123"/>
      <c r="V623" s="1224"/>
    </row>
    <row r="624" spans="1:22">
      <c r="A624" s="1289"/>
      <c r="B624" s="1123"/>
      <c r="C624" s="1123"/>
      <c r="D624" s="1123"/>
      <c r="E624" s="1123"/>
      <c r="G624" s="1123"/>
      <c r="H624" s="1123"/>
      <c r="I624" s="1123"/>
      <c r="J624" s="1123"/>
      <c r="K624" s="1123"/>
      <c r="L624" s="1123"/>
      <c r="M624" s="1123"/>
      <c r="N624" s="1123"/>
      <c r="V624" s="1224"/>
    </row>
    <row r="625" spans="1:22">
      <c r="A625" s="1289"/>
      <c r="B625" s="1123"/>
      <c r="C625" s="1123"/>
      <c r="D625" s="1123"/>
      <c r="E625" s="1123"/>
      <c r="G625" s="1123"/>
      <c r="H625" s="1123"/>
      <c r="I625" s="1123"/>
      <c r="J625" s="1123"/>
      <c r="K625" s="1123"/>
      <c r="L625" s="1123"/>
      <c r="M625" s="1123"/>
      <c r="N625" s="1123"/>
      <c r="V625" s="1224"/>
    </row>
    <row r="626" spans="1:22">
      <c r="A626" s="1289"/>
      <c r="B626" s="1123"/>
      <c r="C626" s="1123"/>
      <c r="D626" s="1123"/>
      <c r="E626" s="1123"/>
      <c r="G626" s="1123"/>
      <c r="H626" s="1123"/>
      <c r="I626" s="1123"/>
      <c r="J626" s="1123"/>
      <c r="K626" s="1123"/>
      <c r="L626" s="1123"/>
      <c r="M626" s="1123"/>
      <c r="N626" s="1123"/>
      <c r="V626" s="1224"/>
    </row>
    <row r="627" spans="1:22">
      <c r="A627" s="1289"/>
      <c r="B627" s="1123"/>
      <c r="C627" s="1123"/>
      <c r="D627" s="1123"/>
      <c r="E627" s="1123"/>
      <c r="G627" s="1123"/>
      <c r="H627" s="1123"/>
      <c r="I627" s="1123"/>
      <c r="J627" s="1123"/>
      <c r="K627" s="1123"/>
      <c r="L627" s="1123"/>
      <c r="M627" s="1123"/>
      <c r="N627" s="1123"/>
      <c r="V627" s="1224"/>
    </row>
    <row r="628" spans="1:22">
      <c r="A628" s="1289"/>
      <c r="B628" s="1123"/>
      <c r="C628" s="1123"/>
      <c r="D628" s="1123"/>
      <c r="E628" s="1123"/>
      <c r="G628" s="1123"/>
      <c r="H628" s="1123"/>
      <c r="I628" s="1123"/>
      <c r="J628" s="1123"/>
      <c r="K628" s="1123"/>
      <c r="L628" s="1123"/>
      <c r="M628" s="1123"/>
      <c r="N628" s="1123"/>
      <c r="V628" s="1224"/>
    </row>
    <row r="629" spans="1:22">
      <c r="A629" s="1289"/>
      <c r="B629" s="1123"/>
      <c r="C629" s="1123"/>
      <c r="D629" s="1123"/>
      <c r="E629" s="1123"/>
      <c r="G629" s="1123"/>
      <c r="H629" s="1123"/>
      <c r="I629" s="1123"/>
      <c r="J629" s="1123"/>
      <c r="K629" s="1123"/>
      <c r="L629" s="1123"/>
      <c r="M629" s="1123"/>
      <c r="N629" s="1123"/>
      <c r="V629" s="1224"/>
    </row>
    <row r="630" spans="1:22">
      <c r="A630" s="1289"/>
      <c r="B630" s="1123"/>
      <c r="C630" s="1123"/>
      <c r="D630" s="1123"/>
      <c r="E630" s="1123"/>
      <c r="G630" s="1123"/>
      <c r="H630" s="1123"/>
      <c r="I630" s="1123"/>
      <c r="J630" s="1123"/>
      <c r="K630" s="1123"/>
      <c r="L630" s="1123"/>
      <c r="M630" s="1123"/>
      <c r="N630" s="1123"/>
      <c r="V630" s="1224"/>
    </row>
    <row r="631" spans="1:22">
      <c r="A631" s="1289"/>
      <c r="B631" s="1123"/>
      <c r="C631" s="1123"/>
      <c r="D631" s="1123"/>
      <c r="E631" s="1123"/>
      <c r="G631" s="1123"/>
      <c r="H631" s="1123"/>
      <c r="I631" s="1123"/>
      <c r="J631" s="1123"/>
      <c r="K631" s="1123"/>
      <c r="L631" s="1123"/>
      <c r="M631" s="1123"/>
      <c r="N631" s="1123"/>
      <c r="V631" s="1224"/>
    </row>
    <row r="632" spans="1:22">
      <c r="A632" s="1289"/>
      <c r="B632" s="1123"/>
      <c r="C632" s="1123"/>
      <c r="D632" s="1123"/>
      <c r="E632" s="1123"/>
      <c r="G632" s="1123"/>
      <c r="H632" s="1123"/>
      <c r="I632" s="1123"/>
      <c r="J632" s="1123"/>
      <c r="K632" s="1123"/>
      <c r="L632" s="1123"/>
      <c r="M632" s="1123"/>
      <c r="N632" s="1123"/>
      <c r="V632" s="1224"/>
    </row>
    <row r="633" spans="1:22">
      <c r="A633" s="1289"/>
      <c r="B633" s="1123"/>
      <c r="C633" s="1123"/>
      <c r="D633" s="1123"/>
      <c r="E633" s="1123"/>
      <c r="G633" s="1123"/>
      <c r="H633" s="1123"/>
      <c r="I633" s="1123"/>
      <c r="J633" s="1123"/>
      <c r="K633" s="1123"/>
      <c r="L633" s="1123"/>
      <c r="M633" s="1123"/>
      <c r="N633" s="1123"/>
      <c r="V633" s="1224"/>
    </row>
    <row r="634" spans="1:22">
      <c r="A634" s="1289"/>
      <c r="B634" s="1123"/>
      <c r="C634" s="1123"/>
      <c r="D634" s="1123"/>
      <c r="E634" s="1123"/>
      <c r="G634" s="1123"/>
      <c r="H634" s="1123"/>
      <c r="I634" s="1123"/>
      <c r="J634" s="1123"/>
      <c r="K634" s="1123"/>
      <c r="L634" s="1123"/>
      <c r="M634" s="1123"/>
      <c r="N634" s="1123"/>
      <c r="V634" s="1224"/>
    </row>
    <row r="635" spans="1:22">
      <c r="A635" s="1289"/>
      <c r="B635" s="1123"/>
      <c r="C635" s="1123"/>
      <c r="D635" s="1123"/>
      <c r="E635" s="1123"/>
      <c r="G635" s="1123"/>
      <c r="H635" s="1123"/>
      <c r="I635" s="1123"/>
      <c r="J635" s="1123"/>
      <c r="K635" s="1123"/>
      <c r="L635" s="1123"/>
      <c r="M635" s="1123"/>
      <c r="N635" s="1123"/>
      <c r="V635" s="1224"/>
    </row>
    <row r="636" spans="1:22">
      <c r="A636" s="1289"/>
      <c r="B636" s="1123"/>
      <c r="C636" s="1123"/>
      <c r="D636" s="1123"/>
      <c r="E636" s="1123"/>
      <c r="G636" s="1123"/>
      <c r="H636" s="1123"/>
      <c r="I636" s="1123"/>
      <c r="J636" s="1123"/>
      <c r="K636" s="1123"/>
      <c r="L636" s="1123"/>
      <c r="M636" s="1123"/>
      <c r="N636" s="1123"/>
      <c r="V636" s="1224"/>
    </row>
    <row r="637" spans="1:22">
      <c r="A637" s="1289"/>
      <c r="B637" s="1123"/>
      <c r="C637" s="1123"/>
      <c r="D637" s="1123"/>
      <c r="E637" s="1123"/>
      <c r="G637" s="1123"/>
      <c r="H637" s="1123"/>
      <c r="I637" s="1123"/>
      <c r="J637" s="1123"/>
      <c r="K637" s="1123"/>
      <c r="L637" s="1123"/>
      <c r="M637" s="1123"/>
      <c r="N637" s="1123"/>
      <c r="V637" s="1224"/>
    </row>
    <row r="638" spans="1:22">
      <c r="A638" s="1289"/>
      <c r="B638" s="1123"/>
      <c r="C638" s="1123"/>
      <c r="D638" s="1123"/>
      <c r="E638" s="1123"/>
      <c r="G638" s="1123"/>
      <c r="H638" s="1123"/>
      <c r="I638" s="1123"/>
      <c r="J638" s="1123"/>
      <c r="K638" s="1123"/>
      <c r="L638" s="1123"/>
      <c r="M638" s="1123"/>
      <c r="N638" s="1123"/>
      <c r="V638" s="1224"/>
    </row>
    <row r="639" spans="1:22">
      <c r="A639" s="1289"/>
      <c r="B639" s="1123"/>
      <c r="C639" s="1123"/>
      <c r="D639" s="1123"/>
      <c r="E639" s="1123"/>
      <c r="G639" s="1123"/>
      <c r="H639" s="1123"/>
      <c r="I639" s="1123"/>
      <c r="J639" s="1123"/>
      <c r="K639" s="1123"/>
      <c r="L639" s="1123"/>
      <c r="M639" s="1123"/>
      <c r="N639" s="1123"/>
      <c r="V639" s="1224"/>
    </row>
    <row r="640" spans="1:22">
      <c r="A640" s="1289"/>
      <c r="B640" s="1123"/>
      <c r="C640" s="1123"/>
      <c r="D640" s="1123"/>
      <c r="E640" s="1123"/>
      <c r="G640" s="1123"/>
      <c r="H640" s="1123"/>
      <c r="I640" s="1123"/>
      <c r="J640" s="1123"/>
      <c r="K640" s="1123"/>
      <c r="L640" s="1123"/>
      <c r="M640" s="1123"/>
      <c r="N640" s="1123"/>
      <c r="V640" s="1224"/>
    </row>
    <row r="641" spans="1:22">
      <c r="A641" s="1289"/>
      <c r="B641" s="1123"/>
      <c r="C641" s="1123"/>
      <c r="D641" s="1123"/>
      <c r="E641" s="1123"/>
      <c r="G641" s="1123"/>
      <c r="H641" s="1123"/>
      <c r="I641" s="1123"/>
      <c r="J641" s="1123"/>
      <c r="K641" s="1123"/>
      <c r="L641" s="1123"/>
      <c r="M641" s="1123"/>
      <c r="N641" s="1123"/>
      <c r="V641" s="1224"/>
    </row>
    <row r="642" spans="1:22">
      <c r="A642" s="1289"/>
      <c r="B642" s="1123"/>
      <c r="C642" s="1123"/>
      <c r="D642" s="1123"/>
      <c r="E642" s="1123"/>
      <c r="G642" s="1123"/>
      <c r="H642" s="1123"/>
      <c r="I642" s="1123"/>
      <c r="J642" s="1123"/>
      <c r="K642" s="1123"/>
      <c r="L642" s="1123"/>
      <c r="M642" s="1123"/>
      <c r="N642" s="1123"/>
      <c r="V642" s="1224"/>
    </row>
    <row r="643" spans="1:22">
      <c r="A643" s="1289"/>
      <c r="B643" s="1123"/>
      <c r="C643" s="1123"/>
      <c r="D643" s="1123"/>
      <c r="E643" s="1123"/>
      <c r="G643" s="1123"/>
      <c r="H643" s="1123"/>
      <c r="I643" s="1123"/>
      <c r="J643" s="1123"/>
      <c r="K643" s="1123"/>
      <c r="L643" s="1123"/>
      <c r="M643" s="1123"/>
      <c r="N643" s="1123"/>
      <c r="V643" s="1224"/>
    </row>
    <row r="644" spans="1:22">
      <c r="A644" s="1289"/>
      <c r="B644" s="1123"/>
      <c r="C644" s="1123"/>
      <c r="D644" s="1123"/>
      <c r="E644" s="1123"/>
      <c r="G644" s="1123"/>
      <c r="H644" s="1123"/>
      <c r="I644" s="1123"/>
      <c r="J644" s="1123"/>
      <c r="K644" s="1123"/>
      <c r="L644" s="1123"/>
      <c r="M644" s="1123"/>
      <c r="N644" s="1123"/>
      <c r="V644" s="1224"/>
    </row>
    <row r="645" spans="1:22">
      <c r="A645" s="1289"/>
      <c r="B645" s="1123"/>
      <c r="C645" s="1123"/>
      <c r="D645" s="1123"/>
      <c r="E645" s="1123"/>
      <c r="G645" s="1123"/>
      <c r="H645" s="1123"/>
      <c r="I645" s="1123"/>
      <c r="J645" s="1123"/>
      <c r="K645" s="1123"/>
      <c r="L645" s="1123"/>
      <c r="M645" s="1123"/>
      <c r="N645" s="1123"/>
      <c r="V645" s="1224"/>
    </row>
    <row r="646" spans="1:22">
      <c r="A646" s="1289"/>
      <c r="B646" s="1123"/>
      <c r="C646" s="1123"/>
      <c r="D646" s="1123"/>
      <c r="E646" s="1123"/>
      <c r="G646" s="1123"/>
      <c r="H646" s="1123"/>
      <c r="I646" s="1123"/>
      <c r="J646" s="1123"/>
      <c r="K646" s="1123"/>
      <c r="L646" s="1123"/>
      <c r="M646" s="1123"/>
      <c r="N646" s="1123"/>
      <c r="V646" s="1224"/>
    </row>
    <row r="647" spans="1:22">
      <c r="A647" s="1289"/>
      <c r="B647" s="1123"/>
      <c r="C647" s="1123"/>
      <c r="D647" s="1123"/>
      <c r="E647" s="1123"/>
      <c r="G647" s="1123"/>
      <c r="H647" s="1123"/>
      <c r="I647" s="1123"/>
      <c r="J647" s="1123"/>
      <c r="K647" s="1123"/>
      <c r="L647" s="1123"/>
      <c r="M647" s="1123"/>
      <c r="N647" s="1123"/>
      <c r="V647" s="1224"/>
    </row>
    <row r="648" spans="1:22">
      <c r="A648" s="1289"/>
      <c r="B648" s="1123"/>
      <c r="C648" s="1123"/>
      <c r="D648" s="1123"/>
      <c r="E648" s="1123"/>
      <c r="G648" s="1123"/>
      <c r="H648" s="1123"/>
      <c r="I648" s="1123"/>
      <c r="J648" s="1123"/>
      <c r="K648" s="1123"/>
      <c r="L648" s="1123"/>
      <c r="M648" s="1123"/>
      <c r="N648" s="1123"/>
      <c r="V648" s="1224"/>
    </row>
    <row r="649" spans="1:22">
      <c r="A649" s="1289"/>
      <c r="B649" s="1123"/>
      <c r="C649" s="1123"/>
      <c r="D649" s="1123"/>
      <c r="E649" s="1123"/>
      <c r="G649" s="1123"/>
      <c r="H649" s="1123"/>
      <c r="I649" s="1123"/>
      <c r="J649" s="1123"/>
      <c r="K649" s="1123"/>
      <c r="L649" s="1123"/>
      <c r="M649" s="1123"/>
      <c r="N649" s="1123"/>
      <c r="V649" s="1224"/>
    </row>
    <row r="650" spans="1:22">
      <c r="A650" s="1289"/>
      <c r="B650" s="1123"/>
      <c r="C650" s="1123"/>
      <c r="D650" s="1123"/>
      <c r="E650" s="1123"/>
      <c r="G650" s="1123"/>
      <c r="H650" s="1123"/>
      <c r="I650" s="1123"/>
      <c r="J650" s="1123"/>
      <c r="K650" s="1123"/>
      <c r="L650" s="1123"/>
      <c r="M650" s="1123"/>
      <c r="N650" s="1123"/>
      <c r="V650" s="1224"/>
    </row>
    <row r="651" spans="1:22">
      <c r="A651" s="1289"/>
      <c r="B651" s="1123"/>
      <c r="C651" s="1123"/>
      <c r="D651" s="1123"/>
      <c r="E651" s="1123"/>
      <c r="G651" s="1123"/>
      <c r="H651" s="1123"/>
      <c r="I651" s="1123"/>
      <c r="J651" s="1123"/>
      <c r="K651" s="1123"/>
      <c r="L651" s="1123"/>
      <c r="M651" s="1123"/>
      <c r="N651" s="1123"/>
      <c r="V651" s="1224"/>
    </row>
    <row r="652" spans="1:22">
      <c r="A652" s="1289"/>
      <c r="B652" s="1123"/>
      <c r="C652" s="1123"/>
      <c r="D652" s="1123"/>
      <c r="E652" s="1123"/>
      <c r="G652" s="1123"/>
      <c r="H652" s="1123"/>
      <c r="I652" s="1123"/>
      <c r="J652" s="1123"/>
      <c r="K652" s="1123"/>
      <c r="L652" s="1123"/>
      <c r="M652" s="1123"/>
      <c r="N652" s="1123"/>
      <c r="V652" s="1224"/>
    </row>
    <row r="653" spans="1:22">
      <c r="A653" s="1289"/>
      <c r="B653" s="1123"/>
      <c r="C653" s="1123"/>
      <c r="D653" s="1123"/>
      <c r="E653" s="1123"/>
      <c r="G653" s="1123"/>
      <c r="H653" s="1123"/>
      <c r="I653" s="1123"/>
      <c r="J653" s="1123"/>
      <c r="K653" s="1123"/>
      <c r="L653" s="1123"/>
      <c r="M653" s="1123"/>
      <c r="N653" s="1123"/>
      <c r="V653" s="1224"/>
    </row>
    <row r="654" spans="1:22">
      <c r="A654" s="1289"/>
      <c r="B654" s="1123"/>
      <c r="C654" s="1123"/>
      <c r="D654" s="1123"/>
      <c r="E654" s="1123"/>
      <c r="G654" s="1123"/>
      <c r="H654" s="1123"/>
      <c r="I654" s="1123"/>
      <c r="J654" s="1123"/>
      <c r="K654" s="1123"/>
      <c r="L654" s="1123"/>
      <c r="M654" s="1123"/>
      <c r="N654" s="1123"/>
      <c r="V654" s="1224"/>
    </row>
    <row r="655" spans="1:22">
      <c r="A655" s="1289"/>
      <c r="B655" s="1123"/>
      <c r="C655" s="1123"/>
      <c r="D655" s="1123"/>
      <c r="E655" s="1123"/>
      <c r="G655" s="1123"/>
      <c r="H655" s="1123"/>
      <c r="I655" s="1123"/>
      <c r="J655" s="1123"/>
      <c r="K655" s="1123"/>
      <c r="L655" s="1123"/>
      <c r="M655" s="1123"/>
      <c r="N655" s="1123"/>
      <c r="V655" s="1224"/>
    </row>
    <row r="656" spans="1:22">
      <c r="A656" s="1289"/>
      <c r="B656" s="1123"/>
      <c r="C656" s="1123"/>
      <c r="D656" s="1123"/>
      <c r="E656" s="1123"/>
      <c r="G656" s="1123"/>
      <c r="H656" s="1123"/>
      <c r="I656" s="1123"/>
      <c r="J656" s="1123"/>
      <c r="K656" s="1123"/>
      <c r="L656" s="1123"/>
      <c r="M656" s="1123"/>
      <c r="N656" s="1123"/>
      <c r="V656" s="1224"/>
    </row>
    <row r="657" spans="1:22">
      <c r="A657" s="1289"/>
      <c r="B657" s="1123"/>
      <c r="C657" s="1123"/>
      <c r="D657" s="1123"/>
      <c r="E657" s="1123"/>
      <c r="G657" s="1123"/>
      <c r="H657" s="1123"/>
      <c r="I657" s="1123"/>
      <c r="J657" s="1123"/>
      <c r="K657" s="1123"/>
      <c r="L657" s="1123"/>
      <c r="M657" s="1123"/>
      <c r="N657" s="1123"/>
      <c r="V657" s="1224"/>
    </row>
    <row r="658" spans="1:22">
      <c r="A658" s="1289"/>
      <c r="B658" s="1123"/>
      <c r="C658" s="1123"/>
      <c r="D658" s="1123"/>
      <c r="E658" s="1123"/>
      <c r="G658" s="1123"/>
      <c r="H658" s="1123"/>
      <c r="I658" s="1123"/>
      <c r="J658" s="1123"/>
      <c r="K658" s="1123"/>
      <c r="L658" s="1123"/>
      <c r="M658" s="1123"/>
      <c r="N658" s="1123"/>
      <c r="V658" s="1224"/>
    </row>
    <row r="659" spans="1:22">
      <c r="A659" s="1289"/>
      <c r="B659" s="1123"/>
      <c r="C659" s="1123"/>
      <c r="D659" s="1123"/>
      <c r="E659" s="1123"/>
      <c r="G659" s="1123"/>
      <c r="H659" s="1123"/>
      <c r="I659" s="1123"/>
      <c r="J659" s="1123"/>
      <c r="K659" s="1123"/>
      <c r="L659" s="1123"/>
      <c r="M659" s="1123"/>
      <c r="N659" s="1123"/>
      <c r="V659" s="1224"/>
    </row>
    <row r="660" spans="1:22">
      <c r="A660" s="1289"/>
      <c r="B660" s="1123"/>
      <c r="C660" s="1123"/>
      <c r="D660" s="1123"/>
      <c r="E660" s="1123"/>
      <c r="G660" s="1123"/>
      <c r="H660" s="1123"/>
      <c r="I660" s="1123"/>
      <c r="J660" s="1123"/>
      <c r="K660" s="1123"/>
      <c r="L660" s="1123"/>
      <c r="M660" s="1123"/>
      <c r="N660" s="1123"/>
      <c r="V660" s="1224"/>
    </row>
    <row r="661" spans="1:22">
      <c r="A661" s="1289"/>
      <c r="B661" s="1123"/>
      <c r="C661" s="1123"/>
      <c r="D661" s="1123"/>
      <c r="E661" s="1123"/>
      <c r="G661" s="1123"/>
      <c r="H661" s="1123"/>
      <c r="I661" s="1123"/>
      <c r="J661" s="1123"/>
      <c r="K661" s="1123"/>
      <c r="L661" s="1123"/>
      <c r="M661" s="1123"/>
      <c r="N661" s="1123"/>
      <c r="V661" s="1224"/>
    </row>
    <row r="662" spans="1:22">
      <c r="A662" s="1289"/>
      <c r="B662" s="1123"/>
      <c r="C662" s="1123"/>
      <c r="D662" s="1123"/>
      <c r="E662" s="1123"/>
      <c r="G662" s="1123"/>
      <c r="H662" s="1123"/>
      <c r="I662" s="1123"/>
      <c r="J662" s="1123"/>
      <c r="K662" s="1123"/>
      <c r="L662" s="1123"/>
      <c r="M662" s="1123"/>
      <c r="N662" s="1123"/>
      <c r="V662" s="1224"/>
    </row>
    <row r="663" spans="1:22">
      <c r="A663" s="1289"/>
      <c r="B663" s="1123"/>
      <c r="C663" s="1123"/>
      <c r="D663" s="1123"/>
      <c r="E663" s="1123"/>
      <c r="G663" s="1123"/>
      <c r="H663" s="1123"/>
      <c r="I663" s="1123"/>
      <c r="J663" s="1123"/>
      <c r="K663" s="1123"/>
      <c r="L663" s="1123"/>
      <c r="M663" s="1123"/>
      <c r="N663" s="1123"/>
      <c r="V663" s="1224"/>
    </row>
    <row r="664" spans="1:22">
      <c r="A664" s="1289"/>
      <c r="B664" s="1123"/>
      <c r="C664" s="1123"/>
      <c r="D664" s="1123"/>
      <c r="E664" s="1123"/>
      <c r="G664" s="1123"/>
      <c r="H664" s="1123"/>
      <c r="I664" s="1123"/>
      <c r="J664" s="1123"/>
      <c r="K664" s="1123"/>
      <c r="L664" s="1123"/>
      <c r="M664" s="1123"/>
      <c r="N664" s="1123"/>
      <c r="V664" s="1224"/>
    </row>
    <row r="665" spans="1:22">
      <c r="A665" s="1289"/>
      <c r="B665" s="1123"/>
      <c r="C665" s="1123"/>
      <c r="D665" s="1123"/>
      <c r="E665" s="1123"/>
      <c r="G665" s="1123"/>
      <c r="H665" s="1123"/>
      <c r="I665" s="1123"/>
      <c r="J665" s="1123"/>
      <c r="K665" s="1123"/>
      <c r="L665" s="1123"/>
      <c r="M665" s="1123"/>
      <c r="N665" s="1123"/>
      <c r="V665" s="1224"/>
    </row>
    <row r="666" spans="1:22">
      <c r="A666" s="1289"/>
      <c r="B666" s="1123"/>
      <c r="C666" s="1123"/>
      <c r="D666" s="1123"/>
      <c r="E666" s="1123"/>
      <c r="G666" s="1123"/>
      <c r="H666" s="1123"/>
      <c r="I666" s="1123"/>
      <c r="J666" s="1123"/>
      <c r="K666" s="1123"/>
      <c r="L666" s="1123"/>
      <c r="M666" s="1123"/>
      <c r="N666" s="1123"/>
      <c r="V666" s="1224"/>
    </row>
    <row r="667" spans="1:22">
      <c r="A667" s="1289"/>
      <c r="B667" s="1123"/>
      <c r="C667" s="1123"/>
      <c r="D667" s="1123"/>
      <c r="E667" s="1123"/>
      <c r="G667" s="1123"/>
      <c r="H667" s="1123"/>
      <c r="I667" s="1123"/>
      <c r="J667" s="1123"/>
      <c r="K667" s="1123"/>
      <c r="L667" s="1123"/>
      <c r="M667" s="1123"/>
      <c r="N667" s="1123"/>
      <c r="V667" s="1224"/>
    </row>
    <row r="668" spans="1:22">
      <c r="A668" s="1289"/>
      <c r="B668" s="1123"/>
      <c r="C668" s="1123"/>
      <c r="D668" s="1123"/>
      <c r="E668" s="1123"/>
      <c r="G668" s="1123"/>
      <c r="H668" s="1123"/>
      <c r="I668" s="1123"/>
      <c r="J668" s="1123"/>
      <c r="K668" s="1123"/>
      <c r="L668" s="1123"/>
      <c r="M668" s="1123"/>
      <c r="N668" s="1123"/>
      <c r="V668" s="1224"/>
    </row>
    <row r="669" spans="1:22">
      <c r="A669" s="1289"/>
      <c r="B669" s="1123"/>
      <c r="C669" s="1123"/>
      <c r="D669" s="1123"/>
      <c r="E669" s="1123"/>
      <c r="G669" s="1123"/>
      <c r="H669" s="1123"/>
      <c r="I669" s="1123"/>
      <c r="J669" s="1123"/>
      <c r="K669" s="1123"/>
      <c r="L669" s="1123"/>
      <c r="M669" s="1123"/>
      <c r="N669" s="1123"/>
      <c r="V669" s="1224"/>
    </row>
    <row r="670" spans="1:22">
      <c r="A670" s="1289"/>
      <c r="B670" s="1123"/>
      <c r="C670" s="1123"/>
      <c r="D670" s="1123"/>
      <c r="E670" s="1123"/>
      <c r="G670" s="1123"/>
      <c r="H670" s="1123"/>
      <c r="I670" s="1123"/>
      <c r="J670" s="1123"/>
      <c r="K670" s="1123"/>
      <c r="L670" s="1123"/>
      <c r="M670" s="1123"/>
      <c r="N670" s="1123"/>
      <c r="V670" s="1224"/>
    </row>
    <row r="671" spans="1:22">
      <c r="A671" s="1289"/>
      <c r="B671" s="1123"/>
      <c r="C671" s="1123"/>
      <c r="D671" s="1123"/>
      <c r="E671" s="1123"/>
      <c r="G671" s="1123"/>
      <c r="H671" s="1123"/>
      <c r="I671" s="1123"/>
      <c r="J671" s="1123"/>
      <c r="K671" s="1123"/>
      <c r="L671" s="1123"/>
      <c r="M671" s="1123"/>
      <c r="N671" s="1123"/>
      <c r="V671" s="1224"/>
    </row>
    <row r="672" spans="1:22">
      <c r="A672" s="1289"/>
      <c r="B672" s="1123"/>
      <c r="C672" s="1123"/>
      <c r="D672" s="1123"/>
      <c r="E672" s="1123"/>
      <c r="G672" s="1123"/>
      <c r="H672" s="1123"/>
      <c r="I672" s="1123"/>
      <c r="J672" s="1123"/>
      <c r="K672" s="1123"/>
      <c r="L672" s="1123"/>
      <c r="M672" s="1123"/>
      <c r="N672" s="1123"/>
      <c r="V672" s="1224"/>
    </row>
    <row r="673" spans="1:22">
      <c r="A673" s="1289"/>
      <c r="B673" s="1123"/>
      <c r="C673" s="1123"/>
      <c r="D673" s="1123"/>
      <c r="E673" s="1123"/>
      <c r="G673" s="1123"/>
      <c r="H673" s="1123"/>
      <c r="I673" s="1123"/>
      <c r="J673" s="1123"/>
      <c r="K673" s="1123"/>
      <c r="L673" s="1123"/>
      <c r="M673" s="1123"/>
      <c r="N673" s="1123"/>
      <c r="V673" s="1224"/>
    </row>
    <row r="674" spans="1:22">
      <c r="A674" s="1289"/>
      <c r="B674" s="1123"/>
      <c r="C674" s="1123"/>
      <c r="D674" s="1123"/>
      <c r="E674" s="1123"/>
      <c r="G674" s="1123"/>
      <c r="H674" s="1123"/>
      <c r="I674" s="1123"/>
      <c r="J674" s="1123"/>
      <c r="K674" s="1123"/>
      <c r="L674" s="1123"/>
      <c r="M674" s="1123"/>
      <c r="N674" s="1123"/>
      <c r="V674" s="1224"/>
    </row>
    <row r="675" spans="1:22">
      <c r="A675" s="1289"/>
      <c r="B675" s="1123"/>
      <c r="C675" s="1123"/>
      <c r="D675" s="1123"/>
      <c r="E675" s="1123"/>
      <c r="G675" s="1123"/>
      <c r="H675" s="1123"/>
      <c r="I675" s="1123"/>
      <c r="J675" s="1123"/>
      <c r="K675" s="1123"/>
      <c r="L675" s="1123"/>
      <c r="M675" s="1123"/>
      <c r="N675" s="1123"/>
      <c r="V675" s="1224"/>
    </row>
    <row r="676" spans="1:22">
      <c r="A676" s="1289"/>
      <c r="B676" s="1123"/>
      <c r="C676" s="1123"/>
      <c r="D676" s="1123"/>
      <c r="E676" s="1123"/>
      <c r="G676" s="1123"/>
      <c r="H676" s="1123"/>
      <c r="I676" s="1123"/>
      <c r="J676" s="1123"/>
      <c r="K676" s="1123"/>
      <c r="L676" s="1123"/>
      <c r="M676" s="1123"/>
      <c r="N676" s="1123"/>
      <c r="V676" s="1224"/>
    </row>
    <row r="677" spans="1:22">
      <c r="A677" s="1289"/>
      <c r="B677" s="1123"/>
      <c r="C677" s="1123"/>
      <c r="D677" s="1123"/>
      <c r="E677" s="1123"/>
      <c r="G677" s="1123"/>
      <c r="H677" s="1123"/>
      <c r="I677" s="1123"/>
      <c r="J677" s="1123"/>
      <c r="K677" s="1123"/>
      <c r="L677" s="1123"/>
      <c r="M677" s="1123"/>
      <c r="N677" s="1123"/>
      <c r="V677" s="1224"/>
    </row>
    <row r="678" spans="1:22">
      <c r="A678" s="1289"/>
      <c r="B678" s="1123"/>
      <c r="C678" s="1123"/>
      <c r="D678" s="1123"/>
      <c r="E678" s="1123"/>
      <c r="G678" s="1123"/>
      <c r="H678" s="1123"/>
      <c r="I678" s="1123"/>
      <c r="J678" s="1123"/>
      <c r="K678" s="1123"/>
      <c r="L678" s="1123"/>
      <c r="M678" s="1123"/>
      <c r="N678" s="1123"/>
      <c r="V678" s="1224"/>
    </row>
    <row r="679" spans="1:22">
      <c r="A679" s="1289"/>
      <c r="B679" s="1123"/>
      <c r="C679" s="1123"/>
      <c r="D679" s="1123"/>
      <c r="E679" s="1123"/>
      <c r="G679" s="1123"/>
      <c r="H679" s="1123"/>
      <c r="I679" s="1123"/>
      <c r="J679" s="1123"/>
      <c r="K679" s="1123"/>
      <c r="L679" s="1123"/>
      <c r="M679" s="1123"/>
      <c r="N679" s="1123"/>
      <c r="V679" s="1224"/>
    </row>
    <row r="680" spans="1:22">
      <c r="A680" s="1289"/>
      <c r="B680" s="1123"/>
      <c r="C680" s="1123"/>
      <c r="D680" s="1123"/>
      <c r="E680" s="1123"/>
      <c r="G680" s="1123"/>
      <c r="H680" s="1123"/>
      <c r="I680" s="1123"/>
      <c r="J680" s="1123"/>
      <c r="K680" s="1123"/>
      <c r="L680" s="1123"/>
      <c r="M680" s="1123"/>
      <c r="N680" s="1123"/>
      <c r="V680" s="1224"/>
    </row>
    <row r="681" spans="1:22">
      <c r="A681" s="1289"/>
      <c r="B681" s="1123"/>
      <c r="C681" s="1123"/>
      <c r="D681" s="1123"/>
      <c r="E681" s="1123"/>
      <c r="G681" s="1123"/>
      <c r="H681" s="1123"/>
      <c r="I681" s="1123"/>
      <c r="J681" s="1123"/>
      <c r="K681" s="1123"/>
      <c r="L681" s="1123"/>
      <c r="M681" s="1123"/>
      <c r="N681" s="1123"/>
      <c r="V681" s="1224"/>
    </row>
    <row r="682" spans="1:22">
      <c r="A682" s="1289"/>
      <c r="B682" s="1123"/>
      <c r="C682" s="1123"/>
      <c r="D682" s="1123"/>
      <c r="E682" s="1123"/>
      <c r="G682" s="1123"/>
      <c r="H682" s="1123"/>
      <c r="I682" s="1123"/>
      <c r="J682" s="1123"/>
      <c r="K682" s="1123"/>
      <c r="L682" s="1123"/>
      <c r="M682" s="1123"/>
      <c r="N682" s="1123"/>
      <c r="V682" s="1224"/>
    </row>
    <row r="683" spans="1:22">
      <c r="A683" s="1289"/>
      <c r="B683" s="1123"/>
      <c r="C683" s="1123"/>
      <c r="D683" s="1123"/>
      <c r="E683" s="1123"/>
      <c r="G683" s="1123"/>
      <c r="H683" s="1123"/>
      <c r="I683" s="1123"/>
      <c r="J683" s="1123"/>
      <c r="K683" s="1123"/>
      <c r="L683" s="1123"/>
      <c r="M683" s="1123"/>
      <c r="N683" s="1123"/>
      <c r="V683" s="1224"/>
    </row>
    <row r="684" spans="1:22">
      <c r="A684" s="1289"/>
      <c r="B684" s="1123"/>
      <c r="C684" s="1123"/>
      <c r="D684" s="1123"/>
      <c r="E684" s="1123"/>
      <c r="G684" s="1123"/>
      <c r="H684" s="1123"/>
      <c r="I684" s="1123"/>
      <c r="J684" s="1123"/>
      <c r="K684" s="1123"/>
      <c r="L684" s="1123"/>
      <c r="M684" s="1123"/>
      <c r="N684" s="1123"/>
      <c r="V684" s="1224"/>
    </row>
    <row r="685" spans="1:22">
      <c r="A685" s="1289"/>
      <c r="B685" s="1123"/>
      <c r="C685" s="1123"/>
      <c r="D685" s="1123"/>
      <c r="E685" s="1123"/>
      <c r="G685" s="1123"/>
      <c r="H685" s="1123"/>
      <c r="I685" s="1123"/>
      <c r="J685" s="1123"/>
      <c r="K685" s="1123"/>
      <c r="L685" s="1123"/>
      <c r="M685" s="1123"/>
      <c r="N685" s="1123"/>
      <c r="V685" s="1224"/>
    </row>
    <row r="686" spans="1:22">
      <c r="A686" s="1289"/>
      <c r="B686" s="1123"/>
      <c r="C686" s="1123"/>
      <c r="D686" s="1123"/>
      <c r="E686" s="1123"/>
      <c r="G686" s="1123"/>
      <c r="H686" s="1123"/>
      <c r="I686" s="1123"/>
      <c r="J686" s="1123"/>
      <c r="K686" s="1123"/>
      <c r="L686" s="1123"/>
      <c r="M686" s="1123"/>
      <c r="N686" s="1123"/>
      <c r="V686" s="1224"/>
    </row>
    <row r="687" spans="1:22">
      <c r="A687" s="1289"/>
      <c r="B687" s="1123"/>
      <c r="C687" s="1123"/>
      <c r="D687" s="1123"/>
      <c r="E687" s="1123"/>
      <c r="G687" s="1123"/>
      <c r="H687" s="1123"/>
      <c r="I687" s="1123"/>
      <c r="J687" s="1123"/>
      <c r="K687" s="1123"/>
      <c r="L687" s="1123"/>
      <c r="M687" s="1123"/>
      <c r="N687" s="1123"/>
      <c r="V687" s="1224"/>
    </row>
    <row r="688" spans="1:22">
      <c r="A688" s="1289"/>
      <c r="B688" s="1123"/>
      <c r="C688" s="1123"/>
      <c r="D688" s="1123"/>
      <c r="E688" s="1123"/>
      <c r="G688" s="1123"/>
      <c r="H688" s="1123"/>
      <c r="I688" s="1123"/>
      <c r="J688" s="1123"/>
      <c r="K688" s="1123"/>
      <c r="L688" s="1123"/>
      <c r="M688" s="1123"/>
      <c r="N688" s="1123"/>
      <c r="V688" s="1224"/>
    </row>
    <row r="689" spans="1:22">
      <c r="A689" s="1289"/>
      <c r="B689" s="1123"/>
      <c r="C689" s="1123"/>
      <c r="D689" s="1123"/>
      <c r="E689" s="1123"/>
      <c r="G689" s="1123"/>
      <c r="H689" s="1123"/>
      <c r="I689" s="1123"/>
      <c r="J689" s="1123"/>
      <c r="K689" s="1123"/>
      <c r="L689" s="1123"/>
      <c r="M689" s="1123"/>
      <c r="N689" s="1123"/>
      <c r="V689" s="1224"/>
    </row>
    <row r="690" spans="1:22">
      <c r="A690" s="1289"/>
      <c r="B690" s="1123"/>
      <c r="C690" s="1123"/>
      <c r="D690" s="1123"/>
      <c r="E690" s="1123"/>
      <c r="G690" s="1123"/>
      <c r="H690" s="1123"/>
      <c r="I690" s="1123"/>
      <c r="J690" s="1123"/>
      <c r="K690" s="1123"/>
      <c r="L690" s="1123"/>
      <c r="M690" s="1123"/>
      <c r="N690" s="1123"/>
      <c r="V690" s="1224"/>
    </row>
    <row r="691" spans="1:22">
      <c r="A691" s="1289"/>
      <c r="B691" s="1123"/>
      <c r="C691" s="1123"/>
      <c r="D691" s="1123"/>
      <c r="E691" s="1123"/>
      <c r="G691" s="1123"/>
      <c r="H691" s="1123"/>
      <c r="I691" s="1123"/>
      <c r="J691" s="1123"/>
      <c r="K691" s="1123"/>
      <c r="L691" s="1123"/>
      <c r="M691" s="1123"/>
      <c r="N691" s="1123"/>
      <c r="V691" s="1224"/>
    </row>
    <row r="692" spans="1:22">
      <c r="A692" s="1289"/>
      <c r="B692" s="1123"/>
      <c r="C692" s="1123"/>
      <c r="D692" s="1123"/>
      <c r="E692" s="1123"/>
      <c r="G692" s="1123"/>
      <c r="H692" s="1123"/>
      <c r="I692" s="1123"/>
      <c r="J692" s="1123"/>
      <c r="K692" s="1123"/>
      <c r="L692" s="1123"/>
      <c r="M692" s="1123"/>
      <c r="N692" s="1123"/>
      <c r="V692" s="1224"/>
    </row>
    <row r="693" spans="1:22">
      <c r="A693" s="1289"/>
      <c r="B693" s="1123"/>
      <c r="C693" s="1123"/>
      <c r="D693" s="1123"/>
      <c r="E693" s="1123"/>
      <c r="G693" s="1123"/>
      <c r="H693" s="1123"/>
      <c r="I693" s="1123"/>
      <c r="J693" s="1123"/>
      <c r="K693" s="1123"/>
      <c r="L693" s="1123"/>
      <c r="M693" s="1123"/>
      <c r="N693" s="1123"/>
      <c r="V693" s="1224"/>
    </row>
    <row r="694" spans="1:22">
      <c r="A694" s="1289"/>
      <c r="B694" s="1123"/>
      <c r="C694" s="1123"/>
      <c r="D694" s="1123"/>
      <c r="E694" s="1123"/>
      <c r="G694" s="1123"/>
      <c r="H694" s="1123"/>
      <c r="I694" s="1123"/>
      <c r="J694" s="1123"/>
      <c r="K694" s="1123"/>
      <c r="L694" s="1123"/>
      <c r="M694" s="1123"/>
      <c r="N694" s="1123"/>
      <c r="V694" s="1224"/>
    </row>
    <row r="695" spans="1:22">
      <c r="A695" s="1289"/>
      <c r="B695" s="1123"/>
      <c r="C695" s="1123"/>
      <c r="D695" s="1123"/>
      <c r="E695" s="1123"/>
      <c r="G695" s="1123"/>
      <c r="H695" s="1123"/>
      <c r="I695" s="1123"/>
      <c r="J695" s="1123"/>
      <c r="K695" s="1123"/>
      <c r="L695" s="1123"/>
      <c r="M695" s="1123"/>
      <c r="N695" s="1123"/>
      <c r="V695" s="1224"/>
    </row>
    <row r="696" spans="1:22">
      <c r="A696" s="1289"/>
      <c r="B696" s="1123"/>
      <c r="C696" s="1123"/>
      <c r="D696" s="1123"/>
      <c r="E696" s="1123"/>
      <c r="G696" s="1123"/>
      <c r="H696" s="1123"/>
      <c r="I696" s="1123"/>
      <c r="J696" s="1123"/>
      <c r="K696" s="1123"/>
      <c r="L696" s="1123"/>
      <c r="M696" s="1123"/>
      <c r="N696" s="1123"/>
      <c r="V696" s="1224"/>
    </row>
    <row r="697" spans="1:22">
      <c r="A697" s="1289"/>
      <c r="B697" s="1123"/>
      <c r="C697" s="1123"/>
      <c r="D697" s="1123"/>
      <c r="E697" s="1123"/>
      <c r="G697" s="1123"/>
      <c r="H697" s="1123"/>
      <c r="I697" s="1123"/>
      <c r="J697" s="1123"/>
      <c r="K697" s="1123"/>
      <c r="L697" s="1123"/>
      <c r="M697" s="1123"/>
      <c r="N697" s="1123"/>
      <c r="V697" s="1224"/>
    </row>
    <row r="698" spans="1:22">
      <c r="A698" s="1289"/>
      <c r="B698" s="1123"/>
      <c r="C698" s="1123"/>
      <c r="D698" s="1123"/>
      <c r="E698" s="1123"/>
      <c r="G698" s="1123"/>
      <c r="H698" s="1123"/>
      <c r="I698" s="1123"/>
      <c r="J698" s="1123"/>
      <c r="K698" s="1123"/>
      <c r="L698" s="1123"/>
      <c r="M698" s="1123"/>
      <c r="N698" s="1123"/>
      <c r="V698" s="1224"/>
    </row>
    <row r="699" spans="1:22">
      <c r="A699" s="1289"/>
      <c r="B699" s="1123"/>
      <c r="C699" s="1123"/>
      <c r="D699" s="1123"/>
      <c r="E699" s="1123"/>
      <c r="G699" s="1123"/>
      <c r="H699" s="1123"/>
      <c r="I699" s="1123"/>
      <c r="J699" s="1123"/>
      <c r="K699" s="1123"/>
      <c r="L699" s="1123"/>
      <c r="M699" s="1123"/>
      <c r="N699" s="1123"/>
      <c r="V699" s="1224"/>
    </row>
    <row r="700" spans="1:22">
      <c r="A700" s="1289"/>
      <c r="B700" s="1123"/>
      <c r="C700" s="1123"/>
      <c r="D700" s="1123"/>
      <c r="E700" s="1123"/>
      <c r="G700" s="1123"/>
      <c r="H700" s="1123"/>
      <c r="I700" s="1123"/>
      <c r="J700" s="1123"/>
      <c r="K700" s="1123"/>
      <c r="L700" s="1123"/>
      <c r="M700" s="1123"/>
      <c r="N700" s="1123"/>
      <c r="V700" s="1224"/>
    </row>
    <row r="701" spans="1:22">
      <c r="A701" s="1289"/>
      <c r="B701" s="1123"/>
      <c r="C701" s="1123"/>
      <c r="D701" s="1123"/>
      <c r="E701" s="1123"/>
      <c r="G701" s="1123"/>
      <c r="H701" s="1123"/>
      <c r="I701" s="1123"/>
      <c r="J701" s="1123"/>
      <c r="K701" s="1123"/>
      <c r="L701" s="1123"/>
      <c r="M701" s="1123"/>
      <c r="N701" s="1123"/>
      <c r="V701" s="1224"/>
    </row>
    <row r="702" spans="1:22">
      <c r="A702" s="1289"/>
      <c r="B702" s="1123"/>
      <c r="C702" s="1123"/>
      <c r="D702" s="1123"/>
      <c r="E702" s="1123"/>
      <c r="G702" s="1123"/>
      <c r="H702" s="1123"/>
      <c r="I702" s="1123"/>
      <c r="J702" s="1123"/>
      <c r="K702" s="1123"/>
      <c r="L702" s="1123"/>
      <c r="M702" s="1123"/>
      <c r="N702" s="1123"/>
      <c r="V702" s="1224"/>
    </row>
    <row r="703" spans="1:22">
      <c r="A703" s="1289"/>
      <c r="B703" s="1123"/>
      <c r="C703" s="1123"/>
      <c r="D703" s="1123"/>
      <c r="E703" s="1123"/>
      <c r="G703" s="1123"/>
      <c r="H703" s="1123"/>
      <c r="I703" s="1123"/>
      <c r="J703" s="1123"/>
      <c r="K703" s="1123"/>
      <c r="L703" s="1123"/>
      <c r="M703" s="1123"/>
      <c r="N703" s="1123"/>
      <c r="V703" s="1224"/>
    </row>
    <row r="704" spans="1:22">
      <c r="A704" s="1289"/>
      <c r="B704" s="1123"/>
      <c r="C704" s="1123"/>
      <c r="D704" s="1123"/>
      <c r="E704" s="1123"/>
      <c r="G704" s="1123"/>
      <c r="H704" s="1123"/>
      <c r="I704" s="1123"/>
      <c r="J704" s="1123"/>
      <c r="K704" s="1123"/>
      <c r="L704" s="1123"/>
      <c r="M704" s="1123"/>
      <c r="N704" s="1123"/>
      <c r="V704" s="1224"/>
    </row>
    <row r="705" spans="1:22">
      <c r="A705" s="1289"/>
      <c r="B705" s="1123"/>
      <c r="C705" s="1123"/>
      <c r="D705" s="1123"/>
      <c r="E705" s="1123"/>
      <c r="G705" s="1123"/>
      <c r="H705" s="1123"/>
      <c r="I705" s="1123"/>
      <c r="J705" s="1123"/>
      <c r="K705" s="1123"/>
      <c r="L705" s="1123"/>
      <c r="M705" s="1123"/>
      <c r="N705" s="1123"/>
      <c r="V705" s="1224"/>
    </row>
    <row r="706" spans="1:22">
      <c r="A706" s="1289"/>
      <c r="B706" s="1123"/>
      <c r="C706" s="1123"/>
      <c r="D706" s="1123"/>
      <c r="E706" s="1123"/>
      <c r="G706" s="1123"/>
      <c r="H706" s="1123"/>
      <c r="I706" s="1123"/>
      <c r="J706" s="1123"/>
      <c r="K706" s="1123"/>
      <c r="L706" s="1123"/>
      <c r="M706" s="1123"/>
      <c r="N706" s="1123"/>
      <c r="V706" s="1224"/>
    </row>
    <row r="707" spans="1:22">
      <c r="A707" s="1289"/>
      <c r="B707" s="1123"/>
      <c r="C707" s="1123"/>
      <c r="D707" s="1123"/>
      <c r="E707" s="1123"/>
      <c r="G707" s="1123"/>
      <c r="H707" s="1123"/>
      <c r="I707" s="1123"/>
      <c r="J707" s="1123"/>
      <c r="K707" s="1123"/>
      <c r="L707" s="1123"/>
      <c r="M707" s="1123"/>
      <c r="N707" s="1123"/>
      <c r="V707" s="1224"/>
    </row>
    <row r="708" spans="1:22">
      <c r="A708" s="1289"/>
      <c r="B708" s="1123"/>
      <c r="C708" s="1123"/>
      <c r="D708" s="1123"/>
      <c r="E708" s="1123"/>
      <c r="G708" s="1123"/>
      <c r="H708" s="1123"/>
      <c r="I708" s="1123"/>
      <c r="J708" s="1123"/>
      <c r="K708" s="1123"/>
      <c r="L708" s="1123"/>
      <c r="M708" s="1123"/>
      <c r="N708" s="1123"/>
      <c r="V708" s="1224"/>
    </row>
    <row r="709" spans="1:22">
      <c r="A709" s="1289"/>
      <c r="B709" s="1123"/>
      <c r="C709" s="1123"/>
      <c r="D709" s="1123"/>
      <c r="E709" s="1123"/>
      <c r="G709" s="1123"/>
      <c r="H709" s="1123"/>
      <c r="I709" s="1123"/>
      <c r="J709" s="1123"/>
      <c r="K709" s="1123"/>
      <c r="L709" s="1123"/>
      <c r="M709" s="1123"/>
      <c r="N709" s="1123"/>
      <c r="V709" s="1224"/>
    </row>
    <row r="710" spans="1:22">
      <c r="A710" s="1289"/>
      <c r="B710" s="1123"/>
      <c r="C710" s="1123"/>
      <c r="D710" s="1123"/>
      <c r="E710" s="1123"/>
      <c r="G710" s="1123"/>
      <c r="H710" s="1123"/>
      <c r="I710" s="1123"/>
      <c r="J710" s="1123"/>
      <c r="K710" s="1123"/>
      <c r="L710" s="1123"/>
      <c r="M710" s="1123"/>
      <c r="N710" s="1123"/>
      <c r="V710" s="1224"/>
    </row>
    <row r="711" spans="1:22">
      <c r="A711" s="1289"/>
      <c r="B711" s="1123"/>
      <c r="C711" s="1123"/>
      <c r="D711" s="1123"/>
      <c r="E711" s="1123"/>
      <c r="G711" s="1123"/>
      <c r="H711" s="1123"/>
      <c r="I711" s="1123"/>
      <c r="J711" s="1123"/>
      <c r="K711" s="1123"/>
      <c r="L711" s="1123"/>
      <c r="M711" s="1123"/>
      <c r="N711" s="1123"/>
      <c r="V711" s="1224"/>
    </row>
    <row r="712" spans="1:22">
      <c r="A712" s="1289"/>
      <c r="B712" s="1123"/>
      <c r="C712" s="1123"/>
      <c r="D712" s="1123"/>
      <c r="E712" s="1123"/>
      <c r="G712" s="1123"/>
      <c r="H712" s="1123"/>
      <c r="I712" s="1123"/>
      <c r="J712" s="1123"/>
      <c r="K712" s="1123"/>
      <c r="L712" s="1123"/>
      <c r="M712" s="1123"/>
      <c r="N712" s="1123"/>
      <c r="V712" s="1224"/>
    </row>
    <row r="713" spans="1:22">
      <c r="A713" s="1289"/>
      <c r="B713" s="1123"/>
      <c r="C713" s="1123"/>
      <c r="D713" s="1123"/>
      <c r="E713" s="1123"/>
      <c r="G713" s="1123"/>
      <c r="H713" s="1123"/>
      <c r="I713" s="1123"/>
      <c r="J713" s="1123"/>
      <c r="K713" s="1123"/>
      <c r="L713" s="1123"/>
      <c r="M713" s="1123"/>
      <c r="N713" s="1123"/>
      <c r="V713" s="1224"/>
    </row>
    <row r="714" spans="1:22">
      <c r="A714" s="1289"/>
      <c r="B714" s="1123"/>
      <c r="C714" s="1123"/>
      <c r="D714" s="1123"/>
      <c r="E714" s="1123"/>
      <c r="G714" s="1123"/>
      <c r="H714" s="1123"/>
      <c r="I714" s="1123"/>
      <c r="J714" s="1123"/>
      <c r="K714" s="1123"/>
      <c r="L714" s="1123"/>
      <c r="M714" s="1123"/>
      <c r="N714" s="1123"/>
      <c r="V714" s="1224"/>
    </row>
    <row r="715" spans="1:22">
      <c r="A715" s="1289"/>
      <c r="B715" s="1123"/>
      <c r="C715" s="1123"/>
      <c r="D715" s="1123"/>
      <c r="E715" s="1123"/>
      <c r="G715" s="1123"/>
      <c r="H715" s="1123"/>
      <c r="I715" s="1123"/>
      <c r="J715" s="1123"/>
      <c r="K715" s="1123"/>
      <c r="L715" s="1123"/>
      <c r="M715" s="1123"/>
      <c r="N715" s="1123"/>
      <c r="V715" s="1224"/>
    </row>
    <row r="716" spans="1:22">
      <c r="A716" s="1289"/>
      <c r="B716" s="1123"/>
      <c r="C716" s="1123"/>
      <c r="D716" s="1123"/>
      <c r="E716" s="1123"/>
      <c r="G716" s="1123"/>
      <c r="H716" s="1123"/>
      <c r="I716" s="1123"/>
      <c r="J716" s="1123"/>
      <c r="K716" s="1123"/>
      <c r="L716" s="1123"/>
      <c r="M716" s="1123"/>
      <c r="N716" s="1123"/>
      <c r="V716" s="1224"/>
    </row>
    <row r="717" spans="1:22">
      <c r="A717" s="1289"/>
      <c r="B717" s="1123"/>
      <c r="C717" s="1123"/>
      <c r="D717" s="1123"/>
      <c r="E717" s="1123"/>
      <c r="G717" s="1123"/>
      <c r="H717" s="1123"/>
      <c r="I717" s="1123"/>
      <c r="J717" s="1123"/>
      <c r="K717" s="1123"/>
      <c r="L717" s="1123"/>
      <c r="M717" s="1123"/>
      <c r="N717" s="1123"/>
      <c r="V717" s="1224"/>
    </row>
    <row r="718" spans="1:22">
      <c r="A718" s="1289"/>
      <c r="B718" s="1123"/>
      <c r="C718" s="1123"/>
      <c r="D718" s="1123"/>
      <c r="E718" s="1123"/>
      <c r="G718" s="1123"/>
      <c r="H718" s="1123"/>
      <c r="I718" s="1123"/>
      <c r="J718" s="1123"/>
      <c r="K718" s="1123"/>
      <c r="L718" s="1123"/>
      <c r="M718" s="1123"/>
      <c r="N718" s="1123"/>
      <c r="V718" s="1224"/>
    </row>
    <row r="719" spans="1:22">
      <c r="A719" s="1289"/>
      <c r="B719" s="1123"/>
      <c r="C719" s="1123"/>
      <c r="D719" s="1123"/>
      <c r="E719" s="1123"/>
      <c r="G719" s="1123"/>
      <c r="H719" s="1123"/>
      <c r="I719" s="1123"/>
      <c r="J719" s="1123"/>
      <c r="K719" s="1123"/>
      <c r="L719" s="1123"/>
      <c r="M719" s="1123"/>
      <c r="N719" s="1123"/>
      <c r="V719" s="1224"/>
    </row>
    <row r="720" spans="1:22">
      <c r="A720" s="1289"/>
      <c r="B720" s="1123"/>
      <c r="C720" s="1123"/>
      <c r="D720" s="1123"/>
      <c r="E720" s="1123"/>
      <c r="G720" s="1123"/>
      <c r="H720" s="1123"/>
      <c r="I720" s="1123"/>
      <c r="J720" s="1123"/>
      <c r="K720" s="1123"/>
      <c r="L720" s="1123"/>
      <c r="M720" s="1123"/>
      <c r="N720" s="1123"/>
      <c r="V720" s="1224"/>
    </row>
    <row r="721" spans="1:22">
      <c r="A721" s="1289"/>
      <c r="B721" s="1123"/>
      <c r="C721" s="1123"/>
      <c r="D721" s="1123"/>
      <c r="E721" s="1123"/>
      <c r="G721" s="1123"/>
      <c r="H721" s="1123"/>
      <c r="I721" s="1123"/>
      <c r="J721" s="1123"/>
      <c r="K721" s="1123"/>
      <c r="L721" s="1123"/>
      <c r="M721" s="1123"/>
      <c r="N721" s="1123"/>
      <c r="V721" s="1224"/>
    </row>
    <row r="722" spans="1:22">
      <c r="A722" s="1289"/>
      <c r="B722" s="1123"/>
      <c r="C722" s="1123"/>
      <c r="D722" s="1123"/>
      <c r="E722" s="1123"/>
      <c r="G722" s="1123"/>
      <c r="H722" s="1123"/>
      <c r="I722" s="1123"/>
      <c r="J722" s="1123"/>
      <c r="K722" s="1123"/>
      <c r="L722" s="1123"/>
      <c r="M722" s="1123"/>
      <c r="N722" s="1123"/>
      <c r="V722" s="1224"/>
    </row>
    <row r="723" spans="1:22">
      <c r="A723" s="1289"/>
      <c r="B723" s="1123"/>
      <c r="C723" s="1123"/>
      <c r="D723" s="1123"/>
      <c r="E723" s="1123"/>
      <c r="G723" s="1123"/>
      <c r="H723" s="1123"/>
      <c r="I723" s="1123"/>
      <c r="J723" s="1123"/>
      <c r="K723" s="1123"/>
      <c r="L723" s="1123"/>
      <c r="M723" s="1123"/>
      <c r="N723" s="1123"/>
      <c r="V723" s="1224"/>
    </row>
    <row r="724" spans="1:22">
      <c r="A724" s="1289"/>
      <c r="B724" s="1123"/>
      <c r="C724" s="1123"/>
      <c r="D724" s="1123"/>
      <c r="E724" s="1123"/>
      <c r="G724" s="1123"/>
      <c r="H724" s="1123"/>
      <c r="I724" s="1123"/>
      <c r="J724" s="1123"/>
      <c r="K724" s="1123"/>
      <c r="L724" s="1123"/>
      <c r="M724" s="1123"/>
      <c r="N724" s="1123"/>
      <c r="V724" s="1224"/>
    </row>
    <row r="725" spans="1:22">
      <c r="A725" s="1289"/>
      <c r="B725" s="1123"/>
      <c r="C725" s="1123"/>
      <c r="D725" s="1123"/>
      <c r="E725" s="1123"/>
      <c r="G725" s="1123"/>
      <c r="H725" s="1123"/>
      <c r="I725" s="1123"/>
      <c r="J725" s="1123"/>
      <c r="K725" s="1123"/>
      <c r="L725" s="1123"/>
      <c r="M725" s="1123"/>
      <c r="N725" s="1123"/>
      <c r="V725" s="1224"/>
    </row>
    <row r="726" spans="1:22">
      <c r="A726" s="1289"/>
      <c r="B726" s="1123"/>
      <c r="C726" s="1123"/>
      <c r="D726" s="1123"/>
      <c r="E726" s="1123"/>
      <c r="G726" s="1123"/>
      <c r="H726" s="1123"/>
      <c r="I726" s="1123"/>
      <c r="J726" s="1123"/>
      <c r="K726" s="1123"/>
      <c r="L726" s="1123"/>
      <c r="M726" s="1123"/>
      <c r="N726" s="1123"/>
      <c r="V726" s="1224"/>
    </row>
    <row r="727" spans="1:22">
      <c r="A727" s="1289"/>
      <c r="B727" s="1123"/>
      <c r="C727" s="1123"/>
      <c r="D727" s="1123"/>
      <c r="E727" s="1123"/>
      <c r="G727" s="1123"/>
      <c r="H727" s="1123"/>
      <c r="I727" s="1123"/>
      <c r="J727" s="1123"/>
      <c r="K727" s="1123"/>
      <c r="L727" s="1123"/>
      <c r="M727" s="1123"/>
      <c r="N727" s="1123"/>
      <c r="V727" s="1224"/>
    </row>
    <row r="728" spans="1:22">
      <c r="A728" s="1289"/>
      <c r="B728" s="1123"/>
      <c r="C728" s="1123"/>
      <c r="D728" s="1123"/>
      <c r="E728" s="1123"/>
      <c r="G728" s="1123"/>
      <c r="H728" s="1123"/>
      <c r="I728" s="1123"/>
      <c r="J728" s="1123"/>
      <c r="K728" s="1123"/>
      <c r="L728" s="1123"/>
      <c r="M728" s="1123"/>
      <c r="N728" s="1123"/>
      <c r="V728" s="1224"/>
    </row>
    <row r="729" spans="1:22">
      <c r="A729" s="1289"/>
      <c r="B729" s="1123"/>
      <c r="C729" s="1123"/>
      <c r="D729" s="1123"/>
      <c r="E729" s="1123"/>
      <c r="G729" s="1123"/>
      <c r="H729" s="1123"/>
      <c r="I729" s="1123"/>
      <c r="J729" s="1123"/>
      <c r="K729" s="1123"/>
      <c r="L729" s="1123"/>
      <c r="M729" s="1123"/>
      <c r="N729" s="1123"/>
      <c r="V729" s="1224"/>
    </row>
    <row r="730" spans="1:22">
      <c r="A730" s="1289"/>
      <c r="B730" s="1123"/>
      <c r="C730" s="1123"/>
      <c r="D730" s="1123"/>
      <c r="E730" s="1123"/>
      <c r="G730" s="1123"/>
      <c r="H730" s="1123"/>
      <c r="I730" s="1123"/>
      <c r="J730" s="1123"/>
      <c r="K730" s="1123"/>
      <c r="L730" s="1123"/>
      <c r="M730" s="1123"/>
      <c r="N730" s="1123"/>
      <c r="V730" s="1224"/>
    </row>
    <row r="731" spans="1:22">
      <c r="A731" s="1289"/>
      <c r="B731" s="1123"/>
      <c r="C731" s="1123"/>
      <c r="D731" s="1123"/>
      <c r="E731" s="1123"/>
      <c r="G731" s="1123"/>
      <c r="H731" s="1123"/>
      <c r="I731" s="1123"/>
      <c r="J731" s="1123"/>
      <c r="K731" s="1123"/>
      <c r="L731" s="1123"/>
      <c r="M731" s="1123"/>
      <c r="N731" s="1123"/>
      <c r="V731" s="1224"/>
    </row>
    <row r="732" spans="1:22">
      <c r="A732" s="1289"/>
      <c r="B732" s="1123"/>
      <c r="C732" s="1123"/>
      <c r="D732" s="1123"/>
      <c r="E732" s="1123"/>
      <c r="G732" s="1123"/>
      <c r="H732" s="1123"/>
      <c r="I732" s="1123"/>
      <c r="J732" s="1123"/>
      <c r="K732" s="1123"/>
      <c r="L732" s="1123"/>
      <c r="M732" s="1123"/>
      <c r="N732" s="1123"/>
      <c r="V732" s="1224"/>
    </row>
    <row r="733" spans="1:22">
      <c r="A733" s="1289"/>
      <c r="B733" s="1123"/>
      <c r="C733" s="1123"/>
      <c r="D733" s="1123"/>
      <c r="E733" s="1123"/>
      <c r="G733" s="1123"/>
      <c r="H733" s="1123"/>
      <c r="I733" s="1123"/>
      <c r="J733" s="1123"/>
      <c r="K733" s="1123"/>
      <c r="L733" s="1123"/>
      <c r="M733" s="1123"/>
      <c r="N733" s="1123"/>
      <c r="V733" s="1224"/>
    </row>
    <row r="734" spans="1:22">
      <c r="A734" s="1289"/>
      <c r="B734" s="1123"/>
      <c r="C734" s="1123"/>
      <c r="D734" s="1123"/>
      <c r="E734" s="1123"/>
      <c r="G734" s="1123"/>
      <c r="H734" s="1123"/>
      <c r="I734" s="1123"/>
      <c r="J734" s="1123"/>
      <c r="K734" s="1123"/>
      <c r="L734" s="1123"/>
      <c r="M734" s="1123"/>
      <c r="N734" s="1123"/>
      <c r="V734" s="1224"/>
    </row>
    <row r="735" spans="1:22">
      <c r="A735" s="1289"/>
      <c r="B735" s="1123"/>
      <c r="C735" s="1123"/>
      <c r="D735" s="1123"/>
      <c r="E735" s="1123"/>
      <c r="G735" s="1123"/>
      <c r="H735" s="1123"/>
      <c r="I735" s="1123"/>
      <c r="J735" s="1123"/>
      <c r="K735" s="1123"/>
      <c r="L735" s="1123"/>
      <c r="M735" s="1123"/>
      <c r="N735" s="1123"/>
      <c r="V735" s="1224"/>
    </row>
    <row r="736" spans="1:22">
      <c r="A736" s="1289"/>
      <c r="B736" s="1123"/>
      <c r="C736" s="1123"/>
      <c r="D736" s="1123"/>
      <c r="E736" s="1123"/>
      <c r="G736" s="1123"/>
      <c r="H736" s="1123"/>
      <c r="I736" s="1123"/>
      <c r="J736" s="1123"/>
      <c r="K736" s="1123"/>
      <c r="L736" s="1123"/>
      <c r="M736" s="1123"/>
      <c r="N736" s="1123"/>
      <c r="V736" s="1224"/>
    </row>
    <row r="737" spans="1:22">
      <c r="A737" s="1289"/>
      <c r="B737" s="1123"/>
      <c r="C737" s="1123"/>
      <c r="D737" s="1123"/>
      <c r="E737" s="1123"/>
      <c r="G737" s="1123"/>
      <c r="H737" s="1123"/>
      <c r="I737" s="1123"/>
      <c r="J737" s="1123"/>
      <c r="K737" s="1123"/>
      <c r="L737" s="1123"/>
      <c r="M737" s="1123"/>
      <c r="N737" s="1123"/>
      <c r="V737" s="1224"/>
    </row>
    <row r="738" spans="1:22">
      <c r="A738" s="1289"/>
      <c r="B738" s="1123"/>
      <c r="C738" s="1123"/>
      <c r="D738" s="1123"/>
      <c r="E738" s="1123"/>
      <c r="G738" s="1123"/>
      <c r="H738" s="1123"/>
      <c r="I738" s="1123"/>
      <c r="J738" s="1123"/>
      <c r="K738" s="1123"/>
      <c r="L738" s="1123"/>
      <c r="M738" s="1123"/>
      <c r="N738" s="1123"/>
      <c r="V738" s="1224"/>
    </row>
    <row r="739" spans="1:22">
      <c r="A739" s="1289"/>
      <c r="B739" s="1123"/>
      <c r="C739" s="1123"/>
      <c r="D739" s="1123"/>
      <c r="E739" s="1123"/>
      <c r="G739" s="1123"/>
      <c r="H739" s="1123"/>
      <c r="I739" s="1123"/>
      <c r="J739" s="1123"/>
      <c r="K739" s="1123"/>
      <c r="L739" s="1123"/>
      <c r="M739" s="1123"/>
      <c r="N739" s="1123"/>
      <c r="V739" s="1224"/>
    </row>
    <row r="740" spans="1:22">
      <c r="A740" s="1289"/>
      <c r="B740" s="1123"/>
      <c r="C740" s="1123"/>
      <c r="D740" s="1123"/>
      <c r="E740" s="1123"/>
      <c r="G740" s="1123"/>
      <c r="H740" s="1123"/>
      <c r="I740" s="1123"/>
      <c r="J740" s="1123"/>
      <c r="K740" s="1123"/>
      <c r="L740" s="1123"/>
      <c r="M740" s="1123"/>
      <c r="N740" s="1123"/>
      <c r="V740" s="1224"/>
    </row>
    <row r="741" spans="1:22">
      <c r="A741" s="1289"/>
      <c r="B741" s="1123"/>
      <c r="C741" s="1123"/>
      <c r="D741" s="1123"/>
      <c r="E741" s="1123"/>
      <c r="G741" s="1123"/>
      <c r="H741" s="1123"/>
      <c r="I741" s="1123"/>
      <c r="J741" s="1123"/>
      <c r="K741" s="1123"/>
      <c r="L741" s="1123"/>
      <c r="M741" s="1123"/>
      <c r="N741" s="1123"/>
      <c r="V741" s="1224"/>
    </row>
    <row r="742" spans="1:22">
      <c r="A742" s="1289"/>
      <c r="B742" s="1123"/>
      <c r="C742" s="1123"/>
      <c r="D742" s="1123"/>
      <c r="E742" s="1123"/>
      <c r="G742" s="1123"/>
      <c r="H742" s="1123"/>
      <c r="I742" s="1123"/>
      <c r="J742" s="1123"/>
      <c r="K742" s="1123"/>
      <c r="L742" s="1123"/>
      <c r="M742" s="1123"/>
      <c r="N742" s="1123"/>
      <c r="V742" s="1224"/>
    </row>
    <row r="743" spans="1:22">
      <c r="A743" s="1289"/>
      <c r="B743" s="1123"/>
      <c r="C743" s="1123"/>
      <c r="D743" s="1123"/>
      <c r="E743" s="1123"/>
      <c r="G743" s="1123"/>
      <c r="H743" s="1123"/>
      <c r="I743" s="1123"/>
      <c r="J743" s="1123"/>
      <c r="K743" s="1123"/>
      <c r="L743" s="1123"/>
      <c r="M743" s="1123"/>
      <c r="N743" s="1123"/>
      <c r="V743" s="1224"/>
    </row>
    <row r="744" spans="1:22">
      <c r="A744" s="1289"/>
      <c r="B744" s="1123"/>
      <c r="C744" s="1123"/>
      <c r="D744" s="1123"/>
      <c r="E744" s="1123"/>
      <c r="G744" s="1123"/>
      <c r="H744" s="1123"/>
      <c r="I744" s="1123"/>
      <c r="J744" s="1123"/>
      <c r="K744" s="1123"/>
      <c r="L744" s="1123"/>
      <c r="M744" s="1123"/>
      <c r="N744" s="1123"/>
      <c r="V744" s="1224"/>
    </row>
    <row r="745" spans="1:22">
      <c r="A745" s="1289"/>
      <c r="B745" s="1123"/>
      <c r="C745" s="1123"/>
      <c r="D745" s="1123"/>
      <c r="E745" s="1123"/>
      <c r="G745" s="1123"/>
      <c r="H745" s="1123"/>
      <c r="I745" s="1123"/>
      <c r="J745" s="1123"/>
      <c r="K745" s="1123"/>
      <c r="L745" s="1123"/>
      <c r="M745" s="1123"/>
      <c r="N745" s="1123"/>
      <c r="V745" s="1224"/>
    </row>
    <row r="746" spans="1:22">
      <c r="A746" s="1289"/>
      <c r="B746" s="1123"/>
      <c r="C746" s="1123"/>
      <c r="D746" s="1123"/>
      <c r="E746" s="1123"/>
      <c r="G746" s="1123"/>
      <c r="H746" s="1123"/>
      <c r="I746" s="1123"/>
      <c r="J746" s="1123"/>
      <c r="K746" s="1123"/>
      <c r="L746" s="1123"/>
      <c r="M746" s="1123"/>
      <c r="N746" s="1123"/>
      <c r="V746" s="1224"/>
    </row>
    <row r="747" spans="1:22">
      <c r="A747" s="1289"/>
      <c r="B747" s="1123"/>
      <c r="C747" s="1123"/>
      <c r="D747" s="1123"/>
      <c r="E747" s="1123"/>
      <c r="G747" s="1123"/>
      <c r="H747" s="1123"/>
      <c r="I747" s="1123"/>
      <c r="J747" s="1123"/>
      <c r="K747" s="1123"/>
      <c r="L747" s="1123"/>
      <c r="M747" s="1123"/>
      <c r="N747" s="1123"/>
      <c r="V747" s="1224"/>
    </row>
    <row r="748" spans="1:22">
      <c r="A748" s="1289"/>
      <c r="B748" s="1123"/>
      <c r="C748" s="1123"/>
      <c r="D748" s="1123"/>
      <c r="E748" s="1123"/>
      <c r="G748" s="1123"/>
      <c r="H748" s="1123"/>
      <c r="I748" s="1123"/>
      <c r="J748" s="1123"/>
      <c r="K748" s="1123"/>
      <c r="L748" s="1123"/>
      <c r="M748" s="1123"/>
      <c r="N748" s="1123"/>
      <c r="V748" s="1224"/>
    </row>
    <row r="749" spans="1:22">
      <c r="A749" s="1289"/>
      <c r="B749" s="1123"/>
      <c r="C749" s="1123"/>
      <c r="D749" s="1123"/>
      <c r="E749" s="1123"/>
      <c r="G749" s="1123"/>
      <c r="H749" s="1123"/>
      <c r="I749" s="1123"/>
      <c r="J749" s="1123"/>
      <c r="K749" s="1123"/>
      <c r="L749" s="1123"/>
      <c r="M749" s="1123"/>
      <c r="N749" s="1123"/>
      <c r="V749" s="1224"/>
    </row>
    <row r="750" spans="1:22">
      <c r="A750" s="1289"/>
      <c r="B750" s="1123"/>
      <c r="C750" s="1123"/>
      <c r="D750" s="1123"/>
      <c r="E750" s="1123"/>
      <c r="G750" s="1123"/>
      <c r="H750" s="1123"/>
      <c r="I750" s="1123"/>
      <c r="J750" s="1123"/>
      <c r="K750" s="1123"/>
      <c r="L750" s="1123"/>
      <c r="M750" s="1123"/>
      <c r="N750" s="1123"/>
      <c r="V750" s="1224"/>
    </row>
    <row r="751" spans="1:22">
      <c r="A751" s="1289"/>
      <c r="B751" s="1123"/>
      <c r="C751" s="1123"/>
      <c r="D751" s="1123"/>
      <c r="E751" s="1123"/>
      <c r="G751" s="1123"/>
      <c r="H751" s="1123"/>
      <c r="I751" s="1123"/>
      <c r="J751" s="1123"/>
      <c r="K751" s="1123"/>
      <c r="L751" s="1123"/>
      <c r="M751" s="1123"/>
      <c r="N751" s="1123"/>
      <c r="V751" s="1224"/>
    </row>
    <row r="752" spans="1:22">
      <c r="A752" s="1289"/>
      <c r="B752" s="1123"/>
      <c r="C752" s="1123"/>
      <c r="D752" s="1123"/>
      <c r="E752" s="1123"/>
      <c r="G752" s="1123"/>
      <c r="H752" s="1123"/>
      <c r="I752" s="1123"/>
      <c r="J752" s="1123"/>
      <c r="K752" s="1123"/>
      <c r="L752" s="1123"/>
      <c r="M752" s="1123"/>
      <c r="N752" s="1123"/>
      <c r="V752" s="1224"/>
    </row>
    <row r="753" spans="1:22">
      <c r="A753" s="1289"/>
      <c r="B753" s="1123"/>
      <c r="C753" s="1123"/>
      <c r="D753" s="1123"/>
      <c r="E753" s="1123"/>
      <c r="G753" s="1123"/>
      <c r="H753" s="1123"/>
      <c r="I753" s="1123"/>
      <c r="J753" s="1123"/>
      <c r="K753" s="1123"/>
      <c r="L753" s="1123"/>
      <c r="M753" s="1123"/>
      <c r="N753" s="1123"/>
      <c r="V753" s="1224"/>
    </row>
    <row r="754" spans="1:22">
      <c r="A754" s="1289"/>
      <c r="B754" s="1123"/>
      <c r="C754" s="1123"/>
      <c r="D754" s="1123"/>
      <c r="E754" s="1123"/>
      <c r="G754" s="1123"/>
      <c r="H754" s="1123"/>
      <c r="I754" s="1123"/>
      <c r="J754" s="1123"/>
      <c r="K754" s="1123"/>
      <c r="L754" s="1123"/>
      <c r="M754" s="1123"/>
      <c r="N754" s="1123"/>
      <c r="V754" s="1224"/>
    </row>
    <row r="755" spans="1:22">
      <c r="A755" s="1289"/>
      <c r="B755" s="1123"/>
      <c r="C755" s="1123"/>
      <c r="D755" s="1123"/>
      <c r="E755" s="1123"/>
      <c r="G755" s="1123"/>
      <c r="H755" s="1123"/>
      <c r="I755" s="1123"/>
      <c r="J755" s="1123"/>
      <c r="K755" s="1123"/>
      <c r="L755" s="1123"/>
      <c r="M755" s="1123"/>
      <c r="N755" s="1123"/>
      <c r="V755" s="1224"/>
    </row>
    <row r="756" spans="1:22">
      <c r="A756" s="1289"/>
      <c r="B756" s="1123"/>
      <c r="C756" s="1123"/>
      <c r="D756" s="1123"/>
      <c r="E756" s="1123"/>
      <c r="G756" s="1123"/>
      <c r="H756" s="1123"/>
      <c r="I756" s="1123"/>
      <c r="J756" s="1123"/>
      <c r="K756" s="1123"/>
      <c r="L756" s="1123"/>
      <c r="M756" s="1123"/>
      <c r="N756" s="1123"/>
      <c r="V756" s="1224"/>
    </row>
    <row r="757" spans="1:22">
      <c r="A757" s="1289"/>
      <c r="B757" s="1123"/>
      <c r="C757" s="1123"/>
      <c r="D757" s="1123"/>
      <c r="E757" s="1123"/>
      <c r="G757" s="1123"/>
      <c r="H757" s="1123"/>
      <c r="I757" s="1123"/>
      <c r="J757" s="1123"/>
      <c r="K757" s="1123"/>
      <c r="L757" s="1123"/>
      <c r="M757" s="1123"/>
      <c r="N757" s="1123"/>
      <c r="V757" s="1224"/>
    </row>
    <row r="758" spans="1:22">
      <c r="A758" s="1289"/>
      <c r="B758" s="1123"/>
      <c r="C758" s="1123"/>
      <c r="D758" s="1123"/>
      <c r="E758" s="1123"/>
      <c r="G758" s="1123"/>
      <c r="H758" s="1123"/>
      <c r="I758" s="1123"/>
      <c r="J758" s="1123"/>
      <c r="K758" s="1123"/>
      <c r="L758" s="1123"/>
      <c r="M758" s="1123"/>
      <c r="N758" s="1123"/>
      <c r="V758" s="1224"/>
    </row>
    <row r="759" spans="1:22">
      <c r="A759" s="1289"/>
      <c r="B759" s="1123"/>
      <c r="C759" s="1123"/>
      <c r="D759" s="1123"/>
      <c r="E759" s="1123"/>
      <c r="G759" s="1123"/>
      <c r="H759" s="1123"/>
      <c r="I759" s="1123"/>
      <c r="J759" s="1123"/>
      <c r="K759" s="1123"/>
      <c r="L759" s="1123"/>
      <c r="M759" s="1123"/>
      <c r="N759" s="1123"/>
      <c r="V759" s="1224"/>
    </row>
    <row r="760" spans="1:22">
      <c r="A760" s="1289"/>
      <c r="B760" s="1123"/>
      <c r="C760" s="1123"/>
      <c r="D760" s="1123"/>
      <c r="E760" s="1123"/>
      <c r="G760" s="1123"/>
      <c r="H760" s="1123"/>
      <c r="I760" s="1123"/>
      <c r="J760" s="1123"/>
      <c r="K760" s="1123"/>
      <c r="L760" s="1123"/>
      <c r="M760" s="1123"/>
      <c r="N760" s="1123"/>
      <c r="V760" s="1224"/>
    </row>
    <row r="761" spans="1:22">
      <c r="A761" s="1289"/>
      <c r="B761" s="1123"/>
      <c r="C761" s="1123"/>
      <c r="D761" s="1123"/>
      <c r="E761" s="1123"/>
      <c r="G761" s="1123"/>
      <c r="H761" s="1123"/>
      <c r="I761" s="1123"/>
      <c r="J761" s="1123"/>
      <c r="K761" s="1123"/>
      <c r="L761" s="1123"/>
      <c r="M761" s="1123"/>
      <c r="N761" s="1123"/>
      <c r="V761" s="1224"/>
    </row>
    <row r="762" spans="1:22">
      <c r="A762" s="1289"/>
      <c r="B762" s="1123"/>
      <c r="C762" s="1123"/>
      <c r="D762" s="1123"/>
      <c r="E762" s="1123"/>
      <c r="G762" s="1123"/>
      <c r="H762" s="1123"/>
      <c r="I762" s="1123"/>
      <c r="J762" s="1123"/>
      <c r="K762" s="1123"/>
      <c r="L762" s="1123"/>
      <c r="M762" s="1123"/>
      <c r="N762" s="1123"/>
      <c r="V762" s="1224"/>
    </row>
    <row r="763" spans="1:22">
      <c r="A763" s="1289"/>
      <c r="B763" s="1123"/>
      <c r="C763" s="1123"/>
      <c r="D763" s="1123"/>
      <c r="E763" s="1123"/>
      <c r="G763" s="1123"/>
      <c r="H763" s="1123"/>
      <c r="I763" s="1123"/>
      <c r="J763" s="1123"/>
      <c r="K763" s="1123"/>
      <c r="L763" s="1123"/>
      <c r="M763" s="1123"/>
      <c r="N763" s="1123"/>
      <c r="V763" s="1224"/>
    </row>
    <row r="764" spans="1:22">
      <c r="A764" s="1289"/>
      <c r="B764" s="1123"/>
      <c r="C764" s="1123"/>
      <c r="D764" s="1123"/>
      <c r="E764" s="1123"/>
      <c r="G764" s="1123"/>
      <c r="H764" s="1123"/>
      <c r="I764" s="1123"/>
      <c r="J764" s="1123"/>
      <c r="K764" s="1123"/>
      <c r="L764" s="1123"/>
      <c r="M764" s="1123"/>
      <c r="N764" s="1123"/>
      <c r="V764" s="1224"/>
    </row>
    <row r="765" spans="1:22">
      <c r="A765" s="1289"/>
      <c r="B765" s="1123"/>
      <c r="C765" s="1123"/>
      <c r="D765" s="1123"/>
      <c r="E765" s="1123"/>
      <c r="G765" s="1123"/>
      <c r="H765" s="1123"/>
      <c r="I765" s="1123"/>
      <c r="J765" s="1123"/>
      <c r="K765" s="1123"/>
      <c r="L765" s="1123"/>
      <c r="M765" s="1123"/>
      <c r="N765" s="1123"/>
      <c r="V765" s="1224"/>
    </row>
    <row r="766" spans="1:22">
      <c r="A766" s="1289"/>
      <c r="B766" s="1123"/>
      <c r="C766" s="1123"/>
      <c r="D766" s="1123"/>
      <c r="E766" s="1123"/>
      <c r="G766" s="1123"/>
      <c r="H766" s="1123"/>
      <c r="I766" s="1123"/>
      <c r="J766" s="1123"/>
      <c r="K766" s="1123"/>
      <c r="L766" s="1123"/>
      <c r="M766" s="1123"/>
      <c r="N766" s="1123"/>
      <c r="V766" s="1224"/>
    </row>
    <row r="767" spans="1:22">
      <c r="A767" s="1289"/>
      <c r="B767" s="1123"/>
      <c r="C767" s="1123"/>
      <c r="D767" s="1123"/>
      <c r="E767" s="1123"/>
      <c r="G767" s="1123"/>
      <c r="H767" s="1123"/>
      <c r="I767" s="1123"/>
      <c r="J767" s="1123"/>
      <c r="K767" s="1123"/>
      <c r="L767" s="1123"/>
      <c r="M767" s="1123"/>
      <c r="N767" s="1123"/>
      <c r="V767" s="1224"/>
    </row>
    <row r="768" spans="1:22">
      <c r="A768" s="1289"/>
      <c r="B768" s="1123"/>
      <c r="C768" s="1123"/>
      <c r="D768" s="1123"/>
      <c r="E768" s="1123"/>
      <c r="G768" s="1123"/>
      <c r="H768" s="1123"/>
      <c r="I768" s="1123"/>
      <c r="J768" s="1123"/>
      <c r="K768" s="1123"/>
      <c r="L768" s="1123"/>
      <c r="M768" s="1123"/>
      <c r="N768" s="1123"/>
      <c r="V768" s="1224"/>
    </row>
    <row r="769" spans="1:22">
      <c r="A769" s="1289"/>
      <c r="B769" s="1123"/>
      <c r="C769" s="1123"/>
      <c r="D769" s="1123"/>
      <c r="E769" s="1123"/>
      <c r="G769" s="1123"/>
      <c r="H769" s="1123"/>
      <c r="I769" s="1123"/>
      <c r="J769" s="1123"/>
      <c r="K769" s="1123"/>
      <c r="L769" s="1123"/>
      <c r="M769" s="1123"/>
      <c r="N769" s="1123"/>
      <c r="V769" s="1224"/>
    </row>
    <row r="770" spans="1:22">
      <c r="A770" s="1289"/>
      <c r="B770" s="1123"/>
      <c r="C770" s="1123"/>
      <c r="D770" s="1123"/>
      <c r="E770" s="1123"/>
      <c r="G770" s="1123"/>
      <c r="H770" s="1123"/>
      <c r="I770" s="1123"/>
      <c r="J770" s="1123"/>
      <c r="K770" s="1123"/>
      <c r="L770" s="1123"/>
      <c r="M770" s="1123"/>
      <c r="N770" s="1123"/>
      <c r="V770" s="1224"/>
    </row>
    <row r="771" spans="1:22">
      <c r="A771" s="1289"/>
      <c r="B771" s="1123"/>
      <c r="C771" s="1123"/>
      <c r="D771" s="1123"/>
      <c r="E771" s="1123"/>
      <c r="G771" s="1123"/>
      <c r="H771" s="1123"/>
      <c r="I771" s="1123"/>
      <c r="J771" s="1123"/>
      <c r="K771" s="1123"/>
      <c r="L771" s="1123"/>
      <c r="M771" s="1123"/>
      <c r="N771" s="1123"/>
      <c r="V771" s="1224"/>
    </row>
    <row r="772" spans="1:22">
      <c r="A772" s="1289"/>
      <c r="B772" s="1123"/>
      <c r="C772" s="1123"/>
      <c r="D772" s="1123"/>
      <c r="E772" s="1123"/>
      <c r="G772" s="1123"/>
      <c r="H772" s="1123"/>
      <c r="I772" s="1123"/>
      <c r="J772" s="1123"/>
      <c r="K772" s="1123"/>
      <c r="L772" s="1123"/>
      <c r="M772" s="1123"/>
      <c r="N772" s="1123"/>
      <c r="V772" s="1224"/>
    </row>
    <row r="773" spans="1:22">
      <c r="A773" s="1289"/>
      <c r="B773" s="1123"/>
      <c r="C773" s="1123"/>
      <c r="D773" s="1123"/>
      <c r="E773" s="1123"/>
      <c r="G773" s="1123"/>
      <c r="H773" s="1123"/>
      <c r="I773" s="1123"/>
      <c r="J773" s="1123"/>
      <c r="K773" s="1123"/>
      <c r="L773" s="1123"/>
      <c r="M773" s="1123"/>
      <c r="N773" s="1123"/>
      <c r="V773" s="1224"/>
    </row>
    <row r="774" spans="1:22">
      <c r="A774" s="1289"/>
      <c r="B774" s="1123"/>
      <c r="C774" s="1123"/>
      <c r="D774" s="1123"/>
      <c r="E774" s="1123"/>
      <c r="G774" s="1123"/>
      <c r="H774" s="1123"/>
      <c r="I774" s="1123"/>
      <c r="J774" s="1123"/>
      <c r="K774" s="1123"/>
      <c r="L774" s="1123"/>
      <c r="M774" s="1123"/>
      <c r="N774" s="1123"/>
      <c r="V774" s="1224"/>
    </row>
    <row r="775" spans="1:22">
      <c r="A775" s="1289"/>
      <c r="B775" s="1123"/>
      <c r="C775" s="1123"/>
      <c r="D775" s="1123"/>
      <c r="E775" s="1123"/>
      <c r="G775" s="1123"/>
      <c r="H775" s="1123"/>
      <c r="I775" s="1123"/>
      <c r="J775" s="1123"/>
      <c r="K775" s="1123"/>
      <c r="L775" s="1123"/>
      <c r="M775" s="1123"/>
      <c r="N775" s="1123"/>
      <c r="V775" s="1224"/>
    </row>
    <row r="776" spans="1:22">
      <c r="A776" s="1289"/>
      <c r="B776" s="1123"/>
      <c r="C776" s="1123"/>
      <c r="D776" s="1123"/>
      <c r="E776" s="1123"/>
      <c r="G776" s="1123"/>
      <c r="H776" s="1123"/>
      <c r="I776" s="1123"/>
      <c r="J776" s="1123"/>
      <c r="K776" s="1123"/>
      <c r="L776" s="1123"/>
      <c r="M776" s="1123"/>
      <c r="N776" s="1123"/>
      <c r="V776" s="1224"/>
    </row>
    <row r="777" spans="1:22">
      <c r="A777" s="1289"/>
      <c r="B777" s="1123"/>
      <c r="C777" s="1123"/>
      <c r="D777" s="1123"/>
      <c r="E777" s="1123"/>
      <c r="G777" s="1123"/>
      <c r="H777" s="1123"/>
      <c r="I777" s="1123"/>
      <c r="J777" s="1123"/>
      <c r="K777" s="1123"/>
      <c r="L777" s="1123"/>
      <c r="M777" s="1123"/>
      <c r="N777" s="1123"/>
      <c r="V777" s="1224"/>
    </row>
    <row r="778" spans="1:22">
      <c r="A778" s="1289"/>
      <c r="B778" s="1123"/>
      <c r="C778" s="1123"/>
      <c r="D778" s="1123"/>
      <c r="E778" s="1123"/>
      <c r="G778" s="1123"/>
      <c r="H778" s="1123"/>
      <c r="I778" s="1123"/>
      <c r="J778" s="1123"/>
      <c r="K778" s="1123"/>
      <c r="L778" s="1123"/>
      <c r="M778" s="1123"/>
      <c r="N778" s="1123"/>
      <c r="V778" s="1224"/>
    </row>
    <row r="779" spans="1:22">
      <c r="A779" s="1289"/>
      <c r="B779" s="1123"/>
      <c r="C779" s="1123"/>
      <c r="D779" s="1123"/>
      <c r="E779" s="1123"/>
      <c r="G779" s="1123"/>
      <c r="H779" s="1123"/>
      <c r="I779" s="1123"/>
      <c r="J779" s="1123"/>
      <c r="K779" s="1123"/>
      <c r="L779" s="1123"/>
      <c r="M779" s="1123"/>
      <c r="N779" s="1123"/>
      <c r="V779" s="1224"/>
    </row>
    <row r="780" spans="1:22">
      <c r="A780" s="1289"/>
      <c r="B780" s="1123"/>
      <c r="C780" s="1123"/>
      <c r="D780" s="1123"/>
      <c r="E780" s="1123"/>
      <c r="G780" s="1123"/>
      <c r="H780" s="1123"/>
      <c r="I780" s="1123"/>
      <c r="J780" s="1123"/>
      <c r="K780" s="1123"/>
      <c r="L780" s="1123"/>
      <c r="M780" s="1123"/>
      <c r="N780" s="1123"/>
      <c r="V780" s="1224"/>
    </row>
    <row r="781" spans="1:22">
      <c r="A781" s="1289"/>
      <c r="B781" s="1123"/>
      <c r="C781" s="1123"/>
      <c r="D781" s="1123"/>
      <c r="E781" s="1123"/>
      <c r="G781" s="1123"/>
      <c r="H781" s="1123"/>
      <c r="I781" s="1123"/>
      <c r="J781" s="1123"/>
      <c r="K781" s="1123"/>
      <c r="L781" s="1123"/>
      <c r="M781" s="1123"/>
      <c r="N781" s="1123"/>
      <c r="V781" s="1224"/>
    </row>
    <row r="782" spans="1:22">
      <c r="A782" s="1289"/>
      <c r="B782" s="1123"/>
      <c r="C782" s="1123"/>
      <c r="D782" s="1123"/>
      <c r="E782" s="1123"/>
      <c r="G782" s="1123"/>
      <c r="H782" s="1123"/>
      <c r="I782" s="1123"/>
      <c r="J782" s="1123"/>
      <c r="K782" s="1123"/>
      <c r="L782" s="1123"/>
      <c r="M782" s="1123"/>
      <c r="N782" s="1123"/>
      <c r="V782" s="1224"/>
    </row>
    <row r="783" spans="1:22">
      <c r="A783" s="1289"/>
      <c r="B783" s="1123"/>
      <c r="C783" s="1123"/>
      <c r="D783" s="1123"/>
      <c r="E783" s="1123"/>
      <c r="G783" s="1123"/>
      <c r="H783" s="1123"/>
      <c r="I783" s="1123"/>
      <c r="J783" s="1123"/>
      <c r="K783" s="1123"/>
      <c r="L783" s="1123"/>
      <c r="M783" s="1123"/>
      <c r="N783" s="1123"/>
      <c r="V783" s="1224"/>
    </row>
    <row r="784" spans="1:22">
      <c r="A784" s="1289"/>
      <c r="B784" s="1123"/>
      <c r="C784" s="1123"/>
      <c r="D784" s="1123"/>
      <c r="E784" s="1123"/>
      <c r="G784" s="1123"/>
      <c r="H784" s="1123"/>
      <c r="I784" s="1123"/>
      <c r="J784" s="1123"/>
      <c r="K784" s="1123"/>
      <c r="L784" s="1123"/>
      <c r="M784" s="1123"/>
      <c r="N784" s="1123"/>
      <c r="V784" s="1224"/>
    </row>
    <row r="785" spans="1:22">
      <c r="A785" s="1289"/>
      <c r="B785" s="1123"/>
      <c r="C785" s="1123"/>
      <c r="D785" s="1123"/>
      <c r="E785" s="1123"/>
      <c r="G785" s="1123"/>
      <c r="H785" s="1123"/>
      <c r="I785" s="1123"/>
      <c r="J785" s="1123"/>
      <c r="K785" s="1123"/>
      <c r="L785" s="1123"/>
      <c r="M785" s="1123"/>
      <c r="N785" s="1123"/>
      <c r="V785" s="1224"/>
    </row>
    <row r="786" spans="1:22">
      <c r="A786" s="1289"/>
      <c r="B786" s="1123"/>
      <c r="C786" s="1123"/>
      <c r="D786" s="1123"/>
      <c r="E786" s="1123"/>
      <c r="G786" s="1123"/>
      <c r="H786" s="1123"/>
      <c r="I786" s="1123"/>
      <c r="J786" s="1123"/>
      <c r="K786" s="1123"/>
      <c r="L786" s="1123"/>
      <c r="M786" s="1123"/>
      <c r="N786" s="1123"/>
      <c r="V786" s="1224"/>
    </row>
    <row r="787" spans="1:22">
      <c r="A787" s="1289"/>
      <c r="B787" s="1123"/>
      <c r="C787" s="1123"/>
      <c r="D787" s="1123"/>
      <c r="E787" s="1123"/>
      <c r="G787" s="1123"/>
      <c r="H787" s="1123"/>
      <c r="I787" s="1123"/>
      <c r="J787" s="1123"/>
      <c r="K787" s="1123"/>
      <c r="L787" s="1123"/>
      <c r="M787" s="1123"/>
      <c r="N787" s="1123"/>
      <c r="V787" s="1224"/>
    </row>
    <row r="788" spans="1:22">
      <c r="A788" s="1289"/>
      <c r="B788" s="1123"/>
      <c r="C788" s="1123"/>
      <c r="D788" s="1123"/>
      <c r="E788" s="1123"/>
      <c r="G788" s="1123"/>
      <c r="H788" s="1123"/>
      <c r="I788" s="1123"/>
      <c r="J788" s="1123"/>
      <c r="K788" s="1123"/>
      <c r="L788" s="1123"/>
      <c r="M788" s="1123"/>
      <c r="N788" s="1123"/>
      <c r="V788" s="1224"/>
    </row>
    <row r="789" spans="1:22">
      <c r="A789" s="1289"/>
      <c r="B789" s="1123"/>
      <c r="C789" s="1123"/>
      <c r="D789" s="1123"/>
      <c r="E789" s="1123"/>
      <c r="G789" s="1123"/>
      <c r="H789" s="1123"/>
      <c r="I789" s="1123"/>
      <c r="J789" s="1123"/>
      <c r="K789" s="1123"/>
      <c r="L789" s="1123"/>
      <c r="M789" s="1123"/>
      <c r="N789" s="1123"/>
      <c r="V789" s="1224"/>
    </row>
    <row r="790" spans="1:22">
      <c r="A790" s="1289"/>
      <c r="B790" s="1123"/>
      <c r="C790" s="1123"/>
      <c r="D790" s="1123"/>
      <c r="E790" s="1123"/>
      <c r="G790" s="1123"/>
      <c r="H790" s="1123"/>
      <c r="I790" s="1123"/>
      <c r="J790" s="1123"/>
      <c r="K790" s="1123"/>
      <c r="L790" s="1123"/>
      <c r="M790" s="1123"/>
      <c r="N790" s="1123"/>
      <c r="V790" s="1224"/>
    </row>
    <row r="791" spans="1:22">
      <c r="A791" s="1289"/>
      <c r="B791" s="1123"/>
      <c r="C791" s="1123"/>
      <c r="D791" s="1123"/>
      <c r="E791" s="1123"/>
      <c r="G791" s="1123"/>
      <c r="H791" s="1123"/>
      <c r="I791" s="1123"/>
      <c r="J791" s="1123"/>
      <c r="K791" s="1123"/>
      <c r="L791" s="1123"/>
      <c r="M791" s="1123"/>
      <c r="N791" s="1123"/>
      <c r="V791" s="1224"/>
    </row>
    <row r="792" spans="1:22">
      <c r="A792" s="1289"/>
      <c r="B792" s="1123"/>
      <c r="C792" s="1123"/>
      <c r="D792" s="1123"/>
      <c r="E792" s="1123"/>
      <c r="G792" s="1123"/>
      <c r="H792" s="1123"/>
      <c r="I792" s="1123"/>
      <c r="J792" s="1123"/>
      <c r="K792" s="1123"/>
      <c r="L792" s="1123"/>
      <c r="M792" s="1123"/>
      <c r="N792" s="1123"/>
      <c r="V792" s="1224"/>
    </row>
    <row r="793" spans="1:22">
      <c r="A793" s="1289"/>
      <c r="B793" s="1123"/>
      <c r="C793" s="1123"/>
      <c r="D793" s="1123"/>
      <c r="E793" s="1123"/>
      <c r="G793" s="1123"/>
      <c r="H793" s="1123"/>
      <c r="I793" s="1123"/>
      <c r="J793" s="1123"/>
      <c r="K793" s="1123"/>
      <c r="L793" s="1123"/>
      <c r="M793" s="1123"/>
      <c r="N793" s="1123"/>
      <c r="V793" s="1224"/>
    </row>
    <row r="794" spans="1:22">
      <c r="A794" s="1289"/>
      <c r="B794" s="1123"/>
      <c r="C794" s="1123"/>
      <c r="D794" s="1123"/>
      <c r="E794" s="1123"/>
      <c r="G794" s="1123"/>
      <c r="H794" s="1123"/>
      <c r="I794" s="1123"/>
      <c r="J794" s="1123"/>
      <c r="K794" s="1123"/>
      <c r="L794" s="1123"/>
      <c r="M794" s="1123"/>
      <c r="N794" s="1123"/>
      <c r="V794" s="1224"/>
    </row>
    <row r="795" spans="1:22">
      <c r="A795" s="1289"/>
      <c r="B795" s="1123"/>
      <c r="C795" s="1123"/>
      <c r="D795" s="1123"/>
      <c r="E795" s="1123"/>
      <c r="G795" s="1123"/>
      <c r="H795" s="1123"/>
      <c r="I795" s="1123"/>
      <c r="J795" s="1123"/>
      <c r="K795" s="1123"/>
      <c r="L795" s="1123"/>
      <c r="M795" s="1123"/>
      <c r="N795" s="1123"/>
      <c r="V795" s="1224"/>
    </row>
    <row r="796" spans="1:22">
      <c r="A796" s="1289"/>
      <c r="B796" s="1123"/>
      <c r="C796" s="1123"/>
      <c r="D796" s="1123"/>
      <c r="E796" s="1123"/>
      <c r="G796" s="1123"/>
      <c r="H796" s="1123"/>
      <c r="I796" s="1123"/>
      <c r="J796" s="1123"/>
      <c r="K796" s="1123"/>
      <c r="L796" s="1123"/>
      <c r="M796" s="1123"/>
      <c r="N796" s="1123"/>
      <c r="V796" s="1224"/>
    </row>
    <row r="797" spans="1:22">
      <c r="A797" s="1289"/>
      <c r="B797" s="1123"/>
      <c r="C797" s="1123"/>
      <c r="D797" s="1123"/>
      <c r="E797" s="1123"/>
      <c r="G797" s="1123"/>
      <c r="H797" s="1123"/>
      <c r="I797" s="1123"/>
      <c r="J797" s="1123"/>
      <c r="K797" s="1123"/>
      <c r="L797" s="1123"/>
      <c r="M797" s="1123"/>
      <c r="N797" s="1123"/>
      <c r="V797" s="1224"/>
    </row>
    <row r="798" spans="1:22">
      <c r="A798" s="1289"/>
      <c r="B798" s="1123"/>
      <c r="C798" s="1123"/>
      <c r="D798" s="1123"/>
      <c r="E798" s="1123"/>
      <c r="G798" s="1123"/>
      <c r="H798" s="1123"/>
      <c r="I798" s="1123"/>
      <c r="J798" s="1123"/>
      <c r="K798" s="1123"/>
      <c r="L798" s="1123"/>
      <c r="M798" s="1123"/>
      <c r="N798" s="1123"/>
      <c r="V798" s="1224"/>
    </row>
    <row r="799" spans="1:22">
      <c r="A799" s="1289"/>
      <c r="B799" s="1123"/>
      <c r="C799" s="1123"/>
      <c r="D799" s="1123"/>
      <c r="E799" s="1123"/>
      <c r="G799" s="1123"/>
      <c r="H799" s="1123"/>
      <c r="I799" s="1123"/>
      <c r="J799" s="1123"/>
      <c r="K799" s="1123"/>
      <c r="L799" s="1123"/>
      <c r="M799" s="1123"/>
      <c r="N799" s="1123"/>
      <c r="V799" s="1224"/>
    </row>
    <row r="800" spans="1:22">
      <c r="A800" s="1289"/>
      <c r="B800" s="1123"/>
      <c r="C800" s="1123"/>
      <c r="D800" s="1123"/>
      <c r="E800" s="1123"/>
      <c r="G800" s="1123"/>
      <c r="H800" s="1123"/>
      <c r="I800" s="1123"/>
      <c r="J800" s="1123"/>
      <c r="K800" s="1123"/>
      <c r="L800" s="1123"/>
      <c r="M800" s="1123"/>
      <c r="N800" s="1123"/>
      <c r="V800" s="1224"/>
    </row>
    <row r="801" spans="1:22">
      <c r="A801" s="1289"/>
      <c r="B801" s="1123"/>
      <c r="C801" s="1123"/>
      <c r="D801" s="1123"/>
      <c r="E801" s="1123"/>
      <c r="G801" s="1123"/>
      <c r="H801" s="1123"/>
      <c r="I801" s="1123"/>
      <c r="J801" s="1123"/>
      <c r="K801" s="1123"/>
      <c r="L801" s="1123"/>
      <c r="M801" s="1123"/>
      <c r="N801" s="1123"/>
      <c r="V801" s="1224"/>
    </row>
    <row r="802" spans="1:22">
      <c r="A802" s="1289"/>
      <c r="B802" s="1123"/>
      <c r="C802" s="1123"/>
      <c r="D802" s="1123"/>
      <c r="E802" s="1123"/>
      <c r="G802" s="1123"/>
      <c r="H802" s="1123"/>
      <c r="I802" s="1123"/>
      <c r="J802" s="1123"/>
      <c r="K802" s="1123"/>
      <c r="L802" s="1123"/>
      <c r="M802" s="1123"/>
      <c r="N802" s="1123"/>
      <c r="V802" s="1224"/>
    </row>
    <row r="803" spans="1:22">
      <c r="A803" s="1289"/>
      <c r="B803" s="1123"/>
      <c r="C803" s="1123"/>
      <c r="D803" s="1123"/>
      <c r="E803" s="1123"/>
      <c r="G803" s="1123"/>
      <c r="H803" s="1123"/>
      <c r="I803" s="1123"/>
      <c r="J803" s="1123"/>
      <c r="K803" s="1123"/>
      <c r="L803" s="1123"/>
      <c r="M803" s="1123"/>
      <c r="N803" s="1123"/>
      <c r="V803" s="1224"/>
    </row>
    <row r="804" spans="1:22">
      <c r="A804" s="1289"/>
      <c r="B804" s="1123"/>
      <c r="C804" s="1123"/>
      <c r="D804" s="1123"/>
      <c r="E804" s="1123"/>
      <c r="G804" s="1123"/>
      <c r="H804" s="1123"/>
      <c r="I804" s="1123"/>
      <c r="J804" s="1123"/>
      <c r="K804" s="1123"/>
      <c r="L804" s="1123"/>
      <c r="M804" s="1123"/>
      <c r="N804" s="1123"/>
      <c r="V804" s="1224"/>
    </row>
    <row r="805" spans="1:22">
      <c r="A805" s="1289"/>
      <c r="B805" s="1123"/>
      <c r="C805" s="1123"/>
      <c r="D805" s="1123"/>
      <c r="E805" s="1123"/>
      <c r="G805" s="1123"/>
      <c r="H805" s="1123"/>
      <c r="I805" s="1123"/>
      <c r="J805" s="1123"/>
      <c r="K805" s="1123"/>
      <c r="L805" s="1123"/>
      <c r="M805" s="1123"/>
      <c r="N805" s="1123"/>
      <c r="V805" s="1224"/>
    </row>
    <row r="806" spans="1:22">
      <c r="A806" s="1289"/>
      <c r="B806" s="1123"/>
      <c r="C806" s="1123"/>
      <c r="D806" s="1123"/>
      <c r="E806" s="1123"/>
      <c r="G806" s="1123"/>
      <c r="H806" s="1123"/>
      <c r="I806" s="1123"/>
      <c r="J806" s="1123"/>
      <c r="K806" s="1123"/>
      <c r="L806" s="1123"/>
      <c r="M806" s="1123"/>
      <c r="N806" s="1123"/>
      <c r="V806" s="1224"/>
    </row>
    <row r="807" spans="1:22">
      <c r="A807" s="1289"/>
      <c r="B807" s="1123"/>
      <c r="C807" s="1123"/>
      <c r="D807" s="1123"/>
      <c r="E807" s="1123"/>
      <c r="G807" s="1123"/>
      <c r="H807" s="1123"/>
      <c r="I807" s="1123"/>
      <c r="J807" s="1123"/>
      <c r="K807" s="1123"/>
      <c r="L807" s="1123"/>
      <c r="M807" s="1123"/>
      <c r="N807" s="1123"/>
      <c r="V807" s="1224"/>
    </row>
    <row r="808" spans="1:22">
      <c r="A808" s="1289"/>
      <c r="B808" s="1123"/>
      <c r="C808" s="1123"/>
      <c r="D808" s="1123"/>
      <c r="E808" s="1123"/>
      <c r="G808" s="1123"/>
      <c r="H808" s="1123"/>
      <c r="I808" s="1123"/>
      <c r="J808" s="1123"/>
      <c r="K808" s="1123"/>
      <c r="L808" s="1123"/>
      <c r="M808" s="1123"/>
      <c r="N808" s="1123"/>
      <c r="V808" s="1224"/>
    </row>
    <row r="809" spans="1:22">
      <c r="A809" s="1289"/>
      <c r="B809" s="1123"/>
      <c r="C809" s="1123"/>
      <c r="D809" s="1123"/>
      <c r="E809" s="1123"/>
      <c r="G809" s="1123"/>
      <c r="H809" s="1123"/>
      <c r="I809" s="1123"/>
      <c r="J809" s="1123"/>
      <c r="K809" s="1123"/>
      <c r="L809" s="1123"/>
      <c r="M809" s="1123"/>
      <c r="N809" s="1123"/>
      <c r="V809" s="1224"/>
    </row>
    <row r="810" spans="1:22">
      <c r="A810" s="1289"/>
      <c r="B810" s="1123"/>
      <c r="C810" s="1123"/>
      <c r="D810" s="1123"/>
      <c r="E810" s="1123"/>
      <c r="G810" s="1123"/>
      <c r="H810" s="1123"/>
      <c r="I810" s="1123"/>
      <c r="J810" s="1123"/>
      <c r="K810" s="1123"/>
      <c r="L810" s="1123"/>
      <c r="M810" s="1123"/>
      <c r="N810" s="1123"/>
      <c r="V810" s="1224"/>
    </row>
    <row r="811" spans="1:22">
      <c r="A811" s="1289"/>
      <c r="B811" s="1123"/>
      <c r="C811" s="1123"/>
      <c r="D811" s="1123"/>
      <c r="E811" s="1123"/>
      <c r="G811" s="1123"/>
      <c r="H811" s="1123"/>
      <c r="I811" s="1123"/>
      <c r="J811" s="1123"/>
      <c r="K811" s="1123"/>
      <c r="L811" s="1123"/>
      <c r="M811" s="1123"/>
      <c r="N811" s="1123"/>
      <c r="V811" s="1224"/>
    </row>
    <row r="812" spans="1:22">
      <c r="A812" s="1289"/>
      <c r="B812" s="1123"/>
      <c r="C812" s="1123"/>
      <c r="D812" s="1123"/>
      <c r="E812" s="1123"/>
      <c r="G812" s="1123"/>
      <c r="H812" s="1123"/>
      <c r="I812" s="1123"/>
      <c r="J812" s="1123"/>
      <c r="K812" s="1123"/>
      <c r="L812" s="1123"/>
      <c r="M812" s="1123"/>
      <c r="N812" s="1123"/>
      <c r="V812" s="1224"/>
    </row>
    <row r="813" spans="1:22">
      <c r="A813" s="1289"/>
      <c r="B813" s="1123"/>
      <c r="C813" s="1123"/>
      <c r="D813" s="1123"/>
      <c r="E813" s="1123"/>
      <c r="G813" s="1123"/>
      <c r="H813" s="1123"/>
      <c r="I813" s="1123"/>
      <c r="J813" s="1123"/>
      <c r="K813" s="1123"/>
      <c r="L813" s="1123"/>
      <c r="M813" s="1123"/>
      <c r="N813" s="1123"/>
      <c r="V813" s="1224"/>
    </row>
    <row r="814" spans="1:22">
      <c r="A814" s="1289"/>
      <c r="B814" s="1123"/>
      <c r="C814" s="1123"/>
      <c r="D814" s="1123"/>
      <c r="E814" s="1123"/>
      <c r="G814" s="1123"/>
      <c r="H814" s="1123"/>
      <c r="I814" s="1123"/>
      <c r="J814" s="1123"/>
      <c r="K814" s="1123"/>
      <c r="L814" s="1123"/>
      <c r="M814" s="1123"/>
      <c r="N814" s="1123"/>
      <c r="V814" s="1224"/>
    </row>
    <row r="815" spans="1:22">
      <c r="A815" s="1289"/>
      <c r="B815" s="1123"/>
      <c r="C815" s="1123"/>
      <c r="D815" s="1123"/>
      <c r="E815" s="1123"/>
      <c r="G815" s="1123"/>
      <c r="H815" s="1123"/>
      <c r="I815" s="1123"/>
      <c r="J815" s="1123"/>
      <c r="K815" s="1123"/>
      <c r="L815" s="1123"/>
      <c r="M815" s="1123"/>
      <c r="N815" s="1123"/>
      <c r="V815" s="1224"/>
    </row>
    <row r="816" spans="1:22">
      <c r="A816" s="1289"/>
      <c r="B816" s="1123"/>
      <c r="C816" s="1123"/>
      <c r="D816" s="1123"/>
      <c r="E816" s="1123"/>
      <c r="G816" s="1123"/>
      <c r="H816" s="1123"/>
      <c r="I816" s="1123"/>
      <c r="J816" s="1123"/>
      <c r="K816" s="1123"/>
      <c r="L816" s="1123"/>
      <c r="M816" s="1123"/>
      <c r="N816" s="1123"/>
      <c r="V816" s="1224"/>
    </row>
    <row r="817" spans="1:22">
      <c r="A817" s="1289"/>
      <c r="B817" s="1123"/>
      <c r="C817" s="1123"/>
      <c r="D817" s="1123"/>
      <c r="E817" s="1123"/>
      <c r="G817" s="1123"/>
      <c r="H817" s="1123"/>
      <c r="I817" s="1123"/>
      <c r="J817" s="1123"/>
      <c r="K817" s="1123"/>
      <c r="L817" s="1123"/>
      <c r="M817" s="1123"/>
      <c r="N817" s="1123"/>
      <c r="V817" s="1224"/>
    </row>
    <row r="818" spans="1:22">
      <c r="A818" s="1289"/>
      <c r="B818" s="1123"/>
      <c r="C818" s="1123"/>
      <c r="D818" s="1123"/>
      <c r="E818" s="1123"/>
      <c r="G818" s="1123"/>
      <c r="H818" s="1123"/>
      <c r="I818" s="1123"/>
      <c r="J818" s="1123"/>
      <c r="K818" s="1123"/>
      <c r="L818" s="1123"/>
      <c r="M818" s="1123"/>
      <c r="N818" s="1123"/>
      <c r="V818" s="1224"/>
    </row>
    <row r="819" spans="1:22">
      <c r="A819" s="1289"/>
      <c r="B819" s="1123"/>
      <c r="C819" s="1123"/>
      <c r="D819" s="1123"/>
      <c r="E819" s="1123"/>
      <c r="G819" s="1123"/>
      <c r="H819" s="1123"/>
      <c r="I819" s="1123"/>
      <c r="J819" s="1123"/>
      <c r="K819" s="1123"/>
      <c r="L819" s="1123"/>
      <c r="M819" s="1123"/>
      <c r="N819" s="1123"/>
      <c r="V819" s="1224"/>
    </row>
    <row r="820" spans="1:22">
      <c r="A820" s="1289"/>
      <c r="B820" s="1123"/>
      <c r="C820" s="1123"/>
      <c r="D820" s="1123"/>
      <c r="E820" s="1123"/>
      <c r="G820" s="1123"/>
      <c r="H820" s="1123"/>
      <c r="I820" s="1123"/>
      <c r="J820" s="1123"/>
      <c r="K820" s="1123"/>
      <c r="L820" s="1123"/>
      <c r="M820" s="1123"/>
      <c r="N820" s="1123"/>
      <c r="V820" s="1224"/>
    </row>
    <row r="821" spans="1:22">
      <c r="A821" s="1289"/>
      <c r="B821" s="1123"/>
      <c r="C821" s="1123"/>
      <c r="D821" s="1123"/>
      <c r="E821" s="1123"/>
      <c r="G821" s="1123"/>
      <c r="H821" s="1123"/>
      <c r="I821" s="1123"/>
      <c r="J821" s="1123"/>
      <c r="K821" s="1123"/>
      <c r="L821" s="1123"/>
      <c r="M821" s="1123"/>
      <c r="N821" s="1123"/>
      <c r="V821" s="1224"/>
    </row>
    <row r="822" spans="1:22">
      <c r="A822" s="1289"/>
      <c r="B822" s="1123"/>
      <c r="C822" s="1123"/>
      <c r="D822" s="1123"/>
      <c r="E822" s="1123"/>
      <c r="G822" s="1123"/>
      <c r="H822" s="1123"/>
      <c r="I822" s="1123"/>
      <c r="J822" s="1123"/>
      <c r="K822" s="1123"/>
      <c r="L822" s="1123"/>
      <c r="M822" s="1123"/>
      <c r="N822" s="1123"/>
      <c r="V822" s="1224"/>
    </row>
    <row r="823" spans="1:22">
      <c r="A823" s="1289"/>
      <c r="B823" s="1123"/>
      <c r="C823" s="1123"/>
      <c r="D823" s="1123"/>
      <c r="E823" s="1123"/>
      <c r="G823" s="1123"/>
      <c r="H823" s="1123"/>
      <c r="I823" s="1123"/>
      <c r="J823" s="1123"/>
      <c r="K823" s="1123"/>
      <c r="L823" s="1123"/>
      <c r="M823" s="1123"/>
      <c r="N823" s="1123"/>
      <c r="V823" s="1224"/>
    </row>
    <row r="824" spans="1:22">
      <c r="A824" s="1289"/>
      <c r="B824" s="1123"/>
      <c r="C824" s="1123"/>
      <c r="D824" s="1123"/>
      <c r="E824" s="1123"/>
      <c r="G824" s="1123"/>
      <c r="H824" s="1123"/>
      <c r="I824" s="1123"/>
      <c r="J824" s="1123"/>
      <c r="K824" s="1123"/>
      <c r="L824" s="1123"/>
      <c r="M824" s="1123"/>
      <c r="N824" s="1123"/>
      <c r="V824" s="1224"/>
    </row>
    <row r="825" spans="1:22">
      <c r="A825" s="1289"/>
      <c r="B825" s="1123"/>
      <c r="C825" s="1123"/>
      <c r="D825" s="1123"/>
      <c r="E825" s="1123"/>
      <c r="G825" s="1123"/>
      <c r="H825" s="1123"/>
      <c r="I825" s="1123"/>
      <c r="J825" s="1123"/>
      <c r="K825" s="1123"/>
      <c r="L825" s="1123"/>
      <c r="M825" s="1123"/>
      <c r="N825" s="1123"/>
      <c r="V825" s="1224"/>
    </row>
    <row r="826" spans="1:22">
      <c r="A826" s="1289"/>
      <c r="B826" s="1123"/>
      <c r="C826" s="1123"/>
      <c r="D826" s="1123"/>
      <c r="E826" s="1123"/>
      <c r="G826" s="1123"/>
      <c r="H826" s="1123"/>
      <c r="I826" s="1123"/>
      <c r="J826" s="1123"/>
      <c r="K826" s="1123"/>
      <c r="L826" s="1123"/>
      <c r="M826" s="1123"/>
      <c r="N826" s="1123"/>
      <c r="V826" s="1224"/>
    </row>
    <row r="827" spans="1:22">
      <c r="A827" s="1289"/>
      <c r="B827" s="1123"/>
      <c r="C827" s="1123"/>
      <c r="D827" s="1123"/>
      <c r="E827" s="1123"/>
      <c r="G827" s="1123"/>
      <c r="H827" s="1123"/>
      <c r="I827" s="1123"/>
      <c r="J827" s="1123"/>
      <c r="K827" s="1123"/>
      <c r="L827" s="1123"/>
      <c r="M827" s="1123"/>
      <c r="N827" s="1123"/>
      <c r="V827" s="1224"/>
    </row>
    <row r="828" spans="1:22">
      <c r="A828" s="1289"/>
      <c r="B828" s="1123"/>
      <c r="C828" s="1123"/>
      <c r="D828" s="1123"/>
      <c r="E828" s="1123"/>
      <c r="G828" s="1123"/>
      <c r="H828" s="1123"/>
      <c r="I828" s="1123"/>
      <c r="J828" s="1123"/>
      <c r="K828" s="1123"/>
      <c r="L828" s="1123"/>
      <c r="M828" s="1123"/>
      <c r="N828" s="1123"/>
      <c r="V828" s="1224"/>
    </row>
    <row r="829" spans="1:22">
      <c r="A829" s="1289"/>
      <c r="B829" s="1123"/>
      <c r="C829" s="1123"/>
      <c r="D829" s="1123"/>
      <c r="E829" s="1123"/>
      <c r="G829" s="1123"/>
      <c r="H829" s="1123"/>
      <c r="I829" s="1123"/>
      <c r="J829" s="1123"/>
      <c r="K829" s="1123"/>
      <c r="L829" s="1123"/>
      <c r="M829" s="1123"/>
      <c r="N829" s="1123"/>
      <c r="V829" s="1224"/>
    </row>
    <row r="830" spans="1:22">
      <c r="A830" s="1289"/>
      <c r="B830" s="1123"/>
      <c r="C830" s="1123"/>
      <c r="D830" s="1123"/>
      <c r="E830" s="1123"/>
      <c r="G830" s="1123"/>
      <c r="H830" s="1123"/>
      <c r="I830" s="1123"/>
      <c r="J830" s="1123"/>
      <c r="K830" s="1123"/>
      <c r="L830" s="1123"/>
      <c r="M830" s="1123"/>
      <c r="N830" s="1123"/>
      <c r="V830" s="1224"/>
    </row>
    <row r="831" spans="1:22">
      <c r="A831" s="1289"/>
      <c r="B831" s="1123"/>
      <c r="C831" s="1123"/>
      <c r="D831" s="1123"/>
      <c r="E831" s="1123"/>
      <c r="G831" s="1123"/>
      <c r="H831" s="1123"/>
      <c r="I831" s="1123"/>
      <c r="J831" s="1123"/>
      <c r="K831" s="1123"/>
      <c r="L831" s="1123"/>
      <c r="M831" s="1123"/>
      <c r="N831" s="1123"/>
      <c r="V831" s="1224"/>
    </row>
    <row r="832" spans="1:22">
      <c r="A832" s="1289"/>
      <c r="B832" s="1123"/>
      <c r="C832" s="1123"/>
      <c r="D832" s="1123"/>
      <c r="E832" s="1123"/>
      <c r="G832" s="1123"/>
      <c r="H832" s="1123"/>
      <c r="I832" s="1123"/>
      <c r="J832" s="1123"/>
      <c r="K832" s="1123"/>
      <c r="L832" s="1123"/>
      <c r="M832" s="1123"/>
      <c r="N832" s="1123"/>
      <c r="V832" s="1224"/>
    </row>
    <row r="833" spans="1:22">
      <c r="A833" s="1289"/>
      <c r="B833" s="1123"/>
      <c r="C833" s="1123"/>
      <c r="D833" s="1123"/>
      <c r="E833" s="1123"/>
      <c r="G833" s="1123"/>
      <c r="H833" s="1123"/>
      <c r="I833" s="1123"/>
      <c r="J833" s="1123"/>
      <c r="K833" s="1123"/>
      <c r="L833" s="1123"/>
      <c r="M833" s="1123"/>
      <c r="N833" s="1123"/>
      <c r="V833" s="1224"/>
    </row>
    <row r="834" spans="1:22">
      <c r="A834" s="1289"/>
      <c r="B834" s="1123"/>
      <c r="C834" s="1123"/>
      <c r="D834" s="1123"/>
      <c r="E834" s="1123"/>
      <c r="G834" s="1123"/>
      <c r="H834" s="1123"/>
      <c r="I834" s="1123"/>
      <c r="J834" s="1123"/>
      <c r="K834" s="1123"/>
      <c r="L834" s="1123"/>
      <c r="M834" s="1123"/>
      <c r="N834" s="1123"/>
      <c r="V834" s="1224"/>
    </row>
    <row r="835" spans="1:22">
      <c r="A835" s="1289"/>
      <c r="B835" s="1123"/>
      <c r="C835" s="1123"/>
      <c r="D835" s="1123"/>
      <c r="E835" s="1123"/>
      <c r="G835" s="1123"/>
      <c r="H835" s="1123"/>
      <c r="I835" s="1123"/>
      <c r="J835" s="1123"/>
      <c r="K835" s="1123"/>
      <c r="L835" s="1123"/>
      <c r="M835" s="1123"/>
      <c r="N835" s="1123"/>
      <c r="V835" s="1224"/>
    </row>
    <row r="836" spans="1:22">
      <c r="A836" s="1289"/>
      <c r="B836" s="1123"/>
      <c r="C836" s="1123"/>
      <c r="D836" s="1123"/>
      <c r="E836" s="1123"/>
      <c r="G836" s="1123"/>
      <c r="H836" s="1123"/>
      <c r="I836" s="1123"/>
      <c r="J836" s="1123"/>
      <c r="K836" s="1123"/>
      <c r="L836" s="1123"/>
      <c r="M836" s="1123"/>
      <c r="N836" s="1123"/>
      <c r="V836" s="1224"/>
    </row>
    <row r="837" spans="1:22">
      <c r="A837" s="1289"/>
      <c r="B837" s="1123"/>
      <c r="C837" s="1123"/>
      <c r="D837" s="1123"/>
      <c r="E837" s="1123"/>
      <c r="G837" s="1123"/>
      <c r="H837" s="1123"/>
      <c r="I837" s="1123"/>
      <c r="J837" s="1123"/>
      <c r="K837" s="1123"/>
      <c r="L837" s="1123"/>
      <c r="M837" s="1123"/>
      <c r="N837" s="1123"/>
      <c r="V837" s="1224"/>
    </row>
    <row r="838" spans="1:22">
      <c r="A838" s="1289"/>
      <c r="B838" s="1123"/>
      <c r="C838" s="1123"/>
      <c r="D838" s="1123"/>
      <c r="E838" s="1123"/>
      <c r="G838" s="1123"/>
      <c r="H838" s="1123"/>
      <c r="I838" s="1123"/>
      <c r="J838" s="1123"/>
      <c r="K838" s="1123"/>
      <c r="L838" s="1123"/>
      <c r="M838" s="1123"/>
      <c r="N838" s="1123"/>
      <c r="V838" s="1224"/>
    </row>
    <row r="839" spans="1:22">
      <c r="A839" s="1289"/>
      <c r="B839" s="1123"/>
      <c r="C839" s="1123"/>
      <c r="D839" s="1123"/>
      <c r="E839" s="1123"/>
      <c r="G839" s="1123"/>
      <c r="H839" s="1123"/>
      <c r="I839" s="1123"/>
      <c r="J839" s="1123"/>
      <c r="K839" s="1123"/>
      <c r="L839" s="1123"/>
      <c r="M839" s="1123"/>
      <c r="N839" s="1123"/>
      <c r="V839" s="1224"/>
    </row>
    <row r="840" spans="1:22">
      <c r="A840" s="1289"/>
      <c r="B840" s="1123"/>
      <c r="C840" s="1123"/>
      <c r="D840" s="1123"/>
      <c r="E840" s="1123"/>
      <c r="G840" s="1123"/>
      <c r="H840" s="1123"/>
      <c r="I840" s="1123"/>
      <c r="J840" s="1123"/>
      <c r="K840" s="1123"/>
      <c r="L840" s="1123"/>
      <c r="M840" s="1123"/>
      <c r="N840" s="1123"/>
      <c r="V840" s="1224"/>
    </row>
    <row r="841" spans="1:22">
      <c r="A841" s="1289"/>
      <c r="B841" s="1123"/>
      <c r="C841" s="1123"/>
      <c r="D841" s="1123"/>
      <c r="E841" s="1123"/>
      <c r="G841" s="1123"/>
      <c r="H841" s="1123"/>
      <c r="I841" s="1123"/>
      <c r="J841" s="1123"/>
      <c r="K841" s="1123"/>
      <c r="L841" s="1123"/>
      <c r="M841" s="1123"/>
      <c r="N841" s="1123"/>
      <c r="V841" s="1224"/>
    </row>
    <row r="842" spans="1:22">
      <c r="A842" s="1289"/>
      <c r="B842" s="1123"/>
      <c r="C842" s="1123"/>
      <c r="D842" s="1123"/>
      <c r="E842" s="1123"/>
      <c r="G842" s="1123"/>
      <c r="H842" s="1123"/>
      <c r="I842" s="1123"/>
      <c r="J842" s="1123"/>
      <c r="K842" s="1123"/>
      <c r="L842" s="1123"/>
      <c r="M842" s="1123"/>
      <c r="N842" s="1123"/>
      <c r="V842" s="1224"/>
    </row>
    <row r="843" spans="1:22">
      <c r="A843" s="1289"/>
      <c r="B843" s="1123"/>
      <c r="C843" s="1123"/>
      <c r="D843" s="1123"/>
      <c r="E843" s="1123"/>
      <c r="G843" s="1123"/>
      <c r="H843" s="1123"/>
      <c r="I843" s="1123"/>
      <c r="J843" s="1123"/>
      <c r="K843" s="1123"/>
      <c r="L843" s="1123"/>
      <c r="M843" s="1123"/>
      <c r="N843" s="1123"/>
      <c r="V843" s="1224"/>
    </row>
    <row r="844" spans="1:22">
      <c r="A844" s="1289"/>
      <c r="B844" s="1123"/>
      <c r="C844" s="1123"/>
      <c r="D844" s="1123"/>
      <c r="E844" s="1123"/>
      <c r="G844" s="1123"/>
      <c r="H844" s="1123"/>
      <c r="I844" s="1123"/>
      <c r="J844" s="1123"/>
      <c r="K844" s="1123"/>
      <c r="L844" s="1123"/>
      <c r="M844" s="1123"/>
      <c r="N844" s="1123"/>
      <c r="V844" s="1224"/>
    </row>
    <row r="845" spans="1:22">
      <c r="A845" s="1289"/>
      <c r="B845" s="1123"/>
      <c r="C845" s="1123"/>
      <c r="D845" s="1123"/>
      <c r="E845" s="1123"/>
      <c r="G845" s="1123"/>
      <c r="H845" s="1123"/>
      <c r="I845" s="1123"/>
      <c r="J845" s="1123"/>
      <c r="K845" s="1123"/>
      <c r="L845" s="1123"/>
      <c r="M845" s="1123"/>
      <c r="N845" s="1123"/>
      <c r="V845" s="1224"/>
    </row>
    <row r="846" spans="1:22">
      <c r="A846" s="1289"/>
      <c r="B846" s="1123"/>
      <c r="C846" s="1123"/>
      <c r="D846" s="1123"/>
      <c r="E846" s="1123"/>
      <c r="G846" s="1123"/>
      <c r="H846" s="1123"/>
      <c r="I846" s="1123"/>
      <c r="J846" s="1123"/>
      <c r="K846" s="1123"/>
      <c r="L846" s="1123"/>
      <c r="M846" s="1123"/>
      <c r="N846" s="1123"/>
      <c r="V846" s="1224"/>
    </row>
    <row r="847" spans="1:22">
      <c r="A847" s="1289"/>
      <c r="B847" s="1123"/>
      <c r="C847" s="1123"/>
      <c r="D847" s="1123"/>
      <c r="E847" s="1123"/>
      <c r="G847" s="1123"/>
      <c r="H847" s="1123"/>
      <c r="I847" s="1123"/>
      <c r="J847" s="1123"/>
      <c r="K847" s="1123"/>
      <c r="L847" s="1123"/>
      <c r="M847" s="1123"/>
      <c r="N847" s="1123"/>
      <c r="V847" s="1224"/>
    </row>
    <row r="848" spans="1:22">
      <c r="A848" s="1289"/>
      <c r="B848" s="1123"/>
      <c r="C848" s="1123"/>
      <c r="D848" s="1123"/>
      <c r="E848" s="1123"/>
      <c r="G848" s="1123"/>
      <c r="H848" s="1123"/>
      <c r="I848" s="1123"/>
      <c r="J848" s="1123"/>
      <c r="K848" s="1123"/>
      <c r="L848" s="1123"/>
      <c r="M848" s="1123"/>
      <c r="N848" s="1123"/>
      <c r="V848" s="1224"/>
    </row>
    <row r="849" spans="1:22">
      <c r="A849" s="1289"/>
      <c r="B849" s="1123"/>
      <c r="C849" s="1123"/>
      <c r="D849" s="1123"/>
      <c r="E849" s="1123"/>
      <c r="G849" s="1123"/>
      <c r="H849" s="1123"/>
      <c r="I849" s="1123"/>
      <c r="J849" s="1123"/>
      <c r="K849" s="1123"/>
      <c r="L849" s="1123"/>
      <c r="M849" s="1123"/>
      <c r="N849" s="1123"/>
      <c r="V849" s="1224"/>
    </row>
    <row r="850" spans="1:22">
      <c r="A850" s="1289"/>
      <c r="B850" s="1123"/>
      <c r="C850" s="1123"/>
      <c r="D850" s="1123"/>
      <c r="E850" s="1123"/>
      <c r="G850" s="1123"/>
      <c r="H850" s="1123"/>
      <c r="I850" s="1123"/>
      <c r="J850" s="1123"/>
      <c r="K850" s="1123"/>
      <c r="L850" s="1123"/>
      <c r="M850" s="1123"/>
      <c r="N850" s="1123"/>
      <c r="V850" s="1224"/>
    </row>
    <row r="851" spans="1:22">
      <c r="A851" s="1289"/>
      <c r="B851" s="1123"/>
      <c r="C851" s="1123"/>
      <c r="D851" s="1123"/>
      <c r="E851" s="1123"/>
      <c r="G851" s="1123"/>
      <c r="H851" s="1123"/>
      <c r="I851" s="1123"/>
      <c r="J851" s="1123"/>
      <c r="K851" s="1123"/>
      <c r="L851" s="1123"/>
      <c r="M851" s="1123"/>
      <c r="N851" s="1123"/>
      <c r="V851" s="1224"/>
    </row>
    <row r="852" spans="1:22">
      <c r="A852" s="1289"/>
      <c r="B852" s="1123"/>
      <c r="C852" s="1123"/>
      <c r="D852" s="1123"/>
      <c r="E852" s="1123"/>
      <c r="G852" s="1123"/>
      <c r="H852" s="1123"/>
      <c r="I852" s="1123"/>
      <c r="J852" s="1123"/>
      <c r="K852" s="1123"/>
      <c r="L852" s="1123"/>
      <c r="M852" s="1123"/>
      <c r="N852" s="1123"/>
      <c r="V852" s="1224"/>
    </row>
    <row r="853" spans="1:22">
      <c r="A853" s="1289"/>
      <c r="B853" s="1123"/>
      <c r="C853" s="1123"/>
      <c r="D853" s="1123"/>
      <c r="E853" s="1123"/>
      <c r="G853" s="1123"/>
      <c r="H853" s="1123"/>
      <c r="I853" s="1123"/>
      <c r="J853" s="1123"/>
      <c r="K853" s="1123"/>
      <c r="L853" s="1123"/>
      <c r="M853" s="1123"/>
      <c r="N853" s="1123"/>
      <c r="V853" s="1224"/>
    </row>
    <row r="854" spans="1:22">
      <c r="A854" s="1289"/>
      <c r="B854" s="1123"/>
      <c r="C854" s="1123"/>
      <c r="D854" s="1123"/>
      <c r="E854" s="1123"/>
      <c r="G854" s="1123"/>
      <c r="H854" s="1123"/>
      <c r="I854" s="1123"/>
      <c r="J854" s="1123"/>
      <c r="K854" s="1123"/>
      <c r="L854" s="1123"/>
      <c r="M854" s="1123"/>
      <c r="N854" s="1123"/>
      <c r="V854" s="1224"/>
    </row>
    <row r="855" spans="1:22">
      <c r="A855" s="1289"/>
      <c r="B855" s="1123"/>
      <c r="C855" s="1123"/>
      <c r="D855" s="1123"/>
      <c r="E855" s="1123"/>
      <c r="G855" s="1123"/>
      <c r="H855" s="1123"/>
      <c r="I855" s="1123"/>
      <c r="J855" s="1123"/>
      <c r="K855" s="1123"/>
      <c r="L855" s="1123"/>
      <c r="M855" s="1123"/>
      <c r="N855" s="1123"/>
      <c r="V855" s="1224"/>
    </row>
    <row r="856" spans="1:22">
      <c r="A856" s="1289"/>
      <c r="B856" s="1123"/>
      <c r="C856" s="1123"/>
      <c r="D856" s="1123"/>
      <c r="E856" s="1123"/>
      <c r="G856" s="1123"/>
      <c r="H856" s="1123"/>
      <c r="I856" s="1123"/>
      <c r="J856" s="1123"/>
      <c r="K856" s="1123"/>
      <c r="L856" s="1123"/>
      <c r="M856" s="1123"/>
      <c r="N856" s="1123"/>
      <c r="V856" s="1224"/>
    </row>
    <row r="857" spans="1:22">
      <c r="A857" s="1289"/>
      <c r="B857" s="1123"/>
      <c r="C857" s="1123"/>
      <c r="D857" s="1123"/>
      <c r="E857" s="1123"/>
      <c r="G857" s="1123"/>
      <c r="H857" s="1123"/>
      <c r="I857" s="1123"/>
      <c r="J857" s="1123"/>
      <c r="K857" s="1123"/>
      <c r="L857" s="1123"/>
      <c r="M857" s="1123"/>
      <c r="N857" s="1123"/>
      <c r="V857" s="1224"/>
    </row>
    <row r="858" spans="1:22">
      <c r="A858" s="1289"/>
      <c r="B858" s="1123"/>
      <c r="C858" s="1123"/>
      <c r="D858" s="1123"/>
      <c r="E858" s="1123"/>
      <c r="G858" s="1123"/>
      <c r="H858" s="1123"/>
      <c r="I858" s="1123"/>
      <c r="J858" s="1123"/>
      <c r="K858" s="1123"/>
      <c r="L858" s="1123"/>
      <c r="M858" s="1123"/>
      <c r="N858" s="1123"/>
      <c r="V858" s="1224"/>
    </row>
    <row r="859" spans="1:22">
      <c r="A859" s="1289"/>
      <c r="B859" s="1123"/>
      <c r="C859" s="1123"/>
      <c r="D859" s="1123"/>
      <c r="E859" s="1123"/>
      <c r="G859" s="1123"/>
      <c r="H859" s="1123"/>
      <c r="I859" s="1123"/>
      <c r="J859" s="1123"/>
      <c r="K859" s="1123"/>
      <c r="L859" s="1123"/>
      <c r="M859" s="1123"/>
      <c r="N859" s="1123"/>
      <c r="V859" s="1224"/>
    </row>
    <row r="860" spans="1:22">
      <c r="A860" s="1289"/>
      <c r="B860" s="1123"/>
      <c r="C860" s="1123"/>
      <c r="D860" s="1123"/>
      <c r="E860" s="1123"/>
      <c r="G860" s="1123"/>
      <c r="H860" s="1123"/>
      <c r="I860" s="1123"/>
      <c r="J860" s="1123"/>
      <c r="K860" s="1123"/>
      <c r="L860" s="1123"/>
      <c r="M860" s="1123"/>
      <c r="N860" s="1123"/>
      <c r="V860" s="1224"/>
    </row>
    <row r="861" spans="1:22">
      <c r="A861" s="1289"/>
      <c r="B861" s="1123"/>
      <c r="C861" s="1123"/>
      <c r="D861" s="1123"/>
      <c r="E861" s="1123"/>
      <c r="G861" s="1123"/>
      <c r="H861" s="1123"/>
      <c r="I861" s="1123"/>
      <c r="J861" s="1123"/>
      <c r="K861" s="1123"/>
      <c r="L861" s="1123"/>
      <c r="M861" s="1123"/>
      <c r="N861" s="1123"/>
      <c r="V861" s="1224"/>
    </row>
    <row r="862" spans="1:22">
      <c r="A862" s="1289"/>
      <c r="B862" s="1123"/>
      <c r="C862" s="1123"/>
      <c r="D862" s="1123"/>
      <c r="E862" s="1123"/>
      <c r="G862" s="1123"/>
      <c r="H862" s="1123"/>
      <c r="I862" s="1123"/>
      <c r="J862" s="1123"/>
      <c r="K862" s="1123"/>
      <c r="L862" s="1123"/>
      <c r="M862" s="1123"/>
      <c r="N862" s="1123"/>
      <c r="V862" s="1224"/>
    </row>
    <row r="863" spans="1:22">
      <c r="A863" s="1289"/>
      <c r="B863" s="1123"/>
      <c r="C863" s="1123"/>
      <c r="D863" s="1123"/>
      <c r="E863" s="1123"/>
      <c r="G863" s="1123"/>
      <c r="H863" s="1123"/>
      <c r="I863" s="1123"/>
      <c r="J863" s="1123"/>
      <c r="K863" s="1123"/>
      <c r="L863" s="1123"/>
      <c r="M863" s="1123"/>
      <c r="N863" s="1123"/>
      <c r="V863" s="1224"/>
    </row>
    <row r="864" spans="1:22">
      <c r="A864" s="1289"/>
      <c r="B864" s="1123"/>
      <c r="C864" s="1123"/>
      <c r="D864" s="1123"/>
      <c r="E864" s="1123"/>
      <c r="G864" s="1123"/>
      <c r="H864" s="1123"/>
      <c r="I864" s="1123"/>
      <c r="J864" s="1123"/>
      <c r="K864" s="1123"/>
      <c r="L864" s="1123"/>
      <c r="M864" s="1123"/>
      <c r="N864" s="1123"/>
      <c r="V864" s="1224"/>
    </row>
    <row r="865" spans="1:22">
      <c r="A865" s="1289"/>
      <c r="B865" s="1123"/>
      <c r="C865" s="1123"/>
      <c r="D865" s="1123"/>
      <c r="E865" s="1123"/>
      <c r="G865" s="1123"/>
      <c r="H865" s="1123"/>
      <c r="I865" s="1123"/>
      <c r="J865" s="1123"/>
      <c r="K865" s="1123"/>
      <c r="L865" s="1123"/>
      <c r="M865" s="1123"/>
      <c r="N865" s="1123"/>
      <c r="V865" s="1224"/>
    </row>
    <row r="866" spans="1:22">
      <c r="A866" s="1289"/>
      <c r="B866" s="1123"/>
      <c r="C866" s="1123"/>
      <c r="D866" s="1123"/>
      <c r="E866" s="1123"/>
      <c r="G866" s="1123"/>
      <c r="H866" s="1123"/>
      <c r="I866" s="1123"/>
      <c r="J866" s="1123"/>
      <c r="K866" s="1123"/>
      <c r="L866" s="1123"/>
      <c r="M866" s="1123"/>
      <c r="N866" s="1123"/>
      <c r="V866" s="1224"/>
    </row>
    <row r="867" spans="1:22">
      <c r="A867" s="1289"/>
      <c r="B867" s="1123"/>
      <c r="C867" s="1123"/>
      <c r="D867" s="1123"/>
      <c r="E867" s="1123"/>
      <c r="G867" s="1123"/>
      <c r="H867" s="1123"/>
      <c r="I867" s="1123"/>
      <c r="J867" s="1123"/>
      <c r="K867" s="1123"/>
      <c r="L867" s="1123"/>
      <c r="M867" s="1123"/>
      <c r="N867" s="1123"/>
      <c r="V867" s="1224"/>
    </row>
    <row r="868" spans="1:22">
      <c r="A868" s="1289"/>
      <c r="B868" s="1123"/>
      <c r="C868" s="1123"/>
      <c r="D868" s="1123"/>
      <c r="E868" s="1123"/>
      <c r="G868" s="1123"/>
      <c r="H868" s="1123"/>
      <c r="I868" s="1123"/>
      <c r="J868" s="1123"/>
      <c r="K868" s="1123"/>
      <c r="L868" s="1123"/>
      <c r="M868" s="1123"/>
      <c r="N868" s="1123"/>
      <c r="V868" s="1224"/>
    </row>
    <row r="869" spans="1:22">
      <c r="A869" s="1289"/>
      <c r="B869" s="1123"/>
      <c r="C869" s="1123"/>
      <c r="D869" s="1123"/>
      <c r="E869" s="1123"/>
      <c r="G869" s="1123"/>
      <c r="H869" s="1123"/>
      <c r="I869" s="1123"/>
      <c r="J869" s="1123"/>
      <c r="K869" s="1123"/>
      <c r="L869" s="1123"/>
      <c r="M869" s="1123"/>
      <c r="N869" s="1123"/>
      <c r="V869" s="1224"/>
    </row>
    <row r="870" spans="1:22">
      <c r="A870" s="1289"/>
      <c r="B870" s="1123"/>
      <c r="C870" s="1123"/>
      <c r="D870" s="1123"/>
      <c r="E870" s="1123"/>
      <c r="G870" s="1123"/>
      <c r="H870" s="1123"/>
      <c r="I870" s="1123"/>
      <c r="J870" s="1123"/>
      <c r="K870" s="1123"/>
      <c r="L870" s="1123"/>
      <c r="M870" s="1123"/>
      <c r="N870" s="1123"/>
      <c r="V870" s="1224"/>
    </row>
    <row r="871" spans="1:22">
      <c r="A871" s="1289"/>
      <c r="B871" s="1123"/>
      <c r="C871" s="1123"/>
      <c r="D871" s="1123"/>
      <c r="E871" s="1123"/>
      <c r="G871" s="1123"/>
      <c r="H871" s="1123"/>
      <c r="I871" s="1123"/>
      <c r="J871" s="1123"/>
      <c r="K871" s="1123"/>
      <c r="L871" s="1123"/>
      <c r="M871" s="1123"/>
      <c r="N871" s="1123"/>
      <c r="V871" s="1224"/>
    </row>
    <row r="872" spans="1:22">
      <c r="A872" s="1289"/>
      <c r="B872" s="1123"/>
      <c r="C872" s="1123"/>
      <c r="D872" s="1123"/>
      <c r="E872" s="1123"/>
      <c r="G872" s="1123"/>
      <c r="H872" s="1123"/>
      <c r="I872" s="1123"/>
      <c r="J872" s="1123"/>
      <c r="K872" s="1123"/>
      <c r="L872" s="1123"/>
      <c r="M872" s="1123"/>
      <c r="N872" s="1123"/>
      <c r="V872" s="1224"/>
    </row>
    <row r="873" spans="1:22">
      <c r="A873" s="1289"/>
      <c r="B873" s="1123"/>
      <c r="C873" s="1123"/>
      <c r="D873" s="1123"/>
      <c r="E873" s="1123"/>
      <c r="G873" s="1123"/>
      <c r="H873" s="1123"/>
      <c r="I873" s="1123"/>
      <c r="J873" s="1123"/>
      <c r="K873" s="1123"/>
      <c r="L873" s="1123"/>
      <c r="M873" s="1123"/>
      <c r="N873" s="1123"/>
      <c r="V873" s="1224"/>
    </row>
    <row r="874" spans="1:22">
      <c r="A874" s="1289"/>
      <c r="B874" s="1123"/>
      <c r="C874" s="1123"/>
      <c r="D874" s="1123"/>
      <c r="E874" s="1123"/>
      <c r="G874" s="1123"/>
      <c r="H874" s="1123"/>
      <c r="I874" s="1123"/>
      <c r="J874" s="1123"/>
      <c r="K874" s="1123"/>
      <c r="L874" s="1123"/>
      <c r="M874" s="1123"/>
      <c r="N874" s="1123"/>
      <c r="V874" s="1224"/>
    </row>
    <row r="875" spans="1:22">
      <c r="A875" s="1289"/>
      <c r="B875" s="1123"/>
      <c r="C875" s="1123"/>
      <c r="D875" s="1123"/>
      <c r="E875" s="1123"/>
      <c r="G875" s="1123"/>
      <c r="H875" s="1123"/>
      <c r="I875" s="1123"/>
      <c r="J875" s="1123"/>
      <c r="K875" s="1123"/>
      <c r="L875" s="1123"/>
      <c r="M875" s="1123"/>
      <c r="N875" s="1123"/>
      <c r="V875" s="1224"/>
    </row>
    <row r="876" spans="1:22">
      <c r="A876" s="1289"/>
      <c r="B876" s="1123"/>
      <c r="C876" s="1123"/>
      <c r="D876" s="1123"/>
      <c r="E876" s="1123"/>
      <c r="G876" s="1123"/>
      <c r="H876" s="1123"/>
      <c r="I876" s="1123"/>
      <c r="J876" s="1123"/>
      <c r="K876" s="1123"/>
      <c r="L876" s="1123"/>
      <c r="M876" s="1123"/>
      <c r="N876" s="1123"/>
      <c r="V876" s="1224"/>
    </row>
    <row r="877" spans="1:22">
      <c r="A877" s="1289"/>
      <c r="B877" s="1123"/>
      <c r="C877" s="1123"/>
      <c r="D877" s="1123"/>
      <c r="E877" s="1123"/>
      <c r="G877" s="1123"/>
      <c r="H877" s="1123"/>
      <c r="I877" s="1123"/>
      <c r="J877" s="1123"/>
      <c r="K877" s="1123"/>
      <c r="L877" s="1123"/>
      <c r="M877" s="1123"/>
      <c r="N877" s="1123"/>
      <c r="V877" s="1224"/>
    </row>
    <row r="878" spans="1:22">
      <c r="A878" s="1289"/>
      <c r="B878" s="1123"/>
      <c r="C878" s="1123"/>
      <c r="D878" s="1123"/>
      <c r="E878" s="1123"/>
      <c r="G878" s="1123"/>
      <c r="H878" s="1123"/>
      <c r="I878" s="1123"/>
      <c r="J878" s="1123"/>
      <c r="K878" s="1123"/>
      <c r="L878" s="1123"/>
      <c r="M878" s="1123"/>
      <c r="N878" s="1123"/>
      <c r="V878" s="1224"/>
    </row>
    <row r="879" spans="1:22">
      <c r="A879" s="1289"/>
      <c r="B879" s="1123"/>
      <c r="C879" s="1123"/>
      <c r="D879" s="1123"/>
      <c r="E879" s="1123"/>
      <c r="G879" s="1123"/>
      <c r="H879" s="1123"/>
      <c r="I879" s="1123"/>
      <c r="J879" s="1123"/>
      <c r="K879" s="1123"/>
      <c r="L879" s="1123"/>
      <c r="M879" s="1123"/>
      <c r="N879" s="1123"/>
      <c r="V879" s="1224"/>
    </row>
    <row r="880" spans="1:22">
      <c r="A880" s="1289"/>
      <c r="B880" s="1123"/>
      <c r="C880" s="1123"/>
      <c r="D880" s="1123"/>
      <c r="E880" s="1123"/>
      <c r="G880" s="1123"/>
      <c r="H880" s="1123"/>
      <c r="I880" s="1123"/>
      <c r="J880" s="1123"/>
      <c r="K880" s="1123"/>
      <c r="L880" s="1123"/>
      <c r="M880" s="1123"/>
      <c r="N880" s="1123"/>
      <c r="V880" s="1224"/>
    </row>
    <row r="881" spans="1:22">
      <c r="A881" s="1289"/>
      <c r="B881" s="1123"/>
      <c r="C881" s="1123"/>
      <c r="D881" s="1123"/>
      <c r="E881" s="1123"/>
      <c r="G881" s="1123"/>
      <c r="H881" s="1123"/>
      <c r="I881" s="1123"/>
      <c r="J881" s="1123"/>
      <c r="K881" s="1123"/>
      <c r="L881" s="1123"/>
      <c r="M881" s="1123"/>
      <c r="N881" s="1123"/>
      <c r="V881" s="1224"/>
    </row>
    <row r="882" spans="1:22">
      <c r="A882" s="1289"/>
      <c r="B882" s="1123"/>
      <c r="C882" s="1123"/>
      <c r="D882" s="1123"/>
      <c r="E882" s="1123"/>
      <c r="G882" s="1123"/>
      <c r="H882" s="1123"/>
      <c r="I882" s="1123"/>
      <c r="J882" s="1123"/>
      <c r="K882" s="1123"/>
      <c r="L882" s="1123"/>
      <c r="M882" s="1123"/>
      <c r="N882" s="1123"/>
      <c r="V882" s="1224"/>
    </row>
    <row r="883" spans="1:22">
      <c r="A883" s="1289"/>
      <c r="B883" s="1123"/>
      <c r="C883" s="1123"/>
      <c r="D883" s="1123"/>
      <c r="E883" s="1123"/>
      <c r="G883" s="1123"/>
      <c r="H883" s="1123"/>
      <c r="I883" s="1123"/>
      <c r="J883" s="1123"/>
      <c r="K883" s="1123"/>
      <c r="L883" s="1123"/>
      <c r="M883" s="1123"/>
      <c r="N883" s="1123"/>
      <c r="V883" s="1224"/>
    </row>
    <row r="884" spans="1:22">
      <c r="A884" s="1289"/>
      <c r="B884" s="1123"/>
      <c r="C884" s="1123"/>
      <c r="D884" s="1123"/>
      <c r="E884" s="1123"/>
      <c r="G884" s="1123"/>
      <c r="H884" s="1123"/>
      <c r="I884" s="1123"/>
      <c r="J884" s="1123"/>
      <c r="K884" s="1123"/>
      <c r="L884" s="1123"/>
      <c r="M884" s="1123"/>
      <c r="N884" s="1123"/>
      <c r="V884" s="1224"/>
    </row>
    <row r="885" spans="1:22">
      <c r="A885" s="1289"/>
      <c r="B885" s="1123"/>
      <c r="C885" s="1123"/>
      <c r="D885" s="1123"/>
      <c r="E885" s="1123"/>
      <c r="G885" s="1123"/>
      <c r="H885" s="1123"/>
      <c r="I885" s="1123"/>
      <c r="J885" s="1123"/>
      <c r="K885" s="1123"/>
      <c r="L885" s="1123"/>
      <c r="M885" s="1123"/>
      <c r="N885" s="1123"/>
      <c r="V885" s="1224"/>
    </row>
    <row r="886" spans="1:22">
      <c r="A886" s="1289"/>
      <c r="B886" s="1123"/>
      <c r="C886" s="1123"/>
      <c r="D886" s="1123"/>
      <c r="E886" s="1123"/>
      <c r="G886" s="1123"/>
      <c r="H886" s="1123"/>
      <c r="I886" s="1123"/>
      <c r="J886" s="1123"/>
      <c r="K886" s="1123"/>
      <c r="L886" s="1123"/>
      <c r="M886" s="1123"/>
      <c r="N886" s="1123"/>
      <c r="V886" s="1224"/>
    </row>
    <row r="887" spans="1:22">
      <c r="A887" s="1289"/>
      <c r="B887" s="1123"/>
      <c r="C887" s="1123"/>
      <c r="D887" s="1123"/>
      <c r="E887" s="1123"/>
      <c r="G887" s="1123"/>
      <c r="H887" s="1123"/>
      <c r="I887" s="1123"/>
      <c r="J887" s="1123"/>
      <c r="K887" s="1123"/>
      <c r="L887" s="1123"/>
      <c r="M887" s="1123"/>
      <c r="N887" s="1123"/>
      <c r="V887" s="1224"/>
    </row>
    <row r="888" spans="1:22">
      <c r="A888" s="1289"/>
      <c r="B888" s="1123"/>
      <c r="C888" s="1123"/>
      <c r="D888" s="1123"/>
      <c r="E888" s="1123"/>
      <c r="G888" s="1123"/>
      <c r="H888" s="1123"/>
      <c r="I888" s="1123"/>
      <c r="J888" s="1123"/>
      <c r="K888" s="1123"/>
      <c r="L888" s="1123"/>
      <c r="M888" s="1123"/>
      <c r="N888" s="1123"/>
      <c r="V888" s="1224"/>
    </row>
    <row r="889" spans="1:22">
      <c r="A889" s="1289"/>
      <c r="B889" s="1123"/>
      <c r="C889" s="1123"/>
      <c r="D889" s="1123"/>
      <c r="E889" s="1123"/>
      <c r="G889" s="1123"/>
      <c r="H889" s="1123"/>
      <c r="I889" s="1123"/>
      <c r="J889" s="1123"/>
      <c r="K889" s="1123"/>
      <c r="L889" s="1123"/>
      <c r="M889" s="1123"/>
      <c r="N889" s="1123"/>
      <c r="V889" s="1224"/>
    </row>
    <row r="890" spans="1:22">
      <c r="A890" s="1289"/>
      <c r="B890" s="1123"/>
      <c r="C890" s="1123"/>
      <c r="D890" s="1123"/>
      <c r="E890" s="1123"/>
      <c r="G890" s="1123"/>
      <c r="H890" s="1123"/>
      <c r="I890" s="1123"/>
      <c r="J890" s="1123"/>
      <c r="K890" s="1123"/>
      <c r="L890" s="1123"/>
      <c r="M890" s="1123"/>
      <c r="N890" s="1123"/>
      <c r="V890" s="1224"/>
    </row>
    <row r="891" spans="1:22">
      <c r="A891" s="1289"/>
      <c r="B891" s="1123"/>
      <c r="C891" s="1123"/>
      <c r="D891" s="1123"/>
      <c r="E891" s="1123"/>
      <c r="G891" s="1123"/>
      <c r="H891" s="1123"/>
      <c r="I891" s="1123"/>
      <c r="J891" s="1123"/>
      <c r="K891" s="1123"/>
      <c r="L891" s="1123"/>
      <c r="M891" s="1123"/>
      <c r="N891" s="1123"/>
      <c r="V891" s="1224"/>
    </row>
    <row r="892" spans="1:22">
      <c r="A892" s="1289"/>
      <c r="B892" s="1123"/>
      <c r="C892" s="1123"/>
      <c r="D892" s="1123"/>
      <c r="E892" s="1123"/>
      <c r="G892" s="1123"/>
      <c r="H892" s="1123"/>
      <c r="I892" s="1123"/>
      <c r="J892" s="1123"/>
      <c r="K892" s="1123"/>
      <c r="L892" s="1123"/>
      <c r="M892" s="1123"/>
      <c r="N892" s="1123"/>
      <c r="V892" s="1224"/>
    </row>
    <row r="893" spans="1:22">
      <c r="A893" s="1289"/>
      <c r="B893" s="1123"/>
      <c r="C893" s="1123"/>
      <c r="D893" s="1123"/>
      <c r="E893" s="1123"/>
      <c r="G893" s="1123"/>
      <c r="H893" s="1123"/>
      <c r="I893" s="1123"/>
      <c r="J893" s="1123"/>
      <c r="K893" s="1123"/>
      <c r="L893" s="1123"/>
      <c r="M893" s="1123"/>
      <c r="N893" s="1123"/>
      <c r="V893" s="1224"/>
    </row>
    <row r="894" spans="1:22">
      <c r="A894" s="1289"/>
      <c r="B894" s="1123"/>
      <c r="C894" s="1123"/>
      <c r="D894" s="1123"/>
      <c r="E894" s="1123"/>
      <c r="G894" s="1123"/>
      <c r="H894" s="1123"/>
      <c r="I894" s="1123"/>
      <c r="J894" s="1123"/>
      <c r="K894" s="1123"/>
      <c r="L894" s="1123"/>
      <c r="M894" s="1123"/>
      <c r="N894" s="1123"/>
      <c r="V894" s="1224"/>
    </row>
    <row r="895" spans="1:22">
      <c r="A895" s="1289"/>
      <c r="B895" s="1123"/>
      <c r="C895" s="1123"/>
      <c r="D895" s="1123"/>
      <c r="E895" s="1123"/>
      <c r="G895" s="1123"/>
      <c r="H895" s="1123"/>
      <c r="I895" s="1123"/>
      <c r="J895" s="1123"/>
      <c r="K895" s="1123"/>
      <c r="L895" s="1123"/>
      <c r="M895" s="1123"/>
      <c r="N895" s="1123"/>
      <c r="V895" s="1224"/>
    </row>
    <row r="896" spans="1:22">
      <c r="A896" s="1289"/>
      <c r="B896" s="1123"/>
      <c r="C896" s="1123"/>
      <c r="D896" s="1123"/>
      <c r="E896" s="1123"/>
      <c r="G896" s="1123"/>
      <c r="H896" s="1123"/>
      <c r="I896" s="1123"/>
      <c r="J896" s="1123"/>
      <c r="K896" s="1123"/>
      <c r="L896" s="1123"/>
      <c r="M896" s="1123"/>
      <c r="N896" s="1123"/>
      <c r="V896" s="1224"/>
    </row>
    <row r="897" spans="1:22">
      <c r="A897" s="1289"/>
      <c r="B897" s="1123"/>
      <c r="C897" s="1123"/>
      <c r="D897" s="1123"/>
      <c r="E897" s="1123"/>
      <c r="G897" s="1123"/>
      <c r="H897" s="1123"/>
      <c r="I897" s="1123"/>
      <c r="J897" s="1123"/>
      <c r="K897" s="1123"/>
      <c r="L897" s="1123"/>
      <c r="M897" s="1123"/>
      <c r="N897" s="1123"/>
      <c r="V897" s="1224"/>
    </row>
    <row r="898" spans="1:22">
      <c r="A898" s="1289"/>
      <c r="B898" s="1123"/>
      <c r="C898" s="1123"/>
      <c r="D898" s="1123"/>
      <c r="E898" s="1123"/>
      <c r="G898" s="1123"/>
      <c r="H898" s="1123"/>
      <c r="I898" s="1123"/>
      <c r="J898" s="1123"/>
      <c r="K898" s="1123"/>
      <c r="L898" s="1123"/>
      <c r="M898" s="1123"/>
      <c r="N898" s="1123"/>
      <c r="V898" s="1224"/>
    </row>
    <row r="899" spans="1:22">
      <c r="A899" s="1289"/>
      <c r="B899" s="1123"/>
      <c r="C899" s="1123"/>
      <c r="D899" s="1123"/>
      <c r="E899" s="1123"/>
      <c r="G899" s="1123"/>
      <c r="H899" s="1123"/>
      <c r="I899" s="1123"/>
      <c r="J899" s="1123"/>
      <c r="K899" s="1123"/>
      <c r="L899" s="1123"/>
      <c r="M899" s="1123"/>
      <c r="N899" s="1123"/>
      <c r="V899" s="1224"/>
    </row>
    <row r="900" spans="1:22">
      <c r="A900" s="1289"/>
      <c r="B900" s="1123"/>
      <c r="C900" s="1123"/>
      <c r="D900" s="1123"/>
      <c r="E900" s="1123"/>
      <c r="G900" s="1123"/>
      <c r="H900" s="1123"/>
      <c r="I900" s="1123"/>
      <c r="J900" s="1123"/>
      <c r="K900" s="1123"/>
      <c r="L900" s="1123"/>
      <c r="M900" s="1123"/>
      <c r="N900" s="1123"/>
      <c r="V900" s="1224"/>
    </row>
    <row r="901" spans="1:22">
      <c r="A901" s="1289"/>
      <c r="B901" s="1123"/>
      <c r="C901" s="1123"/>
      <c r="D901" s="1123"/>
      <c r="E901" s="1123"/>
      <c r="G901" s="1123"/>
      <c r="H901" s="1123"/>
      <c r="I901" s="1123"/>
      <c r="J901" s="1123"/>
      <c r="K901" s="1123"/>
      <c r="L901" s="1123"/>
      <c r="M901" s="1123"/>
      <c r="N901" s="1123"/>
      <c r="V901" s="1224"/>
    </row>
    <row r="902" spans="1:22">
      <c r="A902" s="1289"/>
      <c r="B902" s="1123"/>
      <c r="C902" s="1123"/>
      <c r="D902" s="1123"/>
      <c r="E902" s="1123"/>
      <c r="G902" s="1123"/>
      <c r="H902" s="1123"/>
      <c r="I902" s="1123"/>
      <c r="J902" s="1123"/>
      <c r="K902" s="1123"/>
      <c r="L902" s="1123"/>
      <c r="M902" s="1123"/>
      <c r="N902" s="1123"/>
      <c r="V902" s="1224"/>
    </row>
    <row r="903" spans="1:22">
      <c r="A903" s="1289"/>
      <c r="B903" s="1123"/>
      <c r="C903" s="1123"/>
      <c r="D903" s="1123"/>
      <c r="E903" s="1123"/>
      <c r="G903" s="1123"/>
      <c r="H903" s="1123"/>
      <c r="I903" s="1123"/>
      <c r="J903" s="1123"/>
      <c r="K903" s="1123"/>
      <c r="L903" s="1123"/>
      <c r="M903" s="1123"/>
      <c r="N903" s="1123"/>
      <c r="V903" s="1224"/>
    </row>
    <row r="904" spans="1:22">
      <c r="A904" s="1289"/>
      <c r="B904" s="1123"/>
      <c r="C904" s="1123"/>
      <c r="D904" s="1123"/>
      <c r="E904" s="1123"/>
      <c r="G904" s="1123"/>
      <c r="H904" s="1123"/>
      <c r="I904" s="1123"/>
      <c r="J904" s="1123"/>
      <c r="K904" s="1123"/>
      <c r="L904" s="1123"/>
      <c r="M904" s="1123"/>
      <c r="N904" s="1123"/>
      <c r="V904" s="1224"/>
    </row>
    <row r="905" spans="1:22">
      <c r="A905" s="1289"/>
      <c r="B905" s="1123"/>
      <c r="C905" s="1123"/>
      <c r="D905" s="1123"/>
      <c r="E905" s="1123"/>
      <c r="G905" s="1123"/>
      <c r="H905" s="1123"/>
      <c r="I905" s="1123"/>
      <c r="J905" s="1123"/>
      <c r="K905" s="1123"/>
      <c r="L905" s="1123"/>
      <c r="M905" s="1123"/>
      <c r="N905" s="1123"/>
      <c r="V905" s="1224"/>
    </row>
    <row r="906" spans="1:22">
      <c r="A906" s="1289"/>
      <c r="B906" s="1123"/>
      <c r="C906" s="1123"/>
      <c r="D906" s="1123"/>
      <c r="E906" s="1123"/>
      <c r="G906" s="1123"/>
      <c r="H906" s="1123"/>
      <c r="I906" s="1123"/>
      <c r="J906" s="1123"/>
      <c r="K906" s="1123"/>
      <c r="L906" s="1123"/>
      <c r="M906" s="1123"/>
      <c r="N906" s="1123"/>
      <c r="V906" s="1224"/>
    </row>
    <row r="907" spans="1:22">
      <c r="A907" s="1289"/>
      <c r="B907" s="1123"/>
      <c r="C907" s="1123"/>
      <c r="D907" s="1123"/>
      <c r="E907" s="1123"/>
      <c r="G907" s="1123"/>
      <c r="H907" s="1123"/>
      <c r="I907" s="1123"/>
      <c r="J907" s="1123"/>
      <c r="K907" s="1123"/>
      <c r="L907" s="1123"/>
      <c r="M907" s="1123"/>
      <c r="N907" s="1123"/>
      <c r="V907" s="1224"/>
    </row>
    <row r="908" spans="1:22">
      <c r="A908" s="1289"/>
      <c r="B908" s="1123"/>
      <c r="C908" s="1123"/>
      <c r="D908" s="1123"/>
      <c r="E908" s="1123"/>
      <c r="G908" s="1123"/>
      <c r="H908" s="1123"/>
      <c r="I908" s="1123"/>
      <c r="J908" s="1123"/>
      <c r="K908" s="1123"/>
      <c r="L908" s="1123"/>
      <c r="M908" s="1123"/>
      <c r="N908" s="1123"/>
      <c r="V908" s="1224"/>
    </row>
    <row r="909" spans="1:22">
      <c r="A909" s="1289"/>
      <c r="B909" s="1123"/>
      <c r="C909" s="1123"/>
      <c r="D909" s="1123"/>
      <c r="E909" s="1123"/>
      <c r="G909" s="1123"/>
      <c r="H909" s="1123"/>
      <c r="I909" s="1123"/>
      <c r="J909" s="1123"/>
      <c r="K909" s="1123"/>
      <c r="L909" s="1123"/>
      <c r="M909" s="1123"/>
      <c r="N909" s="1123"/>
      <c r="V909" s="1224"/>
    </row>
    <row r="910" spans="1:22">
      <c r="A910" s="1289"/>
      <c r="B910" s="1123"/>
      <c r="C910" s="1123"/>
      <c r="D910" s="1123"/>
      <c r="E910" s="1123"/>
      <c r="G910" s="1123"/>
      <c r="H910" s="1123"/>
      <c r="I910" s="1123"/>
      <c r="J910" s="1123"/>
      <c r="K910" s="1123"/>
      <c r="L910" s="1123"/>
      <c r="M910" s="1123"/>
      <c r="N910" s="1123"/>
      <c r="V910" s="1224"/>
    </row>
    <row r="911" spans="1:22">
      <c r="A911" s="1289"/>
      <c r="B911" s="1123"/>
      <c r="C911" s="1123"/>
      <c r="D911" s="1123"/>
      <c r="E911" s="1123"/>
      <c r="G911" s="1123"/>
      <c r="H911" s="1123"/>
      <c r="I911" s="1123"/>
      <c r="J911" s="1123"/>
      <c r="K911" s="1123"/>
      <c r="L911" s="1123"/>
      <c r="M911" s="1123"/>
      <c r="N911" s="1123"/>
      <c r="V911" s="1224"/>
    </row>
    <row r="912" spans="1:22">
      <c r="A912" s="1289"/>
      <c r="B912" s="1123"/>
      <c r="C912" s="1123"/>
      <c r="D912" s="1123"/>
      <c r="E912" s="1123"/>
      <c r="G912" s="1123"/>
      <c r="H912" s="1123"/>
      <c r="I912" s="1123"/>
      <c r="J912" s="1123"/>
      <c r="K912" s="1123"/>
      <c r="L912" s="1123"/>
      <c r="M912" s="1123"/>
      <c r="N912" s="1123"/>
      <c r="V912" s="1224"/>
    </row>
    <row r="913" spans="1:22">
      <c r="A913" s="1289"/>
      <c r="B913" s="1123"/>
      <c r="C913" s="1123"/>
      <c r="D913" s="1123"/>
      <c r="E913" s="1123"/>
      <c r="G913" s="1123"/>
      <c r="H913" s="1123"/>
      <c r="I913" s="1123"/>
      <c r="J913" s="1123"/>
      <c r="K913" s="1123"/>
      <c r="L913" s="1123"/>
      <c r="M913" s="1123"/>
      <c r="N913" s="1123"/>
      <c r="V913" s="1224"/>
    </row>
    <row r="914" spans="1:22">
      <c r="A914" s="1289"/>
      <c r="B914" s="1123"/>
      <c r="C914" s="1123"/>
      <c r="D914" s="1123"/>
      <c r="E914" s="1123"/>
      <c r="G914" s="1123"/>
      <c r="H914" s="1123"/>
      <c r="I914" s="1123"/>
      <c r="J914" s="1123"/>
      <c r="K914" s="1123"/>
      <c r="L914" s="1123"/>
      <c r="M914" s="1123"/>
      <c r="N914" s="1123"/>
      <c r="V914" s="1224"/>
    </row>
    <row r="915" spans="1:22">
      <c r="A915" s="1289"/>
      <c r="B915" s="1123"/>
      <c r="C915" s="1123"/>
      <c r="D915" s="1123"/>
      <c r="E915" s="1123"/>
      <c r="G915" s="1123"/>
      <c r="H915" s="1123"/>
      <c r="I915" s="1123"/>
      <c r="J915" s="1123"/>
      <c r="K915" s="1123"/>
      <c r="L915" s="1123"/>
      <c r="M915" s="1123"/>
      <c r="N915" s="1123"/>
      <c r="V915" s="1224"/>
    </row>
    <row r="916" spans="1:22">
      <c r="A916" s="1289"/>
      <c r="B916" s="1123"/>
      <c r="C916" s="1123"/>
      <c r="D916" s="1123"/>
      <c r="E916" s="1123"/>
      <c r="G916" s="1123"/>
      <c r="H916" s="1123"/>
      <c r="I916" s="1123"/>
      <c r="J916" s="1123"/>
      <c r="K916" s="1123"/>
      <c r="L916" s="1123"/>
      <c r="M916" s="1123"/>
      <c r="N916" s="1123"/>
      <c r="V916" s="1224"/>
    </row>
    <row r="917" spans="1:22">
      <c r="A917" s="1289"/>
      <c r="B917" s="1123"/>
      <c r="C917" s="1123"/>
      <c r="D917" s="1123"/>
      <c r="E917" s="1123"/>
      <c r="G917" s="1123"/>
      <c r="H917" s="1123"/>
      <c r="I917" s="1123"/>
      <c r="J917" s="1123"/>
      <c r="K917" s="1123"/>
      <c r="L917" s="1123"/>
      <c r="M917" s="1123"/>
      <c r="N917" s="1123"/>
      <c r="V917" s="1224"/>
    </row>
    <row r="918" spans="1:22">
      <c r="A918" s="1289"/>
      <c r="B918" s="1123"/>
      <c r="C918" s="1123"/>
      <c r="D918" s="1123"/>
      <c r="E918" s="1123"/>
      <c r="G918" s="1123"/>
      <c r="H918" s="1123"/>
      <c r="I918" s="1123"/>
      <c r="J918" s="1123"/>
      <c r="K918" s="1123"/>
      <c r="L918" s="1123"/>
      <c r="M918" s="1123"/>
      <c r="N918" s="1123"/>
      <c r="V918" s="1224"/>
    </row>
    <row r="919" spans="1:22">
      <c r="A919" s="1289"/>
      <c r="B919" s="1123"/>
      <c r="C919" s="1123"/>
      <c r="D919" s="1123"/>
      <c r="E919" s="1123"/>
      <c r="G919" s="1123"/>
      <c r="H919" s="1123"/>
      <c r="I919" s="1123"/>
      <c r="J919" s="1123"/>
      <c r="K919" s="1123"/>
      <c r="L919" s="1123"/>
      <c r="M919" s="1123"/>
      <c r="N919" s="1123"/>
      <c r="V919" s="1224"/>
    </row>
    <row r="920" spans="1:22">
      <c r="A920" s="1289"/>
      <c r="B920" s="1123"/>
      <c r="C920" s="1123"/>
      <c r="D920" s="1123"/>
      <c r="E920" s="1123"/>
      <c r="G920" s="1123"/>
      <c r="H920" s="1123"/>
      <c r="I920" s="1123"/>
      <c r="J920" s="1123"/>
      <c r="K920" s="1123"/>
      <c r="L920" s="1123"/>
      <c r="M920" s="1123"/>
      <c r="N920" s="1123"/>
      <c r="V920" s="1224"/>
    </row>
    <row r="921" spans="1:22">
      <c r="A921" s="1289"/>
      <c r="B921" s="1123"/>
      <c r="C921" s="1123"/>
      <c r="D921" s="1123"/>
      <c r="E921" s="1123"/>
      <c r="G921" s="1123"/>
      <c r="H921" s="1123"/>
      <c r="I921" s="1123"/>
      <c r="J921" s="1123"/>
      <c r="K921" s="1123"/>
      <c r="L921" s="1123"/>
      <c r="M921" s="1123"/>
      <c r="N921" s="1123"/>
      <c r="V921" s="1224"/>
    </row>
    <row r="922" spans="1:22">
      <c r="A922" s="1289"/>
      <c r="B922" s="1123"/>
      <c r="C922" s="1123"/>
      <c r="D922" s="1123"/>
      <c r="E922" s="1123"/>
      <c r="G922" s="1123"/>
      <c r="H922" s="1123"/>
      <c r="I922" s="1123"/>
      <c r="J922" s="1123"/>
      <c r="K922" s="1123"/>
      <c r="L922" s="1123"/>
      <c r="M922" s="1123"/>
      <c r="N922" s="1123"/>
      <c r="V922" s="1224"/>
    </row>
    <row r="923" spans="1:22">
      <c r="A923" s="1289"/>
      <c r="B923" s="1123"/>
      <c r="C923" s="1123"/>
      <c r="D923" s="1123"/>
      <c r="E923" s="1123"/>
      <c r="G923" s="1123"/>
      <c r="H923" s="1123"/>
      <c r="I923" s="1123"/>
      <c r="J923" s="1123"/>
      <c r="K923" s="1123"/>
      <c r="L923" s="1123"/>
      <c r="M923" s="1123"/>
      <c r="N923" s="1123"/>
      <c r="V923" s="1224"/>
    </row>
    <row r="924" spans="1:22">
      <c r="A924" s="1289"/>
      <c r="B924" s="1123"/>
      <c r="C924" s="1123"/>
      <c r="D924" s="1123"/>
      <c r="E924" s="1123"/>
      <c r="G924" s="1123"/>
      <c r="H924" s="1123"/>
      <c r="I924" s="1123"/>
      <c r="J924" s="1123"/>
      <c r="K924" s="1123"/>
      <c r="L924" s="1123"/>
      <c r="M924" s="1123"/>
      <c r="N924" s="1123"/>
      <c r="V924" s="1224"/>
    </row>
    <row r="925" spans="1:22">
      <c r="A925" s="1289"/>
      <c r="B925" s="1123"/>
      <c r="C925" s="1123"/>
      <c r="D925" s="1123"/>
      <c r="E925" s="1123"/>
      <c r="G925" s="1123"/>
      <c r="H925" s="1123"/>
      <c r="I925" s="1123"/>
      <c r="J925" s="1123"/>
      <c r="K925" s="1123"/>
      <c r="L925" s="1123"/>
      <c r="M925" s="1123"/>
      <c r="N925" s="1123"/>
      <c r="V925" s="1224"/>
    </row>
    <row r="926" spans="1:22">
      <c r="A926" s="1289"/>
      <c r="B926" s="1123"/>
      <c r="C926" s="1123"/>
      <c r="D926" s="1123"/>
      <c r="E926" s="1123"/>
      <c r="G926" s="1123"/>
      <c r="H926" s="1123"/>
      <c r="I926" s="1123"/>
      <c r="J926" s="1123"/>
      <c r="K926" s="1123"/>
      <c r="L926" s="1123"/>
      <c r="M926" s="1123"/>
      <c r="N926" s="1123"/>
      <c r="V926" s="1224"/>
    </row>
    <row r="927" spans="1:22">
      <c r="A927" s="1289"/>
      <c r="B927" s="1123"/>
      <c r="C927" s="1123"/>
      <c r="D927" s="1123"/>
      <c r="E927" s="1123"/>
      <c r="G927" s="1123"/>
      <c r="H927" s="1123"/>
      <c r="I927" s="1123"/>
      <c r="J927" s="1123"/>
      <c r="K927" s="1123"/>
      <c r="L927" s="1123"/>
      <c r="M927" s="1123"/>
      <c r="N927" s="1123"/>
      <c r="V927" s="1224"/>
    </row>
    <row r="928" spans="1:22">
      <c r="A928" s="1289"/>
      <c r="B928" s="1123"/>
      <c r="C928" s="1123"/>
      <c r="D928" s="1123"/>
      <c r="E928" s="1123"/>
      <c r="G928" s="1123"/>
      <c r="H928" s="1123"/>
      <c r="I928" s="1123"/>
      <c r="J928" s="1123"/>
      <c r="K928" s="1123"/>
      <c r="L928" s="1123"/>
      <c r="M928" s="1123"/>
      <c r="N928" s="1123"/>
      <c r="V928" s="1224"/>
    </row>
    <row r="929" spans="1:22">
      <c r="A929" s="1289"/>
      <c r="B929" s="1123"/>
      <c r="C929" s="1123"/>
      <c r="D929" s="1123"/>
      <c r="E929" s="1123"/>
      <c r="G929" s="1123"/>
      <c r="H929" s="1123"/>
      <c r="I929" s="1123"/>
      <c r="J929" s="1123"/>
      <c r="K929" s="1123"/>
      <c r="L929" s="1123"/>
      <c r="M929" s="1123"/>
      <c r="N929" s="1123"/>
      <c r="V929" s="1224"/>
    </row>
    <row r="930" spans="1:22">
      <c r="A930" s="1289"/>
      <c r="B930" s="1123"/>
      <c r="C930" s="1123"/>
      <c r="D930" s="1123"/>
      <c r="E930" s="1123"/>
      <c r="G930" s="1123"/>
      <c r="H930" s="1123"/>
      <c r="I930" s="1123"/>
      <c r="J930" s="1123"/>
      <c r="K930" s="1123"/>
      <c r="L930" s="1123"/>
      <c r="M930" s="1123"/>
      <c r="N930" s="1123"/>
      <c r="V930" s="1224"/>
    </row>
    <row r="931" spans="1:22">
      <c r="A931" s="1289"/>
      <c r="B931" s="1123"/>
      <c r="C931" s="1123"/>
      <c r="D931" s="1123"/>
      <c r="E931" s="1123"/>
      <c r="G931" s="1123"/>
      <c r="H931" s="1123"/>
      <c r="I931" s="1123"/>
      <c r="J931" s="1123"/>
      <c r="K931" s="1123"/>
      <c r="L931" s="1123"/>
      <c r="M931" s="1123"/>
      <c r="N931" s="1123"/>
      <c r="V931" s="1224"/>
    </row>
    <row r="932" spans="1:22">
      <c r="A932" s="1289"/>
      <c r="B932" s="1123"/>
      <c r="C932" s="1123"/>
      <c r="D932" s="1123"/>
      <c r="E932" s="1123"/>
      <c r="G932" s="1123"/>
      <c r="H932" s="1123"/>
      <c r="I932" s="1123"/>
      <c r="J932" s="1123"/>
      <c r="K932" s="1123"/>
      <c r="L932" s="1123"/>
      <c r="M932" s="1123"/>
      <c r="N932" s="1123"/>
      <c r="V932" s="1224"/>
    </row>
    <row r="933" spans="1:22">
      <c r="A933" s="1289"/>
      <c r="B933" s="1123"/>
      <c r="C933" s="1123"/>
      <c r="D933" s="1123"/>
      <c r="E933" s="1123"/>
      <c r="G933" s="1123"/>
      <c r="H933" s="1123"/>
      <c r="I933" s="1123"/>
      <c r="J933" s="1123"/>
      <c r="K933" s="1123"/>
      <c r="L933" s="1123"/>
      <c r="M933" s="1123"/>
      <c r="N933" s="1123"/>
      <c r="V933" s="1224"/>
    </row>
    <row r="934" spans="1:22">
      <c r="A934" s="1289"/>
      <c r="B934" s="1123"/>
      <c r="C934" s="1123"/>
      <c r="D934" s="1123"/>
      <c r="E934" s="1123"/>
      <c r="G934" s="1123"/>
      <c r="H934" s="1123"/>
      <c r="I934" s="1123"/>
      <c r="J934" s="1123"/>
      <c r="K934" s="1123"/>
      <c r="L934" s="1123"/>
      <c r="M934" s="1123"/>
      <c r="N934" s="1123"/>
      <c r="V934" s="1224"/>
    </row>
    <row r="935" spans="1:22">
      <c r="A935" s="1289"/>
      <c r="B935" s="1123"/>
      <c r="C935" s="1123"/>
      <c r="D935" s="1123"/>
      <c r="E935" s="1123"/>
      <c r="G935" s="1123"/>
      <c r="H935" s="1123"/>
      <c r="I935" s="1123"/>
      <c r="J935" s="1123"/>
      <c r="K935" s="1123"/>
      <c r="L935" s="1123"/>
      <c r="M935" s="1123"/>
      <c r="N935" s="1123"/>
      <c r="V935" s="1224"/>
    </row>
    <row r="936" spans="1:22">
      <c r="A936" s="1289"/>
      <c r="B936" s="1123"/>
      <c r="C936" s="1123"/>
      <c r="D936" s="1123"/>
      <c r="E936" s="1123"/>
      <c r="G936" s="1123"/>
      <c r="H936" s="1123"/>
      <c r="I936" s="1123"/>
      <c r="J936" s="1123"/>
      <c r="K936" s="1123"/>
      <c r="L936" s="1123"/>
      <c r="M936" s="1123"/>
      <c r="N936" s="1123"/>
      <c r="V936" s="1224"/>
    </row>
    <row r="937" spans="1:22">
      <c r="A937" s="1289"/>
      <c r="B937" s="1123"/>
      <c r="C937" s="1123"/>
      <c r="D937" s="1123"/>
      <c r="E937" s="1123"/>
      <c r="G937" s="1123"/>
      <c r="H937" s="1123"/>
      <c r="I937" s="1123"/>
      <c r="J937" s="1123"/>
      <c r="K937" s="1123"/>
      <c r="L937" s="1123"/>
      <c r="M937" s="1123"/>
      <c r="N937" s="1123"/>
      <c r="V937" s="1224"/>
    </row>
    <row r="938" spans="1:22">
      <c r="A938" s="1289"/>
      <c r="B938" s="1123"/>
      <c r="C938" s="1123"/>
      <c r="D938" s="1123"/>
      <c r="E938" s="1123"/>
      <c r="G938" s="1123"/>
      <c r="H938" s="1123"/>
      <c r="I938" s="1123"/>
      <c r="J938" s="1123"/>
      <c r="K938" s="1123"/>
      <c r="L938" s="1123"/>
      <c r="M938" s="1123"/>
      <c r="N938" s="1123"/>
      <c r="V938" s="1224"/>
    </row>
    <row r="939" spans="1:22">
      <c r="A939" s="1289"/>
      <c r="B939" s="1123"/>
      <c r="C939" s="1123"/>
      <c r="D939" s="1123"/>
      <c r="E939" s="1123"/>
      <c r="G939" s="1123"/>
      <c r="H939" s="1123"/>
      <c r="I939" s="1123"/>
      <c r="J939" s="1123"/>
      <c r="K939" s="1123"/>
      <c r="L939" s="1123"/>
      <c r="M939" s="1123"/>
      <c r="N939" s="1123"/>
      <c r="V939" s="1224"/>
    </row>
    <row r="940" spans="1:22">
      <c r="A940" s="1289"/>
      <c r="B940" s="1123"/>
      <c r="C940" s="1123"/>
      <c r="D940" s="1123"/>
      <c r="E940" s="1123"/>
      <c r="G940" s="1123"/>
      <c r="H940" s="1123"/>
      <c r="I940" s="1123"/>
      <c r="J940" s="1123"/>
      <c r="K940" s="1123"/>
      <c r="L940" s="1123"/>
      <c r="M940" s="1123"/>
      <c r="N940" s="1123"/>
      <c r="V940" s="1224"/>
    </row>
    <row r="941" spans="1:22">
      <c r="A941" s="1289"/>
      <c r="B941" s="1123"/>
      <c r="C941" s="1123"/>
      <c r="D941" s="1123"/>
      <c r="E941" s="1123"/>
      <c r="G941" s="1123"/>
      <c r="H941" s="1123"/>
      <c r="I941" s="1123"/>
      <c r="J941" s="1123"/>
      <c r="K941" s="1123"/>
      <c r="L941" s="1123"/>
      <c r="M941" s="1123"/>
      <c r="N941" s="1123"/>
      <c r="V941" s="1224"/>
    </row>
    <row r="942" spans="1:22">
      <c r="A942" s="1289"/>
      <c r="B942" s="1123"/>
      <c r="C942" s="1123"/>
      <c r="D942" s="1123"/>
      <c r="E942" s="1123"/>
      <c r="G942" s="1123"/>
      <c r="H942" s="1123"/>
      <c r="I942" s="1123"/>
      <c r="J942" s="1123"/>
      <c r="K942" s="1123"/>
      <c r="L942" s="1123"/>
      <c r="M942" s="1123"/>
      <c r="N942" s="1123"/>
      <c r="V942" s="1224"/>
    </row>
    <row r="943" spans="1:22">
      <c r="A943" s="1289"/>
      <c r="B943" s="1123"/>
      <c r="C943" s="1123"/>
      <c r="D943" s="1123"/>
      <c r="E943" s="1123"/>
      <c r="G943" s="1123"/>
      <c r="H943" s="1123"/>
      <c r="I943" s="1123"/>
      <c r="J943" s="1123"/>
      <c r="K943" s="1123"/>
      <c r="L943" s="1123"/>
      <c r="M943" s="1123"/>
      <c r="N943" s="1123"/>
      <c r="V943" s="1224"/>
    </row>
    <row r="944" spans="1:22">
      <c r="A944" s="1289"/>
      <c r="B944" s="1123"/>
      <c r="C944" s="1123"/>
      <c r="D944" s="1123"/>
      <c r="E944" s="1123"/>
      <c r="G944" s="1123"/>
      <c r="H944" s="1123"/>
      <c r="I944" s="1123"/>
      <c r="J944" s="1123"/>
      <c r="K944" s="1123"/>
      <c r="L944" s="1123"/>
      <c r="M944" s="1123"/>
      <c r="N944" s="1123"/>
      <c r="V944" s="1224"/>
    </row>
    <row r="945" spans="1:22">
      <c r="A945" s="1289"/>
      <c r="B945" s="1123"/>
      <c r="C945" s="1123"/>
      <c r="D945" s="1123"/>
      <c r="E945" s="1123"/>
      <c r="G945" s="1123"/>
      <c r="H945" s="1123"/>
      <c r="I945" s="1123"/>
      <c r="J945" s="1123"/>
      <c r="K945" s="1123"/>
      <c r="L945" s="1123"/>
      <c r="M945" s="1123"/>
      <c r="N945" s="1123"/>
      <c r="V945" s="1224"/>
    </row>
    <row r="946" spans="1:22">
      <c r="A946" s="1289"/>
      <c r="B946" s="1123"/>
      <c r="C946" s="1123"/>
      <c r="D946" s="1123"/>
      <c r="E946" s="1123"/>
      <c r="G946" s="1123"/>
      <c r="H946" s="1123"/>
      <c r="I946" s="1123"/>
      <c r="J946" s="1123"/>
      <c r="K946" s="1123"/>
      <c r="L946" s="1123"/>
      <c r="M946" s="1123"/>
      <c r="N946" s="1123"/>
      <c r="V946" s="1224"/>
    </row>
    <row r="947" spans="1:22">
      <c r="A947" s="1289"/>
      <c r="B947" s="1123"/>
      <c r="C947" s="1123"/>
      <c r="D947" s="1123"/>
      <c r="E947" s="1123"/>
      <c r="G947" s="1123"/>
      <c r="H947" s="1123"/>
      <c r="I947" s="1123"/>
      <c r="J947" s="1123"/>
      <c r="K947" s="1123"/>
      <c r="L947" s="1123"/>
      <c r="M947" s="1123"/>
      <c r="N947" s="1123"/>
      <c r="V947" s="1224"/>
    </row>
    <row r="948" spans="1:22">
      <c r="A948" s="1289"/>
      <c r="B948" s="1123"/>
      <c r="C948" s="1123"/>
      <c r="D948" s="1123"/>
      <c r="E948" s="1123"/>
      <c r="G948" s="1123"/>
      <c r="H948" s="1123"/>
      <c r="I948" s="1123"/>
      <c r="J948" s="1123"/>
      <c r="K948" s="1123"/>
      <c r="L948" s="1123"/>
      <c r="M948" s="1123"/>
      <c r="N948" s="1123"/>
      <c r="V948" s="1224"/>
    </row>
    <row r="949" spans="1:22">
      <c r="A949" s="1289"/>
      <c r="B949" s="1123"/>
      <c r="C949" s="1123"/>
      <c r="D949" s="1123"/>
      <c r="E949" s="1123"/>
      <c r="G949" s="1123"/>
      <c r="H949" s="1123"/>
      <c r="I949" s="1123"/>
      <c r="J949" s="1123"/>
      <c r="K949" s="1123"/>
      <c r="L949" s="1123"/>
      <c r="M949" s="1123"/>
      <c r="N949" s="1123"/>
      <c r="V949" s="1224"/>
    </row>
    <row r="950" spans="1:22">
      <c r="A950" s="1289"/>
      <c r="B950" s="1123"/>
      <c r="C950" s="1123"/>
      <c r="D950" s="1123"/>
      <c r="E950" s="1123"/>
      <c r="G950" s="1123"/>
      <c r="H950" s="1123"/>
      <c r="I950" s="1123"/>
      <c r="J950" s="1123"/>
      <c r="K950" s="1123"/>
      <c r="L950" s="1123"/>
      <c r="M950" s="1123"/>
      <c r="N950" s="1123"/>
      <c r="V950" s="1224"/>
    </row>
    <row r="951" spans="1:22">
      <c r="A951" s="1289"/>
      <c r="B951" s="1123"/>
      <c r="C951" s="1123"/>
      <c r="D951" s="1123"/>
      <c r="E951" s="1123"/>
      <c r="G951" s="1123"/>
      <c r="H951" s="1123"/>
      <c r="I951" s="1123"/>
      <c r="J951" s="1123"/>
      <c r="K951" s="1123"/>
      <c r="L951" s="1123"/>
      <c r="M951" s="1123"/>
      <c r="N951" s="1123"/>
      <c r="V951" s="1224"/>
    </row>
    <row r="952" spans="1:22">
      <c r="A952" s="1289"/>
      <c r="B952" s="1123"/>
      <c r="C952" s="1123"/>
      <c r="D952" s="1123"/>
      <c r="E952" s="1123"/>
      <c r="G952" s="1123"/>
      <c r="H952" s="1123"/>
      <c r="I952" s="1123"/>
      <c r="J952" s="1123"/>
      <c r="K952" s="1123"/>
      <c r="L952" s="1123"/>
      <c r="M952" s="1123"/>
      <c r="N952" s="1123"/>
      <c r="V952" s="1224"/>
    </row>
    <row r="953" spans="1:22">
      <c r="A953" s="1289"/>
      <c r="B953" s="1123"/>
      <c r="C953" s="1123"/>
      <c r="D953" s="1123"/>
      <c r="E953" s="1123"/>
      <c r="G953" s="1123"/>
      <c r="H953" s="1123"/>
      <c r="I953" s="1123"/>
      <c r="J953" s="1123"/>
      <c r="K953" s="1123"/>
      <c r="L953" s="1123"/>
      <c r="M953" s="1123"/>
      <c r="N953" s="1123"/>
      <c r="V953" s="1224"/>
    </row>
    <row r="954" spans="1:22">
      <c r="A954" s="1289"/>
      <c r="B954" s="1123"/>
      <c r="C954" s="1123"/>
      <c r="D954" s="1123"/>
      <c r="E954" s="1123"/>
      <c r="G954" s="1123"/>
      <c r="H954" s="1123"/>
      <c r="I954" s="1123"/>
      <c r="J954" s="1123"/>
      <c r="K954" s="1123"/>
      <c r="L954" s="1123"/>
      <c r="M954" s="1123"/>
      <c r="N954" s="1123"/>
      <c r="V954" s="1224"/>
    </row>
    <row r="955" spans="1:22">
      <c r="A955" s="1289"/>
      <c r="B955" s="1123"/>
      <c r="C955" s="1123"/>
      <c r="D955" s="1123"/>
      <c r="E955" s="1123"/>
      <c r="G955" s="1123"/>
      <c r="H955" s="1123"/>
      <c r="I955" s="1123"/>
      <c r="J955" s="1123"/>
      <c r="K955" s="1123"/>
      <c r="L955" s="1123"/>
      <c r="M955" s="1123"/>
      <c r="N955" s="1123"/>
      <c r="V955" s="1224"/>
    </row>
    <row r="956" spans="1:22">
      <c r="A956" s="1289"/>
      <c r="B956" s="1123"/>
      <c r="C956" s="1123"/>
      <c r="D956" s="1123"/>
      <c r="E956" s="1123"/>
      <c r="G956" s="1123"/>
      <c r="H956" s="1123"/>
      <c r="I956" s="1123"/>
      <c r="J956" s="1123"/>
      <c r="K956" s="1123"/>
      <c r="L956" s="1123"/>
      <c r="M956" s="1123"/>
      <c r="N956" s="1123"/>
      <c r="V956" s="1224"/>
    </row>
    <row r="957" spans="1:22">
      <c r="A957" s="1289"/>
      <c r="B957" s="1123"/>
      <c r="C957" s="1123"/>
      <c r="D957" s="1123"/>
      <c r="E957" s="1123"/>
      <c r="G957" s="1123"/>
      <c r="H957" s="1123"/>
      <c r="I957" s="1123"/>
      <c r="J957" s="1123"/>
      <c r="K957" s="1123"/>
      <c r="L957" s="1123"/>
      <c r="M957" s="1123"/>
      <c r="N957" s="1123"/>
      <c r="V957" s="1224"/>
    </row>
    <row r="958" spans="1:22">
      <c r="A958" s="1289"/>
      <c r="B958" s="1123"/>
      <c r="C958" s="1123"/>
      <c r="D958" s="1123"/>
      <c r="E958" s="1123"/>
      <c r="G958" s="1123"/>
      <c r="H958" s="1123"/>
      <c r="I958" s="1123"/>
      <c r="J958" s="1123"/>
      <c r="K958" s="1123"/>
      <c r="L958" s="1123"/>
      <c r="M958" s="1123"/>
      <c r="N958" s="1123"/>
      <c r="V958" s="1224"/>
    </row>
    <row r="959" spans="1:22">
      <c r="A959" s="1289"/>
      <c r="B959" s="1123"/>
      <c r="C959" s="1123"/>
      <c r="D959" s="1123"/>
      <c r="E959" s="1123"/>
      <c r="G959" s="1123"/>
      <c r="H959" s="1123"/>
      <c r="I959" s="1123"/>
      <c r="J959" s="1123"/>
      <c r="K959" s="1123"/>
      <c r="L959" s="1123"/>
      <c r="M959" s="1123"/>
      <c r="N959" s="1123"/>
      <c r="V959" s="1224"/>
    </row>
    <row r="960" spans="1:22">
      <c r="A960" s="1289"/>
      <c r="B960" s="1123"/>
      <c r="C960" s="1123"/>
      <c r="D960" s="1123"/>
      <c r="E960" s="1123"/>
      <c r="G960" s="1123"/>
      <c r="H960" s="1123"/>
      <c r="I960" s="1123"/>
      <c r="J960" s="1123"/>
      <c r="K960" s="1123"/>
      <c r="L960" s="1123"/>
      <c r="M960" s="1123"/>
      <c r="N960" s="1123"/>
      <c r="V960" s="1224"/>
    </row>
    <row r="961" spans="1:22">
      <c r="A961" s="1289"/>
      <c r="B961" s="1123"/>
      <c r="C961" s="1123"/>
      <c r="D961" s="1123"/>
      <c r="E961" s="1123"/>
      <c r="G961" s="1123"/>
      <c r="H961" s="1123"/>
      <c r="I961" s="1123"/>
      <c r="J961" s="1123"/>
      <c r="K961" s="1123"/>
      <c r="L961" s="1123"/>
      <c r="M961" s="1123"/>
      <c r="N961" s="1123"/>
      <c r="V961" s="1224"/>
    </row>
    <row r="962" spans="1:22">
      <c r="A962" s="1289"/>
      <c r="B962" s="1123"/>
      <c r="C962" s="1123"/>
      <c r="D962" s="1123"/>
      <c r="E962" s="1123"/>
      <c r="G962" s="1123"/>
      <c r="H962" s="1123"/>
      <c r="I962" s="1123"/>
      <c r="J962" s="1123"/>
      <c r="K962" s="1123"/>
      <c r="L962" s="1123"/>
      <c r="M962" s="1123"/>
      <c r="N962" s="1123"/>
      <c r="V962" s="1224"/>
    </row>
    <row r="963" spans="1:22">
      <c r="A963" s="1289"/>
      <c r="B963" s="1123"/>
      <c r="C963" s="1123"/>
      <c r="D963" s="1123"/>
      <c r="E963" s="1123"/>
      <c r="G963" s="1123"/>
      <c r="H963" s="1123"/>
      <c r="I963" s="1123"/>
      <c r="J963" s="1123"/>
      <c r="K963" s="1123"/>
      <c r="L963" s="1123"/>
      <c r="M963" s="1123"/>
      <c r="N963" s="1123"/>
      <c r="V963" s="1224"/>
    </row>
    <row r="964" spans="1:22">
      <c r="A964" s="1289"/>
      <c r="B964" s="1123"/>
      <c r="C964" s="1123"/>
      <c r="D964" s="1123"/>
      <c r="E964" s="1123"/>
      <c r="G964" s="1123"/>
      <c r="H964" s="1123"/>
      <c r="I964" s="1123"/>
      <c r="J964" s="1123"/>
      <c r="K964" s="1123"/>
      <c r="L964" s="1123"/>
      <c r="M964" s="1123"/>
      <c r="N964" s="1123"/>
      <c r="V964" s="1224"/>
    </row>
    <row r="965" spans="1:22">
      <c r="A965" s="1289"/>
      <c r="B965" s="1123"/>
      <c r="C965" s="1123"/>
      <c r="D965" s="1123"/>
      <c r="E965" s="1123"/>
      <c r="G965" s="1123"/>
      <c r="H965" s="1123"/>
      <c r="I965" s="1123"/>
      <c r="J965" s="1123"/>
      <c r="K965" s="1123"/>
      <c r="L965" s="1123"/>
      <c r="M965" s="1123"/>
      <c r="N965" s="1123"/>
      <c r="V965" s="1224"/>
    </row>
    <row r="966" spans="1:22">
      <c r="A966" s="1289"/>
      <c r="B966" s="1123"/>
      <c r="C966" s="1123"/>
      <c r="D966" s="1123"/>
      <c r="E966" s="1123"/>
      <c r="G966" s="1123"/>
      <c r="H966" s="1123"/>
      <c r="I966" s="1123"/>
      <c r="J966" s="1123"/>
      <c r="K966" s="1123"/>
      <c r="L966" s="1123"/>
      <c r="M966" s="1123"/>
      <c r="N966" s="1123"/>
      <c r="V966" s="1224"/>
    </row>
    <row r="967" spans="1:22">
      <c r="A967" s="1289"/>
      <c r="B967" s="1123"/>
      <c r="C967" s="1123"/>
      <c r="D967" s="1123"/>
      <c r="E967" s="1123"/>
      <c r="G967" s="1123"/>
      <c r="H967" s="1123"/>
      <c r="I967" s="1123"/>
      <c r="J967" s="1123"/>
      <c r="K967" s="1123"/>
      <c r="L967" s="1123"/>
      <c r="M967" s="1123"/>
      <c r="N967" s="1123"/>
      <c r="V967" s="1224"/>
    </row>
    <row r="968" spans="1:22">
      <c r="A968" s="1289"/>
      <c r="B968" s="1123"/>
      <c r="C968" s="1123"/>
      <c r="D968" s="1123"/>
      <c r="E968" s="1123"/>
      <c r="G968" s="1123"/>
      <c r="H968" s="1123"/>
      <c r="I968" s="1123"/>
      <c r="J968" s="1123"/>
      <c r="K968" s="1123"/>
      <c r="L968" s="1123"/>
      <c r="M968" s="1123"/>
      <c r="N968" s="1123"/>
      <c r="V968" s="1224"/>
    </row>
    <row r="969" spans="1:22">
      <c r="A969" s="1289"/>
      <c r="B969" s="1123"/>
      <c r="C969" s="1123"/>
      <c r="D969" s="1123"/>
      <c r="E969" s="1123"/>
      <c r="G969" s="1123"/>
      <c r="H969" s="1123"/>
      <c r="I969" s="1123"/>
      <c r="J969" s="1123"/>
      <c r="K969" s="1123"/>
      <c r="L969" s="1123"/>
      <c r="M969" s="1123"/>
      <c r="N969" s="1123"/>
      <c r="V969" s="1224"/>
    </row>
    <row r="970" spans="1:22">
      <c r="A970" s="1289"/>
      <c r="B970" s="1123"/>
      <c r="C970" s="1123"/>
      <c r="D970" s="1123"/>
      <c r="E970" s="1123"/>
      <c r="G970" s="1123"/>
      <c r="H970" s="1123"/>
      <c r="I970" s="1123"/>
      <c r="J970" s="1123"/>
      <c r="K970" s="1123"/>
      <c r="L970" s="1123"/>
      <c r="M970" s="1123"/>
      <c r="N970" s="1123"/>
      <c r="V970" s="1224"/>
    </row>
    <row r="971" spans="1:22">
      <c r="A971" s="1289"/>
      <c r="B971" s="1123"/>
      <c r="C971" s="1123"/>
      <c r="D971" s="1123"/>
      <c r="E971" s="1123"/>
      <c r="G971" s="1123"/>
      <c r="H971" s="1123"/>
      <c r="I971" s="1123"/>
      <c r="J971" s="1123"/>
      <c r="K971" s="1123"/>
      <c r="L971" s="1123"/>
      <c r="M971" s="1123"/>
      <c r="N971" s="1123"/>
      <c r="V971" s="1224"/>
    </row>
    <row r="972" spans="1:22">
      <c r="A972" s="1289"/>
      <c r="B972" s="1123"/>
      <c r="C972" s="1123"/>
      <c r="D972" s="1123"/>
      <c r="E972" s="1123"/>
      <c r="G972" s="1123"/>
      <c r="H972" s="1123"/>
      <c r="I972" s="1123"/>
      <c r="J972" s="1123"/>
      <c r="K972" s="1123"/>
      <c r="L972" s="1123"/>
      <c r="M972" s="1123"/>
      <c r="N972" s="1123"/>
      <c r="V972" s="1224"/>
    </row>
    <row r="973" spans="1:22">
      <c r="A973" s="1289"/>
      <c r="B973" s="1123"/>
      <c r="C973" s="1123"/>
      <c r="D973" s="1123"/>
      <c r="E973" s="1123"/>
      <c r="G973" s="1123"/>
      <c r="H973" s="1123"/>
      <c r="I973" s="1123"/>
      <c r="J973" s="1123"/>
      <c r="K973" s="1123"/>
      <c r="L973" s="1123"/>
      <c r="M973" s="1123"/>
      <c r="N973" s="1123"/>
      <c r="V973" s="1224"/>
    </row>
    <row r="974" spans="1:22">
      <c r="A974" s="1289"/>
      <c r="B974" s="1123"/>
      <c r="C974" s="1123"/>
      <c r="D974" s="1123"/>
      <c r="E974" s="1123"/>
      <c r="G974" s="1123"/>
      <c r="H974" s="1123"/>
      <c r="I974" s="1123"/>
      <c r="J974" s="1123"/>
      <c r="K974" s="1123"/>
      <c r="L974" s="1123"/>
      <c r="M974" s="1123"/>
      <c r="N974" s="1123"/>
      <c r="V974" s="1224"/>
    </row>
    <row r="975" spans="1:22">
      <c r="A975" s="1289"/>
      <c r="B975" s="1123"/>
      <c r="C975" s="1123"/>
      <c r="D975" s="1123"/>
      <c r="E975" s="1123"/>
      <c r="G975" s="1123"/>
      <c r="H975" s="1123"/>
      <c r="I975" s="1123"/>
      <c r="J975" s="1123"/>
      <c r="K975" s="1123"/>
      <c r="L975" s="1123"/>
      <c r="M975" s="1123"/>
      <c r="N975" s="1123"/>
      <c r="V975" s="1224"/>
    </row>
    <row r="976" spans="1:22">
      <c r="A976" s="1289"/>
      <c r="B976" s="1123"/>
      <c r="C976" s="1123"/>
      <c r="D976" s="1123"/>
      <c r="E976" s="1123"/>
      <c r="G976" s="1123"/>
      <c r="H976" s="1123"/>
      <c r="I976" s="1123"/>
      <c r="J976" s="1123"/>
      <c r="K976" s="1123"/>
      <c r="L976" s="1123"/>
      <c r="M976" s="1123"/>
      <c r="N976" s="1123"/>
      <c r="V976" s="1224"/>
    </row>
    <row r="977" spans="1:22">
      <c r="A977" s="1289"/>
      <c r="B977" s="1123"/>
      <c r="C977" s="1123"/>
      <c r="D977" s="1123"/>
      <c r="E977" s="1123"/>
      <c r="G977" s="1123"/>
      <c r="H977" s="1123"/>
      <c r="I977" s="1123"/>
      <c r="J977" s="1123"/>
      <c r="K977" s="1123"/>
      <c r="L977" s="1123"/>
      <c r="M977" s="1123"/>
      <c r="N977" s="1123"/>
      <c r="V977" s="1224"/>
    </row>
    <row r="978" spans="1:22">
      <c r="A978" s="1289"/>
      <c r="B978" s="1123"/>
      <c r="C978" s="1123"/>
      <c r="D978" s="1123"/>
      <c r="E978" s="1123"/>
      <c r="G978" s="1123"/>
      <c r="H978" s="1123"/>
      <c r="I978" s="1123"/>
      <c r="J978" s="1123"/>
      <c r="K978" s="1123"/>
      <c r="L978" s="1123"/>
      <c r="M978" s="1123"/>
      <c r="N978" s="1123"/>
      <c r="V978" s="1224"/>
    </row>
    <row r="979" spans="1:22">
      <c r="A979" s="1289"/>
      <c r="B979" s="1123"/>
      <c r="C979" s="1123"/>
      <c r="D979" s="1123"/>
      <c r="E979" s="1123"/>
      <c r="G979" s="1123"/>
      <c r="H979" s="1123"/>
      <c r="I979" s="1123"/>
      <c r="J979" s="1123"/>
      <c r="K979" s="1123"/>
      <c r="L979" s="1123"/>
      <c r="M979" s="1123"/>
      <c r="N979" s="1123"/>
      <c r="V979" s="1224"/>
    </row>
    <row r="980" spans="1:22">
      <c r="A980" s="1289"/>
      <c r="B980" s="1123"/>
      <c r="C980" s="1123"/>
      <c r="D980" s="1123"/>
      <c r="E980" s="1123"/>
      <c r="G980" s="1123"/>
      <c r="H980" s="1123"/>
      <c r="I980" s="1123"/>
      <c r="J980" s="1123"/>
      <c r="K980" s="1123"/>
      <c r="L980" s="1123"/>
      <c r="M980" s="1123"/>
      <c r="N980" s="1123"/>
      <c r="V980" s="1224"/>
    </row>
    <row r="981" spans="1:22">
      <c r="A981" s="1289"/>
      <c r="B981" s="1123"/>
      <c r="C981" s="1123"/>
      <c r="D981" s="1123"/>
      <c r="E981" s="1123"/>
      <c r="G981" s="1123"/>
      <c r="H981" s="1123"/>
      <c r="I981" s="1123"/>
      <c r="J981" s="1123"/>
      <c r="K981" s="1123"/>
      <c r="L981" s="1123"/>
      <c r="M981" s="1123"/>
      <c r="N981" s="1123"/>
      <c r="V981" s="1224"/>
    </row>
    <row r="982" spans="1:22">
      <c r="A982" s="1289"/>
      <c r="B982" s="1123"/>
      <c r="C982" s="1123"/>
      <c r="D982" s="1123"/>
      <c r="E982" s="1123"/>
      <c r="G982" s="1123"/>
      <c r="H982" s="1123"/>
      <c r="I982" s="1123"/>
      <c r="J982" s="1123"/>
      <c r="K982" s="1123"/>
      <c r="L982" s="1123"/>
      <c r="M982" s="1123"/>
      <c r="N982" s="1123"/>
      <c r="V982" s="1224"/>
    </row>
    <row r="983" spans="1:22">
      <c r="A983" s="1289"/>
      <c r="B983" s="1123"/>
      <c r="C983" s="1123"/>
      <c r="D983" s="1123"/>
      <c r="E983" s="1123"/>
      <c r="G983" s="1123"/>
      <c r="H983" s="1123"/>
      <c r="I983" s="1123"/>
      <c r="J983" s="1123"/>
      <c r="K983" s="1123"/>
      <c r="L983" s="1123"/>
      <c r="M983" s="1123"/>
      <c r="N983" s="1123"/>
      <c r="V983" s="1224"/>
    </row>
    <row r="984" spans="1:22">
      <c r="A984" s="1289"/>
      <c r="B984" s="1123"/>
      <c r="C984" s="1123"/>
      <c r="D984" s="1123"/>
      <c r="E984" s="1123"/>
      <c r="G984" s="1123"/>
      <c r="H984" s="1123"/>
      <c r="I984" s="1123"/>
      <c r="J984" s="1123"/>
      <c r="K984" s="1123"/>
      <c r="L984" s="1123"/>
      <c r="M984" s="1123"/>
      <c r="N984" s="1123"/>
      <c r="V984" s="1224"/>
    </row>
    <row r="985" spans="1:22">
      <c r="A985" s="1289"/>
      <c r="B985" s="1123"/>
      <c r="C985" s="1123"/>
      <c r="D985" s="1123"/>
      <c r="E985" s="1123"/>
      <c r="G985" s="1123"/>
      <c r="H985" s="1123"/>
      <c r="I985" s="1123"/>
      <c r="J985" s="1123"/>
      <c r="K985" s="1123"/>
      <c r="L985" s="1123"/>
      <c r="M985" s="1123"/>
      <c r="N985" s="1123"/>
      <c r="V985" s="1224"/>
    </row>
    <row r="986" spans="1:22">
      <c r="A986" s="1289"/>
      <c r="B986" s="1123"/>
      <c r="C986" s="1123"/>
      <c r="D986" s="1123"/>
      <c r="E986" s="1123"/>
      <c r="G986" s="1123"/>
      <c r="H986" s="1123"/>
      <c r="I986" s="1123"/>
      <c r="J986" s="1123"/>
      <c r="K986" s="1123"/>
      <c r="L986" s="1123"/>
      <c r="M986" s="1123"/>
      <c r="N986" s="1123"/>
      <c r="V986" s="1224"/>
    </row>
    <row r="987" spans="1:22">
      <c r="A987" s="1289"/>
      <c r="B987" s="1123"/>
      <c r="C987" s="1123"/>
      <c r="D987" s="1123"/>
      <c r="E987" s="1123"/>
      <c r="G987" s="1123"/>
      <c r="H987" s="1123"/>
      <c r="I987" s="1123"/>
      <c r="J987" s="1123"/>
      <c r="K987" s="1123"/>
      <c r="L987" s="1123"/>
      <c r="M987" s="1123"/>
      <c r="N987" s="1123"/>
      <c r="V987" s="1224"/>
    </row>
    <row r="988" spans="1:22">
      <c r="A988" s="1289"/>
      <c r="B988" s="1123"/>
      <c r="C988" s="1123"/>
      <c r="D988" s="1123"/>
      <c r="E988" s="1123"/>
      <c r="G988" s="1123"/>
      <c r="H988" s="1123"/>
      <c r="I988" s="1123"/>
      <c r="J988" s="1123"/>
      <c r="K988" s="1123"/>
      <c r="L988" s="1123"/>
      <c r="M988" s="1123"/>
      <c r="N988" s="1123"/>
      <c r="V988" s="1224"/>
    </row>
    <row r="989" spans="1:22">
      <c r="A989" s="1289"/>
      <c r="B989" s="1123"/>
      <c r="C989" s="1123"/>
      <c r="D989" s="1123"/>
      <c r="E989" s="1123"/>
      <c r="G989" s="1123"/>
      <c r="H989" s="1123"/>
      <c r="I989" s="1123"/>
      <c r="J989" s="1123"/>
      <c r="K989" s="1123"/>
      <c r="L989" s="1123"/>
      <c r="M989" s="1123"/>
      <c r="N989" s="1123"/>
      <c r="V989" s="1224"/>
    </row>
    <row r="990" spans="1:22">
      <c r="A990" s="1289"/>
      <c r="B990" s="1123"/>
      <c r="C990" s="1123"/>
      <c r="D990" s="1123"/>
      <c r="E990" s="1123"/>
      <c r="G990" s="1123"/>
      <c r="H990" s="1123"/>
      <c r="I990" s="1123"/>
      <c r="J990" s="1123"/>
      <c r="K990" s="1123"/>
      <c r="L990" s="1123"/>
      <c r="M990" s="1123"/>
      <c r="N990" s="1123"/>
      <c r="V990" s="1224"/>
    </row>
    <row r="991" spans="1:22">
      <c r="A991" s="1289"/>
      <c r="B991" s="1123"/>
      <c r="C991" s="1123"/>
      <c r="D991" s="1123"/>
      <c r="E991" s="1123"/>
      <c r="G991" s="1123"/>
      <c r="H991" s="1123"/>
      <c r="I991" s="1123"/>
      <c r="J991" s="1123"/>
      <c r="K991" s="1123"/>
      <c r="L991" s="1123"/>
      <c r="M991" s="1123"/>
      <c r="N991" s="1123"/>
      <c r="V991" s="1224"/>
    </row>
    <row r="992" spans="1:22">
      <c r="A992" s="1289"/>
      <c r="B992" s="1123"/>
      <c r="C992" s="1123"/>
      <c r="D992" s="1123"/>
      <c r="E992" s="1123"/>
      <c r="G992" s="1123"/>
      <c r="H992" s="1123"/>
      <c r="I992" s="1123"/>
      <c r="J992" s="1123"/>
      <c r="K992" s="1123"/>
      <c r="L992" s="1123"/>
      <c r="M992" s="1123"/>
      <c r="N992" s="1123"/>
      <c r="V992" s="1224"/>
    </row>
    <row r="993" spans="1:22">
      <c r="A993" s="1289"/>
      <c r="B993" s="1123"/>
      <c r="C993" s="1123"/>
      <c r="D993" s="1123"/>
      <c r="E993" s="1123"/>
      <c r="G993" s="1123"/>
      <c r="H993" s="1123"/>
      <c r="I993" s="1123"/>
      <c r="J993" s="1123"/>
      <c r="K993" s="1123"/>
      <c r="L993" s="1123"/>
      <c r="M993" s="1123"/>
      <c r="N993" s="1123"/>
      <c r="V993" s="1224"/>
    </row>
    <row r="994" spans="1:22">
      <c r="A994" s="1289"/>
      <c r="B994" s="1123"/>
      <c r="C994" s="1123"/>
      <c r="D994" s="1123"/>
      <c r="E994" s="1123"/>
      <c r="G994" s="1123"/>
      <c r="H994" s="1123"/>
      <c r="I994" s="1123"/>
      <c r="J994" s="1123"/>
      <c r="K994" s="1123"/>
      <c r="L994" s="1123"/>
      <c r="M994" s="1123"/>
      <c r="N994" s="1123"/>
      <c r="V994" s="1224"/>
    </row>
    <row r="995" spans="1:22">
      <c r="A995" s="1289"/>
      <c r="B995" s="1123"/>
      <c r="C995" s="1123"/>
      <c r="D995" s="1123"/>
      <c r="E995" s="1123"/>
      <c r="G995" s="1123"/>
      <c r="H995" s="1123"/>
      <c r="I995" s="1123"/>
      <c r="J995" s="1123"/>
      <c r="K995" s="1123"/>
      <c r="L995" s="1123"/>
      <c r="M995" s="1123"/>
      <c r="N995" s="1123"/>
      <c r="V995" s="1224"/>
    </row>
    <row r="996" spans="1:22">
      <c r="A996" s="1289"/>
      <c r="B996" s="1123"/>
      <c r="C996" s="1123"/>
      <c r="D996" s="1123"/>
      <c r="E996" s="1123"/>
      <c r="G996" s="1123"/>
      <c r="H996" s="1123"/>
      <c r="I996" s="1123"/>
      <c r="J996" s="1123"/>
      <c r="K996" s="1123"/>
      <c r="L996" s="1123"/>
      <c r="M996" s="1123"/>
      <c r="N996" s="1123"/>
      <c r="V996" s="1224"/>
    </row>
    <row r="997" spans="1:22">
      <c r="A997" s="1289"/>
      <c r="B997" s="1123"/>
      <c r="C997" s="1123"/>
      <c r="D997" s="1123"/>
      <c r="E997" s="1123"/>
      <c r="G997" s="1123"/>
      <c r="H997" s="1123"/>
      <c r="I997" s="1123"/>
      <c r="J997" s="1123"/>
      <c r="K997" s="1123"/>
      <c r="L997" s="1123"/>
      <c r="M997" s="1123"/>
      <c r="N997" s="1123"/>
      <c r="V997" s="1224"/>
    </row>
    <row r="998" spans="1:22">
      <c r="A998" s="1289"/>
      <c r="B998" s="1123"/>
      <c r="C998" s="1123"/>
      <c r="D998" s="1123"/>
      <c r="E998" s="1123"/>
      <c r="G998" s="1123"/>
      <c r="H998" s="1123"/>
      <c r="I998" s="1123"/>
      <c r="J998" s="1123"/>
      <c r="K998" s="1123"/>
      <c r="L998" s="1123"/>
      <c r="M998" s="1123"/>
      <c r="N998" s="1123"/>
      <c r="V998" s="1224"/>
    </row>
    <row r="999" spans="1:22">
      <c r="A999" s="1289"/>
      <c r="B999" s="1123"/>
      <c r="C999" s="1123"/>
      <c r="D999" s="1123"/>
      <c r="E999" s="1123"/>
      <c r="G999" s="1123"/>
      <c r="H999" s="1123"/>
      <c r="I999" s="1123"/>
      <c r="J999" s="1123"/>
      <c r="K999" s="1123"/>
      <c r="L999" s="1123"/>
      <c r="M999" s="1123"/>
      <c r="N999" s="1123"/>
      <c r="V999" s="1224"/>
    </row>
    <row r="1000" spans="1:22">
      <c r="A1000" s="1289"/>
      <c r="B1000" s="1123"/>
      <c r="C1000" s="1123"/>
      <c r="D1000" s="1123"/>
      <c r="E1000" s="1123"/>
      <c r="G1000" s="1123"/>
      <c r="H1000" s="1123"/>
      <c r="I1000" s="1123"/>
      <c r="J1000" s="1123"/>
      <c r="K1000" s="1123"/>
      <c r="L1000" s="1123"/>
      <c r="M1000" s="1123"/>
      <c r="N1000" s="1123"/>
      <c r="V1000" s="1224"/>
    </row>
    <row r="1001" spans="1:22">
      <c r="A1001" s="1289"/>
      <c r="B1001" s="1123"/>
      <c r="C1001" s="1123"/>
      <c r="D1001" s="1123"/>
      <c r="E1001" s="1123"/>
      <c r="G1001" s="1123"/>
      <c r="H1001" s="1123"/>
      <c r="I1001" s="1123"/>
      <c r="J1001" s="1123"/>
      <c r="K1001" s="1123"/>
      <c r="L1001" s="1123"/>
      <c r="M1001" s="1123"/>
      <c r="N1001" s="1123"/>
      <c r="V1001" s="1224"/>
    </row>
    <row r="1002" spans="1:22">
      <c r="A1002" s="1289"/>
      <c r="B1002" s="1123"/>
      <c r="C1002" s="1123"/>
      <c r="D1002" s="1123"/>
      <c r="E1002" s="1123"/>
      <c r="G1002" s="1123"/>
      <c r="H1002" s="1123"/>
      <c r="I1002" s="1123"/>
      <c r="J1002" s="1123"/>
      <c r="K1002" s="1123"/>
      <c r="L1002" s="1123"/>
      <c r="M1002" s="1123"/>
      <c r="N1002" s="1123"/>
      <c r="V1002" s="1224"/>
    </row>
    <row r="1003" spans="1:22">
      <c r="A1003" s="1289"/>
      <c r="B1003" s="1123"/>
      <c r="C1003" s="1123"/>
      <c r="D1003" s="1123"/>
      <c r="E1003" s="1123"/>
      <c r="G1003" s="1123"/>
      <c r="H1003" s="1123"/>
      <c r="I1003" s="1123"/>
      <c r="J1003" s="1123"/>
      <c r="K1003" s="1123"/>
      <c r="L1003" s="1123"/>
      <c r="M1003" s="1123"/>
      <c r="N1003" s="1123"/>
      <c r="V1003" s="1224"/>
    </row>
    <row r="1004" spans="1:22">
      <c r="A1004" s="1289"/>
      <c r="B1004" s="1123"/>
      <c r="C1004" s="1123"/>
      <c r="D1004" s="1123"/>
      <c r="E1004" s="1123"/>
      <c r="G1004" s="1123"/>
      <c r="H1004" s="1123"/>
      <c r="I1004" s="1123"/>
      <c r="J1004" s="1123"/>
      <c r="K1004" s="1123"/>
      <c r="L1004" s="1123"/>
      <c r="M1004" s="1123"/>
      <c r="N1004" s="1123"/>
      <c r="V1004" s="1224"/>
    </row>
    <row r="1005" spans="1:22">
      <c r="A1005" s="1289"/>
      <c r="B1005" s="1123"/>
      <c r="C1005" s="1123"/>
      <c r="D1005" s="1123"/>
      <c r="E1005" s="1123"/>
      <c r="G1005" s="1123"/>
      <c r="H1005" s="1123"/>
      <c r="I1005" s="1123"/>
      <c r="J1005" s="1123"/>
      <c r="K1005" s="1123"/>
      <c r="L1005" s="1123"/>
      <c r="M1005" s="1123"/>
      <c r="N1005" s="1123"/>
      <c r="V1005" s="1224"/>
    </row>
    <row r="1006" spans="1:22">
      <c r="A1006" s="1289"/>
      <c r="B1006" s="1123"/>
      <c r="C1006" s="1123"/>
      <c r="D1006" s="1123"/>
      <c r="E1006" s="1123"/>
      <c r="G1006" s="1123"/>
      <c r="H1006" s="1123"/>
      <c r="I1006" s="1123"/>
      <c r="J1006" s="1123"/>
      <c r="K1006" s="1123"/>
      <c r="L1006" s="1123"/>
      <c r="M1006" s="1123"/>
      <c r="N1006" s="1123"/>
      <c r="V1006" s="1224"/>
    </row>
    <row r="1007" spans="1:22">
      <c r="A1007" s="1289"/>
      <c r="B1007" s="1123"/>
      <c r="C1007" s="1123"/>
      <c r="D1007" s="1123"/>
      <c r="E1007" s="1123"/>
      <c r="G1007" s="1123"/>
      <c r="H1007" s="1123"/>
      <c r="I1007" s="1123"/>
      <c r="J1007" s="1123"/>
      <c r="K1007" s="1123"/>
      <c r="L1007" s="1123"/>
      <c r="M1007" s="1123"/>
      <c r="N1007" s="1123"/>
      <c r="V1007" s="1224"/>
    </row>
    <row r="1008" spans="1:22">
      <c r="A1008" s="1289"/>
      <c r="B1008" s="1123"/>
      <c r="C1008" s="1123"/>
      <c r="D1008" s="1123"/>
      <c r="E1008" s="1123"/>
      <c r="G1008" s="1123"/>
      <c r="H1008" s="1123"/>
      <c r="I1008" s="1123"/>
      <c r="J1008" s="1123"/>
      <c r="K1008" s="1123"/>
      <c r="L1008" s="1123"/>
      <c r="M1008" s="1123"/>
      <c r="N1008" s="1123"/>
      <c r="V1008" s="1224"/>
    </row>
    <row r="1009" spans="1:22">
      <c r="A1009" s="1289"/>
      <c r="B1009" s="1123"/>
      <c r="C1009" s="1123"/>
      <c r="D1009" s="1123"/>
      <c r="E1009" s="1123"/>
      <c r="G1009" s="1123"/>
      <c r="H1009" s="1123"/>
      <c r="I1009" s="1123"/>
      <c r="J1009" s="1123"/>
      <c r="K1009" s="1123"/>
      <c r="L1009" s="1123"/>
      <c r="M1009" s="1123"/>
      <c r="N1009" s="1123"/>
      <c r="V1009" s="1224"/>
    </row>
    <row r="1010" spans="1:22">
      <c r="A1010" s="1289"/>
      <c r="B1010" s="1123"/>
      <c r="C1010" s="1123"/>
      <c r="D1010" s="1123"/>
      <c r="E1010" s="1123"/>
      <c r="G1010" s="1123"/>
      <c r="H1010" s="1123"/>
      <c r="I1010" s="1123"/>
      <c r="J1010" s="1123"/>
      <c r="K1010" s="1123"/>
      <c r="L1010" s="1123"/>
      <c r="M1010" s="1123"/>
      <c r="N1010" s="1123"/>
      <c r="V1010" s="1224"/>
    </row>
    <row r="1011" spans="1:22">
      <c r="A1011" s="1289"/>
      <c r="B1011" s="1123"/>
      <c r="C1011" s="1123"/>
      <c r="D1011" s="1123"/>
      <c r="E1011" s="1123"/>
      <c r="G1011" s="1123"/>
      <c r="H1011" s="1123"/>
      <c r="I1011" s="1123"/>
      <c r="J1011" s="1123"/>
      <c r="K1011" s="1123"/>
      <c r="L1011" s="1123"/>
      <c r="M1011" s="1123"/>
      <c r="N1011" s="1123"/>
      <c r="V1011" s="1224"/>
    </row>
    <row r="1012" spans="1:22">
      <c r="A1012" s="1289"/>
      <c r="B1012" s="1123"/>
      <c r="C1012" s="1123"/>
      <c r="D1012" s="1123"/>
      <c r="E1012" s="1123"/>
      <c r="G1012" s="1123"/>
      <c r="H1012" s="1123"/>
      <c r="I1012" s="1123"/>
      <c r="J1012" s="1123"/>
      <c r="K1012" s="1123"/>
      <c r="L1012" s="1123"/>
      <c r="M1012" s="1123"/>
      <c r="N1012" s="1123"/>
      <c r="V1012" s="1224"/>
    </row>
    <row r="1013" spans="1:22">
      <c r="A1013" s="1289"/>
      <c r="B1013" s="1123"/>
      <c r="C1013" s="1123"/>
      <c r="D1013" s="1123"/>
      <c r="E1013" s="1123"/>
      <c r="G1013" s="1123"/>
      <c r="H1013" s="1123"/>
      <c r="I1013" s="1123"/>
      <c r="J1013" s="1123"/>
      <c r="K1013" s="1123"/>
      <c r="L1013" s="1123"/>
      <c r="M1013" s="1123"/>
      <c r="N1013" s="1123"/>
      <c r="V1013" s="1224"/>
    </row>
    <row r="1014" spans="1:22">
      <c r="A1014" s="1289"/>
      <c r="B1014" s="1123"/>
      <c r="C1014" s="1123"/>
      <c r="D1014" s="1123"/>
      <c r="E1014" s="1123"/>
      <c r="G1014" s="1123"/>
      <c r="H1014" s="1123"/>
      <c r="I1014" s="1123"/>
      <c r="J1014" s="1123"/>
      <c r="K1014" s="1123"/>
      <c r="L1014" s="1123"/>
      <c r="M1014" s="1123"/>
      <c r="N1014" s="1123"/>
      <c r="V1014" s="1224"/>
    </row>
    <row r="1015" spans="1:22">
      <c r="A1015" s="1289"/>
      <c r="B1015" s="1123"/>
      <c r="C1015" s="1123"/>
      <c r="D1015" s="1123"/>
      <c r="E1015" s="1123"/>
      <c r="G1015" s="1123"/>
      <c r="H1015" s="1123"/>
      <c r="I1015" s="1123"/>
      <c r="J1015" s="1123"/>
      <c r="K1015" s="1123"/>
      <c r="L1015" s="1123"/>
      <c r="M1015" s="1123"/>
      <c r="N1015" s="1123"/>
      <c r="V1015" s="1224"/>
    </row>
    <row r="1016" spans="1:22">
      <c r="A1016" s="1289"/>
      <c r="B1016" s="1123"/>
      <c r="C1016" s="1123"/>
      <c r="D1016" s="1123"/>
      <c r="E1016" s="1123"/>
      <c r="G1016" s="1123"/>
      <c r="H1016" s="1123"/>
      <c r="I1016" s="1123"/>
      <c r="J1016" s="1123"/>
      <c r="K1016" s="1123"/>
      <c r="L1016" s="1123"/>
      <c r="M1016" s="1123"/>
      <c r="N1016" s="1123"/>
      <c r="V1016" s="1224"/>
    </row>
    <row r="1017" spans="1:22">
      <c r="A1017" s="1289"/>
      <c r="B1017" s="1123"/>
      <c r="C1017" s="1123"/>
      <c r="D1017" s="1123"/>
      <c r="E1017" s="1123"/>
      <c r="G1017" s="1123"/>
      <c r="H1017" s="1123"/>
      <c r="I1017" s="1123"/>
      <c r="J1017" s="1123"/>
      <c r="K1017" s="1123"/>
      <c r="L1017" s="1123"/>
      <c r="M1017" s="1123"/>
      <c r="N1017" s="1123"/>
      <c r="V1017" s="1224"/>
    </row>
    <row r="1018" spans="1:22">
      <c r="A1018" s="1289"/>
      <c r="B1018" s="1123"/>
      <c r="C1018" s="1123"/>
      <c r="D1018" s="1123"/>
      <c r="E1018" s="1123"/>
      <c r="G1018" s="1123"/>
      <c r="H1018" s="1123"/>
      <c r="I1018" s="1123"/>
      <c r="J1018" s="1123"/>
      <c r="K1018" s="1123"/>
      <c r="L1018" s="1123"/>
      <c r="M1018" s="1123"/>
      <c r="N1018" s="1123"/>
      <c r="V1018" s="1224"/>
    </row>
    <row r="1019" spans="1:22">
      <c r="A1019" s="1289"/>
      <c r="B1019" s="1123"/>
      <c r="C1019" s="1123"/>
      <c r="D1019" s="1123"/>
      <c r="E1019" s="1123"/>
      <c r="G1019" s="1123"/>
      <c r="H1019" s="1123"/>
      <c r="I1019" s="1123"/>
      <c r="J1019" s="1123"/>
      <c r="K1019" s="1123"/>
      <c r="L1019" s="1123"/>
      <c r="M1019" s="1123"/>
      <c r="N1019" s="1123"/>
      <c r="V1019" s="1224"/>
    </row>
    <row r="1020" spans="1:22">
      <c r="A1020" s="1289"/>
      <c r="B1020" s="1123"/>
      <c r="C1020" s="1123"/>
      <c r="D1020" s="1123"/>
      <c r="E1020" s="1123"/>
      <c r="G1020" s="1123"/>
      <c r="H1020" s="1123"/>
      <c r="I1020" s="1123"/>
      <c r="J1020" s="1123"/>
      <c r="K1020" s="1123"/>
      <c r="L1020" s="1123"/>
      <c r="M1020" s="1123"/>
      <c r="N1020" s="1123"/>
      <c r="V1020" s="1224"/>
    </row>
    <row r="1021" spans="1:22">
      <c r="A1021" s="1289"/>
      <c r="B1021" s="1123"/>
      <c r="C1021" s="1123"/>
      <c r="D1021" s="1123"/>
      <c r="E1021" s="1123"/>
      <c r="G1021" s="1123"/>
      <c r="H1021" s="1123"/>
      <c r="I1021" s="1123"/>
      <c r="J1021" s="1123"/>
      <c r="K1021" s="1123"/>
      <c r="L1021" s="1123"/>
      <c r="M1021" s="1123"/>
      <c r="N1021" s="1123"/>
      <c r="V1021" s="1224"/>
    </row>
    <row r="1022" spans="1:22">
      <c r="A1022" s="1289"/>
      <c r="B1022" s="1123"/>
      <c r="C1022" s="1123"/>
      <c r="D1022" s="1123"/>
      <c r="E1022" s="1123"/>
      <c r="G1022" s="1123"/>
      <c r="H1022" s="1123"/>
      <c r="I1022" s="1123"/>
      <c r="J1022" s="1123"/>
      <c r="K1022" s="1123"/>
      <c r="L1022" s="1123"/>
      <c r="M1022" s="1123"/>
      <c r="N1022" s="1123"/>
      <c r="V1022" s="1224"/>
    </row>
    <row r="1023" spans="1:22">
      <c r="A1023" s="1289"/>
      <c r="B1023" s="1123"/>
      <c r="C1023" s="1123"/>
      <c r="D1023" s="1123"/>
      <c r="E1023" s="1123"/>
      <c r="G1023" s="1123"/>
      <c r="H1023" s="1123"/>
      <c r="I1023" s="1123"/>
      <c r="J1023" s="1123"/>
      <c r="K1023" s="1123"/>
      <c r="L1023" s="1123"/>
      <c r="M1023" s="1123"/>
      <c r="N1023" s="1123"/>
      <c r="V1023" s="1224"/>
    </row>
    <row r="1024" spans="1:22">
      <c r="A1024" s="1289"/>
      <c r="B1024" s="1123"/>
      <c r="C1024" s="1123"/>
      <c r="D1024" s="1123"/>
      <c r="E1024" s="1123"/>
      <c r="G1024" s="1123"/>
      <c r="H1024" s="1123"/>
      <c r="I1024" s="1123"/>
      <c r="J1024" s="1123"/>
      <c r="K1024" s="1123"/>
      <c r="L1024" s="1123"/>
      <c r="M1024" s="1123"/>
      <c r="N1024" s="1123"/>
      <c r="V1024" s="1224"/>
    </row>
    <row r="1025" spans="1:22">
      <c r="A1025" s="1289"/>
      <c r="B1025" s="1123"/>
      <c r="C1025" s="1123"/>
      <c r="D1025" s="1123"/>
      <c r="E1025" s="1123"/>
      <c r="G1025" s="1123"/>
      <c r="H1025" s="1123"/>
      <c r="I1025" s="1123"/>
      <c r="J1025" s="1123"/>
      <c r="K1025" s="1123"/>
      <c r="L1025" s="1123"/>
      <c r="M1025" s="1123"/>
      <c r="N1025" s="1123"/>
      <c r="V1025" s="1224"/>
    </row>
    <row r="1026" spans="1:22">
      <c r="A1026" s="1289"/>
      <c r="B1026" s="1123"/>
      <c r="C1026" s="1123"/>
      <c r="D1026" s="1123"/>
      <c r="E1026" s="1123"/>
      <c r="G1026" s="1123"/>
      <c r="H1026" s="1123"/>
      <c r="I1026" s="1123"/>
      <c r="J1026" s="1123"/>
      <c r="K1026" s="1123"/>
      <c r="L1026" s="1123"/>
      <c r="M1026" s="1123"/>
      <c r="N1026" s="1123"/>
      <c r="V1026" s="1224"/>
    </row>
    <row r="1027" spans="1:22">
      <c r="A1027" s="1289"/>
      <c r="B1027" s="1123"/>
      <c r="C1027" s="1123"/>
      <c r="D1027" s="1123"/>
      <c r="E1027" s="1123"/>
      <c r="G1027" s="1123"/>
      <c r="H1027" s="1123"/>
      <c r="I1027" s="1123"/>
      <c r="J1027" s="1123"/>
      <c r="K1027" s="1123"/>
      <c r="L1027" s="1123"/>
      <c r="M1027" s="1123"/>
      <c r="N1027" s="1123"/>
      <c r="V1027" s="1224"/>
    </row>
    <row r="1028" spans="1:22">
      <c r="A1028" s="1289"/>
      <c r="B1028" s="1123"/>
      <c r="C1028" s="1123"/>
      <c r="D1028" s="1123"/>
      <c r="E1028" s="1123"/>
      <c r="G1028" s="1123"/>
      <c r="H1028" s="1123"/>
      <c r="I1028" s="1123"/>
      <c r="J1028" s="1123"/>
      <c r="K1028" s="1123"/>
      <c r="L1028" s="1123"/>
      <c r="M1028" s="1123"/>
      <c r="N1028" s="1123"/>
      <c r="V1028" s="1224"/>
    </row>
    <row r="1029" spans="1:22">
      <c r="A1029" s="1289"/>
      <c r="B1029" s="1123"/>
      <c r="C1029" s="1123"/>
      <c r="D1029" s="1123"/>
      <c r="E1029" s="1123"/>
      <c r="G1029" s="1123"/>
      <c r="H1029" s="1123"/>
      <c r="I1029" s="1123"/>
      <c r="J1029" s="1123"/>
      <c r="K1029" s="1123"/>
      <c r="L1029" s="1123"/>
      <c r="M1029" s="1123"/>
      <c r="N1029" s="1123"/>
      <c r="V1029" s="1224"/>
    </row>
    <row r="1030" spans="1:22">
      <c r="A1030" s="1289"/>
      <c r="B1030" s="1123"/>
      <c r="C1030" s="1123"/>
      <c r="D1030" s="1123"/>
      <c r="E1030" s="1123"/>
      <c r="G1030" s="1123"/>
      <c r="H1030" s="1123"/>
      <c r="I1030" s="1123"/>
      <c r="J1030" s="1123"/>
      <c r="K1030" s="1123"/>
      <c r="L1030" s="1123"/>
      <c r="M1030" s="1123"/>
      <c r="N1030" s="1123"/>
      <c r="V1030" s="1224"/>
    </row>
    <row r="1031" spans="1:22">
      <c r="A1031" s="1289"/>
      <c r="B1031" s="1123"/>
      <c r="C1031" s="1123"/>
      <c r="D1031" s="1123"/>
      <c r="E1031" s="1123"/>
      <c r="G1031" s="1123"/>
      <c r="H1031" s="1123"/>
      <c r="I1031" s="1123"/>
      <c r="J1031" s="1123"/>
      <c r="K1031" s="1123"/>
      <c r="L1031" s="1123"/>
      <c r="M1031" s="1123"/>
      <c r="N1031" s="1123"/>
      <c r="V1031" s="1224"/>
    </row>
    <row r="1032" spans="1:22">
      <c r="A1032" s="1289"/>
      <c r="B1032" s="1123"/>
      <c r="C1032" s="1123"/>
      <c r="D1032" s="1123"/>
      <c r="E1032" s="1123"/>
      <c r="G1032" s="1123"/>
      <c r="H1032" s="1123"/>
      <c r="I1032" s="1123"/>
      <c r="J1032" s="1123"/>
      <c r="K1032" s="1123"/>
      <c r="L1032" s="1123"/>
      <c r="M1032" s="1123"/>
      <c r="N1032" s="1123"/>
      <c r="V1032" s="1224"/>
    </row>
    <row r="1033" spans="1:22">
      <c r="A1033" s="1289"/>
      <c r="B1033" s="1123"/>
      <c r="C1033" s="1123"/>
      <c r="D1033" s="1123"/>
      <c r="E1033" s="1123"/>
      <c r="G1033" s="1123"/>
      <c r="H1033" s="1123"/>
      <c r="I1033" s="1123"/>
      <c r="J1033" s="1123"/>
      <c r="K1033" s="1123"/>
      <c r="L1033" s="1123"/>
      <c r="M1033" s="1123"/>
      <c r="N1033" s="1123"/>
      <c r="V1033" s="1224"/>
    </row>
    <row r="1034" spans="1:22">
      <c r="A1034" s="1289"/>
      <c r="B1034" s="1123"/>
      <c r="C1034" s="1123"/>
      <c r="D1034" s="1123"/>
      <c r="E1034" s="1123"/>
      <c r="G1034" s="1123"/>
      <c r="H1034" s="1123"/>
      <c r="I1034" s="1123"/>
      <c r="J1034" s="1123"/>
      <c r="K1034" s="1123"/>
      <c r="L1034" s="1123"/>
      <c r="M1034" s="1123"/>
      <c r="N1034" s="1123"/>
      <c r="V1034" s="1224"/>
    </row>
    <row r="1035" spans="1:22">
      <c r="A1035" s="1289"/>
      <c r="B1035" s="1123"/>
      <c r="C1035" s="1123"/>
      <c r="D1035" s="1123"/>
      <c r="E1035" s="1123"/>
      <c r="G1035" s="1123"/>
      <c r="H1035" s="1123"/>
      <c r="I1035" s="1123"/>
      <c r="J1035" s="1123"/>
      <c r="K1035" s="1123"/>
      <c r="L1035" s="1123"/>
      <c r="M1035" s="1123"/>
      <c r="N1035" s="1123"/>
      <c r="V1035" s="1224"/>
    </row>
    <row r="1036" spans="1:22">
      <c r="A1036" s="1289"/>
      <c r="B1036" s="1123"/>
      <c r="C1036" s="1123"/>
      <c r="D1036" s="1123"/>
      <c r="E1036" s="1123"/>
      <c r="G1036" s="1123"/>
      <c r="H1036" s="1123"/>
      <c r="I1036" s="1123"/>
      <c r="J1036" s="1123"/>
      <c r="K1036" s="1123"/>
      <c r="L1036" s="1123"/>
      <c r="M1036" s="1123"/>
      <c r="N1036" s="1123"/>
      <c r="V1036" s="1224"/>
    </row>
    <row r="1037" spans="1:22">
      <c r="A1037" s="1289"/>
      <c r="B1037" s="1123"/>
      <c r="C1037" s="1123"/>
      <c r="D1037" s="1123"/>
      <c r="E1037" s="1123"/>
      <c r="G1037" s="1123"/>
      <c r="H1037" s="1123"/>
      <c r="I1037" s="1123"/>
      <c r="J1037" s="1123"/>
      <c r="K1037" s="1123"/>
      <c r="L1037" s="1123"/>
      <c r="M1037" s="1123"/>
      <c r="N1037" s="1123"/>
      <c r="V1037" s="1224"/>
    </row>
    <row r="1038" spans="1:22">
      <c r="A1038" s="1289"/>
      <c r="B1038" s="1123"/>
      <c r="C1038" s="1123"/>
      <c r="D1038" s="1123"/>
      <c r="E1038" s="1123"/>
      <c r="G1038" s="1123"/>
      <c r="H1038" s="1123"/>
      <c r="I1038" s="1123"/>
      <c r="J1038" s="1123"/>
      <c r="K1038" s="1123"/>
      <c r="L1038" s="1123"/>
      <c r="M1038" s="1123"/>
      <c r="N1038" s="1123"/>
      <c r="V1038" s="1224"/>
    </row>
    <row r="1039" spans="1:22">
      <c r="A1039" s="1289"/>
      <c r="B1039" s="1123"/>
      <c r="C1039" s="1123"/>
      <c r="D1039" s="1123"/>
      <c r="E1039" s="1123"/>
      <c r="G1039" s="1123"/>
      <c r="H1039" s="1123"/>
      <c r="I1039" s="1123"/>
      <c r="J1039" s="1123"/>
      <c r="K1039" s="1123"/>
      <c r="L1039" s="1123"/>
      <c r="M1039" s="1123"/>
      <c r="N1039" s="1123"/>
      <c r="V1039" s="1224"/>
    </row>
    <row r="1040" spans="1:22">
      <c r="A1040" s="1289"/>
      <c r="B1040" s="1123"/>
      <c r="C1040" s="1123"/>
      <c r="D1040" s="1123"/>
      <c r="E1040" s="1123"/>
      <c r="G1040" s="1123"/>
      <c r="H1040" s="1123"/>
      <c r="I1040" s="1123"/>
      <c r="J1040" s="1123"/>
      <c r="K1040" s="1123"/>
      <c r="L1040" s="1123"/>
      <c r="M1040" s="1123"/>
      <c r="N1040" s="1123"/>
      <c r="V1040" s="1224"/>
    </row>
    <row r="1041" spans="1:22">
      <c r="A1041" s="1289"/>
      <c r="B1041" s="1123"/>
      <c r="C1041" s="1123"/>
      <c r="D1041" s="1123"/>
      <c r="E1041" s="1123"/>
      <c r="G1041" s="1123"/>
      <c r="H1041" s="1123"/>
      <c r="I1041" s="1123"/>
      <c r="J1041" s="1123"/>
      <c r="K1041" s="1123"/>
      <c r="L1041" s="1123"/>
      <c r="M1041" s="1123"/>
      <c r="N1041" s="1123"/>
      <c r="V1041" s="1224"/>
    </row>
    <row r="1042" spans="1:22">
      <c r="A1042" s="1289"/>
      <c r="B1042" s="1123"/>
      <c r="C1042" s="1123"/>
      <c r="D1042" s="1123"/>
      <c r="E1042" s="1123"/>
      <c r="G1042" s="1123"/>
      <c r="H1042" s="1123"/>
      <c r="I1042" s="1123"/>
      <c r="J1042" s="1123"/>
      <c r="K1042" s="1123"/>
      <c r="L1042" s="1123"/>
      <c r="M1042" s="1123"/>
      <c r="N1042" s="1123"/>
      <c r="V1042" s="1224"/>
    </row>
    <row r="1043" spans="1:22">
      <c r="A1043" s="1289"/>
      <c r="B1043" s="1123"/>
      <c r="C1043" s="1123"/>
      <c r="D1043" s="1123"/>
      <c r="E1043" s="1123"/>
      <c r="G1043" s="1123"/>
      <c r="H1043" s="1123"/>
      <c r="I1043" s="1123"/>
      <c r="J1043" s="1123"/>
      <c r="K1043" s="1123"/>
      <c r="L1043" s="1123"/>
      <c r="M1043" s="1123"/>
      <c r="N1043" s="1123"/>
      <c r="V1043" s="1224"/>
    </row>
    <row r="1044" spans="1:22">
      <c r="A1044" s="1289"/>
      <c r="B1044" s="1123"/>
      <c r="C1044" s="1123"/>
      <c r="D1044" s="1123"/>
      <c r="E1044" s="1123"/>
      <c r="G1044" s="1123"/>
      <c r="H1044" s="1123"/>
      <c r="I1044" s="1123"/>
      <c r="J1044" s="1123"/>
      <c r="K1044" s="1123"/>
      <c r="L1044" s="1123"/>
      <c r="M1044" s="1123"/>
      <c r="N1044" s="1123"/>
      <c r="V1044" s="1224"/>
    </row>
    <row r="1045" spans="1:22">
      <c r="A1045" s="1289"/>
      <c r="B1045" s="1123"/>
      <c r="C1045" s="1123"/>
      <c r="D1045" s="1123"/>
      <c r="E1045" s="1123"/>
      <c r="G1045" s="1123"/>
      <c r="H1045" s="1123"/>
      <c r="I1045" s="1123"/>
      <c r="J1045" s="1123"/>
      <c r="K1045" s="1123"/>
      <c r="L1045" s="1123"/>
      <c r="M1045" s="1123"/>
      <c r="N1045" s="1123"/>
      <c r="V1045" s="1224"/>
    </row>
    <row r="1046" spans="1:22">
      <c r="A1046" s="1289"/>
      <c r="B1046" s="1123"/>
      <c r="C1046" s="1123"/>
      <c r="D1046" s="1123"/>
      <c r="E1046" s="1123"/>
      <c r="G1046" s="1123"/>
      <c r="H1046" s="1123"/>
      <c r="I1046" s="1123"/>
      <c r="J1046" s="1123"/>
      <c r="K1046" s="1123"/>
      <c r="L1046" s="1123"/>
      <c r="M1046" s="1123"/>
      <c r="N1046" s="1123"/>
      <c r="V1046" s="1224"/>
    </row>
    <row r="1047" spans="1:22">
      <c r="A1047" s="1289"/>
      <c r="B1047" s="1123"/>
      <c r="C1047" s="1123"/>
      <c r="D1047" s="1123"/>
      <c r="E1047" s="1123"/>
      <c r="G1047" s="1123"/>
      <c r="H1047" s="1123"/>
      <c r="I1047" s="1123"/>
      <c r="J1047" s="1123"/>
      <c r="K1047" s="1123"/>
      <c r="L1047" s="1123"/>
      <c r="M1047" s="1123"/>
      <c r="N1047" s="1123"/>
      <c r="V1047" s="1224"/>
    </row>
    <row r="1048" spans="1:22">
      <c r="A1048" s="1289"/>
      <c r="B1048" s="1123"/>
      <c r="C1048" s="1123"/>
      <c r="D1048" s="1123"/>
      <c r="E1048" s="1123"/>
      <c r="G1048" s="1123"/>
      <c r="H1048" s="1123"/>
      <c r="I1048" s="1123"/>
      <c r="J1048" s="1123"/>
      <c r="K1048" s="1123"/>
      <c r="L1048" s="1123"/>
      <c r="M1048" s="1123"/>
      <c r="N1048" s="1123"/>
      <c r="V1048" s="1224"/>
    </row>
    <row r="1049" spans="1:22">
      <c r="A1049" s="1289"/>
      <c r="B1049" s="1123"/>
      <c r="C1049" s="1123"/>
      <c r="D1049" s="1123"/>
      <c r="E1049" s="1123"/>
      <c r="G1049" s="1123"/>
      <c r="H1049" s="1123"/>
      <c r="I1049" s="1123"/>
      <c r="J1049" s="1123"/>
      <c r="K1049" s="1123"/>
      <c r="L1049" s="1123"/>
      <c r="M1049" s="1123"/>
      <c r="N1049" s="1123"/>
      <c r="V1049" s="1224"/>
    </row>
    <row r="1050" spans="1:22">
      <c r="A1050" s="1289"/>
      <c r="B1050" s="1123"/>
      <c r="C1050" s="1123"/>
      <c r="D1050" s="1123"/>
      <c r="E1050" s="1123"/>
      <c r="G1050" s="1123"/>
      <c r="H1050" s="1123"/>
      <c r="I1050" s="1123"/>
      <c r="J1050" s="1123"/>
      <c r="K1050" s="1123"/>
      <c r="L1050" s="1123"/>
      <c r="M1050" s="1123"/>
      <c r="N1050" s="1123"/>
      <c r="V1050" s="1224"/>
    </row>
    <row r="1051" spans="1:22">
      <c r="A1051" s="1289"/>
      <c r="B1051" s="1123"/>
      <c r="C1051" s="1123"/>
      <c r="D1051" s="1123"/>
      <c r="E1051" s="1123"/>
      <c r="G1051" s="1123"/>
      <c r="H1051" s="1123"/>
      <c r="I1051" s="1123"/>
      <c r="J1051" s="1123"/>
      <c r="K1051" s="1123"/>
      <c r="L1051" s="1123"/>
      <c r="M1051" s="1123"/>
      <c r="N1051" s="1123"/>
      <c r="V1051" s="1224"/>
    </row>
    <row r="1052" spans="1:22">
      <c r="A1052" s="1289"/>
      <c r="B1052" s="1123"/>
      <c r="C1052" s="1123"/>
      <c r="D1052" s="1123"/>
      <c r="E1052" s="1123"/>
      <c r="G1052" s="1123"/>
      <c r="H1052" s="1123"/>
      <c r="I1052" s="1123"/>
      <c r="J1052" s="1123"/>
      <c r="K1052" s="1123"/>
      <c r="L1052" s="1123"/>
      <c r="M1052" s="1123"/>
      <c r="N1052" s="1123"/>
      <c r="V1052" s="1224"/>
    </row>
    <row r="1053" spans="1:22">
      <c r="A1053" s="1289"/>
      <c r="B1053" s="1123"/>
      <c r="C1053" s="1123"/>
      <c r="D1053" s="1123"/>
      <c r="E1053" s="1123"/>
      <c r="G1053" s="1123"/>
      <c r="H1053" s="1123"/>
      <c r="I1053" s="1123"/>
      <c r="J1053" s="1123"/>
      <c r="K1053" s="1123"/>
      <c r="L1053" s="1123"/>
      <c r="M1053" s="1123"/>
      <c r="N1053" s="1123"/>
      <c r="V1053" s="1224"/>
    </row>
    <row r="1054" spans="1:22">
      <c r="A1054" s="1289"/>
      <c r="B1054" s="1123"/>
      <c r="C1054" s="1123"/>
      <c r="D1054" s="1123"/>
      <c r="E1054" s="1123"/>
      <c r="G1054" s="1123"/>
      <c r="H1054" s="1123"/>
      <c r="I1054" s="1123"/>
      <c r="J1054" s="1123"/>
      <c r="K1054" s="1123"/>
      <c r="L1054" s="1123"/>
      <c r="M1054" s="1123"/>
      <c r="N1054" s="1123"/>
      <c r="V1054" s="1224"/>
    </row>
    <row r="1055" spans="1:22">
      <c r="A1055" s="1289"/>
      <c r="B1055" s="1123"/>
      <c r="C1055" s="1123"/>
      <c r="D1055" s="1123"/>
      <c r="E1055" s="1123"/>
      <c r="G1055" s="1123"/>
      <c r="H1055" s="1123"/>
      <c r="I1055" s="1123"/>
      <c r="J1055" s="1123"/>
      <c r="K1055" s="1123"/>
      <c r="L1055" s="1123"/>
      <c r="M1055" s="1123"/>
      <c r="N1055" s="1123"/>
      <c r="V1055" s="1224"/>
    </row>
    <row r="1056" spans="1:22">
      <c r="A1056" s="1289"/>
      <c r="B1056" s="1123"/>
      <c r="C1056" s="1123"/>
      <c r="D1056" s="1123"/>
      <c r="E1056" s="1123"/>
      <c r="G1056" s="1123"/>
      <c r="H1056" s="1123"/>
      <c r="I1056" s="1123"/>
      <c r="J1056" s="1123"/>
      <c r="K1056" s="1123"/>
      <c r="L1056" s="1123"/>
      <c r="M1056" s="1123"/>
      <c r="N1056" s="1123"/>
      <c r="V1056" s="1224"/>
    </row>
    <row r="1057" spans="1:22">
      <c r="A1057" s="1289"/>
      <c r="B1057" s="1123"/>
      <c r="C1057" s="1123"/>
      <c r="D1057" s="1123"/>
      <c r="E1057" s="1123"/>
      <c r="G1057" s="1123"/>
      <c r="H1057" s="1123"/>
      <c r="I1057" s="1123"/>
      <c r="J1057" s="1123"/>
      <c r="K1057" s="1123"/>
      <c r="L1057" s="1123"/>
      <c r="M1057" s="1123"/>
      <c r="N1057" s="1123"/>
      <c r="V1057" s="1224"/>
    </row>
    <row r="1058" spans="1:22">
      <c r="A1058" s="1289"/>
      <c r="B1058" s="1123"/>
      <c r="C1058" s="1123"/>
      <c r="D1058" s="1123"/>
      <c r="E1058" s="1123"/>
      <c r="G1058" s="1123"/>
      <c r="H1058" s="1123"/>
      <c r="I1058" s="1123"/>
      <c r="J1058" s="1123"/>
      <c r="K1058" s="1123"/>
      <c r="L1058" s="1123"/>
      <c r="M1058" s="1123"/>
      <c r="N1058" s="1123"/>
      <c r="V1058" s="1224"/>
    </row>
    <row r="1059" spans="1:22">
      <c r="A1059" s="1289"/>
      <c r="B1059" s="1123"/>
      <c r="C1059" s="1123"/>
      <c r="D1059" s="1123"/>
      <c r="E1059" s="1123"/>
      <c r="G1059" s="1123"/>
      <c r="H1059" s="1123"/>
      <c r="I1059" s="1123"/>
      <c r="J1059" s="1123"/>
      <c r="K1059" s="1123"/>
      <c r="L1059" s="1123"/>
      <c r="M1059" s="1123"/>
      <c r="N1059" s="1123"/>
      <c r="V1059" s="1224"/>
    </row>
    <row r="1060" spans="1:22">
      <c r="A1060" s="1289"/>
      <c r="B1060" s="1123"/>
      <c r="C1060" s="1123"/>
      <c r="D1060" s="1123"/>
      <c r="E1060" s="1123"/>
      <c r="G1060" s="1123"/>
      <c r="H1060" s="1123"/>
      <c r="I1060" s="1123"/>
      <c r="J1060" s="1123"/>
      <c r="K1060" s="1123"/>
      <c r="L1060" s="1123"/>
      <c r="M1060" s="1123"/>
      <c r="N1060" s="1123"/>
      <c r="V1060" s="1224"/>
    </row>
    <row r="1061" spans="1:22">
      <c r="A1061" s="1289"/>
      <c r="B1061" s="1123"/>
      <c r="C1061" s="1123"/>
      <c r="D1061" s="1123"/>
      <c r="E1061" s="1123"/>
      <c r="G1061" s="1123"/>
      <c r="H1061" s="1123"/>
      <c r="I1061" s="1123"/>
      <c r="J1061" s="1123"/>
      <c r="K1061" s="1123"/>
      <c r="L1061" s="1123"/>
      <c r="M1061" s="1123"/>
      <c r="N1061" s="1123"/>
      <c r="V1061" s="1224"/>
    </row>
    <row r="1062" spans="1:22">
      <c r="A1062" s="1289"/>
      <c r="B1062" s="1123"/>
      <c r="C1062" s="1123"/>
      <c r="D1062" s="1123"/>
      <c r="E1062" s="1123"/>
      <c r="G1062" s="1123"/>
      <c r="H1062" s="1123"/>
      <c r="I1062" s="1123"/>
      <c r="J1062" s="1123"/>
      <c r="K1062" s="1123"/>
      <c r="L1062" s="1123"/>
      <c r="M1062" s="1123"/>
      <c r="N1062" s="1123"/>
      <c r="V1062" s="1224"/>
    </row>
    <row r="1063" spans="1:22">
      <c r="A1063" s="1289"/>
      <c r="B1063" s="1123"/>
      <c r="C1063" s="1123"/>
      <c r="D1063" s="1123"/>
      <c r="E1063" s="1123"/>
      <c r="G1063" s="1123"/>
      <c r="H1063" s="1123"/>
      <c r="I1063" s="1123"/>
      <c r="J1063" s="1123"/>
      <c r="K1063" s="1123"/>
      <c r="L1063" s="1123"/>
      <c r="M1063" s="1123"/>
      <c r="N1063" s="1123"/>
      <c r="V1063" s="1224"/>
    </row>
    <row r="1064" spans="1:22">
      <c r="A1064" s="1289"/>
      <c r="B1064" s="1123"/>
      <c r="C1064" s="1123"/>
      <c r="D1064" s="1123"/>
      <c r="E1064" s="1123"/>
      <c r="G1064" s="1123"/>
      <c r="H1064" s="1123"/>
      <c r="I1064" s="1123"/>
      <c r="J1064" s="1123"/>
      <c r="K1064" s="1123"/>
      <c r="L1064" s="1123"/>
      <c r="M1064" s="1123"/>
      <c r="N1064" s="1123"/>
      <c r="V1064" s="1224"/>
    </row>
    <row r="1065" spans="1:22">
      <c r="A1065" s="1289"/>
      <c r="B1065" s="1123"/>
      <c r="C1065" s="1123"/>
      <c r="D1065" s="1123"/>
      <c r="E1065" s="1123"/>
      <c r="G1065" s="1123"/>
      <c r="H1065" s="1123"/>
      <c r="I1065" s="1123"/>
      <c r="J1065" s="1123"/>
      <c r="K1065" s="1123"/>
      <c r="L1065" s="1123"/>
      <c r="M1065" s="1123"/>
      <c r="N1065" s="1123"/>
      <c r="V1065" s="1224"/>
    </row>
    <row r="1066" spans="1:22">
      <c r="A1066" s="1289"/>
      <c r="B1066" s="1123"/>
      <c r="C1066" s="1123"/>
      <c r="D1066" s="1123"/>
      <c r="E1066" s="1123"/>
      <c r="G1066" s="1123"/>
      <c r="H1066" s="1123"/>
      <c r="I1066" s="1123"/>
      <c r="J1066" s="1123"/>
      <c r="K1066" s="1123"/>
      <c r="L1066" s="1123"/>
      <c r="M1066" s="1123"/>
      <c r="N1066" s="1123"/>
      <c r="V1066" s="1224"/>
    </row>
    <row r="1067" spans="1:22">
      <c r="A1067" s="1289"/>
      <c r="B1067" s="1123"/>
      <c r="C1067" s="1123"/>
      <c r="D1067" s="1123"/>
      <c r="E1067" s="1123"/>
      <c r="G1067" s="1123"/>
      <c r="H1067" s="1123"/>
      <c r="I1067" s="1123"/>
      <c r="J1067" s="1123"/>
      <c r="K1067" s="1123"/>
      <c r="L1067" s="1123"/>
      <c r="M1067" s="1123"/>
      <c r="N1067" s="1123"/>
      <c r="V1067" s="1224"/>
    </row>
    <row r="1068" spans="1:22">
      <c r="A1068" s="1289"/>
      <c r="B1068" s="1123"/>
      <c r="C1068" s="1123"/>
      <c r="D1068" s="1123"/>
      <c r="E1068" s="1123"/>
      <c r="G1068" s="1123"/>
      <c r="H1068" s="1123"/>
      <c r="I1068" s="1123"/>
      <c r="J1068" s="1123"/>
      <c r="K1068" s="1123"/>
      <c r="L1068" s="1123"/>
      <c r="M1068" s="1123"/>
      <c r="N1068" s="1123"/>
      <c r="V1068" s="1224"/>
    </row>
    <row r="1069" spans="1:22">
      <c r="A1069" s="1289"/>
      <c r="B1069" s="1123"/>
      <c r="C1069" s="1123"/>
      <c r="D1069" s="1123"/>
      <c r="E1069" s="1123"/>
      <c r="G1069" s="1123"/>
      <c r="H1069" s="1123"/>
      <c r="I1069" s="1123"/>
      <c r="J1069" s="1123"/>
      <c r="K1069" s="1123"/>
      <c r="L1069" s="1123"/>
      <c r="M1069" s="1123"/>
      <c r="N1069" s="1123"/>
      <c r="V1069" s="1224"/>
    </row>
    <row r="1070" spans="1:22">
      <c r="A1070" s="1289"/>
      <c r="B1070" s="1123"/>
      <c r="C1070" s="1123"/>
      <c r="D1070" s="1123"/>
      <c r="E1070" s="1123"/>
      <c r="G1070" s="1123"/>
      <c r="H1070" s="1123"/>
      <c r="I1070" s="1123"/>
      <c r="J1070" s="1123"/>
      <c r="K1070" s="1123"/>
      <c r="L1070" s="1123"/>
      <c r="M1070" s="1123"/>
      <c r="N1070" s="1123"/>
      <c r="V1070" s="1224"/>
    </row>
    <row r="1071" spans="1:22">
      <c r="A1071" s="1289"/>
      <c r="B1071" s="1123"/>
      <c r="C1071" s="1123"/>
      <c r="D1071" s="1123"/>
      <c r="E1071" s="1123"/>
      <c r="G1071" s="1123"/>
      <c r="H1071" s="1123"/>
      <c r="I1071" s="1123"/>
      <c r="J1071" s="1123"/>
      <c r="K1071" s="1123"/>
      <c r="L1071" s="1123"/>
      <c r="M1071" s="1123"/>
      <c r="N1071" s="1123"/>
      <c r="V1071" s="1224"/>
    </row>
    <row r="1072" spans="1:22">
      <c r="A1072" s="1289"/>
      <c r="B1072" s="1123"/>
      <c r="C1072" s="1123"/>
      <c r="D1072" s="1123"/>
      <c r="E1072" s="1123"/>
      <c r="G1072" s="1123"/>
      <c r="H1072" s="1123"/>
      <c r="I1072" s="1123"/>
      <c r="J1072" s="1123"/>
      <c r="K1072" s="1123"/>
      <c r="L1072" s="1123"/>
      <c r="M1072" s="1123"/>
      <c r="N1072" s="1123"/>
      <c r="V1072" s="1224"/>
    </row>
    <row r="1073" spans="1:22">
      <c r="A1073" s="1289"/>
      <c r="B1073" s="1123"/>
      <c r="C1073" s="1123"/>
      <c r="D1073" s="1123"/>
      <c r="E1073" s="1123"/>
      <c r="G1073" s="1123"/>
      <c r="H1073" s="1123"/>
      <c r="I1073" s="1123"/>
      <c r="J1073" s="1123"/>
      <c r="K1073" s="1123"/>
      <c r="L1073" s="1123"/>
      <c r="M1073" s="1123"/>
      <c r="N1073" s="1123"/>
      <c r="V1073" s="1224"/>
    </row>
    <row r="1074" spans="1:22">
      <c r="A1074" s="1289"/>
      <c r="B1074" s="1123"/>
      <c r="C1074" s="1123"/>
      <c r="D1074" s="1123"/>
      <c r="E1074" s="1123"/>
      <c r="G1074" s="1123"/>
      <c r="H1074" s="1123"/>
      <c r="I1074" s="1123"/>
      <c r="J1074" s="1123"/>
      <c r="K1074" s="1123"/>
      <c r="L1074" s="1123"/>
      <c r="M1074" s="1123"/>
      <c r="N1074" s="1123"/>
      <c r="V1074" s="1224"/>
    </row>
    <row r="1075" spans="1:22">
      <c r="A1075" s="1289"/>
      <c r="B1075" s="1123"/>
      <c r="C1075" s="1123"/>
      <c r="D1075" s="1123"/>
      <c r="E1075" s="1123"/>
      <c r="G1075" s="1123"/>
      <c r="H1075" s="1123"/>
      <c r="I1075" s="1123"/>
      <c r="J1075" s="1123"/>
      <c r="K1075" s="1123"/>
      <c r="L1075" s="1123"/>
      <c r="M1075" s="1123"/>
      <c r="N1075" s="1123"/>
      <c r="V1075" s="1224"/>
    </row>
    <row r="1076" spans="1:22">
      <c r="A1076" s="1289"/>
      <c r="B1076" s="1123"/>
      <c r="C1076" s="1123"/>
      <c r="D1076" s="1123"/>
      <c r="E1076" s="1123"/>
      <c r="G1076" s="1123"/>
      <c r="H1076" s="1123"/>
      <c r="I1076" s="1123"/>
      <c r="J1076" s="1123"/>
      <c r="K1076" s="1123"/>
      <c r="L1076" s="1123"/>
      <c r="M1076" s="1123"/>
      <c r="N1076" s="1123"/>
      <c r="V1076" s="1224"/>
    </row>
    <row r="1077" spans="1:22">
      <c r="A1077" s="1289"/>
      <c r="B1077" s="1123"/>
      <c r="C1077" s="1123"/>
      <c r="D1077" s="1123"/>
      <c r="E1077" s="1123"/>
      <c r="G1077" s="1123"/>
      <c r="H1077" s="1123"/>
      <c r="I1077" s="1123"/>
      <c r="J1077" s="1123"/>
      <c r="K1077" s="1123"/>
      <c r="L1077" s="1123"/>
      <c r="M1077" s="1123"/>
      <c r="N1077" s="1123"/>
      <c r="V1077" s="1224"/>
    </row>
    <row r="1078" spans="1:22">
      <c r="A1078" s="1289"/>
      <c r="B1078" s="1123"/>
      <c r="C1078" s="1123"/>
      <c r="D1078" s="1123"/>
      <c r="E1078" s="1123"/>
      <c r="G1078" s="1123"/>
      <c r="H1078" s="1123"/>
      <c r="I1078" s="1123"/>
      <c r="J1078" s="1123"/>
      <c r="K1078" s="1123"/>
      <c r="L1078" s="1123"/>
      <c r="M1078" s="1123"/>
      <c r="N1078" s="1123"/>
      <c r="V1078" s="1224"/>
    </row>
    <row r="1079" spans="1:22">
      <c r="A1079" s="1289"/>
      <c r="B1079" s="1123"/>
      <c r="C1079" s="1123"/>
      <c r="D1079" s="1123"/>
      <c r="E1079" s="1123"/>
      <c r="G1079" s="1123"/>
      <c r="H1079" s="1123"/>
      <c r="I1079" s="1123"/>
      <c r="J1079" s="1123"/>
      <c r="K1079" s="1123"/>
      <c r="L1079" s="1123"/>
      <c r="M1079" s="1123"/>
      <c r="N1079" s="1123"/>
      <c r="V1079" s="1224"/>
    </row>
    <row r="1080" spans="1:22">
      <c r="A1080" s="1289"/>
      <c r="B1080" s="1123"/>
      <c r="C1080" s="1123"/>
      <c r="D1080" s="1123"/>
      <c r="E1080" s="1123"/>
      <c r="G1080" s="1123"/>
      <c r="H1080" s="1123"/>
      <c r="I1080" s="1123"/>
      <c r="J1080" s="1123"/>
      <c r="K1080" s="1123"/>
      <c r="L1080" s="1123"/>
      <c r="M1080" s="1123"/>
      <c r="N1080" s="1123"/>
      <c r="V1080" s="1224"/>
    </row>
    <row r="1081" spans="1:22">
      <c r="A1081" s="1289"/>
      <c r="B1081" s="1123"/>
      <c r="C1081" s="1123"/>
      <c r="D1081" s="1123"/>
      <c r="E1081" s="1123"/>
      <c r="G1081" s="1123"/>
      <c r="H1081" s="1123"/>
      <c r="I1081" s="1123"/>
      <c r="J1081" s="1123"/>
      <c r="K1081" s="1123"/>
      <c r="L1081" s="1123"/>
      <c r="M1081" s="1123"/>
      <c r="N1081" s="1123"/>
      <c r="V1081" s="1224"/>
    </row>
    <row r="1082" spans="1:22">
      <c r="A1082" s="1289"/>
      <c r="B1082" s="1123"/>
      <c r="C1082" s="1123"/>
      <c r="D1082" s="1123"/>
      <c r="E1082" s="1123"/>
      <c r="G1082" s="1123"/>
      <c r="H1082" s="1123"/>
      <c r="I1082" s="1123"/>
      <c r="J1082" s="1123"/>
      <c r="K1082" s="1123"/>
      <c r="L1082" s="1123"/>
      <c r="M1082" s="1123"/>
      <c r="N1082" s="1123"/>
      <c r="V1082" s="1224"/>
    </row>
    <row r="1083" spans="1:22">
      <c r="A1083" s="1289"/>
      <c r="B1083" s="1123"/>
      <c r="C1083" s="1123"/>
      <c r="D1083" s="1123"/>
      <c r="E1083" s="1123"/>
      <c r="G1083" s="1123"/>
      <c r="H1083" s="1123"/>
      <c r="I1083" s="1123"/>
      <c r="J1083" s="1123"/>
      <c r="K1083" s="1123"/>
      <c r="L1083" s="1123"/>
      <c r="M1083" s="1123"/>
      <c r="N1083" s="1123"/>
      <c r="V1083" s="1224"/>
    </row>
    <row r="1084" spans="1:22">
      <c r="A1084" s="1289"/>
      <c r="B1084" s="1123"/>
      <c r="C1084" s="1123"/>
      <c r="D1084" s="1123"/>
      <c r="E1084" s="1123"/>
      <c r="G1084" s="1123"/>
      <c r="H1084" s="1123"/>
      <c r="I1084" s="1123"/>
      <c r="J1084" s="1123"/>
      <c r="K1084" s="1123"/>
      <c r="L1084" s="1123"/>
      <c r="M1084" s="1123"/>
      <c r="N1084" s="1123"/>
      <c r="V1084" s="1224"/>
    </row>
    <row r="1085" spans="1:22">
      <c r="A1085" s="1289"/>
      <c r="B1085" s="1123"/>
      <c r="C1085" s="1123"/>
      <c r="D1085" s="1123"/>
      <c r="E1085" s="1123"/>
      <c r="G1085" s="1123"/>
      <c r="H1085" s="1123"/>
      <c r="I1085" s="1123"/>
      <c r="J1085" s="1123"/>
      <c r="K1085" s="1123"/>
      <c r="L1085" s="1123"/>
      <c r="M1085" s="1123"/>
      <c r="N1085" s="1123"/>
      <c r="V1085" s="1224"/>
    </row>
    <row r="1086" spans="1:22">
      <c r="A1086" s="1289"/>
      <c r="B1086" s="1123"/>
      <c r="C1086" s="1123"/>
      <c r="D1086" s="1123"/>
      <c r="E1086" s="1123"/>
      <c r="G1086" s="1123"/>
      <c r="H1086" s="1123"/>
      <c r="I1086" s="1123"/>
      <c r="J1086" s="1123"/>
      <c r="K1086" s="1123"/>
      <c r="L1086" s="1123"/>
      <c r="M1086" s="1123"/>
      <c r="N1086" s="1123"/>
      <c r="V1086" s="1224"/>
    </row>
    <row r="1087" spans="1:22">
      <c r="A1087" s="1289"/>
      <c r="B1087" s="1123"/>
      <c r="C1087" s="1123"/>
      <c r="D1087" s="1123"/>
      <c r="E1087" s="1123"/>
      <c r="G1087" s="1123"/>
      <c r="H1087" s="1123"/>
      <c r="I1087" s="1123"/>
      <c r="J1087" s="1123"/>
      <c r="K1087" s="1123"/>
      <c r="L1087" s="1123"/>
      <c r="M1087" s="1123"/>
      <c r="N1087" s="1123"/>
      <c r="V1087" s="1224"/>
    </row>
    <row r="1088" spans="1:22">
      <c r="A1088" s="1289"/>
      <c r="B1088" s="1123"/>
      <c r="C1088" s="1123"/>
      <c r="D1088" s="1123"/>
      <c r="E1088" s="1123"/>
      <c r="G1088" s="1123"/>
      <c r="H1088" s="1123"/>
      <c r="I1088" s="1123"/>
      <c r="J1088" s="1123"/>
      <c r="K1088" s="1123"/>
      <c r="L1088" s="1123"/>
      <c r="M1088" s="1123"/>
      <c r="N1088" s="1123"/>
      <c r="V1088" s="1224"/>
    </row>
    <row r="1089" spans="1:22">
      <c r="A1089" s="1289"/>
      <c r="B1089" s="1123"/>
      <c r="C1089" s="1123"/>
      <c r="D1089" s="1123"/>
      <c r="E1089" s="1123"/>
      <c r="G1089" s="1123"/>
      <c r="H1089" s="1123"/>
      <c r="I1089" s="1123"/>
      <c r="J1089" s="1123"/>
      <c r="K1089" s="1123"/>
      <c r="L1089" s="1123"/>
      <c r="M1089" s="1123"/>
      <c r="N1089" s="1123"/>
      <c r="V1089" s="1224"/>
    </row>
    <row r="1090" spans="1:22">
      <c r="A1090" s="1289"/>
      <c r="B1090" s="1123"/>
      <c r="C1090" s="1123"/>
      <c r="D1090" s="1123"/>
      <c r="E1090" s="1123"/>
      <c r="G1090" s="1123"/>
      <c r="H1090" s="1123"/>
      <c r="I1090" s="1123"/>
      <c r="J1090" s="1123"/>
      <c r="K1090" s="1123"/>
      <c r="L1090" s="1123"/>
      <c r="M1090" s="1123"/>
      <c r="N1090" s="1123"/>
      <c r="V1090" s="1224"/>
    </row>
    <row r="1091" spans="1:22">
      <c r="A1091" s="1289"/>
      <c r="B1091" s="1123"/>
      <c r="C1091" s="1123"/>
      <c r="D1091" s="1123"/>
      <c r="E1091" s="1123"/>
      <c r="G1091" s="1123"/>
      <c r="H1091" s="1123"/>
      <c r="I1091" s="1123"/>
      <c r="J1091" s="1123"/>
      <c r="K1091" s="1123"/>
      <c r="L1091" s="1123"/>
      <c r="M1091" s="1123"/>
      <c r="N1091" s="1123"/>
      <c r="V1091" s="1224"/>
    </row>
    <row r="1092" spans="1:22">
      <c r="A1092" s="1289"/>
      <c r="B1092" s="1123"/>
      <c r="C1092" s="1123"/>
      <c r="D1092" s="1123"/>
      <c r="E1092" s="1123"/>
      <c r="G1092" s="1123"/>
      <c r="H1092" s="1123"/>
      <c r="I1092" s="1123"/>
      <c r="J1092" s="1123"/>
      <c r="K1092" s="1123"/>
      <c r="L1092" s="1123"/>
      <c r="M1092" s="1123"/>
      <c r="N1092" s="1123"/>
      <c r="V1092" s="1224"/>
    </row>
    <row r="1093" spans="1:22">
      <c r="A1093" s="1289"/>
      <c r="B1093" s="1123"/>
      <c r="C1093" s="1123"/>
      <c r="D1093" s="1123"/>
      <c r="E1093" s="1123"/>
      <c r="G1093" s="1123"/>
      <c r="H1093" s="1123"/>
      <c r="I1093" s="1123"/>
      <c r="J1093" s="1123"/>
      <c r="K1093" s="1123"/>
      <c r="L1093" s="1123"/>
      <c r="M1093" s="1123"/>
      <c r="N1093" s="1123"/>
      <c r="V1093" s="1224"/>
    </row>
    <row r="1094" spans="1:22">
      <c r="A1094" s="1289"/>
      <c r="B1094" s="1123"/>
      <c r="C1094" s="1123"/>
      <c r="D1094" s="1123"/>
      <c r="E1094" s="1123"/>
      <c r="G1094" s="1123"/>
      <c r="H1094" s="1123"/>
      <c r="I1094" s="1123"/>
      <c r="J1094" s="1123"/>
      <c r="K1094" s="1123"/>
      <c r="L1094" s="1123"/>
      <c r="M1094" s="1123"/>
      <c r="N1094" s="1123"/>
      <c r="V1094" s="1224"/>
    </row>
    <row r="1095" spans="1:22">
      <c r="A1095" s="1289"/>
      <c r="B1095" s="1123"/>
      <c r="C1095" s="1123"/>
      <c r="D1095" s="1123"/>
      <c r="E1095" s="1123"/>
      <c r="G1095" s="1123"/>
      <c r="H1095" s="1123"/>
      <c r="I1095" s="1123"/>
      <c r="J1095" s="1123"/>
      <c r="K1095" s="1123"/>
      <c r="L1095" s="1123"/>
      <c r="M1095" s="1123"/>
      <c r="N1095" s="1123"/>
      <c r="V1095" s="1224"/>
    </row>
    <row r="1096" spans="1:22">
      <c r="A1096" s="1289"/>
      <c r="B1096" s="1123"/>
      <c r="C1096" s="1123"/>
      <c r="D1096" s="1123"/>
      <c r="E1096" s="1123"/>
      <c r="G1096" s="1123"/>
      <c r="H1096" s="1123"/>
      <c r="I1096" s="1123"/>
      <c r="J1096" s="1123"/>
      <c r="K1096" s="1123"/>
      <c r="L1096" s="1123"/>
      <c r="M1096" s="1123"/>
      <c r="N1096" s="1123"/>
      <c r="V1096" s="1224"/>
    </row>
    <row r="1097" spans="1:22">
      <c r="A1097" s="1289"/>
      <c r="B1097" s="1123"/>
      <c r="C1097" s="1123"/>
      <c r="D1097" s="1123"/>
      <c r="E1097" s="1123"/>
      <c r="G1097" s="1123"/>
      <c r="H1097" s="1123"/>
      <c r="I1097" s="1123"/>
      <c r="J1097" s="1123"/>
      <c r="K1097" s="1123"/>
      <c r="L1097" s="1123"/>
      <c r="M1097" s="1123"/>
      <c r="N1097" s="1123"/>
      <c r="V1097" s="1224"/>
    </row>
    <row r="1098" spans="1:22">
      <c r="A1098" s="1289"/>
      <c r="B1098" s="1123"/>
      <c r="C1098" s="1123"/>
      <c r="D1098" s="1123"/>
      <c r="E1098" s="1123"/>
      <c r="G1098" s="1123"/>
      <c r="H1098" s="1123"/>
      <c r="I1098" s="1123"/>
      <c r="J1098" s="1123"/>
      <c r="K1098" s="1123"/>
      <c r="L1098" s="1123"/>
      <c r="M1098" s="1123"/>
      <c r="N1098" s="1123"/>
      <c r="V1098" s="1224"/>
    </row>
    <row r="1099" spans="1:22">
      <c r="A1099" s="1289"/>
      <c r="B1099" s="1123"/>
      <c r="C1099" s="1123"/>
      <c r="D1099" s="1123"/>
      <c r="E1099" s="1123"/>
      <c r="G1099" s="1123"/>
      <c r="H1099" s="1123"/>
      <c r="I1099" s="1123"/>
      <c r="J1099" s="1123"/>
      <c r="K1099" s="1123"/>
      <c r="L1099" s="1123"/>
      <c r="M1099" s="1123"/>
      <c r="N1099" s="1123"/>
      <c r="V1099" s="1224"/>
    </row>
    <row r="1100" spans="1:22">
      <c r="A1100" s="1289"/>
      <c r="B1100" s="1123"/>
      <c r="C1100" s="1123"/>
      <c r="D1100" s="1123"/>
      <c r="E1100" s="1123"/>
      <c r="G1100" s="1123"/>
      <c r="H1100" s="1123"/>
      <c r="I1100" s="1123"/>
      <c r="J1100" s="1123"/>
      <c r="K1100" s="1123"/>
      <c r="L1100" s="1123"/>
      <c r="M1100" s="1123"/>
      <c r="N1100" s="1123"/>
      <c r="V1100" s="1224"/>
    </row>
    <row r="1101" spans="1:22">
      <c r="A1101" s="1289"/>
      <c r="B1101" s="1123"/>
      <c r="C1101" s="1123"/>
      <c r="D1101" s="1123"/>
      <c r="E1101" s="1123"/>
      <c r="G1101" s="1123"/>
      <c r="H1101" s="1123"/>
      <c r="I1101" s="1123"/>
      <c r="J1101" s="1123"/>
      <c r="K1101" s="1123"/>
      <c r="L1101" s="1123"/>
      <c r="M1101" s="1123"/>
      <c r="N1101" s="1123"/>
      <c r="V1101" s="1224"/>
    </row>
    <row r="1102" spans="1:22">
      <c r="A1102" s="1289"/>
      <c r="B1102" s="1123"/>
      <c r="C1102" s="1123"/>
      <c r="D1102" s="1123"/>
      <c r="E1102" s="1123"/>
      <c r="G1102" s="1123"/>
      <c r="H1102" s="1123"/>
      <c r="I1102" s="1123"/>
      <c r="J1102" s="1123"/>
      <c r="K1102" s="1123"/>
      <c r="L1102" s="1123"/>
      <c r="M1102" s="1123"/>
      <c r="N1102" s="1123"/>
      <c r="V1102" s="1224"/>
    </row>
    <row r="1103" spans="1:22">
      <c r="A1103" s="1289"/>
      <c r="B1103" s="1123"/>
      <c r="C1103" s="1123"/>
      <c r="D1103" s="1123"/>
      <c r="E1103" s="1123"/>
      <c r="G1103" s="1123"/>
      <c r="H1103" s="1123"/>
      <c r="I1103" s="1123"/>
      <c r="J1103" s="1123"/>
      <c r="K1103" s="1123"/>
      <c r="L1103" s="1123"/>
      <c r="M1103" s="1123"/>
      <c r="N1103" s="1123"/>
      <c r="V1103" s="1224"/>
    </row>
    <row r="1104" spans="1:22">
      <c r="A1104" s="1289"/>
      <c r="B1104" s="1123"/>
      <c r="C1104" s="1123"/>
      <c r="D1104" s="1123"/>
      <c r="E1104" s="1123"/>
      <c r="G1104" s="1123"/>
      <c r="H1104" s="1123"/>
      <c r="I1104" s="1123"/>
      <c r="J1104" s="1123"/>
      <c r="K1104" s="1123"/>
      <c r="L1104" s="1123"/>
      <c r="M1104" s="1123"/>
      <c r="N1104" s="1123"/>
      <c r="V1104" s="1224"/>
    </row>
    <row r="1105" spans="1:22">
      <c r="A1105" s="1289"/>
      <c r="B1105" s="1123"/>
      <c r="C1105" s="1123"/>
      <c r="D1105" s="1123"/>
      <c r="E1105" s="1123"/>
      <c r="G1105" s="1123"/>
      <c r="H1105" s="1123"/>
      <c r="I1105" s="1123"/>
      <c r="J1105" s="1123"/>
      <c r="K1105" s="1123"/>
      <c r="L1105" s="1123"/>
      <c r="M1105" s="1123"/>
      <c r="N1105" s="1123"/>
      <c r="V1105" s="1224"/>
    </row>
    <row r="1106" spans="1:22">
      <c r="A1106" s="1289"/>
      <c r="B1106" s="1123"/>
      <c r="C1106" s="1123"/>
      <c r="D1106" s="1123"/>
      <c r="E1106" s="1123"/>
      <c r="G1106" s="1123"/>
      <c r="H1106" s="1123"/>
      <c r="I1106" s="1123"/>
      <c r="J1106" s="1123"/>
      <c r="K1106" s="1123"/>
      <c r="L1106" s="1123"/>
      <c r="M1106" s="1123"/>
      <c r="N1106" s="1123"/>
      <c r="V1106" s="1224"/>
    </row>
    <row r="1107" spans="1:22">
      <c r="A1107" s="1289"/>
      <c r="B1107" s="1123"/>
      <c r="C1107" s="1123"/>
      <c r="D1107" s="1123"/>
      <c r="E1107" s="1123"/>
      <c r="G1107" s="1123"/>
      <c r="H1107" s="1123"/>
      <c r="I1107" s="1123"/>
      <c r="J1107" s="1123"/>
      <c r="K1107" s="1123"/>
      <c r="L1107" s="1123"/>
      <c r="M1107" s="1123"/>
      <c r="N1107" s="1123"/>
      <c r="V1107" s="1224"/>
    </row>
    <row r="1108" spans="1:22">
      <c r="A1108" s="1289"/>
      <c r="B1108" s="1123"/>
      <c r="C1108" s="1123"/>
      <c r="D1108" s="1123"/>
      <c r="E1108" s="1123"/>
      <c r="G1108" s="1123"/>
      <c r="H1108" s="1123"/>
      <c r="I1108" s="1123"/>
      <c r="J1108" s="1123"/>
      <c r="K1108" s="1123"/>
      <c r="L1108" s="1123"/>
      <c r="M1108" s="1123"/>
      <c r="N1108" s="1123"/>
      <c r="V1108" s="1224"/>
    </row>
    <row r="1109" spans="1:22">
      <c r="A1109" s="1289"/>
      <c r="B1109" s="1123"/>
      <c r="C1109" s="1123"/>
      <c r="D1109" s="1123"/>
      <c r="E1109" s="1123"/>
      <c r="G1109" s="1123"/>
      <c r="H1109" s="1123"/>
      <c r="I1109" s="1123"/>
      <c r="J1109" s="1123"/>
      <c r="K1109" s="1123"/>
      <c r="L1109" s="1123"/>
      <c r="M1109" s="1123"/>
      <c r="N1109" s="1123"/>
      <c r="V1109" s="1224"/>
    </row>
    <row r="1110" spans="1:22">
      <c r="A1110" s="1289"/>
      <c r="B1110" s="1123"/>
      <c r="C1110" s="1123"/>
      <c r="D1110" s="1123"/>
      <c r="E1110" s="1123"/>
      <c r="G1110" s="1123"/>
      <c r="H1110" s="1123"/>
      <c r="I1110" s="1123"/>
      <c r="J1110" s="1123"/>
      <c r="K1110" s="1123"/>
      <c r="L1110" s="1123"/>
      <c r="M1110" s="1123"/>
      <c r="N1110" s="1123"/>
      <c r="V1110" s="1224"/>
    </row>
    <row r="1111" spans="1:22">
      <c r="A1111" s="1289"/>
      <c r="B1111" s="1123"/>
      <c r="C1111" s="1123"/>
      <c r="D1111" s="1123"/>
      <c r="E1111" s="1123"/>
      <c r="G1111" s="1123"/>
      <c r="H1111" s="1123"/>
      <c r="I1111" s="1123"/>
      <c r="J1111" s="1123"/>
      <c r="K1111" s="1123"/>
      <c r="L1111" s="1123"/>
      <c r="M1111" s="1123"/>
      <c r="N1111" s="1123"/>
      <c r="V1111" s="1224"/>
    </row>
    <row r="1112" spans="1:22">
      <c r="A1112" s="1289"/>
      <c r="B1112" s="1123"/>
      <c r="C1112" s="1123"/>
      <c r="D1112" s="1123"/>
      <c r="E1112" s="1123"/>
      <c r="G1112" s="1123"/>
      <c r="H1112" s="1123"/>
      <c r="I1112" s="1123"/>
      <c r="J1112" s="1123"/>
      <c r="K1112" s="1123"/>
      <c r="L1112" s="1123"/>
      <c r="M1112" s="1123"/>
      <c r="N1112" s="1123"/>
      <c r="V1112" s="1224"/>
    </row>
    <row r="1113" spans="1:22">
      <c r="A1113" s="1289"/>
      <c r="B1113" s="1123"/>
      <c r="C1113" s="1123"/>
      <c r="D1113" s="1123"/>
      <c r="E1113" s="1123"/>
      <c r="G1113" s="1123"/>
      <c r="H1113" s="1123"/>
      <c r="I1113" s="1123"/>
      <c r="J1113" s="1123"/>
      <c r="K1113" s="1123"/>
      <c r="L1113" s="1123"/>
      <c r="M1113" s="1123"/>
      <c r="N1113" s="1123"/>
      <c r="V1113" s="1224"/>
    </row>
    <row r="1114" spans="1:22">
      <c r="A1114" s="1289"/>
      <c r="B1114" s="1123"/>
      <c r="C1114" s="1123"/>
      <c r="D1114" s="1123"/>
      <c r="E1114" s="1123"/>
      <c r="G1114" s="1123"/>
      <c r="H1114" s="1123"/>
      <c r="I1114" s="1123"/>
      <c r="J1114" s="1123"/>
      <c r="K1114" s="1123"/>
      <c r="L1114" s="1123"/>
      <c r="M1114" s="1123"/>
      <c r="N1114" s="1123"/>
      <c r="V1114" s="1224"/>
    </row>
    <row r="1115" spans="1:22">
      <c r="A1115" s="1289"/>
      <c r="B1115" s="1123"/>
      <c r="C1115" s="1123"/>
      <c r="D1115" s="1123"/>
      <c r="E1115" s="1123"/>
      <c r="G1115" s="1123"/>
      <c r="H1115" s="1123"/>
      <c r="I1115" s="1123"/>
      <c r="J1115" s="1123"/>
      <c r="K1115" s="1123"/>
      <c r="L1115" s="1123"/>
      <c r="M1115" s="1123"/>
      <c r="N1115" s="1123"/>
      <c r="V1115" s="1224"/>
    </row>
    <row r="1116" spans="1:22">
      <c r="A1116" s="1289"/>
      <c r="B1116" s="1123"/>
      <c r="C1116" s="1123"/>
      <c r="D1116" s="1123"/>
      <c r="E1116" s="1123"/>
      <c r="G1116" s="1123"/>
      <c r="H1116" s="1123"/>
      <c r="I1116" s="1123"/>
      <c r="J1116" s="1123"/>
      <c r="K1116" s="1123"/>
      <c r="L1116" s="1123"/>
      <c r="M1116" s="1123"/>
      <c r="N1116" s="1123"/>
      <c r="V1116" s="1224"/>
    </row>
    <row r="1117" spans="1:22">
      <c r="A1117" s="1289"/>
      <c r="B1117" s="1123"/>
      <c r="C1117" s="1123"/>
      <c r="D1117" s="1123"/>
      <c r="E1117" s="1123"/>
      <c r="G1117" s="1123"/>
      <c r="H1117" s="1123"/>
      <c r="I1117" s="1123"/>
      <c r="J1117" s="1123"/>
      <c r="K1117" s="1123"/>
      <c r="L1117" s="1123"/>
      <c r="M1117" s="1123"/>
      <c r="N1117" s="1123"/>
      <c r="V1117" s="1224"/>
    </row>
    <row r="1118" spans="1:22">
      <c r="A1118" s="1289"/>
      <c r="B1118" s="1123"/>
      <c r="C1118" s="1123"/>
      <c r="D1118" s="1123"/>
      <c r="E1118" s="1123"/>
      <c r="G1118" s="1123"/>
      <c r="H1118" s="1123"/>
      <c r="I1118" s="1123"/>
      <c r="J1118" s="1123"/>
      <c r="K1118" s="1123"/>
      <c r="L1118" s="1123"/>
      <c r="M1118" s="1123"/>
      <c r="N1118" s="1123"/>
      <c r="V1118" s="1224"/>
    </row>
    <row r="1119" spans="1:22">
      <c r="A1119" s="1289"/>
      <c r="B1119" s="1123"/>
      <c r="C1119" s="1123"/>
      <c r="D1119" s="1123"/>
      <c r="E1119" s="1123"/>
      <c r="G1119" s="1123"/>
      <c r="H1119" s="1123"/>
      <c r="I1119" s="1123"/>
      <c r="J1119" s="1123"/>
      <c r="K1119" s="1123"/>
      <c r="L1119" s="1123"/>
      <c r="M1119" s="1123"/>
      <c r="N1119" s="1123"/>
      <c r="V1119" s="1224"/>
    </row>
    <row r="1120" spans="1:22">
      <c r="A1120" s="1289"/>
      <c r="B1120" s="1123"/>
      <c r="C1120" s="1123"/>
      <c r="D1120" s="1123"/>
      <c r="E1120" s="1123"/>
      <c r="G1120" s="1123"/>
      <c r="H1120" s="1123"/>
      <c r="I1120" s="1123"/>
      <c r="J1120" s="1123"/>
      <c r="K1120" s="1123"/>
      <c r="L1120" s="1123"/>
      <c r="M1120" s="1123"/>
      <c r="N1120" s="1123"/>
      <c r="V1120" s="1224"/>
    </row>
    <row r="1121" spans="1:22">
      <c r="A1121" s="1289"/>
      <c r="B1121" s="1123"/>
      <c r="C1121" s="1123"/>
      <c r="D1121" s="1123"/>
      <c r="E1121" s="1123"/>
      <c r="G1121" s="1123"/>
      <c r="H1121" s="1123"/>
      <c r="I1121" s="1123"/>
      <c r="J1121" s="1123"/>
      <c r="K1121" s="1123"/>
      <c r="L1121" s="1123"/>
      <c r="M1121" s="1123"/>
      <c r="N1121" s="1123"/>
      <c r="V1121" s="1224"/>
    </row>
    <row r="1122" spans="1:22">
      <c r="A1122" s="1289"/>
      <c r="B1122" s="1123"/>
      <c r="C1122" s="1123"/>
      <c r="D1122" s="1123"/>
      <c r="E1122" s="1123"/>
      <c r="G1122" s="1123"/>
      <c r="H1122" s="1123"/>
      <c r="I1122" s="1123"/>
      <c r="J1122" s="1123"/>
      <c r="K1122" s="1123"/>
      <c r="L1122" s="1123"/>
      <c r="M1122" s="1123"/>
      <c r="N1122" s="1123"/>
      <c r="V1122" s="1224"/>
    </row>
    <row r="1123" spans="1:22">
      <c r="A1123" s="1289"/>
      <c r="B1123" s="1123"/>
      <c r="C1123" s="1123"/>
      <c r="D1123" s="1123"/>
      <c r="E1123" s="1123"/>
      <c r="G1123" s="1123"/>
      <c r="H1123" s="1123"/>
      <c r="I1123" s="1123"/>
      <c r="J1123" s="1123"/>
      <c r="K1123" s="1123"/>
      <c r="L1123" s="1123"/>
      <c r="M1123" s="1123"/>
      <c r="N1123" s="1123"/>
      <c r="V1123" s="1224"/>
    </row>
    <row r="1124" spans="1:22">
      <c r="A1124" s="1289"/>
      <c r="B1124" s="1123"/>
      <c r="C1124" s="1123"/>
      <c r="D1124" s="1123"/>
      <c r="E1124" s="1123"/>
      <c r="G1124" s="1123"/>
      <c r="H1124" s="1123"/>
      <c r="I1124" s="1123"/>
      <c r="J1124" s="1123"/>
      <c r="K1124" s="1123"/>
      <c r="L1124" s="1123"/>
      <c r="M1124" s="1123"/>
      <c r="N1124" s="1123"/>
      <c r="V1124" s="1224"/>
    </row>
    <row r="1125" spans="1:22">
      <c r="A1125" s="1289"/>
      <c r="B1125" s="1123"/>
      <c r="C1125" s="1123"/>
      <c r="D1125" s="1123"/>
      <c r="E1125" s="1123"/>
      <c r="G1125" s="1123"/>
      <c r="H1125" s="1123"/>
      <c r="I1125" s="1123"/>
      <c r="J1125" s="1123"/>
      <c r="K1125" s="1123"/>
      <c r="L1125" s="1123"/>
      <c r="M1125" s="1123"/>
      <c r="N1125" s="1123"/>
      <c r="V1125" s="1224"/>
    </row>
    <row r="1126" spans="1:22">
      <c r="A1126" s="1289"/>
      <c r="B1126" s="1123"/>
      <c r="C1126" s="1123"/>
      <c r="D1126" s="1123"/>
      <c r="E1126" s="1123"/>
      <c r="G1126" s="1123"/>
      <c r="H1126" s="1123"/>
      <c r="I1126" s="1123"/>
      <c r="J1126" s="1123"/>
      <c r="K1126" s="1123"/>
      <c r="L1126" s="1123"/>
      <c r="M1126" s="1123"/>
      <c r="N1126" s="1123"/>
      <c r="V1126" s="1224"/>
    </row>
    <row r="1127" spans="1:22">
      <c r="A1127" s="1289"/>
      <c r="B1127" s="1123"/>
      <c r="C1127" s="1123"/>
      <c r="D1127" s="1123"/>
      <c r="E1127" s="1123"/>
      <c r="G1127" s="1123"/>
      <c r="H1127" s="1123"/>
      <c r="I1127" s="1123"/>
      <c r="J1127" s="1123"/>
      <c r="K1127" s="1123"/>
      <c r="L1127" s="1123"/>
      <c r="M1127" s="1123"/>
      <c r="N1127" s="1123"/>
      <c r="V1127" s="1224"/>
    </row>
    <row r="1128" spans="1:22">
      <c r="A1128" s="1289"/>
      <c r="B1128" s="1123"/>
      <c r="C1128" s="1123"/>
      <c r="D1128" s="1123"/>
      <c r="E1128" s="1123"/>
      <c r="G1128" s="1123"/>
      <c r="H1128" s="1123"/>
      <c r="I1128" s="1123"/>
      <c r="J1128" s="1123"/>
      <c r="K1128" s="1123"/>
      <c r="L1128" s="1123"/>
      <c r="M1128" s="1123"/>
      <c r="N1128" s="1123"/>
      <c r="V1128" s="1224"/>
    </row>
    <row r="1129" spans="1:22">
      <c r="A1129" s="1289"/>
      <c r="B1129" s="1123"/>
      <c r="C1129" s="1123"/>
      <c r="D1129" s="1123"/>
      <c r="E1129" s="1123"/>
      <c r="G1129" s="1123"/>
      <c r="H1129" s="1123"/>
      <c r="I1129" s="1123"/>
      <c r="J1129" s="1123"/>
      <c r="K1129" s="1123"/>
      <c r="L1129" s="1123"/>
      <c r="M1129" s="1123"/>
      <c r="N1129" s="1123"/>
      <c r="V1129" s="1224"/>
    </row>
    <row r="1130" spans="1:22">
      <c r="A1130" s="1289"/>
      <c r="B1130" s="1123"/>
      <c r="C1130" s="1123"/>
      <c r="D1130" s="1123"/>
      <c r="E1130" s="1123"/>
      <c r="G1130" s="1123"/>
      <c r="H1130" s="1123"/>
      <c r="I1130" s="1123"/>
      <c r="J1130" s="1123"/>
      <c r="K1130" s="1123"/>
      <c r="L1130" s="1123"/>
      <c r="M1130" s="1123"/>
      <c r="N1130" s="1123"/>
      <c r="V1130" s="1224"/>
    </row>
    <row r="1131" spans="1:22">
      <c r="A1131" s="1289"/>
      <c r="B1131" s="1123"/>
      <c r="C1131" s="1123"/>
      <c r="D1131" s="1123"/>
      <c r="E1131" s="1123"/>
      <c r="G1131" s="1123"/>
      <c r="H1131" s="1123"/>
      <c r="I1131" s="1123"/>
      <c r="J1131" s="1123"/>
      <c r="K1131" s="1123"/>
      <c r="L1131" s="1123"/>
      <c r="M1131" s="1123"/>
      <c r="N1131" s="1123"/>
      <c r="V1131" s="1224"/>
    </row>
    <row r="1132" spans="1:22">
      <c r="A1132" s="1289"/>
      <c r="B1132" s="1123"/>
      <c r="C1132" s="1123"/>
      <c r="D1132" s="1123"/>
      <c r="E1132" s="1123"/>
      <c r="G1132" s="1123"/>
      <c r="H1132" s="1123"/>
      <c r="I1132" s="1123"/>
      <c r="J1132" s="1123"/>
      <c r="K1132" s="1123"/>
      <c r="L1132" s="1123"/>
      <c r="M1132" s="1123"/>
      <c r="N1132" s="1123"/>
      <c r="V1132" s="1224"/>
    </row>
    <row r="1133" spans="1:22">
      <c r="A1133" s="1289"/>
      <c r="B1133" s="1123"/>
      <c r="C1133" s="1123"/>
      <c r="D1133" s="1123"/>
      <c r="E1133" s="1123"/>
      <c r="G1133" s="1123"/>
      <c r="H1133" s="1123"/>
      <c r="I1133" s="1123"/>
      <c r="J1133" s="1123"/>
      <c r="K1133" s="1123"/>
      <c r="L1133" s="1123"/>
      <c r="M1133" s="1123"/>
      <c r="N1133" s="1123"/>
      <c r="V1133" s="1224"/>
    </row>
    <row r="1134" spans="1:22">
      <c r="A1134" s="1289"/>
      <c r="B1134" s="1123"/>
      <c r="C1134" s="1123"/>
      <c r="D1134" s="1123"/>
      <c r="E1134" s="1123"/>
      <c r="G1134" s="1123"/>
      <c r="H1134" s="1123"/>
      <c r="I1134" s="1123"/>
      <c r="J1134" s="1123"/>
      <c r="K1134" s="1123"/>
      <c r="L1134" s="1123"/>
      <c r="M1134" s="1123"/>
      <c r="N1134" s="1123"/>
      <c r="V1134" s="1224"/>
    </row>
    <row r="1135" spans="1:22">
      <c r="A1135" s="1289"/>
      <c r="B1135" s="1123"/>
      <c r="C1135" s="1123"/>
      <c r="D1135" s="1123"/>
      <c r="E1135" s="1123"/>
      <c r="G1135" s="1123"/>
      <c r="H1135" s="1123"/>
      <c r="I1135" s="1123"/>
      <c r="J1135" s="1123"/>
      <c r="K1135" s="1123"/>
      <c r="L1135" s="1123"/>
      <c r="M1135" s="1123"/>
      <c r="N1135" s="1123"/>
      <c r="V1135" s="1224"/>
    </row>
    <row r="1136" spans="1:22">
      <c r="A1136" s="1289"/>
      <c r="B1136" s="1123"/>
      <c r="C1136" s="1123"/>
      <c r="D1136" s="1123"/>
      <c r="E1136" s="1123"/>
      <c r="G1136" s="1123"/>
      <c r="H1136" s="1123"/>
      <c r="I1136" s="1123"/>
      <c r="J1136" s="1123"/>
      <c r="K1136" s="1123"/>
      <c r="L1136" s="1123"/>
      <c r="M1136" s="1123"/>
      <c r="N1136" s="1123"/>
      <c r="V1136" s="1224"/>
    </row>
    <row r="1137" spans="1:22">
      <c r="A1137" s="1289"/>
      <c r="B1137" s="1123"/>
      <c r="C1137" s="1123"/>
      <c r="D1137" s="1123"/>
      <c r="E1137" s="1123"/>
      <c r="G1137" s="1123"/>
      <c r="H1137" s="1123"/>
      <c r="I1137" s="1123"/>
      <c r="J1137" s="1123"/>
      <c r="K1137" s="1123"/>
      <c r="L1137" s="1123"/>
      <c r="M1137" s="1123"/>
      <c r="N1137" s="1123"/>
      <c r="V1137" s="1224"/>
    </row>
    <row r="1138" spans="1:22">
      <c r="A1138" s="1289"/>
      <c r="B1138" s="1123"/>
      <c r="C1138" s="1123"/>
      <c r="D1138" s="1123"/>
      <c r="E1138" s="1123"/>
      <c r="G1138" s="1123"/>
      <c r="H1138" s="1123"/>
      <c r="I1138" s="1123"/>
      <c r="J1138" s="1123"/>
      <c r="K1138" s="1123"/>
      <c r="L1138" s="1123"/>
      <c r="M1138" s="1123"/>
      <c r="N1138" s="1123"/>
      <c r="V1138" s="1224"/>
    </row>
    <row r="1139" spans="1:22">
      <c r="A1139" s="1289"/>
      <c r="B1139" s="1123"/>
      <c r="C1139" s="1123"/>
      <c r="D1139" s="1123"/>
      <c r="E1139" s="1123"/>
      <c r="G1139" s="1123"/>
      <c r="H1139" s="1123"/>
      <c r="I1139" s="1123"/>
      <c r="J1139" s="1123"/>
      <c r="K1139" s="1123"/>
      <c r="L1139" s="1123"/>
      <c r="M1139" s="1123"/>
      <c r="N1139" s="1123"/>
      <c r="V1139" s="1224"/>
    </row>
    <row r="1140" spans="1:22">
      <c r="A1140" s="1289"/>
      <c r="B1140" s="1123"/>
      <c r="C1140" s="1123"/>
      <c r="D1140" s="1123"/>
      <c r="E1140" s="1123"/>
      <c r="G1140" s="1123"/>
      <c r="H1140" s="1123"/>
      <c r="I1140" s="1123"/>
      <c r="J1140" s="1123"/>
      <c r="K1140" s="1123"/>
      <c r="L1140" s="1123"/>
      <c r="M1140" s="1123"/>
      <c r="N1140" s="1123"/>
      <c r="V1140" s="1224"/>
    </row>
    <row r="1141" spans="1:22">
      <c r="A1141" s="1289"/>
      <c r="B1141" s="1123"/>
      <c r="C1141" s="1123"/>
      <c r="D1141" s="1123"/>
      <c r="E1141" s="1123"/>
      <c r="G1141" s="1123"/>
      <c r="H1141" s="1123"/>
      <c r="I1141" s="1123"/>
      <c r="J1141" s="1123"/>
      <c r="K1141" s="1123"/>
      <c r="L1141" s="1123"/>
      <c r="M1141" s="1123"/>
      <c r="N1141" s="1123"/>
      <c r="V1141" s="1224"/>
    </row>
    <row r="1142" spans="1:22">
      <c r="A1142" s="1289"/>
      <c r="B1142" s="1123"/>
      <c r="C1142" s="1123"/>
      <c r="D1142" s="1123"/>
      <c r="E1142" s="1123"/>
      <c r="G1142" s="1123"/>
      <c r="H1142" s="1123"/>
      <c r="I1142" s="1123"/>
      <c r="J1142" s="1123"/>
      <c r="K1142" s="1123"/>
      <c r="L1142" s="1123"/>
      <c r="M1142" s="1123"/>
      <c r="N1142" s="1123"/>
      <c r="V1142" s="1224"/>
    </row>
    <row r="1143" spans="1:22">
      <c r="A1143" s="1289"/>
      <c r="B1143" s="1123"/>
      <c r="C1143" s="1123"/>
      <c r="D1143" s="1123"/>
      <c r="E1143" s="1123"/>
      <c r="G1143" s="1123"/>
      <c r="H1143" s="1123"/>
      <c r="I1143" s="1123"/>
      <c r="J1143" s="1123"/>
      <c r="K1143" s="1123"/>
      <c r="L1143" s="1123"/>
      <c r="M1143" s="1123"/>
      <c r="N1143" s="1123"/>
      <c r="V1143" s="1224"/>
    </row>
    <row r="1144" spans="1:22">
      <c r="A1144" s="1289"/>
      <c r="B1144" s="1123"/>
      <c r="C1144" s="1123"/>
      <c r="D1144" s="1123"/>
      <c r="E1144" s="1123"/>
      <c r="G1144" s="1123"/>
      <c r="H1144" s="1123"/>
      <c r="I1144" s="1123"/>
      <c r="J1144" s="1123"/>
      <c r="K1144" s="1123"/>
      <c r="L1144" s="1123"/>
      <c r="M1144" s="1123"/>
      <c r="N1144" s="1123"/>
      <c r="V1144" s="1224"/>
    </row>
    <row r="1145" spans="1:22">
      <c r="A1145" s="1289"/>
      <c r="B1145" s="1123"/>
      <c r="C1145" s="1123"/>
      <c r="D1145" s="1123"/>
      <c r="E1145" s="1123"/>
      <c r="G1145" s="1123"/>
      <c r="H1145" s="1123"/>
      <c r="I1145" s="1123"/>
      <c r="J1145" s="1123"/>
      <c r="K1145" s="1123"/>
      <c r="L1145" s="1123"/>
      <c r="M1145" s="1123"/>
      <c r="N1145" s="1123"/>
      <c r="V1145" s="1224"/>
    </row>
    <row r="1146" spans="1:22">
      <c r="A1146" s="1289"/>
      <c r="B1146" s="1123"/>
      <c r="C1146" s="1123"/>
      <c r="D1146" s="1123"/>
      <c r="E1146" s="1123"/>
      <c r="G1146" s="1123"/>
      <c r="H1146" s="1123"/>
      <c r="I1146" s="1123"/>
      <c r="J1146" s="1123"/>
      <c r="K1146" s="1123"/>
      <c r="L1146" s="1123"/>
      <c r="M1146" s="1123"/>
      <c r="N1146" s="1123"/>
      <c r="V1146" s="1224"/>
    </row>
    <row r="1147" spans="1:22">
      <c r="A1147" s="1289"/>
      <c r="B1147" s="1123"/>
      <c r="C1147" s="1123"/>
      <c r="D1147" s="1123"/>
      <c r="E1147" s="1123"/>
      <c r="G1147" s="1123"/>
      <c r="H1147" s="1123"/>
      <c r="I1147" s="1123"/>
      <c r="J1147" s="1123"/>
      <c r="K1147" s="1123"/>
      <c r="L1147" s="1123"/>
      <c r="M1147" s="1123"/>
      <c r="N1147" s="1123"/>
      <c r="V1147" s="1224"/>
    </row>
    <row r="1148" spans="1:22">
      <c r="A1148" s="1289"/>
      <c r="B1148" s="1123"/>
      <c r="C1148" s="1123"/>
      <c r="D1148" s="1123"/>
      <c r="E1148" s="1123"/>
      <c r="G1148" s="1123"/>
      <c r="H1148" s="1123"/>
      <c r="I1148" s="1123"/>
      <c r="J1148" s="1123"/>
      <c r="K1148" s="1123"/>
      <c r="L1148" s="1123"/>
      <c r="M1148" s="1123"/>
      <c r="N1148" s="1123"/>
      <c r="V1148" s="1224"/>
    </row>
    <row r="1149" spans="1:22">
      <c r="A1149" s="1289"/>
      <c r="B1149" s="1123"/>
      <c r="C1149" s="1123"/>
      <c r="D1149" s="1123"/>
      <c r="E1149" s="1123"/>
      <c r="G1149" s="1123"/>
      <c r="H1149" s="1123"/>
      <c r="I1149" s="1123"/>
      <c r="J1149" s="1123"/>
      <c r="K1149" s="1123"/>
      <c r="L1149" s="1123"/>
      <c r="M1149" s="1123"/>
      <c r="N1149" s="1123"/>
      <c r="V1149" s="1224"/>
    </row>
    <row r="1150" spans="1:22">
      <c r="A1150" s="1289"/>
      <c r="B1150" s="1123"/>
      <c r="C1150" s="1123"/>
      <c r="D1150" s="1123"/>
      <c r="E1150" s="1123"/>
      <c r="G1150" s="1123"/>
      <c r="H1150" s="1123"/>
      <c r="I1150" s="1123"/>
      <c r="J1150" s="1123"/>
      <c r="K1150" s="1123"/>
      <c r="L1150" s="1123"/>
      <c r="M1150" s="1123"/>
      <c r="N1150" s="1123"/>
      <c r="V1150" s="1224"/>
    </row>
    <row r="1151" spans="1:22">
      <c r="A1151" s="1289"/>
      <c r="B1151" s="1123"/>
      <c r="C1151" s="1123"/>
      <c r="D1151" s="1123"/>
      <c r="E1151" s="1123"/>
      <c r="G1151" s="1123"/>
      <c r="H1151" s="1123"/>
      <c r="I1151" s="1123"/>
      <c r="J1151" s="1123"/>
      <c r="K1151" s="1123"/>
      <c r="L1151" s="1123"/>
      <c r="M1151" s="1123"/>
      <c r="N1151" s="1123"/>
      <c r="V1151" s="1224"/>
    </row>
    <row r="1152" spans="1:22">
      <c r="A1152" s="1289"/>
      <c r="B1152" s="1123"/>
      <c r="C1152" s="1123"/>
      <c r="D1152" s="1123"/>
      <c r="E1152" s="1123"/>
      <c r="G1152" s="1123"/>
      <c r="H1152" s="1123"/>
      <c r="I1152" s="1123"/>
      <c r="J1152" s="1123"/>
      <c r="K1152" s="1123"/>
      <c r="L1152" s="1123"/>
      <c r="M1152" s="1123"/>
      <c r="N1152" s="1123"/>
      <c r="V1152" s="1224"/>
    </row>
    <row r="1153" spans="1:22">
      <c r="A1153" s="1289"/>
      <c r="B1153" s="1123"/>
      <c r="C1153" s="1123"/>
      <c r="D1153" s="1123"/>
      <c r="E1153" s="1123"/>
      <c r="G1153" s="1123"/>
      <c r="H1153" s="1123"/>
      <c r="I1153" s="1123"/>
      <c r="J1153" s="1123"/>
      <c r="K1153" s="1123"/>
      <c r="L1153" s="1123"/>
      <c r="M1153" s="1123"/>
      <c r="N1153" s="1123"/>
      <c r="V1153" s="1224"/>
    </row>
    <row r="1154" spans="1:22">
      <c r="A1154" s="1289"/>
      <c r="B1154" s="1123"/>
      <c r="C1154" s="1123"/>
      <c r="D1154" s="1123"/>
      <c r="E1154" s="1123"/>
      <c r="G1154" s="1123"/>
      <c r="H1154" s="1123"/>
      <c r="I1154" s="1123"/>
      <c r="J1154" s="1123"/>
      <c r="K1154" s="1123"/>
      <c r="L1154" s="1123"/>
      <c r="M1154" s="1123"/>
      <c r="N1154" s="1123"/>
      <c r="V1154" s="1224"/>
    </row>
    <row r="1155" spans="1:22">
      <c r="A1155" s="1289"/>
      <c r="B1155" s="1123"/>
      <c r="C1155" s="1123"/>
      <c r="D1155" s="1123"/>
      <c r="E1155" s="1123"/>
      <c r="G1155" s="1123"/>
      <c r="H1155" s="1123"/>
      <c r="I1155" s="1123"/>
      <c r="J1155" s="1123"/>
      <c r="K1155" s="1123"/>
      <c r="L1155" s="1123"/>
      <c r="M1155" s="1123"/>
      <c r="N1155" s="1123"/>
      <c r="V1155" s="1224"/>
    </row>
    <row r="1156" spans="1:22">
      <c r="A1156" s="1289"/>
      <c r="B1156" s="1123"/>
      <c r="C1156" s="1123"/>
      <c r="D1156" s="1123"/>
      <c r="E1156" s="1123"/>
      <c r="G1156" s="1123"/>
      <c r="H1156" s="1123"/>
      <c r="I1156" s="1123"/>
      <c r="J1156" s="1123"/>
      <c r="K1156" s="1123"/>
      <c r="L1156" s="1123"/>
      <c r="M1156" s="1123"/>
      <c r="N1156" s="1123"/>
      <c r="V1156" s="1224"/>
    </row>
    <row r="1157" spans="1:22">
      <c r="A1157" s="1289"/>
      <c r="B1157" s="1123"/>
      <c r="C1157" s="1123"/>
      <c r="D1157" s="1123"/>
      <c r="E1157" s="1123"/>
      <c r="G1157" s="1123"/>
      <c r="H1157" s="1123"/>
      <c r="I1157" s="1123"/>
      <c r="J1157" s="1123"/>
      <c r="K1157" s="1123"/>
      <c r="L1157" s="1123"/>
      <c r="M1157" s="1123"/>
      <c r="N1157" s="1123"/>
      <c r="V1157" s="1224"/>
    </row>
    <row r="1158" spans="1:22">
      <c r="A1158" s="1289"/>
      <c r="B1158" s="1123"/>
      <c r="C1158" s="1123"/>
      <c r="D1158" s="1123"/>
      <c r="E1158" s="1123"/>
      <c r="G1158" s="1123"/>
      <c r="H1158" s="1123"/>
      <c r="I1158" s="1123"/>
      <c r="J1158" s="1123"/>
      <c r="K1158" s="1123"/>
      <c r="L1158" s="1123"/>
      <c r="M1158" s="1123"/>
      <c r="N1158" s="1123"/>
      <c r="V1158" s="1224"/>
    </row>
    <row r="1159" spans="1:22">
      <c r="A1159" s="1289"/>
      <c r="B1159" s="1123"/>
      <c r="C1159" s="1123"/>
      <c r="D1159" s="1123"/>
      <c r="E1159" s="1123"/>
      <c r="G1159" s="1123"/>
      <c r="H1159" s="1123"/>
      <c r="I1159" s="1123"/>
      <c r="J1159" s="1123"/>
      <c r="K1159" s="1123"/>
      <c r="L1159" s="1123"/>
      <c r="M1159" s="1123"/>
      <c r="N1159" s="1123"/>
      <c r="V1159" s="1224"/>
    </row>
    <row r="1160" spans="1:22">
      <c r="A1160" s="1289"/>
      <c r="B1160" s="1123"/>
      <c r="C1160" s="1123"/>
      <c r="D1160" s="1123"/>
      <c r="E1160" s="1123"/>
      <c r="G1160" s="1123"/>
      <c r="H1160" s="1123"/>
      <c r="I1160" s="1123"/>
      <c r="J1160" s="1123"/>
      <c r="K1160" s="1123"/>
      <c r="L1160" s="1123"/>
      <c r="M1160" s="1123"/>
      <c r="N1160" s="1123"/>
      <c r="V1160" s="1224"/>
    </row>
    <row r="1161" spans="1:22">
      <c r="A1161" s="1289"/>
      <c r="B1161" s="1123"/>
      <c r="C1161" s="1123"/>
      <c r="D1161" s="1123"/>
      <c r="E1161" s="1123"/>
      <c r="G1161" s="1123"/>
      <c r="H1161" s="1123"/>
      <c r="I1161" s="1123"/>
      <c r="J1161" s="1123"/>
      <c r="K1161" s="1123"/>
      <c r="L1161" s="1123"/>
      <c r="M1161" s="1123"/>
      <c r="N1161" s="1123"/>
      <c r="V1161" s="1224"/>
    </row>
    <row r="1162" spans="1:22">
      <c r="A1162" s="1289"/>
      <c r="B1162" s="1123"/>
      <c r="C1162" s="1123"/>
      <c r="D1162" s="1123"/>
      <c r="E1162" s="1123"/>
      <c r="G1162" s="1123"/>
      <c r="H1162" s="1123"/>
      <c r="I1162" s="1123"/>
      <c r="J1162" s="1123"/>
      <c r="K1162" s="1123"/>
      <c r="L1162" s="1123"/>
      <c r="M1162" s="1123"/>
      <c r="N1162" s="1123"/>
      <c r="V1162" s="1224"/>
    </row>
    <row r="1163" spans="1:22">
      <c r="A1163" s="1289"/>
      <c r="B1163" s="1123"/>
      <c r="C1163" s="1123"/>
      <c r="D1163" s="1123"/>
      <c r="E1163" s="1123"/>
      <c r="G1163" s="1123"/>
      <c r="H1163" s="1123"/>
      <c r="I1163" s="1123"/>
      <c r="J1163" s="1123"/>
      <c r="K1163" s="1123"/>
      <c r="L1163" s="1123"/>
      <c r="M1163" s="1123"/>
      <c r="N1163" s="1123"/>
      <c r="V1163" s="1224"/>
    </row>
    <row r="1164" spans="1:22">
      <c r="A1164" s="1289"/>
      <c r="B1164" s="1123"/>
      <c r="C1164" s="1123"/>
      <c r="D1164" s="1123"/>
      <c r="E1164" s="1123"/>
      <c r="G1164" s="1123"/>
      <c r="H1164" s="1123"/>
      <c r="I1164" s="1123"/>
      <c r="J1164" s="1123"/>
      <c r="K1164" s="1123"/>
      <c r="L1164" s="1123"/>
      <c r="M1164" s="1123"/>
      <c r="N1164" s="1123"/>
      <c r="V1164" s="1224"/>
    </row>
    <row r="1165" spans="1:22">
      <c r="A1165" s="1289"/>
      <c r="B1165" s="1123"/>
      <c r="C1165" s="1123"/>
      <c r="D1165" s="1123"/>
      <c r="E1165" s="1123"/>
      <c r="G1165" s="1123"/>
      <c r="H1165" s="1123"/>
      <c r="I1165" s="1123"/>
      <c r="J1165" s="1123"/>
      <c r="K1165" s="1123"/>
      <c r="L1165" s="1123"/>
      <c r="M1165" s="1123"/>
      <c r="N1165" s="1123"/>
      <c r="V1165" s="1224"/>
    </row>
    <row r="1166" spans="1:22">
      <c r="A1166" s="1289"/>
      <c r="B1166" s="1123"/>
      <c r="C1166" s="1123"/>
      <c r="D1166" s="1123"/>
      <c r="E1166" s="1123"/>
      <c r="G1166" s="1123"/>
      <c r="H1166" s="1123"/>
      <c r="I1166" s="1123"/>
      <c r="J1166" s="1123"/>
      <c r="K1166" s="1123"/>
      <c r="L1166" s="1123"/>
      <c r="M1166" s="1123"/>
      <c r="N1166" s="1123"/>
      <c r="V1166" s="1224"/>
    </row>
    <row r="1167" spans="1:22">
      <c r="A1167" s="1289"/>
      <c r="B1167" s="1123"/>
      <c r="C1167" s="1123"/>
      <c r="D1167" s="1123"/>
      <c r="E1167" s="1123"/>
      <c r="G1167" s="1123"/>
      <c r="H1167" s="1123"/>
      <c r="I1167" s="1123"/>
      <c r="J1167" s="1123"/>
      <c r="K1167" s="1123"/>
      <c r="L1167" s="1123"/>
      <c r="M1167" s="1123"/>
      <c r="N1167" s="1123"/>
      <c r="V1167" s="1224"/>
    </row>
    <row r="1168" spans="1:22">
      <c r="A1168" s="1289"/>
      <c r="B1168" s="1123"/>
      <c r="C1168" s="1123"/>
      <c r="D1168" s="1123"/>
      <c r="E1168" s="1123"/>
      <c r="G1168" s="1123"/>
      <c r="H1168" s="1123"/>
      <c r="I1168" s="1123"/>
      <c r="J1168" s="1123"/>
      <c r="K1168" s="1123"/>
      <c r="L1168" s="1123"/>
      <c r="M1168" s="1123"/>
      <c r="N1168" s="1123"/>
      <c r="V1168" s="1224"/>
    </row>
    <row r="1169" spans="1:22">
      <c r="A1169" s="1289"/>
      <c r="B1169" s="1123"/>
      <c r="C1169" s="1123"/>
      <c r="D1169" s="1123"/>
      <c r="E1169" s="1123"/>
      <c r="G1169" s="1123"/>
      <c r="H1169" s="1123"/>
      <c r="I1169" s="1123"/>
      <c r="J1169" s="1123"/>
      <c r="K1169" s="1123"/>
      <c r="L1169" s="1123"/>
      <c r="M1169" s="1123"/>
      <c r="N1169" s="1123"/>
      <c r="V1169" s="1224"/>
    </row>
    <row r="1170" spans="1:22">
      <c r="A1170" s="1289"/>
      <c r="B1170" s="1123"/>
      <c r="C1170" s="1123"/>
      <c r="D1170" s="1123"/>
      <c r="E1170" s="1123"/>
      <c r="G1170" s="1123"/>
      <c r="H1170" s="1123"/>
      <c r="I1170" s="1123"/>
      <c r="J1170" s="1123"/>
      <c r="K1170" s="1123"/>
      <c r="L1170" s="1123"/>
      <c r="M1170" s="1123"/>
      <c r="N1170" s="1123"/>
      <c r="V1170" s="1224"/>
    </row>
    <row r="1171" spans="1:22">
      <c r="A1171" s="1289"/>
      <c r="B1171" s="1123"/>
      <c r="C1171" s="1123"/>
      <c r="D1171" s="1123"/>
      <c r="E1171" s="1123"/>
      <c r="G1171" s="1123"/>
      <c r="H1171" s="1123"/>
      <c r="I1171" s="1123"/>
      <c r="J1171" s="1123"/>
      <c r="K1171" s="1123"/>
      <c r="L1171" s="1123"/>
      <c r="M1171" s="1123"/>
      <c r="N1171" s="1123"/>
      <c r="V1171" s="1224"/>
    </row>
    <row r="1172" spans="1:22">
      <c r="A1172" s="1289"/>
      <c r="B1172" s="1123"/>
      <c r="C1172" s="1123"/>
      <c r="D1172" s="1123"/>
      <c r="E1172" s="1123"/>
      <c r="G1172" s="1123"/>
      <c r="H1172" s="1123"/>
      <c r="I1172" s="1123"/>
      <c r="J1172" s="1123"/>
      <c r="K1172" s="1123"/>
      <c r="L1172" s="1123"/>
      <c r="M1172" s="1123"/>
      <c r="N1172" s="1123"/>
      <c r="V1172" s="1224"/>
    </row>
    <row r="1173" spans="1:22">
      <c r="A1173" s="1289"/>
      <c r="B1173" s="1123"/>
      <c r="C1173" s="1123"/>
      <c r="D1173" s="1123"/>
      <c r="E1173" s="1123"/>
      <c r="G1173" s="1123"/>
      <c r="H1173" s="1123"/>
      <c r="I1173" s="1123"/>
      <c r="J1173" s="1123"/>
      <c r="K1173" s="1123"/>
      <c r="L1173" s="1123"/>
      <c r="M1173" s="1123"/>
      <c r="N1173" s="1123"/>
      <c r="V1173" s="1224"/>
    </row>
    <row r="1174" spans="1:22">
      <c r="A1174" s="1289"/>
      <c r="B1174" s="1123"/>
      <c r="C1174" s="1123"/>
      <c r="D1174" s="1123"/>
      <c r="E1174" s="1123"/>
      <c r="G1174" s="1123"/>
      <c r="H1174" s="1123"/>
      <c r="I1174" s="1123"/>
      <c r="J1174" s="1123"/>
      <c r="K1174" s="1123"/>
      <c r="L1174" s="1123"/>
      <c r="M1174" s="1123"/>
      <c r="N1174" s="1123"/>
      <c r="V1174" s="1224"/>
    </row>
    <row r="1175" spans="1:22">
      <c r="A1175" s="1289"/>
      <c r="B1175" s="1123"/>
      <c r="C1175" s="1123"/>
      <c r="D1175" s="1123"/>
      <c r="E1175" s="1123"/>
      <c r="G1175" s="1123"/>
      <c r="H1175" s="1123"/>
      <c r="I1175" s="1123"/>
      <c r="J1175" s="1123"/>
      <c r="K1175" s="1123"/>
      <c r="L1175" s="1123"/>
      <c r="M1175" s="1123"/>
      <c r="N1175" s="1123"/>
      <c r="V1175" s="1224"/>
    </row>
    <row r="1176" spans="1:22">
      <c r="A1176" s="1289"/>
      <c r="B1176" s="1123"/>
      <c r="C1176" s="1123"/>
      <c r="D1176" s="1123"/>
      <c r="E1176" s="1123"/>
      <c r="G1176" s="1123"/>
      <c r="H1176" s="1123"/>
      <c r="I1176" s="1123"/>
      <c r="J1176" s="1123"/>
      <c r="K1176" s="1123"/>
      <c r="L1176" s="1123"/>
      <c r="M1176" s="1123"/>
      <c r="N1176" s="1123"/>
      <c r="V1176" s="1224"/>
    </row>
    <row r="1177" spans="1:22">
      <c r="A1177" s="1289"/>
      <c r="B1177" s="1123"/>
      <c r="C1177" s="1123"/>
      <c r="D1177" s="1123"/>
      <c r="E1177" s="1123"/>
      <c r="G1177" s="1123"/>
      <c r="H1177" s="1123"/>
      <c r="I1177" s="1123"/>
      <c r="J1177" s="1123"/>
      <c r="K1177" s="1123"/>
      <c r="L1177" s="1123"/>
      <c r="M1177" s="1123"/>
      <c r="N1177" s="1123"/>
      <c r="V1177" s="1224"/>
    </row>
    <row r="1178" spans="1:22">
      <c r="A1178" s="1289"/>
      <c r="B1178" s="1123"/>
      <c r="C1178" s="1123"/>
      <c r="D1178" s="1123"/>
      <c r="E1178" s="1123"/>
      <c r="G1178" s="1123"/>
      <c r="H1178" s="1123"/>
      <c r="I1178" s="1123"/>
      <c r="J1178" s="1123"/>
      <c r="K1178" s="1123"/>
      <c r="L1178" s="1123"/>
      <c r="M1178" s="1123"/>
      <c r="N1178" s="1123"/>
      <c r="V1178" s="1224"/>
    </row>
    <row r="1179" spans="1:22">
      <c r="A1179" s="1289"/>
      <c r="B1179" s="1123"/>
      <c r="C1179" s="1123"/>
      <c r="D1179" s="1123"/>
      <c r="E1179" s="1123"/>
      <c r="G1179" s="1123"/>
      <c r="H1179" s="1123"/>
      <c r="I1179" s="1123"/>
      <c r="J1179" s="1123"/>
      <c r="K1179" s="1123"/>
      <c r="L1179" s="1123"/>
      <c r="M1179" s="1123"/>
      <c r="N1179" s="1123"/>
      <c r="V1179" s="1224"/>
    </row>
    <row r="1180" spans="1:22">
      <c r="A1180" s="1289"/>
      <c r="B1180" s="1123"/>
      <c r="C1180" s="1123"/>
      <c r="D1180" s="1123"/>
      <c r="E1180" s="1123"/>
      <c r="G1180" s="1123"/>
      <c r="H1180" s="1123"/>
      <c r="I1180" s="1123"/>
      <c r="J1180" s="1123"/>
      <c r="K1180" s="1123"/>
      <c r="L1180" s="1123"/>
      <c r="M1180" s="1123"/>
      <c r="N1180" s="1123"/>
      <c r="V1180" s="1224"/>
    </row>
    <row r="1181" spans="1:22">
      <c r="A1181" s="1289"/>
      <c r="B1181" s="1123"/>
      <c r="C1181" s="1123"/>
      <c r="D1181" s="1123"/>
      <c r="E1181" s="1123"/>
      <c r="G1181" s="1123"/>
      <c r="H1181" s="1123"/>
      <c r="I1181" s="1123"/>
      <c r="J1181" s="1123"/>
      <c r="K1181" s="1123"/>
      <c r="L1181" s="1123"/>
      <c r="M1181" s="1123"/>
      <c r="N1181" s="1123"/>
      <c r="V1181" s="1224"/>
    </row>
    <row r="1182" spans="1:22">
      <c r="A1182" s="1289"/>
      <c r="B1182" s="1123"/>
      <c r="C1182" s="1123"/>
      <c r="D1182" s="1123"/>
      <c r="E1182" s="1123"/>
      <c r="G1182" s="1123"/>
      <c r="H1182" s="1123"/>
      <c r="I1182" s="1123"/>
      <c r="J1182" s="1123"/>
      <c r="K1182" s="1123"/>
      <c r="L1182" s="1123"/>
      <c r="M1182" s="1123"/>
      <c r="N1182" s="1123"/>
      <c r="V1182" s="1224"/>
    </row>
    <row r="1183" spans="1:22">
      <c r="A1183" s="1289"/>
      <c r="B1183" s="1123"/>
      <c r="C1183" s="1123"/>
      <c r="D1183" s="1123"/>
      <c r="E1183" s="1123"/>
      <c r="G1183" s="1123"/>
      <c r="H1183" s="1123"/>
      <c r="I1183" s="1123"/>
      <c r="J1183" s="1123"/>
      <c r="K1183" s="1123"/>
      <c r="L1183" s="1123"/>
      <c r="M1183" s="1123"/>
      <c r="N1183" s="1123"/>
      <c r="V1183" s="1224"/>
    </row>
    <row r="1184" spans="1:22">
      <c r="A1184" s="1289"/>
      <c r="B1184" s="1123"/>
      <c r="C1184" s="1123"/>
      <c r="D1184" s="1123"/>
      <c r="E1184" s="1123"/>
      <c r="G1184" s="1123"/>
      <c r="H1184" s="1123"/>
      <c r="I1184" s="1123"/>
      <c r="J1184" s="1123"/>
      <c r="K1184" s="1123"/>
      <c r="L1184" s="1123"/>
      <c r="M1184" s="1123"/>
      <c r="N1184" s="1123"/>
      <c r="V1184" s="1224"/>
    </row>
    <row r="1185" spans="1:22">
      <c r="A1185" s="1289"/>
      <c r="B1185" s="1123"/>
      <c r="C1185" s="1123"/>
      <c r="D1185" s="1123"/>
      <c r="E1185" s="1123"/>
      <c r="G1185" s="1123"/>
      <c r="H1185" s="1123"/>
      <c r="I1185" s="1123"/>
      <c r="J1185" s="1123"/>
      <c r="K1185" s="1123"/>
      <c r="L1185" s="1123"/>
      <c r="M1185" s="1123"/>
      <c r="N1185" s="1123"/>
      <c r="V1185" s="1224"/>
    </row>
    <row r="1186" spans="1:22">
      <c r="A1186" s="1289"/>
      <c r="B1186" s="1123"/>
      <c r="C1186" s="1123"/>
      <c r="D1186" s="1123"/>
      <c r="E1186" s="1123"/>
      <c r="G1186" s="1123"/>
      <c r="H1186" s="1123"/>
      <c r="I1186" s="1123"/>
      <c r="J1186" s="1123"/>
      <c r="K1186" s="1123"/>
      <c r="L1186" s="1123"/>
      <c r="M1186" s="1123"/>
      <c r="N1186" s="1123"/>
      <c r="V1186" s="1224"/>
    </row>
    <row r="1187" spans="1:22">
      <c r="A1187" s="1289"/>
      <c r="B1187" s="1123"/>
      <c r="C1187" s="1123"/>
      <c r="D1187" s="1123"/>
      <c r="E1187" s="1123"/>
      <c r="G1187" s="1123"/>
      <c r="H1187" s="1123"/>
      <c r="I1187" s="1123"/>
      <c r="J1187" s="1123"/>
      <c r="K1187" s="1123"/>
      <c r="L1187" s="1123"/>
      <c r="M1187" s="1123"/>
      <c r="N1187" s="1123"/>
      <c r="V1187" s="1224"/>
    </row>
    <row r="1188" spans="1:22">
      <c r="A1188" s="1289"/>
      <c r="B1188" s="1123"/>
      <c r="C1188" s="1123"/>
      <c r="D1188" s="1123"/>
      <c r="E1188" s="1123"/>
      <c r="G1188" s="1123"/>
      <c r="H1188" s="1123"/>
      <c r="I1188" s="1123"/>
      <c r="J1188" s="1123"/>
      <c r="K1188" s="1123"/>
      <c r="L1188" s="1123"/>
      <c r="M1188" s="1123"/>
      <c r="N1188" s="1123"/>
      <c r="V1188" s="1224"/>
    </row>
    <row r="1189" spans="1:22">
      <c r="A1189" s="1289"/>
      <c r="B1189" s="1123"/>
      <c r="C1189" s="1123"/>
      <c r="D1189" s="1123"/>
      <c r="E1189" s="1123"/>
      <c r="G1189" s="1123"/>
      <c r="H1189" s="1123"/>
      <c r="I1189" s="1123"/>
      <c r="J1189" s="1123"/>
      <c r="K1189" s="1123"/>
      <c r="L1189" s="1123"/>
      <c r="M1189" s="1123"/>
      <c r="N1189" s="1123"/>
      <c r="V1189" s="1224"/>
    </row>
    <row r="1190" spans="1:22">
      <c r="A1190" s="1289"/>
      <c r="B1190" s="1123"/>
      <c r="C1190" s="1123"/>
      <c r="D1190" s="1123"/>
      <c r="E1190" s="1123"/>
      <c r="G1190" s="1123"/>
      <c r="H1190" s="1123"/>
      <c r="I1190" s="1123"/>
      <c r="J1190" s="1123"/>
      <c r="K1190" s="1123"/>
      <c r="L1190" s="1123"/>
      <c r="M1190" s="1123"/>
      <c r="N1190" s="1123"/>
      <c r="V1190" s="1224"/>
    </row>
    <row r="1191" spans="1:22">
      <c r="A1191" s="1289"/>
      <c r="B1191" s="1123"/>
      <c r="C1191" s="1123"/>
      <c r="D1191" s="1123"/>
      <c r="E1191" s="1123"/>
      <c r="G1191" s="1123"/>
      <c r="H1191" s="1123"/>
      <c r="I1191" s="1123"/>
      <c r="J1191" s="1123"/>
      <c r="K1191" s="1123"/>
      <c r="L1191" s="1123"/>
      <c r="M1191" s="1123"/>
      <c r="N1191" s="1123"/>
      <c r="V1191" s="1224"/>
    </row>
    <row r="1192" spans="1:22">
      <c r="A1192" s="1289"/>
      <c r="B1192" s="1123"/>
      <c r="C1192" s="1123"/>
      <c r="D1192" s="1123"/>
      <c r="E1192" s="1123"/>
      <c r="G1192" s="1123"/>
      <c r="H1192" s="1123"/>
      <c r="I1192" s="1123"/>
      <c r="J1192" s="1123"/>
      <c r="K1192" s="1123"/>
      <c r="L1192" s="1123"/>
      <c r="M1192" s="1123"/>
      <c r="N1192" s="1123"/>
      <c r="V1192" s="1224"/>
    </row>
    <row r="1193" spans="1:22">
      <c r="A1193" s="1289"/>
      <c r="B1193" s="1123"/>
      <c r="C1193" s="1123"/>
      <c r="D1193" s="1123"/>
      <c r="E1193" s="1123"/>
      <c r="G1193" s="1123"/>
      <c r="H1193" s="1123"/>
      <c r="I1193" s="1123"/>
      <c r="J1193" s="1123"/>
      <c r="K1193" s="1123"/>
      <c r="L1193" s="1123"/>
      <c r="M1193" s="1123"/>
      <c r="N1193" s="1123"/>
      <c r="V1193" s="1224"/>
    </row>
    <row r="1194" spans="1:22">
      <c r="A1194" s="1289"/>
      <c r="B1194" s="1123"/>
      <c r="C1194" s="1123"/>
      <c r="D1194" s="1123"/>
      <c r="E1194" s="1123"/>
      <c r="G1194" s="1123"/>
      <c r="H1194" s="1123"/>
      <c r="I1194" s="1123"/>
      <c r="J1194" s="1123"/>
      <c r="K1194" s="1123"/>
      <c r="L1194" s="1123"/>
      <c r="M1194" s="1123"/>
      <c r="N1194" s="1123"/>
      <c r="V1194" s="1224"/>
    </row>
    <row r="1195" spans="1:22">
      <c r="A1195" s="1289"/>
      <c r="B1195" s="1123"/>
      <c r="C1195" s="1123"/>
      <c r="D1195" s="1123"/>
      <c r="E1195" s="1123"/>
      <c r="G1195" s="1123"/>
      <c r="H1195" s="1123"/>
      <c r="I1195" s="1123"/>
      <c r="J1195" s="1123"/>
      <c r="K1195" s="1123"/>
      <c r="L1195" s="1123"/>
      <c r="M1195" s="1123"/>
      <c r="N1195" s="1123"/>
      <c r="V1195" s="1224"/>
    </row>
    <row r="1196" spans="1:22">
      <c r="A1196" s="1289"/>
      <c r="B1196" s="1123"/>
      <c r="C1196" s="1123"/>
      <c r="D1196" s="1123"/>
      <c r="E1196" s="1123"/>
      <c r="G1196" s="1123"/>
      <c r="H1196" s="1123"/>
      <c r="I1196" s="1123"/>
      <c r="J1196" s="1123"/>
      <c r="K1196" s="1123"/>
      <c r="L1196" s="1123"/>
      <c r="M1196" s="1123"/>
      <c r="N1196" s="1123"/>
      <c r="V1196" s="1224"/>
    </row>
    <row r="1197" spans="1:22">
      <c r="A1197" s="1289"/>
      <c r="B1197" s="1123"/>
      <c r="C1197" s="1123"/>
      <c r="D1197" s="1123"/>
      <c r="E1197" s="1123"/>
      <c r="G1197" s="1123"/>
      <c r="H1197" s="1123"/>
      <c r="I1197" s="1123"/>
      <c r="J1197" s="1123"/>
      <c r="K1197" s="1123"/>
      <c r="L1197" s="1123"/>
      <c r="M1197" s="1123"/>
      <c r="N1197" s="1123"/>
      <c r="V1197" s="1224"/>
    </row>
    <row r="1198" spans="1:22">
      <c r="A1198" s="1289"/>
      <c r="B1198" s="1123"/>
      <c r="C1198" s="1123"/>
      <c r="D1198" s="1123"/>
      <c r="E1198" s="1123"/>
      <c r="G1198" s="1123"/>
      <c r="H1198" s="1123"/>
      <c r="I1198" s="1123"/>
      <c r="J1198" s="1123"/>
      <c r="K1198" s="1123"/>
      <c r="L1198" s="1123"/>
      <c r="M1198" s="1123"/>
      <c r="N1198" s="1123"/>
      <c r="V1198" s="1224"/>
    </row>
    <row r="1199" spans="1:22">
      <c r="A1199" s="1289"/>
      <c r="B1199" s="1123"/>
      <c r="C1199" s="1123"/>
      <c r="D1199" s="1123"/>
      <c r="E1199" s="1123"/>
      <c r="G1199" s="1123"/>
      <c r="H1199" s="1123"/>
      <c r="I1199" s="1123"/>
      <c r="J1199" s="1123"/>
      <c r="K1199" s="1123"/>
      <c r="L1199" s="1123"/>
      <c r="M1199" s="1123"/>
      <c r="N1199" s="1123"/>
      <c r="V1199" s="1224"/>
    </row>
    <row r="1200" spans="1:22">
      <c r="A1200" s="1289"/>
      <c r="B1200" s="1123"/>
      <c r="C1200" s="1123"/>
      <c r="D1200" s="1123"/>
      <c r="E1200" s="1123"/>
      <c r="G1200" s="1123"/>
      <c r="H1200" s="1123"/>
      <c r="I1200" s="1123"/>
      <c r="J1200" s="1123"/>
      <c r="K1200" s="1123"/>
      <c r="L1200" s="1123"/>
      <c r="M1200" s="1123"/>
      <c r="N1200" s="1123"/>
      <c r="V1200" s="1224"/>
    </row>
    <row r="1201" spans="1:22">
      <c r="A1201" s="1289"/>
      <c r="B1201" s="1123"/>
      <c r="C1201" s="1123"/>
      <c r="D1201" s="1123"/>
      <c r="E1201" s="1123"/>
      <c r="G1201" s="1123"/>
      <c r="H1201" s="1123"/>
      <c r="I1201" s="1123"/>
      <c r="J1201" s="1123"/>
      <c r="K1201" s="1123"/>
      <c r="L1201" s="1123"/>
      <c r="M1201" s="1123"/>
      <c r="N1201" s="1123"/>
      <c r="V1201" s="1224"/>
    </row>
    <row r="1202" spans="1:22">
      <c r="A1202" s="1289"/>
      <c r="B1202" s="1123"/>
      <c r="C1202" s="1123"/>
      <c r="D1202" s="1123"/>
      <c r="E1202" s="1123"/>
      <c r="G1202" s="1123"/>
      <c r="H1202" s="1123"/>
      <c r="I1202" s="1123"/>
      <c r="J1202" s="1123"/>
      <c r="K1202" s="1123"/>
      <c r="L1202" s="1123"/>
      <c r="M1202" s="1123"/>
      <c r="N1202" s="1123"/>
      <c r="V1202" s="1224"/>
    </row>
    <row r="1203" spans="1:22">
      <c r="A1203" s="1289"/>
      <c r="B1203" s="1123"/>
      <c r="C1203" s="1123"/>
      <c r="D1203" s="1123"/>
      <c r="E1203" s="1123"/>
      <c r="G1203" s="1123"/>
      <c r="H1203" s="1123"/>
      <c r="I1203" s="1123"/>
      <c r="J1203" s="1123"/>
      <c r="K1203" s="1123"/>
      <c r="L1203" s="1123"/>
      <c r="M1203" s="1123"/>
      <c r="N1203" s="1123"/>
      <c r="V1203" s="1224"/>
    </row>
    <row r="1204" spans="1:22">
      <c r="A1204" s="1289"/>
      <c r="B1204" s="1123"/>
      <c r="C1204" s="1123"/>
      <c r="D1204" s="1123"/>
      <c r="E1204" s="1123"/>
      <c r="G1204" s="1123"/>
      <c r="H1204" s="1123"/>
      <c r="I1204" s="1123"/>
      <c r="J1204" s="1123"/>
      <c r="K1204" s="1123"/>
      <c r="L1204" s="1123"/>
      <c r="M1204" s="1123"/>
      <c r="N1204" s="1123"/>
      <c r="V1204" s="1224"/>
    </row>
    <row r="1205" spans="1:22">
      <c r="A1205" s="1289"/>
      <c r="B1205" s="1123"/>
      <c r="C1205" s="1123"/>
      <c r="D1205" s="1123"/>
      <c r="E1205" s="1123"/>
      <c r="G1205" s="1123"/>
      <c r="H1205" s="1123"/>
      <c r="I1205" s="1123"/>
      <c r="J1205" s="1123"/>
      <c r="K1205" s="1123"/>
      <c r="L1205" s="1123"/>
      <c r="M1205" s="1123"/>
      <c r="N1205" s="1123"/>
      <c r="V1205" s="1224"/>
    </row>
    <row r="1206" spans="1:22">
      <c r="A1206" s="1289"/>
      <c r="B1206" s="1123"/>
      <c r="C1206" s="1123"/>
      <c r="D1206" s="1123"/>
      <c r="E1206" s="1123"/>
      <c r="G1206" s="1123"/>
      <c r="H1206" s="1123"/>
      <c r="I1206" s="1123"/>
      <c r="J1206" s="1123"/>
      <c r="K1206" s="1123"/>
      <c r="L1206" s="1123"/>
      <c r="M1206" s="1123"/>
      <c r="N1206" s="1123"/>
      <c r="V1206" s="1224"/>
    </row>
    <row r="1207" spans="1:22">
      <c r="A1207" s="1289"/>
      <c r="B1207" s="1123"/>
      <c r="C1207" s="1123"/>
      <c r="D1207" s="1123"/>
      <c r="E1207" s="1123"/>
      <c r="G1207" s="1123"/>
      <c r="H1207" s="1123"/>
      <c r="I1207" s="1123"/>
      <c r="J1207" s="1123"/>
      <c r="K1207" s="1123"/>
      <c r="L1207" s="1123"/>
      <c r="M1207" s="1123"/>
      <c r="N1207" s="1123"/>
      <c r="V1207" s="1224"/>
    </row>
    <row r="1208" spans="1:22">
      <c r="A1208" s="1289"/>
      <c r="B1208" s="1123"/>
      <c r="C1208" s="1123"/>
      <c r="D1208" s="1123"/>
      <c r="E1208" s="1123"/>
      <c r="G1208" s="1123"/>
      <c r="H1208" s="1123"/>
      <c r="I1208" s="1123"/>
      <c r="J1208" s="1123"/>
      <c r="K1208" s="1123"/>
      <c r="L1208" s="1123"/>
      <c r="M1208" s="1123"/>
      <c r="N1208" s="1123"/>
      <c r="V1208" s="1224"/>
    </row>
    <row r="1209" spans="1:22">
      <c r="A1209" s="1289"/>
      <c r="B1209" s="1123"/>
      <c r="C1209" s="1123"/>
      <c r="D1209" s="1123"/>
      <c r="E1209" s="1123"/>
      <c r="G1209" s="1123"/>
      <c r="H1209" s="1123"/>
      <c r="I1209" s="1123"/>
      <c r="J1209" s="1123"/>
      <c r="K1209" s="1123"/>
      <c r="L1209" s="1123"/>
      <c r="M1209" s="1123"/>
      <c r="N1209" s="1123"/>
      <c r="V1209" s="1224"/>
    </row>
    <row r="1210" spans="1:22">
      <c r="A1210" s="1289"/>
      <c r="B1210" s="1123"/>
      <c r="C1210" s="1123"/>
      <c r="D1210" s="1123"/>
      <c r="E1210" s="1123"/>
      <c r="G1210" s="1123"/>
      <c r="H1210" s="1123"/>
      <c r="I1210" s="1123"/>
      <c r="J1210" s="1123"/>
      <c r="K1210" s="1123"/>
      <c r="L1210" s="1123"/>
      <c r="M1210" s="1123"/>
      <c r="N1210" s="1123"/>
      <c r="V1210" s="1224"/>
    </row>
    <row r="1211" spans="1:22">
      <c r="A1211" s="1289"/>
      <c r="B1211" s="1123"/>
      <c r="C1211" s="1123"/>
      <c r="D1211" s="1123"/>
      <c r="E1211" s="1123"/>
      <c r="G1211" s="1123"/>
      <c r="H1211" s="1123"/>
      <c r="I1211" s="1123"/>
      <c r="J1211" s="1123"/>
      <c r="K1211" s="1123"/>
      <c r="L1211" s="1123"/>
      <c r="M1211" s="1123"/>
      <c r="N1211" s="1123"/>
      <c r="V1211" s="1224"/>
    </row>
    <row r="1212" spans="1:22">
      <c r="A1212" s="1289"/>
      <c r="B1212" s="1123"/>
      <c r="C1212" s="1123"/>
      <c r="D1212" s="1123"/>
      <c r="E1212" s="1123"/>
      <c r="G1212" s="1123"/>
      <c r="H1212" s="1123"/>
      <c r="I1212" s="1123"/>
      <c r="J1212" s="1123"/>
      <c r="K1212" s="1123"/>
      <c r="L1212" s="1123"/>
      <c r="M1212" s="1123"/>
      <c r="N1212" s="1123"/>
      <c r="V1212" s="1224"/>
    </row>
    <row r="1213" spans="1:22">
      <c r="A1213" s="1289"/>
      <c r="B1213" s="1123"/>
      <c r="C1213" s="1123"/>
      <c r="D1213" s="1123"/>
      <c r="E1213" s="1123"/>
      <c r="G1213" s="1123"/>
      <c r="H1213" s="1123"/>
      <c r="I1213" s="1123"/>
      <c r="J1213" s="1123"/>
      <c r="K1213" s="1123"/>
      <c r="L1213" s="1123"/>
      <c r="M1213" s="1123"/>
      <c r="N1213" s="1123"/>
      <c r="V1213" s="1224"/>
    </row>
    <row r="1214" spans="1:22">
      <c r="A1214" s="1289"/>
      <c r="B1214" s="1123"/>
      <c r="C1214" s="1123"/>
      <c r="D1214" s="1123"/>
      <c r="E1214" s="1123"/>
      <c r="G1214" s="1123"/>
      <c r="H1214" s="1123"/>
      <c r="I1214" s="1123"/>
      <c r="J1214" s="1123"/>
      <c r="K1214" s="1123"/>
      <c r="L1214" s="1123"/>
      <c r="M1214" s="1123"/>
      <c r="N1214" s="1123"/>
      <c r="V1214" s="1224"/>
    </row>
    <row r="1215" spans="1:22">
      <c r="A1215" s="1289"/>
      <c r="B1215" s="1123"/>
      <c r="C1215" s="1123"/>
      <c r="D1215" s="1123"/>
      <c r="E1215" s="1123"/>
      <c r="G1215" s="1123"/>
      <c r="H1215" s="1123"/>
      <c r="I1215" s="1123"/>
      <c r="J1215" s="1123"/>
      <c r="K1215" s="1123"/>
      <c r="L1215" s="1123"/>
      <c r="M1215" s="1123"/>
      <c r="N1215" s="1123"/>
      <c r="V1215" s="1224"/>
    </row>
    <row r="1216" spans="1:22">
      <c r="A1216" s="1289"/>
      <c r="B1216" s="1123"/>
      <c r="C1216" s="1123"/>
      <c r="D1216" s="1123"/>
      <c r="E1216" s="1123"/>
      <c r="G1216" s="1123"/>
      <c r="H1216" s="1123"/>
      <c r="I1216" s="1123"/>
      <c r="J1216" s="1123"/>
      <c r="K1216" s="1123"/>
      <c r="L1216" s="1123"/>
      <c r="M1216" s="1123"/>
      <c r="N1216" s="1123"/>
      <c r="V1216" s="1224"/>
    </row>
    <row r="1217" spans="1:22">
      <c r="A1217" s="1289"/>
      <c r="B1217" s="1123"/>
      <c r="C1217" s="1123"/>
      <c r="D1217" s="1123"/>
      <c r="E1217" s="1123"/>
      <c r="G1217" s="1123"/>
      <c r="H1217" s="1123"/>
      <c r="I1217" s="1123"/>
      <c r="J1217" s="1123"/>
      <c r="K1217" s="1123"/>
      <c r="L1217" s="1123"/>
      <c r="M1217" s="1123"/>
      <c r="N1217" s="1123"/>
      <c r="V1217" s="1224"/>
    </row>
    <row r="1218" spans="1:22">
      <c r="A1218" s="1289"/>
      <c r="B1218" s="1123"/>
      <c r="C1218" s="1123"/>
      <c r="D1218" s="1123"/>
      <c r="E1218" s="1123"/>
      <c r="G1218" s="1123"/>
      <c r="H1218" s="1123"/>
      <c r="I1218" s="1123"/>
      <c r="J1218" s="1123"/>
      <c r="K1218" s="1123"/>
      <c r="L1218" s="1123"/>
      <c r="M1218" s="1123"/>
      <c r="N1218" s="1123"/>
      <c r="V1218" s="1224"/>
    </row>
    <row r="1219" spans="1:22">
      <c r="A1219" s="1289"/>
      <c r="B1219" s="1123"/>
      <c r="C1219" s="1123"/>
      <c r="D1219" s="1123"/>
      <c r="E1219" s="1123"/>
      <c r="G1219" s="1123"/>
      <c r="H1219" s="1123"/>
      <c r="I1219" s="1123"/>
      <c r="J1219" s="1123"/>
      <c r="K1219" s="1123"/>
      <c r="L1219" s="1123"/>
      <c r="M1219" s="1123"/>
      <c r="N1219" s="1123"/>
      <c r="V1219" s="1224"/>
    </row>
    <row r="1220" spans="1:22">
      <c r="A1220" s="1289"/>
      <c r="B1220" s="1123"/>
      <c r="C1220" s="1123"/>
      <c r="D1220" s="1123"/>
      <c r="E1220" s="1123"/>
      <c r="G1220" s="1123"/>
      <c r="H1220" s="1123"/>
      <c r="I1220" s="1123"/>
      <c r="J1220" s="1123"/>
      <c r="K1220" s="1123"/>
      <c r="L1220" s="1123"/>
      <c r="M1220" s="1123"/>
      <c r="N1220" s="1123"/>
      <c r="V1220" s="1224"/>
    </row>
    <row r="1221" spans="1:22">
      <c r="A1221" s="1289"/>
      <c r="B1221" s="1123"/>
      <c r="C1221" s="1123"/>
      <c r="D1221" s="1123"/>
      <c r="E1221" s="1123"/>
      <c r="G1221" s="1123"/>
      <c r="H1221" s="1123"/>
      <c r="I1221" s="1123"/>
      <c r="J1221" s="1123"/>
      <c r="K1221" s="1123"/>
      <c r="L1221" s="1123"/>
      <c r="M1221" s="1123"/>
      <c r="N1221" s="1123"/>
      <c r="V1221" s="1224"/>
    </row>
    <row r="1222" spans="1:22">
      <c r="A1222" s="1289"/>
      <c r="B1222" s="1123"/>
      <c r="C1222" s="1123"/>
      <c r="D1222" s="1123"/>
      <c r="E1222" s="1123"/>
      <c r="G1222" s="1123"/>
      <c r="H1222" s="1123"/>
      <c r="I1222" s="1123"/>
      <c r="J1222" s="1123"/>
      <c r="K1222" s="1123"/>
      <c r="L1222" s="1123"/>
      <c r="M1222" s="1123"/>
      <c r="N1222" s="1123"/>
      <c r="V1222" s="1224"/>
    </row>
    <row r="1223" spans="1:22">
      <c r="A1223" s="1289"/>
      <c r="B1223" s="1123"/>
      <c r="C1223" s="1123"/>
      <c r="D1223" s="1123"/>
      <c r="E1223" s="1123"/>
      <c r="G1223" s="1123"/>
      <c r="H1223" s="1123"/>
      <c r="I1223" s="1123"/>
      <c r="J1223" s="1123"/>
      <c r="K1223" s="1123"/>
      <c r="L1223" s="1123"/>
      <c r="M1223" s="1123"/>
      <c r="N1223" s="1123"/>
      <c r="V1223" s="1224"/>
    </row>
    <row r="1224" spans="1:22">
      <c r="A1224" s="1289"/>
      <c r="B1224" s="1123"/>
      <c r="C1224" s="1123"/>
      <c r="D1224" s="1123"/>
      <c r="E1224" s="1123"/>
      <c r="G1224" s="1123"/>
      <c r="H1224" s="1123"/>
      <c r="I1224" s="1123"/>
      <c r="J1224" s="1123"/>
      <c r="K1224" s="1123"/>
      <c r="L1224" s="1123"/>
      <c r="M1224" s="1123"/>
      <c r="N1224" s="1123"/>
      <c r="V1224" s="1224"/>
    </row>
    <row r="1225" spans="1:22">
      <c r="A1225" s="1289"/>
      <c r="B1225" s="1123"/>
      <c r="C1225" s="1123"/>
      <c r="D1225" s="1123"/>
      <c r="E1225" s="1123"/>
      <c r="G1225" s="1123"/>
      <c r="H1225" s="1123"/>
      <c r="I1225" s="1123"/>
      <c r="J1225" s="1123"/>
      <c r="K1225" s="1123"/>
      <c r="L1225" s="1123"/>
      <c r="M1225" s="1123"/>
      <c r="N1225" s="1123"/>
      <c r="V1225" s="1224"/>
    </row>
    <row r="1226" spans="1:22">
      <c r="A1226" s="1289"/>
      <c r="B1226" s="1123"/>
      <c r="C1226" s="1123"/>
      <c r="D1226" s="1123"/>
      <c r="E1226" s="1123"/>
      <c r="G1226" s="1123"/>
      <c r="H1226" s="1123"/>
      <c r="I1226" s="1123"/>
      <c r="J1226" s="1123"/>
      <c r="K1226" s="1123"/>
      <c r="L1226" s="1123"/>
      <c r="M1226" s="1123"/>
      <c r="N1226" s="1123"/>
      <c r="V1226" s="1224"/>
    </row>
    <row r="1227" spans="1:22">
      <c r="A1227" s="1289"/>
      <c r="B1227" s="1123"/>
      <c r="C1227" s="1123"/>
      <c r="D1227" s="1123"/>
      <c r="E1227" s="1123"/>
      <c r="G1227" s="1123"/>
      <c r="H1227" s="1123"/>
      <c r="I1227" s="1123"/>
      <c r="J1227" s="1123"/>
      <c r="K1227" s="1123"/>
      <c r="L1227" s="1123"/>
      <c r="M1227" s="1123"/>
      <c r="N1227" s="1123"/>
      <c r="V1227" s="1224"/>
    </row>
    <row r="1228" spans="1:22">
      <c r="A1228" s="1289"/>
      <c r="B1228" s="1123"/>
      <c r="C1228" s="1123"/>
      <c r="D1228" s="1123"/>
      <c r="E1228" s="1123"/>
      <c r="G1228" s="1123"/>
      <c r="H1228" s="1123"/>
      <c r="I1228" s="1123"/>
      <c r="J1228" s="1123"/>
      <c r="K1228" s="1123"/>
      <c r="L1228" s="1123"/>
      <c r="M1228" s="1123"/>
      <c r="N1228" s="1123"/>
      <c r="V1228" s="1224"/>
    </row>
    <row r="1229" spans="1:22">
      <c r="A1229" s="1289"/>
      <c r="B1229" s="1123"/>
      <c r="C1229" s="1123"/>
      <c r="D1229" s="1123"/>
      <c r="E1229" s="1123"/>
      <c r="G1229" s="1123"/>
      <c r="H1229" s="1123"/>
      <c r="I1229" s="1123"/>
      <c r="J1229" s="1123"/>
      <c r="K1229" s="1123"/>
      <c r="L1229" s="1123"/>
      <c r="M1229" s="1123"/>
      <c r="N1229" s="1123"/>
      <c r="V1229" s="1224"/>
    </row>
    <row r="1230" spans="1:22">
      <c r="A1230" s="1289"/>
      <c r="B1230" s="1123"/>
      <c r="C1230" s="1123"/>
      <c r="D1230" s="1123"/>
      <c r="E1230" s="1123"/>
      <c r="G1230" s="1123"/>
      <c r="H1230" s="1123"/>
      <c r="I1230" s="1123"/>
      <c r="J1230" s="1123"/>
      <c r="K1230" s="1123"/>
      <c r="L1230" s="1123"/>
      <c r="M1230" s="1123"/>
      <c r="N1230" s="1123"/>
      <c r="V1230" s="1224"/>
    </row>
    <row r="1231" spans="1:22">
      <c r="A1231" s="1289"/>
      <c r="B1231" s="1123"/>
      <c r="C1231" s="1123"/>
      <c r="D1231" s="1123"/>
      <c r="E1231" s="1123"/>
      <c r="G1231" s="1123"/>
      <c r="H1231" s="1123"/>
      <c r="I1231" s="1123"/>
      <c r="J1231" s="1123"/>
      <c r="K1231" s="1123"/>
      <c r="L1231" s="1123"/>
      <c r="M1231" s="1123"/>
      <c r="N1231" s="1123"/>
      <c r="V1231" s="1224"/>
    </row>
    <row r="1232" spans="1:22">
      <c r="A1232" s="1289"/>
      <c r="B1232" s="1123"/>
      <c r="C1232" s="1123"/>
      <c r="D1232" s="1123"/>
      <c r="E1232" s="1123"/>
      <c r="G1232" s="1123"/>
      <c r="H1232" s="1123"/>
      <c r="I1232" s="1123"/>
      <c r="J1232" s="1123"/>
      <c r="K1232" s="1123"/>
      <c r="L1232" s="1123"/>
      <c r="M1232" s="1123"/>
      <c r="N1232" s="1123"/>
      <c r="V1232" s="1224"/>
    </row>
    <row r="1233" spans="1:22">
      <c r="A1233" s="1289"/>
      <c r="B1233" s="1123"/>
      <c r="C1233" s="1123"/>
      <c r="D1233" s="1123"/>
      <c r="E1233" s="1123"/>
      <c r="G1233" s="1123"/>
      <c r="H1233" s="1123"/>
      <c r="I1233" s="1123"/>
      <c r="J1233" s="1123"/>
      <c r="K1233" s="1123"/>
      <c r="L1233" s="1123"/>
      <c r="M1233" s="1123"/>
      <c r="N1233" s="1123"/>
      <c r="V1233" s="1224"/>
    </row>
    <row r="1234" spans="1:22">
      <c r="A1234" s="1289"/>
      <c r="B1234" s="1123"/>
      <c r="C1234" s="1123"/>
      <c r="D1234" s="1123"/>
      <c r="E1234" s="1123"/>
      <c r="G1234" s="1123"/>
      <c r="H1234" s="1123"/>
      <c r="I1234" s="1123"/>
      <c r="J1234" s="1123"/>
      <c r="K1234" s="1123"/>
      <c r="L1234" s="1123"/>
      <c r="M1234" s="1123"/>
      <c r="N1234" s="1123"/>
      <c r="V1234" s="1224"/>
    </row>
    <row r="1235" spans="1:22">
      <c r="A1235" s="1289"/>
      <c r="B1235" s="1123"/>
      <c r="C1235" s="1123"/>
      <c r="D1235" s="1123"/>
      <c r="E1235" s="1123"/>
      <c r="G1235" s="1123"/>
      <c r="H1235" s="1123"/>
      <c r="I1235" s="1123"/>
      <c r="J1235" s="1123"/>
      <c r="K1235" s="1123"/>
      <c r="L1235" s="1123"/>
      <c r="M1235" s="1123"/>
      <c r="N1235" s="1123"/>
      <c r="V1235" s="1224"/>
    </row>
    <row r="1236" spans="1:22">
      <c r="A1236" s="1289"/>
      <c r="B1236" s="1123"/>
      <c r="C1236" s="1123"/>
      <c r="D1236" s="1123"/>
      <c r="E1236" s="1123"/>
      <c r="G1236" s="1123"/>
      <c r="H1236" s="1123"/>
      <c r="I1236" s="1123"/>
      <c r="J1236" s="1123"/>
      <c r="K1236" s="1123"/>
      <c r="L1236" s="1123"/>
      <c r="M1236" s="1123"/>
      <c r="N1236" s="1123"/>
      <c r="V1236" s="1224"/>
    </row>
    <row r="1237" spans="1:22">
      <c r="A1237" s="1289"/>
      <c r="B1237" s="1123"/>
      <c r="C1237" s="1123"/>
      <c r="D1237" s="1123"/>
      <c r="E1237" s="1123"/>
      <c r="G1237" s="1123"/>
      <c r="H1237" s="1123"/>
      <c r="I1237" s="1123"/>
      <c r="J1237" s="1123"/>
      <c r="K1237" s="1123"/>
      <c r="L1237" s="1123"/>
      <c r="M1237" s="1123"/>
      <c r="N1237" s="1123"/>
      <c r="V1237" s="1224"/>
    </row>
    <row r="1238" spans="1:22">
      <c r="A1238" s="1289"/>
      <c r="B1238" s="1123"/>
      <c r="C1238" s="1123"/>
      <c r="D1238" s="1123"/>
      <c r="E1238" s="1123"/>
      <c r="G1238" s="1123"/>
      <c r="H1238" s="1123"/>
      <c r="I1238" s="1123"/>
      <c r="J1238" s="1123"/>
      <c r="K1238" s="1123"/>
      <c r="L1238" s="1123"/>
      <c r="M1238" s="1123"/>
      <c r="N1238" s="1123"/>
      <c r="V1238" s="1224"/>
    </row>
    <row r="1239" spans="1:22">
      <c r="A1239" s="1289"/>
      <c r="B1239" s="1123"/>
      <c r="C1239" s="1123"/>
      <c r="D1239" s="1123"/>
      <c r="E1239" s="1123"/>
      <c r="G1239" s="1123"/>
      <c r="H1239" s="1123"/>
      <c r="I1239" s="1123"/>
      <c r="J1239" s="1123"/>
      <c r="K1239" s="1123"/>
      <c r="L1239" s="1123"/>
      <c r="M1239" s="1123"/>
      <c r="N1239" s="1123"/>
      <c r="V1239" s="1224"/>
    </row>
    <row r="1240" spans="1:22">
      <c r="A1240" s="1289"/>
      <c r="B1240" s="1123"/>
      <c r="C1240" s="1123"/>
      <c r="D1240" s="1123"/>
      <c r="E1240" s="1123"/>
      <c r="G1240" s="1123"/>
      <c r="H1240" s="1123"/>
      <c r="I1240" s="1123"/>
      <c r="J1240" s="1123"/>
      <c r="K1240" s="1123"/>
      <c r="L1240" s="1123"/>
      <c r="M1240" s="1123"/>
      <c r="N1240" s="1123"/>
      <c r="V1240" s="1224"/>
    </row>
    <row r="1241" spans="1:22">
      <c r="A1241" s="1289"/>
      <c r="B1241" s="1123"/>
      <c r="C1241" s="1123"/>
      <c r="D1241" s="1123"/>
      <c r="E1241" s="1123"/>
      <c r="G1241" s="1123"/>
      <c r="H1241" s="1123"/>
      <c r="I1241" s="1123"/>
      <c r="J1241" s="1123"/>
      <c r="K1241" s="1123"/>
      <c r="L1241" s="1123"/>
      <c r="M1241" s="1123"/>
      <c r="N1241" s="1123"/>
      <c r="V1241" s="1224"/>
    </row>
    <row r="1242" spans="1:22">
      <c r="A1242" s="1289"/>
      <c r="B1242" s="1123"/>
      <c r="C1242" s="1123"/>
      <c r="D1242" s="1123"/>
      <c r="E1242" s="1123"/>
      <c r="G1242" s="1123"/>
      <c r="H1242" s="1123"/>
      <c r="I1242" s="1123"/>
      <c r="J1242" s="1123"/>
      <c r="K1242" s="1123"/>
      <c r="L1242" s="1123"/>
      <c r="M1242" s="1123"/>
      <c r="N1242" s="1123"/>
      <c r="V1242" s="1224"/>
    </row>
    <row r="1243" spans="1:22">
      <c r="A1243" s="1289"/>
      <c r="B1243" s="1123"/>
      <c r="C1243" s="1123"/>
      <c r="D1243" s="1123"/>
      <c r="E1243" s="1123"/>
      <c r="G1243" s="1123"/>
      <c r="H1243" s="1123"/>
      <c r="I1243" s="1123"/>
      <c r="J1243" s="1123"/>
      <c r="K1243" s="1123"/>
      <c r="L1243" s="1123"/>
      <c r="M1243" s="1123"/>
      <c r="N1243" s="1123"/>
      <c r="V1243" s="1224"/>
    </row>
    <row r="1244" spans="1:22">
      <c r="A1244" s="1289"/>
      <c r="B1244" s="1123"/>
      <c r="C1244" s="1123"/>
      <c r="D1244" s="1123"/>
      <c r="E1244" s="1123"/>
      <c r="G1244" s="1123"/>
      <c r="H1244" s="1123"/>
      <c r="I1244" s="1123"/>
      <c r="J1244" s="1123"/>
      <c r="K1244" s="1123"/>
      <c r="L1244" s="1123"/>
      <c r="M1244" s="1123"/>
      <c r="N1244" s="1123"/>
      <c r="V1244" s="1224"/>
    </row>
    <row r="1245" spans="1:22">
      <c r="A1245" s="1289"/>
      <c r="B1245" s="1123"/>
      <c r="C1245" s="1123"/>
      <c r="D1245" s="1123"/>
      <c r="E1245" s="1123"/>
      <c r="G1245" s="1123"/>
      <c r="H1245" s="1123"/>
      <c r="I1245" s="1123"/>
      <c r="J1245" s="1123"/>
      <c r="K1245" s="1123"/>
      <c r="L1245" s="1123"/>
      <c r="M1245" s="1123"/>
      <c r="N1245" s="1123"/>
      <c r="V1245" s="1224"/>
    </row>
    <row r="1246" spans="1:22">
      <c r="A1246" s="1289"/>
      <c r="B1246" s="1123"/>
      <c r="C1246" s="1123"/>
      <c r="D1246" s="1123"/>
      <c r="E1246" s="1123"/>
      <c r="G1246" s="1123"/>
      <c r="H1246" s="1123"/>
      <c r="I1246" s="1123"/>
      <c r="J1246" s="1123"/>
      <c r="K1246" s="1123"/>
      <c r="L1246" s="1123"/>
      <c r="M1246" s="1123"/>
      <c r="N1246" s="1123"/>
      <c r="V1246" s="1224"/>
    </row>
    <row r="1247" spans="1:22">
      <c r="A1247" s="1289"/>
      <c r="B1247" s="1123"/>
      <c r="C1247" s="1123"/>
      <c r="D1247" s="1123"/>
      <c r="E1247" s="1123"/>
      <c r="G1247" s="1123"/>
      <c r="H1247" s="1123"/>
      <c r="I1247" s="1123"/>
      <c r="J1247" s="1123"/>
      <c r="K1247" s="1123"/>
      <c r="L1247" s="1123"/>
      <c r="M1247" s="1123"/>
      <c r="N1247" s="1123"/>
      <c r="V1247" s="1224"/>
    </row>
    <row r="1248" spans="1:22">
      <c r="A1248" s="1289"/>
      <c r="B1248" s="1123"/>
      <c r="C1248" s="1123"/>
      <c r="D1248" s="1123"/>
      <c r="E1248" s="1123"/>
      <c r="G1248" s="1123"/>
      <c r="H1248" s="1123"/>
      <c r="I1248" s="1123"/>
      <c r="J1248" s="1123"/>
      <c r="K1248" s="1123"/>
      <c r="L1248" s="1123"/>
      <c r="M1248" s="1123"/>
      <c r="N1248" s="1123"/>
      <c r="V1248" s="1224"/>
    </row>
    <row r="1249" spans="1:22">
      <c r="A1249" s="1289"/>
      <c r="B1249" s="1123"/>
      <c r="C1249" s="1123"/>
      <c r="D1249" s="1123"/>
      <c r="E1249" s="1123"/>
      <c r="G1249" s="1123"/>
      <c r="H1249" s="1123"/>
      <c r="I1249" s="1123"/>
      <c r="J1249" s="1123"/>
      <c r="K1249" s="1123"/>
      <c r="L1249" s="1123"/>
      <c r="M1249" s="1123"/>
      <c r="N1249" s="1123"/>
      <c r="V1249" s="1224"/>
    </row>
    <row r="1250" spans="1:22">
      <c r="A1250" s="1289"/>
      <c r="B1250" s="1123"/>
      <c r="C1250" s="1123"/>
      <c r="D1250" s="1123"/>
      <c r="E1250" s="1123"/>
      <c r="G1250" s="1123"/>
      <c r="H1250" s="1123"/>
      <c r="I1250" s="1123"/>
      <c r="J1250" s="1123"/>
      <c r="K1250" s="1123"/>
      <c r="L1250" s="1123"/>
      <c r="M1250" s="1123"/>
      <c r="N1250" s="1123"/>
      <c r="V1250" s="1224"/>
    </row>
    <row r="1251" spans="1:22">
      <c r="A1251" s="1289"/>
      <c r="B1251" s="1123"/>
      <c r="C1251" s="1123"/>
      <c r="D1251" s="1123"/>
      <c r="E1251" s="1123"/>
      <c r="G1251" s="1123"/>
      <c r="H1251" s="1123"/>
      <c r="I1251" s="1123"/>
      <c r="J1251" s="1123"/>
      <c r="K1251" s="1123"/>
      <c r="L1251" s="1123"/>
      <c r="M1251" s="1123"/>
      <c r="N1251" s="1123"/>
      <c r="V1251" s="1224"/>
    </row>
    <row r="1252" spans="1:22">
      <c r="A1252" s="1289"/>
      <c r="B1252" s="1123"/>
      <c r="C1252" s="1123"/>
      <c r="D1252" s="1123"/>
      <c r="E1252" s="1123"/>
      <c r="G1252" s="1123"/>
      <c r="H1252" s="1123"/>
      <c r="I1252" s="1123"/>
      <c r="J1252" s="1123"/>
      <c r="K1252" s="1123"/>
      <c r="L1252" s="1123"/>
      <c r="M1252" s="1123"/>
      <c r="N1252" s="1123"/>
      <c r="V1252" s="1224"/>
    </row>
    <row r="1253" spans="1:22">
      <c r="A1253" s="1289"/>
      <c r="B1253" s="1123"/>
      <c r="C1253" s="1123"/>
      <c r="D1253" s="1123"/>
      <c r="E1253" s="1123"/>
      <c r="G1253" s="1123"/>
      <c r="H1253" s="1123"/>
      <c r="I1253" s="1123"/>
      <c r="J1253" s="1123"/>
      <c r="K1253" s="1123"/>
      <c r="L1253" s="1123"/>
      <c r="M1253" s="1123"/>
      <c r="N1253" s="1123"/>
      <c r="V1253" s="1224"/>
    </row>
    <row r="1254" spans="1:22">
      <c r="A1254" s="1289"/>
      <c r="B1254" s="1123"/>
      <c r="C1254" s="1123"/>
      <c r="D1254" s="1123"/>
      <c r="E1254" s="1123"/>
      <c r="G1254" s="1123"/>
      <c r="H1254" s="1123"/>
      <c r="I1254" s="1123"/>
      <c r="J1254" s="1123"/>
      <c r="K1254" s="1123"/>
      <c r="L1254" s="1123"/>
      <c r="M1254" s="1123"/>
      <c r="N1254" s="1123"/>
      <c r="V1254" s="1224"/>
    </row>
    <row r="1255" spans="1:22">
      <c r="A1255" s="1289"/>
      <c r="B1255" s="1123"/>
      <c r="C1255" s="1123"/>
      <c r="D1255" s="1123"/>
      <c r="E1255" s="1123"/>
      <c r="G1255" s="1123"/>
      <c r="H1255" s="1123"/>
      <c r="I1255" s="1123"/>
      <c r="J1255" s="1123"/>
      <c r="K1255" s="1123"/>
      <c r="L1255" s="1123"/>
      <c r="M1255" s="1123"/>
      <c r="N1255" s="1123"/>
      <c r="V1255" s="1224"/>
    </row>
    <row r="1256" spans="1:22">
      <c r="A1256" s="1289"/>
      <c r="B1256" s="1123"/>
      <c r="C1256" s="1123"/>
      <c r="D1256" s="1123"/>
      <c r="E1256" s="1123"/>
      <c r="G1256" s="1123"/>
      <c r="H1256" s="1123"/>
      <c r="I1256" s="1123"/>
      <c r="J1256" s="1123"/>
      <c r="K1256" s="1123"/>
      <c r="L1256" s="1123"/>
      <c r="M1256" s="1123"/>
      <c r="N1256" s="1123"/>
      <c r="V1256" s="1224"/>
    </row>
    <row r="1257" spans="1:22">
      <c r="A1257" s="1289"/>
      <c r="B1257" s="1123"/>
      <c r="C1257" s="1123"/>
      <c r="D1257" s="1123"/>
      <c r="E1257" s="1123"/>
      <c r="G1257" s="1123"/>
      <c r="H1257" s="1123"/>
      <c r="I1257" s="1123"/>
      <c r="J1257" s="1123"/>
      <c r="K1257" s="1123"/>
      <c r="L1257" s="1123"/>
      <c r="M1257" s="1123"/>
      <c r="N1257" s="1123"/>
      <c r="V1257" s="1224"/>
    </row>
    <row r="1258" spans="1:22">
      <c r="A1258" s="1289"/>
      <c r="B1258" s="1123"/>
      <c r="C1258" s="1123"/>
      <c r="D1258" s="1123"/>
      <c r="E1258" s="1123"/>
      <c r="G1258" s="1123"/>
      <c r="H1258" s="1123"/>
      <c r="I1258" s="1123"/>
      <c r="J1258" s="1123"/>
      <c r="K1258" s="1123"/>
      <c r="L1258" s="1123"/>
      <c r="M1258" s="1123"/>
      <c r="N1258" s="1123"/>
      <c r="V1258" s="1224"/>
    </row>
    <row r="1259" spans="1:22">
      <c r="A1259" s="1289"/>
      <c r="B1259" s="1123"/>
      <c r="C1259" s="1123"/>
      <c r="D1259" s="1123"/>
      <c r="E1259" s="1123"/>
      <c r="G1259" s="1123"/>
      <c r="H1259" s="1123"/>
      <c r="I1259" s="1123"/>
      <c r="J1259" s="1123"/>
      <c r="K1259" s="1123"/>
      <c r="L1259" s="1123"/>
      <c r="M1259" s="1123"/>
      <c r="N1259" s="1123"/>
      <c r="V1259" s="1224"/>
    </row>
    <row r="1260" spans="1:22">
      <c r="A1260" s="1289"/>
      <c r="B1260" s="1123"/>
      <c r="C1260" s="1123"/>
      <c r="D1260" s="1123"/>
      <c r="E1260" s="1123"/>
      <c r="G1260" s="1123"/>
      <c r="H1260" s="1123"/>
      <c r="I1260" s="1123"/>
      <c r="J1260" s="1123"/>
      <c r="K1260" s="1123"/>
      <c r="L1260" s="1123"/>
      <c r="M1260" s="1123"/>
      <c r="N1260" s="1123"/>
      <c r="V1260" s="1224"/>
    </row>
    <row r="1261" spans="1:22">
      <c r="A1261" s="1289"/>
      <c r="B1261" s="1123"/>
      <c r="C1261" s="1123"/>
      <c r="D1261" s="1123"/>
      <c r="E1261" s="1123"/>
      <c r="G1261" s="1123"/>
      <c r="H1261" s="1123"/>
      <c r="I1261" s="1123"/>
      <c r="J1261" s="1123"/>
      <c r="K1261" s="1123"/>
      <c r="L1261" s="1123"/>
      <c r="M1261" s="1123"/>
      <c r="N1261" s="1123"/>
      <c r="V1261" s="1224"/>
    </row>
    <row r="1262" spans="1:22">
      <c r="A1262" s="1289"/>
      <c r="B1262" s="1123"/>
      <c r="C1262" s="1123"/>
      <c r="D1262" s="1123"/>
      <c r="E1262" s="1123"/>
      <c r="G1262" s="1123"/>
      <c r="H1262" s="1123"/>
      <c r="I1262" s="1123"/>
      <c r="J1262" s="1123"/>
      <c r="K1262" s="1123"/>
      <c r="L1262" s="1123"/>
      <c r="M1262" s="1123"/>
      <c r="N1262" s="1123"/>
      <c r="V1262" s="1224"/>
    </row>
    <row r="1263" spans="1:22">
      <c r="A1263" s="1289"/>
      <c r="B1263" s="1123"/>
      <c r="C1263" s="1123"/>
      <c r="D1263" s="1123"/>
      <c r="E1263" s="1123"/>
      <c r="G1263" s="1123"/>
      <c r="H1263" s="1123"/>
      <c r="I1263" s="1123"/>
      <c r="J1263" s="1123"/>
      <c r="K1263" s="1123"/>
      <c r="L1263" s="1123"/>
      <c r="M1263" s="1123"/>
      <c r="N1263" s="1123"/>
      <c r="V1263" s="1224"/>
    </row>
    <row r="1264" spans="1:22">
      <c r="A1264" s="1289"/>
      <c r="B1264" s="1123"/>
      <c r="C1264" s="1123"/>
      <c r="D1264" s="1123"/>
      <c r="E1264" s="1123"/>
      <c r="G1264" s="1123"/>
      <c r="H1264" s="1123"/>
      <c r="I1264" s="1123"/>
      <c r="J1264" s="1123"/>
      <c r="K1264" s="1123"/>
      <c r="L1264" s="1123"/>
      <c r="M1264" s="1123"/>
      <c r="N1264" s="1123"/>
      <c r="V1264" s="1224"/>
    </row>
    <row r="1265" spans="1:22">
      <c r="A1265" s="1289"/>
      <c r="B1265" s="1123"/>
      <c r="C1265" s="1123"/>
      <c r="D1265" s="1123"/>
      <c r="E1265" s="1123"/>
      <c r="G1265" s="1123"/>
      <c r="H1265" s="1123"/>
      <c r="I1265" s="1123"/>
      <c r="J1265" s="1123"/>
      <c r="K1265" s="1123"/>
      <c r="L1265" s="1123"/>
      <c r="M1265" s="1123"/>
      <c r="N1265" s="1123"/>
      <c r="V1265" s="1224"/>
    </row>
    <row r="1266" spans="1:22">
      <c r="A1266" s="1289"/>
      <c r="B1266" s="1123"/>
      <c r="C1266" s="1123"/>
      <c r="D1266" s="1123"/>
      <c r="E1266" s="1123"/>
      <c r="G1266" s="1123"/>
      <c r="H1266" s="1123"/>
      <c r="I1266" s="1123"/>
      <c r="J1266" s="1123"/>
      <c r="K1266" s="1123"/>
      <c r="L1266" s="1123"/>
      <c r="M1266" s="1123"/>
      <c r="N1266" s="1123"/>
      <c r="V1266" s="1224"/>
    </row>
    <row r="1267" spans="1:22">
      <c r="A1267" s="1289"/>
      <c r="B1267" s="1123"/>
      <c r="C1267" s="1123"/>
      <c r="D1267" s="1123"/>
      <c r="E1267" s="1123"/>
      <c r="G1267" s="1123"/>
      <c r="H1267" s="1123"/>
      <c r="I1267" s="1123"/>
      <c r="J1267" s="1123"/>
      <c r="K1267" s="1123"/>
      <c r="L1267" s="1123"/>
      <c r="M1267" s="1123"/>
      <c r="N1267" s="1123"/>
      <c r="V1267" s="1224"/>
    </row>
    <row r="1268" spans="1:22">
      <c r="A1268" s="1289"/>
      <c r="B1268" s="1123"/>
      <c r="C1268" s="1123"/>
      <c r="D1268" s="1123"/>
      <c r="E1268" s="1123"/>
      <c r="G1268" s="1123"/>
      <c r="H1268" s="1123"/>
      <c r="I1268" s="1123"/>
      <c r="J1268" s="1123"/>
      <c r="K1268" s="1123"/>
      <c r="L1268" s="1123"/>
      <c r="M1268" s="1123"/>
      <c r="N1268" s="1123"/>
      <c r="V1268" s="1224"/>
    </row>
    <row r="1269" spans="1:22">
      <c r="A1269" s="1289"/>
      <c r="B1269" s="1123"/>
      <c r="C1269" s="1123"/>
      <c r="D1269" s="1123"/>
      <c r="E1269" s="1123"/>
      <c r="G1269" s="1123"/>
      <c r="H1269" s="1123"/>
      <c r="I1269" s="1123"/>
      <c r="J1269" s="1123"/>
      <c r="K1269" s="1123"/>
      <c r="L1269" s="1123"/>
      <c r="M1269" s="1123"/>
      <c r="N1269" s="1123"/>
      <c r="V1269" s="1224"/>
    </row>
    <row r="1270" spans="1:22">
      <c r="A1270" s="1289"/>
      <c r="B1270" s="1123"/>
      <c r="C1270" s="1123"/>
      <c r="D1270" s="1123"/>
      <c r="E1270" s="1123"/>
      <c r="G1270" s="1123"/>
      <c r="H1270" s="1123"/>
      <c r="I1270" s="1123"/>
      <c r="J1270" s="1123"/>
      <c r="K1270" s="1123"/>
      <c r="L1270" s="1123"/>
      <c r="M1270" s="1123"/>
      <c r="N1270" s="1123"/>
      <c r="V1270" s="1224"/>
    </row>
    <row r="1271" spans="1:22">
      <c r="A1271" s="1289"/>
      <c r="B1271" s="1123"/>
      <c r="C1271" s="1123"/>
      <c r="D1271" s="1123"/>
      <c r="E1271" s="1123"/>
      <c r="G1271" s="1123"/>
      <c r="H1271" s="1123"/>
      <c r="I1271" s="1123"/>
      <c r="J1271" s="1123"/>
      <c r="K1271" s="1123"/>
      <c r="L1271" s="1123"/>
      <c r="M1271" s="1123"/>
      <c r="N1271" s="1123"/>
      <c r="V1271" s="1224"/>
    </row>
    <row r="1272" spans="1:22">
      <c r="A1272" s="1289"/>
      <c r="B1272" s="1123"/>
      <c r="C1272" s="1123"/>
      <c r="D1272" s="1123"/>
      <c r="E1272" s="1123"/>
      <c r="G1272" s="1123"/>
      <c r="H1272" s="1123"/>
      <c r="I1272" s="1123"/>
      <c r="J1272" s="1123"/>
      <c r="K1272" s="1123"/>
      <c r="L1272" s="1123"/>
      <c r="M1272" s="1123"/>
      <c r="N1272" s="1123"/>
      <c r="V1272" s="1224"/>
    </row>
    <row r="1273" spans="1:22">
      <c r="A1273" s="1289"/>
      <c r="B1273" s="1123"/>
      <c r="C1273" s="1123"/>
      <c r="D1273" s="1123"/>
      <c r="E1273" s="1123"/>
      <c r="G1273" s="1123"/>
      <c r="H1273" s="1123"/>
      <c r="I1273" s="1123"/>
      <c r="J1273" s="1123"/>
      <c r="K1273" s="1123"/>
      <c r="L1273" s="1123"/>
      <c r="M1273" s="1123"/>
      <c r="N1273" s="1123"/>
      <c r="V1273" s="1224"/>
    </row>
    <row r="1274" spans="1:22">
      <c r="A1274" s="1289"/>
      <c r="B1274" s="1123"/>
      <c r="C1274" s="1123"/>
      <c r="D1274" s="1123"/>
      <c r="E1274" s="1123"/>
      <c r="G1274" s="1123"/>
      <c r="H1274" s="1123"/>
      <c r="I1274" s="1123"/>
      <c r="J1274" s="1123"/>
      <c r="K1274" s="1123"/>
      <c r="L1274" s="1123"/>
      <c r="M1274" s="1123"/>
      <c r="N1274" s="1123"/>
      <c r="V1274" s="1224"/>
    </row>
    <row r="1275" spans="1:22">
      <c r="A1275" s="1289"/>
      <c r="B1275" s="1123"/>
      <c r="C1275" s="1123"/>
      <c r="D1275" s="1123"/>
      <c r="E1275" s="1123"/>
      <c r="G1275" s="1123"/>
      <c r="H1275" s="1123"/>
      <c r="I1275" s="1123"/>
      <c r="J1275" s="1123"/>
      <c r="K1275" s="1123"/>
      <c r="L1275" s="1123"/>
      <c r="M1275" s="1123"/>
      <c r="N1275" s="1123"/>
      <c r="V1275" s="1224"/>
    </row>
    <row r="1276" spans="1:22">
      <c r="A1276" s="1289"/>
      <c r="B1276" s="1123"/>
      <c r="C1276" s="1123"/>
      <c r="D1276" s="1123"/>
      <c r="E1276" s="1123"/>
      <c r="G1276" s="1123"/>
      <c r="H1276" s="1123"/>
      <c r="I1276" s="1123"/>
      <c r="J1276" s="1123"/>
      <c r="K1276" s="1123"/>
      <c r="L1276" s="1123"/>
      <c r="M1276" s="1123"/>
      <c r="N1276" s="1123"/>
      <c r="V1276" s="1224"/>
    </row>
    <row r="1277" spans="1:22">
      <c r="A1277" s="1289"/>
      <c r="B1277" s="1123"/>
      <c r="C1277" s="1123"/>
      <c r="D1277" s="1123"/>
      <c r="E1277" s="1123"/>
      <c r="G1277" s="1123"/>
      <c r="H1277" s="1123"/>
      <c r="I1277" s="1123"/>
      <c r="J1277" s="1123"/>
      <c r="K1277" s="1123"/>
      <c r="L1277" s="1123"/>
      <c r="M1277" s="1123"/>
      <c r="N1277" s="1123"/>
      <c r="V1277" s="1224"/>
    </row>
    <row r="1278" spans="1:22">
      <c r="A1278" s="1289"/>
      <c r="B1278" s="1123"/>
      <c r="C1278" s="1123"/>
      <c r="D1278" s="1123"/>
      <c r="E1278" s="1123"/>
      <c r="G1278" s="1123"/>
      <c r="H1278" s="1123"/>
      <c r="I1278" s="1123"/>
      <c r="J1278" s="1123"/>
      <c r="K1278" s="1123"/>
      <c r="L1278" s="1123"/>
      <c r="M1278" s="1123"/>
      <c r="N1278" s="1123"/>
      <c r="V1278" s="1224"/>
    </row>
    <row r="1279" spans="1:22">
      <c r="A1279" s="1289"/>
      <c r="B1279" s="1123"/>
      <c r="C1279" s="1123"/>
      <c r="D1279" s="1123"/>
      <c r="E1279" s="1123"/>
      <c r="G1279" s="1123"/>
      <c r="H1279" s="1123"/>
      <c r="I1279" s="1123"/>
      <c r="J1279" s="1123"/>
      <c r="K1279" s="1123"/>
      <c r="L1279" s="1123"/>
      <c r="M1279" s="1123"/>
      <c r="N1279" s="1123"/>
      <c r="V1279" s="1224"/>
    </row>
    <row r="1280" spans="1:22">
      <c r="A1280" s="1289"/>
      <c r="B1280" s="1123"/>
      <c r="C1280" s="1123"/>
      <c r="D1280" s="1123"/>
      <c r="E1280" s="1123"/>
      <c r="G1280" s="1123"/>
      <c r="H1280" s="1123"/>
      <c r="I1280" s="1123"/>
      <c r="J1280" s="1123"/>
      <c r="K1280" s="1123"/>
      <c r="L1280" s="1123"/>
      <c r="M1280" s="1123"/>
      <c r="N1280" s="1123"/>
      <c r="V1280" s="1224"/>
    </row>
    <row r="1281" spans="1:22">
      <c r="A1281" s="1289"/>
      <c r="B1281" s="1123"/>
      <c r="C1281" s="1123"/>
      <c r="D1281" s="1123"/>
      <c r="E1281" s="1123"/>
      <c r="G1281" s="1123"/>
      <c r="H1281" s="1123"/>
      <c r="I1281" s="1123"/>
      <c r="J1281" s="1123"/>
      <c r="K1281" s="1123"/>
      <c r="L1281" s="1123"/>
      <c r="M1281" s="1123"/>
      <c r="N1281" s="1123"/>
      <c r="V1281" s="1224"/>
    </row>
    <row r="1282" spans="1:22">
      <c r="A1282" s="1289"/>
      <c r="B1282" s="1123"/>
      <c r="C1282" s="1123"/>
      <c r="D1282" s="1123"/>
      <c r="E1282" s="1123"/>
      <c r="G1282" s="1123"/>
      <c r="H1282" s="1123"/>
      <c r="I1282" s="1123"/>
      <c r="J1282" s="1123"/>
      <c r="K1282" s="1123"/>
      <c r="L1282" s="1123"/>
      <c r="M1282" s="1123"/>
      <c r="N1282" s="1123"/>
      <c r="V1282" s="1224"/>
    </row>
    <row r="1283" spans="1:22">
      <c r="A1283" s="1289"/>
      <c r="B1283" s="1123"/>
      <c r="C1283" s="1123"/>
      <c r="D1283" s="1123"/>
      <c r="E1283" s="1123"/>
      <c r="G1283" s="1123"/>
      <c r="H1283" s="1123"/>
      <c r="I1283" s="1123"/>
      <c r="J1283" s="1123"/>
      <c r="K1283" s="1123"/>
      <c r="L1283" s="1123"/>
      <c r="M1283" s="1123"/>
      <c r="N1283" s="1123"/>
      <c r="V1283" s="1224"/>
    </row>
    <row r="1284" spans="1:22">
      <c r="A1284" s="1289"/>
      <c r="B1284" s="1123"/>
      <c r="C1284" s="1123"/>
      <c r="D1284" s="1123"/>
      <c r="E1284" s="1123"/>
      <c r="G1284" s="1123"/>
      <c r="H1284" s="1123"/>
      <c r="I1284" s="1123"/>
      <c r="J1284" s="1123"/>
      <c r="K1284" s="1123"/>
      <c r="L1284" s="1123"/>
      <c r="M1284" s="1123"/>
      <c r="N1284" s="1123"/>
      <c r="V1284" s="1224"/>
    </row>
    <row r="1285" spans="1:22">
      <c r="A1285" s="1289"/>
      <c r="B1285" s="1123"/>
      <c r="C1285" s="1123"/>
      <c r="D1285" s="1123"/>
      <c r="E1285" s="1123"/>
      <c r="G1285" s="1123"/>
      <c r="H1285" s="1123"/>
      <c r="I1285" s="1123"/>
      <c r="J1285" s="1123"/>
      <c r="K1285" s="1123"/>
      <c r="L1285" s="1123"/>
      <c r="M1285" s="1123"/>
      <c r="N1285" s="1123"/>
      <c r="V1285" s="1224"/>
    </row>
    <row r="1286" spans="1:22">
      <c r="A1286" s="1289"/>
      <c r="B1286" s="1123"/>
      <c r="C1286" s="1123"/>
      <c r="D1286" s="1123"/>
      <c r="E1286" s="1123"/>
      <c r="G1286" s="1123"/>
      <c r="H1286" s="1123"/>
      <c r="I1286" s="1123"/>
      <c r="J1286" s="1123"/>
      <c r="K1286" s="1123"/>
      <c r="L1286" s="1123"/>
      <c r="M1286" s="1123"/>
      <c r="N1286" s="1123"/>
      <c r="V1286" s="1224"/>
    </row>
    <row r="1287" spans="1:22">
      <c r="A1287" s="1289"/>
      <c r="B1287" s="1123"/>
      <c r="C1287" s="1123"/>
      <c r="D1287" s="1123"/>
      <c r="E1287" s="1123"/>
      <c r="G1287" s="1123"/>
      <c r="H1287" s="1123"/>
      <c r="I1287" s="1123"/>
      <c r="J1287" s="1123"/>
      <c r="K1287" s="1123"/>
      <c r="L1287" s="1123"/>
      <c r="M1287" s="1123"/>
      <c r="N1287" s="1123"/>
      <c r="V1287" s="1224"/>
    </row>
    <row r="1288" spans="1:22">
      <c r="A1288" s="1289"/>
      <c r="B1288" s="1123"/>
      <c r="C1288" s="1123"/>
      <c r="D1288" s="1123"/>
      <c r="E1288" s="1123"/>
      <c r="G1288" s="1123"/>
      <c r="H1288" s="1123"/>
      <c r="I1288" s="1123"/>
      <c r="J1288" s="1123"/>
      <c r="K1288" s="1123"/>
      <c r="L1288" s="1123"/>
      <c r="M1288" s="1123"/>
      <c r="N1288" s="1123"/>
      <c r="V1288" s="1224"/>
    </row>
    <row r="1289" spans="1:22">
      <c r="A1289" s="1289"/>
      <c r="B1289" s="1123"/>
      <c r="C1289" s="1123"/>
      <c r="D1289" s="1123"/>
      <c r="E1289" s="1123"/>
      <c r="G1289" s="1123"/>
      <c r="H1289" s="1123"/>
      <c r="I1289" s="1123"/>
      <c r="J1289" s="1123"/>
      <c r="K1289" s="1123"/>
      <c r="L1289" s="1123"/>
      <c r="M1289" s="1123"/>
      <c r="N1289" s="1123"/>
      <c r="V1289" s="1224"/>
    </row>
    <row r="1290" spans="1:22">
      <c r="A1290" s="1289"/>
      <c r="B1290" s="1123"/>
      <c r="C1290" s="1123"/>
      <c r="D1290" s="1123"/>
      <c r="E1290" s="1123"/>
      <c r="G1290" s="1123"/>
      <c r="H1290" s="1123"/>
      <c r="I1290" s="1123"/>
      <c r="J1290" s="1123"/>
      <c r="K1290" s="1123"/>
      <c r="L1290" s="1123"/>
      <c r="M1290" s="1123"/>
      <c r="N1290" s="1123"/>
      <c r="V1290" s="1224"/>
    </row>
    <row r="1291" spans="1:22">
      <c r="A1291" s="1289"/>
      <c r="B1291" s="1123"/>
      <c r="C1291" s="1123"/>
      <c r="D1291" s="1123"/>
      <c r="E1291" s="1123"/>
      <c r="G1291" s="1123"/>
      <c r="H1291" s="1123"/>
      <c r="I1291" s="1123"/>
      <c r="J1291" s="1123"/>
      <c r="K1291" s="1123"/>
      <c r="L1291" s="1123"/>
      <c r="M1291" s="1123"/>
      <c r="N1291" s="1123"/>
      <c r="V1291" s="1224"/>
    </row>
    <row r="1292" spans="1:22">
      <c r="A1292" s="1289"/>
      <c r="B1292" s="1123"/>
      <c r="C1292" s="1123"/>
      <c r="D1292" s="1123"/>
      <c r="E1292" s="1123"/>
      <c r="G1292" s="1123"/>
      <c r="H1292" s="1123"/>
      <c r="I1292" s="1123"/>
      <c r="J1292" s="1123"/>
      <c r="K1292" s="1123"/>
      <c r="L1292" s="1123"/>
      <c r="M1292" s="1123"/>
      <c r="N1292" s="1123"/>
      <c r="V1292" s="1224"/>
    </row>
    <row r="1293" spans="1:22">
      <c r="A1293" s="1289"/>
      <c r="B1293" s="1123"/>
      <c r="C1293" s="1123"/>
      <c r="D1293" s="1123"/>
      <c r="E1293" s="1123"/>
      <c r="G1293" s="1123"/>
      <c r="H1293" s="1123"/>
      <c r="I1293" s="1123"/>
      <c r="J1293" s="1123"/>
      <c r="K1293" s="1123"/>
      <c r="L1293" s="1123"/>
      <c r="M1293" s="1123"/>
      <c r="N1293" s="1123"/>
      <c r="V1293" s="1224"/>
    </row>
    <row r="1294" spans="1:22">
      <c r="A1294" s="1289"/>
      <c r="B1294" s="1123"/>
      <c r="C1294" s="1123"/>
      <c r="D1294" s="1123"/>
      <c r="E1294" s="1123"/>
      <c r="G1294" s="1123"/>
      <c r="H1294" s="1123"/>
      <c r="I1294" s="1123"/>
      <c r="J1294" s="1123"/>
      <c r="K1294" s="1123"/>
      <c r="L1294" s="1123"/>
      <c r="M1294" s="1123"/>
      <c r="N1294" s="1123"/>
      <c r="V1294" s="1224"/>
    </row>
    <row r="1295" spans="1:22">
      <c r="A1295" s="1289"/>
      <c r="B1295" s="1123"/>
      <c r="C1295" s="1123"/>
      <c r="D1295" s="1123"/>
      <c r="E1295" s="1123"/>
      <c r="G1295" s="1123"/>
      <c r="H1295" s="1123"/>
      <c r="I1295" s="1123"/>
      <c r="J1295" s="1123"/>
      <c r="K1295" s="1123"/>
      <c r="L1295" s="1123"/>
      <c r="M1295" s="1123"/>
      <c r="N1295" s="1123"/>
      <c r="V1295" s="1224"/>
    </row>
    <row r="1296" spans="1:22">
      <c r="A1296" s="1289"/>
      <c r="B1296" s="1123"/>
      <c r="C1296" s="1123"/>
      <c r="D1296" s="1123"/>
      <c r="E1296" s="1123"/>
      <c r="G1296" s="1123"/>
      <c r="H1296" s="1123"/>
      <c r="I1296" s="1123"/>
      <c r="J1296" s="1123"/>
      <c r="K1296" s="1123"/>
      <c r="L1296" s="1123"/>
      <c r="M1296" s="1123"/>
      <c r="N1296" s="1123"/>
      <c r="V1296" s="1224"/>
    </row>
    <row r="1297" spans="1:22">
      <c r="A1297" s="1289"/>
      <c r="B1297" s="1123"/>
      <c r="C1297" s="1123"/>
      <c r="D1297" s="1123"/>
      <c r="E1297" s="1123"/>
      <c r="G1297" s="1123"/>
      <c r="H1297" s="1123"/>
      <c r="I1297" s="1123"/>
      <c r="J1297" s="1123"/>
      <c r="K1297" s="1123"/>
      <c r="L1297" s="1123"/>
      <c r="M1297" s="1123"/>
      <c r="N1297" s="1123"/>
      <c r="V1297" s="1224"/>
    </row>
    <row r="1298" spans="1:22">
      <c r="A1298" s="1289"/>
      <c r="B1298" s="1123"/>
      <c r="C1298" s="1123"/>
      <c r="D1298" s="1123"/>
      <c r="E1298" s="1123"/>
      <c r="G1298" s="1123"/>
      <c r="H1298" s="1123"/>
      <c r="I1298" s="1123"/>
      <c r="J1298" s="1123"/>
      <c r="K1298" s="1123"/>
      <c r="L1298" s="1123"/>
      <c r="M1298" s="1123"/>
      <c r="N1298" s="1123"/>
      <c r="V1298" s="1224"/>
    </row>
    <row r="1299" spans="1:22">
      <c r="A1299" s="1289"/>
      <c r="B1299" s="1123"/>
      <c r="C1299" s="1123"/>
      <c r="D1299" s="1123"/>
      <c r="E1299" s="1123"/>
      <c r="G1299" s="1123"/>
      <c r="H1299" s="1123"/>
      <c r="I1299" s="1123"/>
      <c r="J1299" s="1123"/>
      <c r="K1299" s="1123"/>
      <c r="L1299" s="1123"/>
      <c r="M1299" s="1123"/>
      <c r="N1299" s="1123"/>
      <c r="V1299" s="1224"/>
    </row>
    <row r="1300" spans="1:22">
      <c r="A1300" s="1289"/>
      <c r="B1300" s="1123"/>
      <c r="C1300" s="1123"/>
      <c r="D1300" s="1123"/>
      <c r="E1300" s="1123"/>
      <c r="G1300" s="1123"/>
      <c r="H1300" s="1123"/>
      <c r="I1300" s="1123"/>
      <c r="J1300" s="1123"/>
      <c r="K1300" s="1123"/>
      <c r="L1300" s="1123"/>
      <c r="M1300" s="1123"/>
      <c r="N1300" s="1123"/>
      <c r="V1300" s="1224"/>
    </row>
    <row r="1301" spans="1:22">
      <c r="A1301" s="1289"/>
      <c r="B1301" s="1123"/>
      <c r="C1301" s="1123"/>
      <c r="D1301" s="1123"/>
      <c r="E1301" s="1123"/>
      <c r="G1301" s="1123"/>
      <c r="H1301" s="1123"/>
      <c r="I1301" s="1123"/>
      <c r="J1301" s="1123"/>
      <c r="K1301" s="1123"/>
      <c r="L1301" s="1123"/>
      <c r="M1301" s="1123"/>
      <c r="N1301" s="1123"/>
      <c r="V1301" s="1224"/>
    </row>
    <row r="1302" spans="1:22">
      <c r="A1302" s="1289"/>
      <c r="B1302" s="1123"/>
      <c r="C1302" s="1123"/>
      <c r="D1302" s="1123"/>
      <c r="E1302" s="1123"/>
      <c r="G1302" s="1123"/>
      <c r="H1302" s="1123"/>
      <c r="I1302" s="1123"/>
      <c r="J1302" s="1123"/>
      <c r="K1302" s="1123"/>
      <c r="L1302" s="1123"/>
      <c r="M1302" s="1123"/>
      <c r="N1302" s="1123"/>
      <c r="V1302" s="1224"/>
    </row>
    <row r="1303" spans="1:22">
      <c r="A1303" s="1289"/>
      <c r="B1303" s="1123"/>
      <c r="C1303" s="1123"/>
      <c r="D1303" s="1123"/>
      <c r="E1303" s="1123"/>
      <c r="G1303" s="1123"/>
      <c r="H1303" s="1123"/>
      <c r="I1303" s="1123"/>
      <c r="J1303" s="1123"/>
      <c r="K1303" s="1123"/>
      <c r="L1303" s="1123"/>
      <c r="M1303" s="1123"/>
      <c r="N1303" s="1123"/>
      <c r="V1303" s="1224"/>
    </row>
    <row r="1304" spans="1:22">
      <c r="A1304" s="1289"/>
      <c r="B1304" s="1123"/>
      <c r="C1304" s="1123"/>
      <c r="D1304" s="1123"/>
      <c r="E1304" s="1123"/>
      <c r="G1304" s="1123"/>
      <c r="H1304" s="1123"/>
      <c r="I1304" s="1123"/>
      <c r="J1304" s="1123"/>
      <c r="K1304" s="1123"/>
      <c r="L1304" s="1123"/>
      <c r="M1304" s="1123"/>
      <c r="N1304" s="1123"/>
      <c r="V1304" s="1224"/>
    </row>
    <row r="1305" spans="1:22">
      <c r="A1305" s="1289"/>
      <c r="B1305" s="1123"/>
      <c r="C1305" s="1123"/>
      <c r="D1305" s="1123"/>
      <c r="E1305" s="1123"/>
      <c r="G1305" s="1123"/>
      <c r="H1305" s="1123"/>
      <c r="I1305" s="1123"/>
      <c r="J1305" s="1123"/>
      <c r="K1305" s="1123"/>
      <c r="L1305" s="1123"/>
      <c r="M1305" s="1123"/>
      <c r="N1305" s="1123"/>
      <c r="V1305" s="1224"/>
    </row>
    <row r="1306" spans="1:22">
      <c r="A1306" s="1289"/>
      <c r="B1306" s="1123"/>
      <c r="C1306" s="1123"/>
      <c r="D1306" s="1123"/>
      <c r="E1306" s="1123"/>
      <c r="G1306" s="1123"/>
      <c r="H1306" s="1123"/>
      <c r="I1306" s="1123"/>
      <c r="J1306" s="1123"/>
      <c r="K1306" s="1123"/>
      <c r="L1306" s="1123"/>
      <c r="M1306" s="1123"/>
      <c r="N1306" s="1123"/>
      <c r="V1306" s="1224"/>
    </row>
    <row r="1307" spans="1:22">
      <c r="A1307" s="1289"/>
      <c r="B1307" s="1123"/>
      <c r="C1307" s="1123"/>
      <c r="D1307" s="1123"/>
      <c r="E1307" s="1123"/>
      <c r="G1307" s="1123"/>
      <c r="H1307" s="1123"/>
      <c r="I1307" s="1123"/>
      <c r="J1307" s="1123"/>
      <c r="K1307" s="1123"/>
      <c r="L1307" s="1123"/>
      <c r="M1307" s="1123"/>
      <c r="N1307" s="1123"/>
      <c r="V1307" s="1224"/>
    </row>
    <row r="1308" spans="1:22">
      <c r="A1308" s="1289"/>
      <c r="B1308" s="1123"/>
      <c r="C1308" s="1123"/>
      <c r="D1308" s="1123"/>
      <c r="E1308" s="1123"/>
      <c r="G1308" s="1123"/>
      <c r="H1308" s="1123"/>
      <c r="I1308" s="1123"/>
      <c r="J1308" s="1123"/>
      <c r="K1308" s="1123"/>
      <c r="L1308" s="1123"/>
      <c r="M1308" s="1123"/>
      <c r="N1308" s="1123"/>
      <c r="V1308" s="1224"/>
    </row>
    <row r="1309" spans="1:22">
      <c r="A1309" s="1289"/>
      <c r="B1309" s="1123"/>
      <c r="C1309" s="1123"/>
      <c r="D1309" s="1123"/>
      <c r="E1309" s="1123"/>
      <c r="G1309" s="1123"/>
      <c r="H1309" s="1123"/>
      <c r="I1309" s="1123"/>
      <c r="J1309" s="1123"/>
      <c r="K1309" s="1123"/>
      <c r="L1309" s="1123"/>
      <c r="M1309" s="1123"/>
      <c r="N1309" s="1123"/>
      <c r="V1309" s="1224"/>
    </row>
    <row r="1310" spans="1:22">
      <c r="A1310" s="1289"/>
      <c r="B1310" s="1123"/>
      <c r="C1310" s="1123"/>
      <c r="D1310" s="1123"/>
      <c r="E1310" s="1123"/>
      <c r="G1310" s="1123"/>
      <c r="H1310" s="1123"/>
      <c r="I1310" s="1123"/>
      <c r="J1310" s="1123"/>
      <c r="K1310" s="1123"/>
      <c r="L1310" s="1123"/>
      <c r="M1310" s="1123"/>
      <c r="N1310" s="1123"/>
      <c r="V1310" s="1224"/>
    </row>
    <row r="1311" spans="1:22">
      <c r="A1311" s="1289"/>
      <c r="B1311" s="1123"/>
      <c r="C1311" s="1123"/>
      <c r="D1311" s="1123"/>
      <c r="E1311" s="1123"/>
      <c r="G1311" s="1123"/>
      <c r="H1311" s="1123"/>
      <c r="I1311" s="1123"/>
      <c r="J1311" s="1123"/>
      <c r="K1311" s="1123"/>
      <c r="L1311" s="1123"/>
      <c r="M1311" s="1123"/>
      <c r="N1311" s="1123"/>
      <c r="V1311" s="1224"/>
    </row>
    <row r="1312" spans="1:22">
      <c r="A1312" s="1289"/>
      <c r="B1312" s="1123"/>
      <c r="C1312" s="1123"/>
      <c r="D1312" s="1123"/>
      <c r="E1312" s="1123"/>
      <c r="G1312" s="1123"/>
      <c r="H1312" s="1123"/>
      <c r="I1312" s="1123"/>
      <c r="J1312" s="1123"/>
      <c r="K1312" s="1123"/>
      <c r="L1312" s="1123"/>
      <c r="M1312" s="1123"/>
      <c r="N1312" s="1123"/>
      <c r="V1312" s="1224"/>
    </row>
    <row r="1313" spans="1:22">
      <c r="A1313" s="1289"/>
      <c r="B1313" s="1123"/>
      <c r="C1313" s="1123"/>
      <c r="D1313" s="1123"/>
      <c r="E1313" s="1123"/>
      <c r="G1313" s="1123"/>
      <c r="H1313" s="1123"/>
      <c r="I1313" s="1123"/>
      <c r="J1313" s="1123"/>
      <c r="K1313" s="1123"/>
      <c r="L1313" s="1123"/>
      <c r="M1313" s="1123"/>
      <c r="N1313" s="1123"/>
      <c r="V1313" s="1224"/>
    </row>
    <row r="1314" spans="1:22">
      <c r="A1314" s="1289"/>
      <c r="B1314" s="1123"/>
      <c r="C1314" s="1123"/>
      <c r="D1314" s="1123"/>
      <c r="E1314" s="1123"/>
      <c r="G1314" s="1123"/>
      <c r="H1314" s="1123"/>
      <c r="I1314" s="1123"/>
      <c r="J1314" s="1123"/>
      <c r="K1314" s="1123"/>
      <c r="L1314" s="1123"/>
      <c r="M1314" s="1123"/>
      <c r="N1314" s="1123"/>
      <c r="V1314" s="1224"/>
    </row>
    <row r="1315" spans="1:22">
      <c r="A1315" s="1289"/>
      <c r="B1315" s="1123"/>
      <c r="C1315" s="1123"/>
      <c r="D1315" s="1123"/>
      <c r="E1315" s="1123"/>
      <c r="G1315" s="1123"/>
      <c r="H1315" s="1123"/>
      <c r="I1315" s="1123"/>
      <c r="J1315" s="1123"/>
      <c r="K1315" s="1123"/>
      <c r="L1315" s="1123"/>
      <c r="M1315" s="1123"/>
      <c r="N1315" s="1123"/>
      <c r="V1315" s="1224"/>
    </row>
    <row r="1316" spans="1:22">
      <c r="A1316" s="1289"/>
      <c r="B1316" s="1123"/>
      <c r="C1316" s="1123"/>
      <c r="D1316" s="1123"/>
      <c r="E1316" s="1123"/>
      <c r="G1316" s="1123"/>
      <c r="H1316" s="1123"/>
      <c r="I1316" s="1123"/>
      <c r="J1316" s="1123"/>
      <c r="K1316" s="1123"/>
      <c r="L1316" s="1123"/>
      <c r="M1316" s="1123"/>
      <c r="N1316" s="1123"/>
      <c r="V1316" s="1224"/>
    </row>
    <row r="1317" spans="1:22">
      <c r="A1317" s="1289"/>
      <c r="B1317" s="1123"/>
      <c r="C1317" s="1123"/>
      <c r="D1317" s="1123"/>
      <c r="E1317" s="1123"/>
      <c r="G1317" s="1123"/>
      <c r="H1317" s="1123"/>
      <c r="I1317" s="1123"/>
      <c r="J1317" s="1123"/>
      <c r="K1317" s="1123"/>
      <c r="L1317" s="1123"/>
      <c r="M1317" s="1123"/>
      <c r="N1317" s="1123"/>
      <c r="V1317" s="1224"/>
    </row>
    <row r="1318" spans="1:22">
      <c r="A1318" s="1289"/>
      <c r="B1318" s="1123"/>
      <c r="C1318" s="1123"/>
      <c r="D1318" s="1123"/>
      <c r="E1318" s="1123"/>
      <c r="G1318" s="1123"/>
      <c r="H1318" s="1123"/>
      <c r="I1318" s="1123"/>
      <c r="J1318" s="1123"/>
      <c r="K1318" s="1123"/>
      <c r="L1318" s="1123"/>
      <c r="M1318" s="1123"/>
      <c r="N1318" s="1123"/>
      <c r="V1318" s="1224"/>
    </row>
    <row r="1319" spans="1:22">
      <c r="A1319" s="1289"/>
      <c r="B1319" s="1123"/>
      <c r="C1319" s="1123"/>
      <c r="D1319" s="1123"/>
      <c r="E1319" s="1123"/>
      <c r="G1319" s="1123"/>
      <c r="H1319" s="1123"/>
      <c r="I1319" s="1123"/>
      <c r="J1319" s="1123"/>
      <c r="K1319" s="1123"/>
      <c r="L1319" s="1123"/>
      <c r="M1319" s="1123"/>
      <c r="N1319" s="1123"/>
      <c r="V1319" s="1224"/>
    </row>
    <row r="1320" spans="1:22">
      <c r="A1320" s="1289"/>
      <c r="B1320" s="1123"/>
      <c r="C1320" s="1123"/>
      <c r="D1320" s="1123"/>
      <c r="E1320" s="1123"/>
      <c r="G1320" s="1123"/>
      <c r="H1320" s="1123"/>
      <c r="I1320" s="1123"/>
      <c r="J1320" s="1123"/>
      <c r="K1320" s="1123"/>
      <c r="L1320" s="1123"/>
      <c r="M1320" s="1123"/>
      <c r="N1320" s="1123"/>
      <c r="V1320" s="1224"/>
    </row>
    <row r="1321" spans="1:22">
      <c r="A1321" s="1289"/>
      <c r="B1321" s="1123"/>
      <c r="C1321" s="1123"/>
      <c r="D1321" s="1123"/>
      <c r="E1321" s="1123"/>
      <c r="G1321" s="1123"/>
      <c r="H1321" s="1123"/>
      <c r="I1321" s="1123"/>
      <c r="J1321" s="1123"/>
      <c r="K1321" s="1123"/>
      <c r="L1321" s="1123"/>
      <c r="M1321" s="1123"/>
      <c r="N1321" s="1123"/>
      <c r="V1321" s="1224"/>
    </row>
    <row r="1322" spans="1:22">
      <c r="A1322" s="1289"/>
      <c r="B1322" s="1123"/>
      <c r="C1322" s="1123"/>
      <c r="D1322" s="1123"/>
      <c r="E1322" s="1123"/>
      <c r="G1322" s="1123"/>
      <c r="H1322" s="1123"/>
      <c r="I1322" s="1123"/>
      <c r="J1322" s="1123"/>
      <c r="K1322" s="1123"/>
      <c r="L1322" s="1123"/>
      <c r="M1322" s="1123"/>
      <c r="N1322" s="1123"/>
      <c r="V1322" s="1224"/>
    </row>
    <row r="1323" spans="1:22">
      <c r="A1323" s="1289"/>
      <c r="B1323" s="1123"/>
      <c r="C1323" s="1123"/>
      <c r="D1323" s="1123"/>
      <c r="E1323" s="1123"/>
      <c r="G1323" s="1123"/>
      <c r="H1323" s="1123"/>
      <c r="I1323" s="1123"/>
      <c r="J1323" s="1123"/>
      <c r="K1323" s="1123"/>
      <c r="L1323" s="1123"/>
      <c r="M1323" s="1123"/>
      <c r="N1323" s="1123"/>
      <c r="V1323" s="1224"/>
    </row>
    <row r="1324" spans="1:22">
      <c r="A1324" s="1289"/>
      <c r="B1324" s="1123"/>
      <c r="C1324" s="1123"/>
      <c r="D1324" s="1123"/>
      <c r="E1324" s="1123"/>
      <c r="G1324" s="1123"/>
      <c r="H1324" s="1123"/>
      <c r="I1324" s="1123"/>
      <c r="J1324" s="1123"/>
      <c r="K1324" s="1123"/>
      <c r="L1324" s="1123"/>
      <c r="M1324" s="1123"/>
      <c r="N1324" s="1123"/>
      <c r="V1324" s="1224"/>
    </row>
    <row r="1325" spans="1:22">
      <c r="A1325" s="1289"/>
      <c r="B1325" s="1123"/>
      <c r="C1325" s="1123"/>
      <c r="D1325" s="1123"/>
      <c r="E1325" s="1123"/>
      <c r="G1325" s="1123"/>
      <c r="H1325" s="1123"/>
      <c r="I1325" s="1123"/>
      <c r="J1325" s="1123"/>
      <c r="K1325" s="1123"/>
      <c r="L1325" s="1123"/>
      <c r="M1325" s="1123"/>
      <c r="N1325" s="1123"/>
      <c r="V1325" s="1224"/>
    </row>
    <row r="1326" spans="1:22">
      <c r="A1326" s="1289"/>
      <c r="B1326" s="1123"/>
      <c r="C1326" s="1123"/>
      <c r="D1326" s="1123"/>
      <c r="E1326" s="1123"/>
      <c r="G1326" s="1123"/>
      <c r="H1326" s="1123"/>
      <c r="I1326" s="1123"/>
      <c r="J1326" s="1123"/>
      <c r="K1326" s="1123"/>
      <c r="L1326" s="1123"/>
      <c r="M1326" s="1123"/>
      <c r="N1326" s="1123"/>
      <c r="V1326" s="1224"/>
    </row>
    <row r="1327" spans="1:22">
      <c r="A1327" s="1289"/>
      <c r="B1327" s="1123"/>
      <c r="C1327" s="1123"/>
      <c r="D1327" s="1123"/>
      <c r="E1327" s="1123"/>
      <c r="G1327" s="1123"/>
      <c r="H1327" s="1123"/>
      <c r="I1327" s="1123"/>
      <c r="J1327" s="1123"/>
      <c r="K1327" s="1123"/>
      <c r="L1327" s="1123"/>
      <c r="M1327" s="1123"/>
      <c r="N1327" s="1123"/>
      <c r="V1327" s="1224"/>
    </row>
    <row r="1328" spans="1:22">
      <c r="A1328" s="1289"/>
      <c r="B1328" s="1123"/>
      <c r="C1328" s="1123"/>
      <c r="D1328" s="1123"/>
      <c r="E1328" s="1123"/>
      <c r="G1328" s="1123"/>
      <c r="H1328" s="1123"/>
      <c r="I1328" s="1123"/>
      <c r="J1328" s="1123"/>
      <c r="K1328" s="1123"/>
      <c r="L1328" s="1123"/>
      <c r="M1328" s="1123"/>
      <c r="N1328" s="1123"/>
      <c r="V1328" s="1224"/>
    </row>
    <row r="1329" spans="1:22">
      <c r="A1329" s="1289"/>
      <c r="B1329" s="1123"/>
      <c r="C1329" s="1123"/>
      <c r="D1329" s="1123"/>
      <c r="E1329" s="1123"/>
      <c r="G1329" s="1123"/>
      <c r="H1329" s="1123"/>
      <c r="I1329" s="1123"/>
      <c r="J1329" s="1123"/>
      <c r="K1329" s="1123"/>
      <c r="L1329" s="1123"/>
      <c r="M1329" s="1123"/>
      <c r="N1329" s="1123"/>
      <c r="V1329" s="1224"/>
    </row>
    <row r="1330" spans="1:22">
      <c r="A1330" s="1289"/>
      <c r="B1330" s="1123"/>
      <c r="C1330" s="1123"/>
      <c r="D1330" s="1123"/>
      <c r="E1330" s="1123"/>
      <c r="G1330" s="1123"/>
      <c r="H1330" s="1123"/>
      <c r="I1330" s="1123"/>
      <c r="J1330" s="1123"/>
      <c r="K1330" s="1123"/>
      <c r="L1330" s="1123"/>
      <c r="M1330" s="1123"/>
      <c r="N1330" s="1123"/>
      <c r="V1330" s="1224"/>
    </row>
    <row r="1331" spans="1:22">
      <c r="A1331" s="1289"/>
      <c r="B1331" s="1123"/>
      <c r="C1331" s="1123"/>
      <c r="D1331" s="1123"/>
      <c r="E1331" s="1123"/>
      <c r="G1331" s="1123"/>
      <c r="H1331" s="1123"/>
      <c r="I1331" s="1123"/>
      <c r="J1331" s="1123"/>
      <c r="K1331" s="1123"/>
      <c r="L1331" s="1123"/>
      <c r="M1331" s="1123"/>
      <c r="N1331" s="1123"/>
      <c r="V1331" s="1224"/>
    </row>
    <row r="1332" spans="1:22">
      <c r="A1332" s="1289"/>
      <c r="B1332" s="1123"/>
      <c r="C1332" s="1123"/>
      <c r="D1332" s="1123"/>
      <c r="E1332" s="1123"/>
      <c r="G1332" s="1123"/>
      <c r="H1332" s="1123"/>
      <c r="I1332" s="1123"/>
      <c r="J1332" s="1123"/>
      <c r="K1332" s="1123"/>
      <c r="L1332" s="1123"/>
      <c r="M1332" s="1123"/>
      <c r="N1332" s="1123"/>
      <c r="V1332" s="1224"/>
    </row>
    <row r="1333" spans="1:22">
      <c r="A1333" s="1289"/>
      <c r="B1333" s="1123"/>
      <c r="C1333" s="1123"/>
      <c r="D1333" s="1123"/>
      <c r="E1333" s="1123"/>
      <c r="G1333" s="1123"/>
      <c r="H1333" s="1123"/>
      <c r="I1333" s="1123"/>
      <c r="J1333" s="1123"/>
      <c r="K1333" s="1123"/>
      <c r="L1333" s="1123"/>
      <c r="M1333" s="1123"/>
      <c r="N1333" s="1123"/>
      <c r="V1333" s="1224"/>
    </row>
    <row r="1334" spans="1:22">
      <c r="A1334" s="1289"/>
      <c r="B1334" s="1123"/>
      <c r="C1334" s="1123"/>
      <c r="D1334" s="1123"/>
      <c r="E1334" s="1123"/>
      <c r="G1334" s="1123"/>
      <c r="H1334" s="1123"/>
      <c r="I1334" s="1123"/>
      <c r="J1334" s="1123"/>
      <c r="K1334" s="1123"/>
      <c r="L1334" s="1123"/>
      <c r="M1334" s="1123"/>
      <c r="N1334" s="1123"/>
      <c r="V1334" s="1224"/>
    </row>
    <row r="1335" spans="1:22">
      <c r="A1335" s="1289"/>
      <c r="B1335" s="1123"/>
      <c r="C1335" s="1123"/>
      <c r="D1335" s="1123"/>
      <c r="E1335" s="1123"/>
      <c r="G1335" s="1123"/>
      <c r="H1335" s="1123"/>
      <c r="I1335" s="1123"/>
      <c r="J1335" s="1123"/>
      <c r="K1335" s="1123"/>
      <c r="L1335" s="1123"/>
      <c r="M1335" s="1123"/>
      <c r="N1335" s="1123"/>
      <c r="V1335" s="1224"/>
    </row>
    <row r="1336" spans="1:22">
      <c r="A1336" s="1289"/>
      <c r="B1336" s="1123"/>
      <c r="C1336" s="1123"/>
      <c r="D1336" s="1123"/>
      <c r="E1336" s="1123"/>
      <c r="G1336" s="1123"/>
      <c r="H1336" s="1123"/>
      <c r="I1336" s="1123"/>
      <c r="J1336" s="1123"/>
      <c r="K1336" s="1123"/>
      <c r="L1336" s="1123"/>
      <c r="M1336" s="1123"/>
      <c r="N1336" s="1123"/>
      <c r="V1336" s="1224"/>
    </row>
    <row r="1337" spans="1:22">
      <c r="A1337" s="1289"/>
      <c r="B1337" s="1123"/>
      <c r="C1337" s="1123"/>
      <c r="D1337" s="1123"/>
      <c r="E1337" s="1123"/>
      <c r="G1337" s="1123"/>
      <c r="H1337" s="1123"/>
      <c r="I1337" s="1123"/>
      <c r="J1337" s="1123"/>
      <c r="K1337" s="1123"/>
      <c r="L1337" s="1123"/>
      <c r="M1337" s="1123"/>
      <c r="N1337" s="1123"/>
      <c r="V1337" s="1224"/>
    </row>
    <row r="1338" spans="1:22">
      <c r="A1338" s="1289"/>
      <c r="B1338" s="1123"/>
      <c r="C1338" s="1123"/>
      <c r="D1338" s="1123"/>
      <c r="E1338" s="1123"/>
      <c r="G1338" s="1123"/>
      <c r="H1338" s="1123"/>
      <c r="I1338" s="1123"/>
      <c r="J1338" s="1123"/>
      <c r="K1338" s="1123"/>
      <c r="L1338" s="1123"/>
      <c r="M1338" s="1123"/>
      <c r="N1338" s="1123"/>
      <c r="V1338" s="1224"/>
    </row>
    <row r="1339" spans="1:22">
      <c r="A1339" s="1289"/>
      <c r="B1339" s="1123"/>
      <c r="C1339" s="1123"/>
      <c r="D1339" s="1123"/>
      <c r="E1339" s="1123"/>
      <c r="G1339" s="1123"/>
      <c r="H1339" s="1123"/>
      <c r="I1339" s="1123"/>
      <c r="J1339" s="1123"/>
      <c r="K1339" s="1123"/>
      <c r="L1339" s="1123"/>
      <c r="M1339" s="1123"/>
      <c r="N1339" s="1123"/>
      <c r="V1339" s="1224"/>
    </row>
    <row r="1340" spans="1:22">
      <c r="A1340" s="1289"/>
      <c r="B1340" s="1123"/>
      <c r="C1340" s="1123"/>
      <c r="D1340" s="1123"/>
      <c r="E1340" s="1123"/>
      <c r="G1340" s="1123"/>
      <c r="H1340" s="1123"/>
      <c r="I1340" s="1123"/>
      <c r="J1340" s="1123"/>
      <c r="K1340" s="1123"/>
      <c r="L1340" s="1123"/>
      <c r="M1340" s="1123"/>
      <c r="N1340" s="1123"/>
      <c r="V1340" s="1224"/>
    </row>
    <row r="1341" spans="1:22">
      <c r="A1341" s="1289"/>
      <c r="B1341" s="1123"/>
      <c r="C1341" s="1123"/>
      <c r="D1341" s="1123"/>
      <c r="E1341" s="1123"/>
      <c r="G1341" s="1123"/>
      <c r="H1341" s="1123"/>
      <c r="I1341" s="1123"/>
      <c r="J1341" s="1123"/>
      <c r="K1341" s="1123"/>
      <c r="L1341" s="1123"/>
      <c r="M1341" s="1123"/>
      <c r="N1341" s="1123"/>
      <c r="V1341" s="1224"/>
    </row>
    <row r="1342" spans="1:22">
      <c r="A1342" s="1289"/>
      <c r="B1342" s="1123"/>
      <c r="C1342" s="1123"/>
      <c r="D1342" s="1123"/>
      <c r="E1342" s="1123"/>
      <c r="G1342" s="1123"/>
      <c r="H1342" s="1123"/>
      <c r="I1342" s="1123"/>
      <c r="J1342" s="1123"/>
      <c r="K1342" s="1123"/>
      <c r="L1342" s="1123"/>
      <c r="M1342" s="1123"/>
      <c r="N1342" s="1123"/>
      <c r="V1342" s="1224"/>
    </row>
    <row r="1343" spans="1:22">
      <c r="A1343" s="1289"/>
      <c r="B1343" s="1123"/>
      <c r="C1343" s="1123"/>
      <c r="D1343" s="1123"/>
      <c r="E1343" s="1123"/>
      <c r="G1343" s="1123"/>
      <c r="H1343" s="1123"/>
      <c r="I1343" s="1123"/>
      <c r="J1343" s="1123"/>
      <c r="K1343" s="1123"/>
      <c r="L1343" s="1123"/>
      <c r="M1343" s="1123"/>
      <c r="N1343" s="1123"/>
      <c r="V1343" s="1224"/>
    </row>
    <row r="1344" spans="1:22">
      <c r="A1344" s="1289"/>
      <c r="B1344" s="1123"/>
      <c r="C1344" s="1123"/>
      <c r="D1344" s="1123"/>
      <c r="E1344" s="1123"/>
      <c r="G1344" s="1123"/>
      <c r="H1344" s="1123"/>
      <c r="I1344" s="1123"/>
      <c r="J1344" s="1123"/>
      <c r="K1344" s="1123"/>
      <c r="L1344" s="1123"/>
      <c r="M1344" s="1123"/>
      <c r="N1344" s="1123"/>
      <c r="V1344" s="1224"/>
    </row>
    <row r="1345" spans="1:22">
      <c r="A1345" s="1289"/>
      <c r="B1345" s="1123"/>
      <c r="C1345" s="1123"/>
      <c r="D1345" s="1123"/>
      <c r="E1345" s="1123"/>
      <c r="G1345" s="1123"/>
      <c r="H1345" s="1123"/>
      <c r="I1345" s="1123"/>
      <c r="J1345" s="1123"/>
      <c r="K1345" s="1123"/>
      <c r="L1345" s="1123"/>
      <c r="M1345" s="1123"/>
      <c r="N1345" s="1123"/>
      <c r="V1345" s="1224"/>
    </row>
    <row r="1346" spans="1:22">
      <c r="A1346" s="1289"/>
      <c r="B1346" s="1123"/>
      <c r="C1346" s="1123"/>
      <c r="D1346" s="1123"/>
      <c r="E1346" s="1123"/>
      <c r="G1346" s="1123"/>
      <c r="H1346" s="1123"/>
      <c r="I1346" s="1123"/>
      <c r="J1346" s="1123"/>
      <c r="K1346" s="1123"/>
      <c r="L1346" s="1123"/>
      <c r="M1346" s="1123"/>
      <c r="N1346" s="1123"/>
      <c r="V1346" s="1224"/>
    </row>
    <row r="1347" spans="1:22">
      <c r="A1347" s="1289"/>
      <c r="B1347" s="1123"/>
      <c r="C1347" s="1123"/>
      <c r="D1347" s="1123"/>
      <c r="E1347" s="1123"/>
      <c r="G1347" s="1123"/>
      <c r="H1347" s="1123"/>
      <c r="I1347" s="1123"/>
      <c r="J1347" s="1123"/>
      <c r="K1347" s="1123"/>
      <c r="L1347" s="1123"/>
      <c r="M1347" s="1123"/>
      <c r="N1347" s="1123"/>
      <c r="V1347" s="1224"/>
    </row>
    <row r="1348" spans="1:22">
      <c r="A1348" s="1289"/>
      <c r="B1348" s="1123"/>
      <c r="C1348" s="1123"/>
      <c r="D1348" s="1123"/>
      <c r="E1348" s="1123"/>
      <c r="G1348" s="1123"/>
      <c r="H1348" s="1123"/>
      <c r="I1348" s="1123"/>
      <c r="J1348" s="1123"/>
      <c r="K1348" s="1123"/>
      <c r="L1348" s="1123"/>
      <c r="M1348" s="1123"/>
      <c r="N1348" s="1123"/>
      <c r="V1348" s="1224"/>
    </row>
    <row r="1349" spans="1:22">
      <c r="A1349" s="1289"/>
      <c r="B1349" s="1123"/>
      <c r="C1349" s="1123"/>
      <c r="D1349" s="1123"/>
      <c r="E1349" s="1123"/>
      <c r="G1349" s="1123"/>
      <c r="H1349" s="1123"/>
      <c r="I1349" s="1123"/>
      <c r="J1349" s="1123"/>
      <c r="K1349" s="1123"/>
      <c r="L1349" s="1123"/>
      <c r="M1349" s="1123"/>
      <c r="N1349" s="1123"/>
      <c r="V1349" s="1224"/>
    </row>
    <row r="1350" spans="1:22">
      <c r="A1350" s="1289"/>
      <c r="B1350" s="1123"/>
      <c r="C1350" s="1123"/>
      <c r="D1350" s="1123"/>
      <c r="E1350" s="1123"/>
      <c r="G1350" s="1123"/>
      <c r="H1350" s="1123"/>
      <c r="I1350" s="1123"/>
      <c r="J1350" s="1123"/>
      <c r="K1350" s="1123"/>
      <c r="L1350" s="1123"/>
      <c r="M1350" s="1123"/>
      <c r="N1350" s="1123"/>
      <c r="V1350" s="1224"/>
    </row>
    <row r="1351" spans="1:22">
      <c r="A1351" s="1289"/>
      <c r="B1351" s="1123"/>
      <c r="C1351" s="1123"/>
      <c r="D1351" s="1123"/>
      <c r="E1351" s="1123"/>
      <c r="G1351" s="1123"/>
      <c r="H1351" s="1123"/>
      <c r="I1351" s="1123"/>
      <c r="J1351" s="1123"/>
      <c r="K1351" s="1123"/>
      <c r="L1351" s="1123"/>
      <c r="M1351" s="1123"/>
      <c r="N1351" s="1123"/>
      <c r="V1351" s="1224"/>
    </row>
    <row r="1352" spans="1:22">
      <c r="A1352" s="1289"/>
      <c r="B1352" s="1123"/>
      <c r="C1352" s="1123"/>
      <c r="D1352" s="1123"/>
      <c r="E1352" s="1123"/>
      <c r="G1352" s="1123"/>
      <c r="H1352" s="1123"/>
      <c r="I1352" s="1123"/>
      <c r="J1352" s="1123"/>
      <c r="K1352" s="1123"/>
      <c r="L1352" s="1123"/>
      <c r="M1352" s="1123"/>
      <c r="N1352" s="1123"/>
      <c r="V1352" s="1224"/>
    </row>
    <row r="1353" spans="1:22">
      <c r="A1353" s="1289"/>
      <c r="B1353" s="1123"/>
      <c r="C1353" s="1123"/>
      <c r="D1353" s="1123"/>
      <c r="E1353" s="1123"/>
      <c r="G1353" s="1123"/>
      <c r="H1353" s="1123"/>
      <c r="I1353" s="1123"/>
      <c r="J1353" s="1123"/>
      <c r="K1353" s="1123"/>
      <c r="L1353" s="1123"/>
      <c r="M1353" s="1123"/>
      <c r="N1353" s="1123"/>
      <c r="V1353" s="1224"/>
    </row>
    <row r="1354" spans="1:22">
      <c r="A1354" s="1289"/>
      <c r="B1354" s="1123"/>
      <c r="C1354" s="1123"/>
      <c r="D1354" s="1123"/>
      <c r="E1354" s="1123"/>
      <c r="G1354" s="1123"/>
      <c r="H1354" s="1123"/>
      <c r="I1354" s="1123"/>
      <c r="J1354" s="1123"/>
      <c r="K1354" s="1123"/>
      <c r="L1354" s="1123"/>
      <c r="M1354" s="1123"/>
      <c r="N1354" s="1123"/>
      <c r="V1354" s="1224"/>
    </row>
    <row r="1355" spans="1:22">
      <c r="A1355" s="1289"/>
      <c r="B1355" s="1123"/>
      <c r="C1355" s="1123"/>
      <c r="D1355" s="1123"/>
      <c r="E1355" s="1123"/>
      <c r="G1355" s="1123"/>
      <c r="H1355" s="1123"/>
      <c r="I1355" s="1123"/>
      <c r="J1355" s="1123"/>
      <c r="K1355" s="1123"/>
      <c r="L1355" s="1123"/>
      <c r="M1355" s="1123"/>
      <c r="N1355" s="1123"/>
      <c r="V1355" s="1224"/>
    </row>
    <row r="1356" spans="1:22">
      <c r="A1356" s="1289"/>
      <c r="B1356" s="1123"/>
      <c r="C1356" s="1123"/>
      <c r="D1356" s="1123"/>
      <c r="E1356" s="1123"/>
      <c r="G1356" s="1123"/>
      <c r="H1356" s="1123"/>
      <c r="I1356" s="1123"/>
      <c r="J1356" s="1123"/>
      <c r="K1356" s="1123"/>
      <c r="L1356" s="1123"/>
      <c r="M1356" s="1123"/>
      <c r="N1356" s="1123"/>
      <c r="V1356" s="1224"/>
    </row>
    <row r="1357" spans="1:22">
      <c r="A1357" s="1289"/>
      <c r="B1357" s="1123"/>
      <c r="C1357" s="1123"/>
      <c r="D1357" s="1123"/>
      <c r="E1357" s="1123"/>
      <c r="G1357" s="1123"/>
      <c r="H1357" s="1123"/>
      <c r="I1357" s="1123"/>
      <c r="J1357" s="1123"/>
      <c r="K1357" s="1123"/>
      <c r="L1357" s="1123"/>
      <c r="M1357" s="1123"/>
      <c r="N1357" s="1123"/>
      <c r="V1357" s="1224"/>
    </row>
    <row r="1358" spans="1:22">
      <c r="A1358" s="1289"/>
      <c r="B1358" s="1123"/>
      <c r="C1358" s="1123"/>
      <c r="D1358" s="1123"/>
      <c r="E1358" s="1123"/>
      <c r="G1358" s="1123"/>
      <c r="H1358" s="1123"/>
      <c r="I1358" s="1123"/>
      <c r="J1358" s="1123"/>
      <c r="K1358" s="1123"/>
      <c r="L1358" s="1123"/>
      <c r="M1358" s="1123"/>
      <c r="N1358" s="1123"/>
      <c r="V1358" s="1224"/>
    </row>
    <row r="1359" spans="1:22">
      <c r="A1359" s="1289"/>
      <c r="B1359" s="1123"/>
      <c r="C1359" s="1123"/>
      <c r="D1359" s="1123"/>
      <c r="E1359" s="1123"/>
      <c r="G1359" s="1123"/>
      <c r="H1359" s="1123"/>
      <c r="I1359" s="1123"/>
      <c r="J1359" s="1123"/>
      <c r="K1359" s="1123"/>
      <c r="L1359" s="1123"/>
      <c r="M1359" s="1123"/>
      <c r="N1359" s="1123"/>
      <c r="V1359" s="1224"/>
    </row>
    <row r="1360" spans="1:22">
      <c r="A1360" s="1289"/>
      <c r="B1360" s="1123"/>
      <c r="C1360" s="1123"/>
      <c r="D1360" s="1123"/>
      <c r="E1360" s="1123"/>
      <c r="G1360" s="1123"/>
      <c r="H1360" s="1123"/>
      <c r="I1360" s="1123"/>
      <c r="J1360" s="1123"/>
      <c r="K1360" s="1123"/>
      <c r="L1360" s="1123"/>
      <c r="M1360" s="1123"/>
      <c r="N1360" s="1123"/>
      <c r="V1360" s="1224"/>
    </row>
    <row r="1361" spans="1:22">
      <c r="A1361" s="1289"/>
      <c r="B1361" s="1123"/>
      <c r="C1361" s="1123"/>
      <c r="D1361" s="1123"/>
      <c r="E1361" s="1123"/>
      <c r="G1361" s="1123"/>
      <c r="H1361" s="1123"/>
      <c r="I1361" s="1123"/>
      <c r="J1361" s="1123"/>
      <c r="K1361" s="1123"/>
      <c r="L1361" s="1123"/>
      <c r="M1361" s="1123"/>
      <c r="N1361" s="1123"/>
      <c r="V1361" s="1224"/>
    </row>
    <row r="1362" spans="1:22">
      <c r="A1362" s="1289"/>
      <c r="B1362" s="1123"/>
      <c r="C1362" s="1123"/>
      <c r="D1362" s="1123"/>
      <c r="E1362" s="1123"/>
      <c r="G1362" s="1123"/>
      <c r="H1362" s="1123"/>
      <c r="I1362" s="1123"/>
      <c r="J1362" s="1123"/>
      <c r="K1362" s="1123"/>
      <c r="L1362" s="1123"/>
      <c r="M1362" s="1123"/>
      <c r="N1362" s="1123"/>
      <c r="V1362" s="1224"/>
    </row>
    <row r="1363" spans="1:22">
      <c r="A1363" s="1289"/>
      <c r="B1363" s="1123"/>
      <c r="C1363" s="1123"/>
      <c r="D1363" s="1123"/>
      <c r="E1363" s="1123"/>
      <c r="G1363" s="1123"/>
      <c r="H1363" s="1123"/>
      <c r="I1363" s="1123"/>
      <c r="J1363" s="1123"/>
      <c r="K1363" s="1123"/>
      <c r="L1363" s="1123"/>
      <c r="M1363" s="1123"/>
      <c r="N1363" s="1123"/>
      <c r="V1363" s="1224"/>
    </row>
    <row r="1364" spans="1:22">
      <c r="A1364" s="1289"/>
      <c r="B1364" s="1123"/>
      <c r="C1364" s="1123"/>
      <c r="D1364" s="1123"/>
      <c r="E1364" s="1123"/>
      <c r="G1364" s="1123"/>
      <c r="H1364" s="1123"/>
      <c r="I1364" s="1123"/>
      <c r="J1364" s="1123"/>
      <c r="K1364" s="1123"/>
      <c r="L1364" s="1123"/>
      <c r="M1364" s="1123"/>
      <c r="N1364" s="1123"/>
      <c r="V1364" s="1224"/>
    </row>
    <row r="1365" spans="1:22">
      <c r="A1365" s="1289"/>
      <c r="B1365" s="1123"/>
      <c r="C1365" s="1123"/>
      <c r="D1365" s="1123"/>
      <c r="E1365" s="1123"/>
      <c r="G1365" s="1123"/>
      <c r="H1365" s="1123"/>
      <c r="I1365" s="1123"/>
      <c r="J1365" s="1123"/>
      <c r="K1365" s="1123"/>
      <c r="L1365" s="1123"/>
      <c r="M1365" s="1123"/>
      <c r="N1365" s="1123"/>
      <c r="V1365" s="1224"/>
    </row>
    <row r="1366" spans="1:22">
      <c r="A1366" s="1289"/>
      <c r="B1366" s="1123"/>
      <c r="C1366" s="1123"/>
      <c r="D1366" s="1123"/>
      <c r="E1366" s="1123"/>
      <c r="G1366" s="1123"/>
      <c r="H1366" s="1123"/>
      <c r="I1366" s="1123"/>
      <c r="J1366" s="1123"/>
      <c r="K1366" s="1123"/>
      <c r="L1366" s="1123"/>
      <c r="M1366" s="1123"/>
      <c r="N1366" s="1123"/>
      <c r="V1366" s="1224"/>
    </row>
    <row r="1367" spans="1:22">
      <c r="A1367" s="1289"/>
      <c r="B1367" s="1123"/>
      <c r="C1367" s="1123"/>
      <c r="D1367" s="1123"/>
      <c r="E1367" s="1123"/>
      <c r="G1367" s="1123"/>
      <c r="H1367" s="1123"/>
      <c r="I1367" s="1123"/>
      <c r="J1367" s="1123"/>
      <c r="K1367" s="1123"/>
      <c r="L1367" s="1123"/>
      <c r="M1367" s="1123"/>
      <c r="N1367" s="1123"/>
      <c r="V1367" s="1224"/>
    </row>
    <row r="1368" spans="1:22">
      <c r="A1368" s="1289"/>
      <c r="B1368" s="1123"/>
      <c r="C1368" s="1123"/>
      <c r="D1368" s="1123"/>
      <c r="E1368" s="1123"/>
      <c r="G1368" s="1123"/>
      <c r="H1368" s="1123"/>
      <c r="I1368" s="1123"/>
      <c r="J1368" s="1123"/>
      <c r="K1368" s="1123"/>
      <c r="L1368" s="1123"/>
      <c r="M1368" s="1123"/>
      <c r="N1368" s="1123"/>
      <c r="V1368" s="1224"/>
    </row>
    <row r="1369" spans="1:22">
      <c r="A1369" s="1289"/>
      <c r="B1369" s="1123"/>
      <c r="C1369" s="1123"/>
      <c r="D1369" s="1123"/>
      <c r="E1369" s="1123"/>
      <c r="G1369" s="1123"/>
      <c r="H1369" s="1123"/>
      <c r="I1369" s="1123"/>
      <c r="J1369" s="1123"/>
      <c r="K1369" s="1123"/>
      <c r="L1369" s="1123"/>
      <c r="M1369" s="1123"/>
      <c r="N1369" s="1123"/>
      <c r="V1369" s="1224"/>
    </row>
    <row r="1370" spans="1:22">
      <c r="A1370" s="1289"/>
      <c r="B1370" s="1123"/>
      <c r="C1370" s="1123"/>
      <c r="D1370" s="1123"/>
      <c r="E1370" s="1123"/>
      <c r="G1370" s="1123"/>
      <c r="H1370" s="1123"/>
      <c r="I1370" s="1123"/>
      <c r="J1370" s="1123"/>
      <c r="K1370" s="1123"/>
      <c r="L1370" s="1123"/>
      <c r="M1370" s="1123"/>
      <c r="N1370" s="1123"/>
      <c r="V1370" s="1224"/>
    </row>
    <row r="1371" spans="1:22">
      <c r="A1371" s="1289"/>
      <c r="B1371" s="1123"/>
      <c r="C1371" s="1123"/>
      <c r="D1371" s="1123"/>
      <c r="E1371" s="1123"/>
      <c r="G1371" s="1123"/>
      <c r="H1371" s="1123"/>
      <c r="I1371" s="1123"/>
      <c r="J1371" s="1123"/>
      <c r="K1371" s="1123"/>
      <c r="L1371" s="1123"/>
      <c r="M1371" s="1123"/>
      <c r="N1371" s="1123"/>
      <c r="V1371" s="1224"/>
    </row>
    <row r="1372" spans="1:22">
      <c r="A1372" s="1289"/>
      <c r="B1372" s="1123"/>
      <c r="C1372" s="1123"/>
      <c r="D1372" s="1123"/>
      <c r="E1372" s="1123"/>
      <c r="G1372" s="1123"/>
      <c r="H1372" s="1123"/>
      <c r="I1372" s="1123"/>
      <c r="J1372" s="1123"/>
      <c r="K1372" s="1123"/>
      <c r="L1372" s="1123"/>
      <c r="M1372" s="1123"/>
      <c r="N1372" s="1123"/>
      <c r="V1372" s="1224"/>
    </row>
    <row r="1373" spans="1:22">
      <c r="A1373" s="1289"/>
      <c r="B1373" s="1123"/>
      <c r="C1373" s="1123"/>
      <c r="D1373" s="1123"/>
      <c r="E1373" s="1123"/>
      <c r="G1373" s="1123"/>
      <c r="H1373" s="1123"/>
      <c r="I1373" s="1123"/>
      <c r="J1373" s="1123"/>
      <c r="K1373" s="1123"/>
      <c r="L1373" s="1123"/>
      <c r="M1373" s="1123"/>
      <c r="N1373" s="1123"/>
      <c r="V1373" s="1224"/>
    </row>
    <row r="1374" spans="1:22">
      <c r="A1374" s="1289"/>
      <c r="B1374" s="1123"/>
      <c r="C1374" s="1123"/>
      <c r="D1374" s="1123"/>
      <c r="E1374" s="1123"/>
      <c r="G1374" s="1123"/>
      <c r="H1374" s="1123"/>
      <c r="I1374" s="1123"/>
      <c r="J1374" s="1123"/>
      <c r="K1374" s="1123"/>
      <c r="L1374" s="1123"/>
      <c r="M1374" s="1123"/>
      <c r="N1374" s="1123"/>
      <c r="V1374" s="1224"/>
    </row>
    <row r="1375" spans="1:22">
      <c r="A1375" s="1289"/>
      <c r="B1375" s="1123"/>
      <c r="C1375" s="1123"/>
      <c r="D1375" s="1123"/>
      <c r="E1375" s="1123"/>
      <c r="G1375" s="1123"/>
      <c r="H1375" s="1123"/>
      <c r="I1375" s="1123"/>
      <c r="J1375" s="1123"/>
      <c r="K1375" s="1123"/>
      <c r="L1375" s="1123"/>
      <c r="M1375" s="1123"/>
      <c r="N1375" s="1123"/>
      <c r="V1375" s="1224"/>
    </row>
    <row r="1376" spans="1:22">
      <c r="A1376" s="1289"/>
      <c r="B1376" s="1123"/>
      <c r="C1376" s="1123"/>
      <c r="D1376" s="1123"/>
      <c r="E1376" s="1123"/>
      <c r="G1376" s="1123"/>
      <c r="H1376" s="1123"/>
      <c r="I1376" s="1123"/>
      <c r="J1376" s="1123"/>
      <c r="K1376" s="1123"/>
      <c r="L1376" s="1123"/>
      <c r="M1376" s="1123"/>
      <c r="N1376" s="1123"/>
      <c r="V1376" s="1224"/>
    </row>
    <row r="1377" spans="1:22">
      <c r="A1377" s="1289"/>
      <c r="B1377" s="1123"/>
      <c r="C1377" s="1123"/>
      <c r="D1377" s="1123"/>
      <c r="E1377" s="1123"/>
      <c r="G1377" s="1123"/>
      <c r="H1377" s="1123"/>
      <c r="I1377" s="1123"/>
      <c r="J1377" s="1123"/>
      <c r="K1377" s="1123"/>
      <c r="L1377" s="1123"/>
      <c r="M1377" s="1123"/>
      <c r="N1377" s="1123"/>
      <c r="V1377" s="1224"/>
    </row>
    <row r="1378" spans="1:22">
      <c r="A1378" s="1289"/>
      <c r="B1378" s="1123"/>
      <c r="C1378" s="1123"/>
      <c r="D1378" s="1123"/>
      <c r="E1378" s="1123"/>
      <c r="G1378" s="1123"/>
      <c r="H1378" s="1123"/>
      <c r="I1378" s="1123"/>
      <c r="J1378" s="1123"/>
      <c r="K1378" s="1123"/>
      <c r="L1378" s="1123"/>
      <c r="M1378" s="1123"/>
      <c r="N1378" s="1123"/>
      <c r="V1378" s="1224"/>
    </row>
    <row r="1379" spans="1:22">
      <c r="A1379" s="1289"/>
      <c r="B1379" s="1123"/>
      <c r="C1379" s="1123"/>
      <c r="D1379" s="1123"/>
      <c r="E1379" s="1123"/>
      <c r="G1379" s="1123"/>
      <c r="H1379" s="1123"/>
      <c r="I1379" s="1123"/>
      <c r="J1379" s="1123"/>
      <c r="K1379" s="1123"/>
      <c r="L1379" s="1123"/>
      <c r="M1379" s="1123"/>
      <c r="N1379" s="1123"/>
      <c r="V1379" s="1224"/>
    </row>
    <row r="1380" spans="1:22">
      <c r="A1380" s="1289"/>
      <c r="B1380" s="1123"/>
      <c r="C1380" s="1123"/>
      <c r="D1380" s="1123"/>
      <c r="E1380" s="1123"/>
      <c r="G1380" s="1123"/>
      <c r="H1380" s="1123"/>
      <c r="I1380" s="1123"/>
      <c r="J1380" s="1123"/>
      <c r="K1380" s="1123"/>
      <c r="L1380" s="1123"/>
      <c r="M1380" s="1123"/>
      <c r="N1380" s="1123"/>
      <c r="V1380" s="1224"/>
    </row>
    <row r="1381" spans="1:22">
      <c r="A1381" s="1289"/>
      <c r="B1381" s="1123"/>
      <c r="C1381" s="1123"/>
      <c r="D1381" s="1123"/>
      <c r="E1381" s="1123"/>
      <c r="G1381" s="1123"/>
      <c r="H1381" s="1123"/>
      <c r="I1381" s="1123"/>
      <c r="J1381" s="1123"/>
      <c r="K1381" s="1123"/>
      <c r="L1381" s="1123"/>
      <c r="M1381" s="1123"/>
      <c r="N1381" s="1123"/>
      <c r="V1381" s="1224"/>
    </row>
    <row r="1382" spans="1:22">
      <c r="A1382" s="1289"/>
      <c r="B1382" s="1123"/>
      <c r="C1382" s="1123"/>
      <c r="D1382" s="1123"/>
      <c r="E1382" s="1123"/>
      <c r="G1382" s="1123"/>
      <c r="H1382" s="1123"/>
      <c r="I1382" s="1123"/>
      <c r="J1382" s="1123"/>
      <c r="K1382" s="1123"/>
      <c r="L1382" s="1123"/>
      <c r="M1382" s="1123"/>
      <c r="N1382" s="1123"/>
      <c r="V1382" s="1224"/>
    </row>
    <row r="1383" spans="1:22">
      <c r="A1383" s="1289"/>
      <c r="B1383" s="1123"/>
      <c r="C1383" s="1123"/>
      <c r="D1383" s="1123"/>
      <c r="E1383" s="1123"/>
      <c r="G1383" s="1123"/>
      <c r="H1383" s="1123"/>
      <c r="I1383" s="1123"/>
      <c r="J1383" s="1123"/>
      <c r="K1383" s="1123"/>
      <c r="L1383" s="1123"/>
      <c r="M1383" s="1123"/>
      <c r="N1383" s="1123"/>
      <c r="V1383" s="1224"/>
    </row>
    <row r="1384" spans="1:22">
      <c r="A1384" s="1289"/>
      <c r="B1384" s="1123"/>
      <c r="C1384" s="1123"/>
      <c r="D1384" s="1123"/>
      <c r="E1384" s="1123"/>
      <c r="G1384" s="1123"/>
      <c r="H1384" s="1123"/>
      <c r="I1384" s="1123"/>
      <c r="J1384" s="1123"/>
      <c r="K1384" s="1123"/>
      <c r="L1384" s="1123"/>
      <c r="M1384" s="1123"/>
      <c r="N1384" s="1123"/>
      <c r="V1384" s="1224"/>
    </row>
    <row r="1385" spans="1:22">
      <c r="A1385" s="1289"/>
      <c r="B1385" s="1123"/>
      <c r="C1385" s="1123"/>
      <c r="D1385" s="1123"/>
      <c r="E1385" s="1123"/>
      <c r="G1385" s="1123"/>
      <c r="H1385" s="1123"/>
      <c r="I1385" s="1123"/>
      <c r="J1385" s="1123"/>
      <c r="K1385" s="1123"/>
      <c r="L1385" s="1123"/>
      <c r="M1385" s="1123"/>
      <c r="N1385" s="1123"/>
      <c r="V1385" s="1224"/>
    </row>
    <row r="1386" spans="1:22">
      <c r="A1386" s="1289"/>
      <c r="B1386" s="1123"/>
      <c r="C1386" s="1123"/>
      <c r="D1386" s="1123"/>
      <c r="E1386" s="1123"/>
      <c r="G1386" s="1123"/>
      <c r="H1386" s="1123"/>
      <c r="I1386" s="1123"/>
      <c r="J1386" s="1123"/>
      <c r="K1386" s="1123"/>
      <c r="L1386" s="1123"/>
      <c r="M1386" s="1123"/>
      <c r="N1386" s="1123"/>
      <c r="V1386" s="1224"/>
    </row>
    <row r="1387" spans="1:22">
      <c r="A1387" s="1289"/>
      <c r="B1387" s="1123"/>
      <c r="C1387" s="1123"/>
      <c r="D1387" s="1123"/>
      <c r="E1387" s="1123"/>
      <c r="G1387" s="1123"/>
      <c r="H1387" s="1123"/>
      <c r="I1387" s="1123"/>
      <c r="J1387" s="1123"/>
      <c r="K1387" s="1123"/>
      <c r="L1387" s="1123"/>
      <c r="M1387" s="1123"/>
      <c r="N1387" s="1123"/>
      <c r="V1387" s="1224"/>
    </row>
    <row r="1388" spans="1:22">
      <c r="A1388" s="1289"/>
      <c r="B1388" s="1123"/>
      <c r="C1388" s="1123"/>
      <c r="D1388" s="1123"/>
      <c r="E1388" s="1123"/>
      <c r="G1388" s="1123"/>
      <c r="H1388" s="1123"/>
      <c r="I1388" s="1123"/>
      <c r="J1388" s="1123"/>
      <c r="K1388" s="1123"/>
      <c r="L1388" s="1123"/>
      <c r="M1388" s="1123"/>
      <c r="N1388" s="1123"/>
      <c r="V1388" s="1224"/>
    </row>
    <row r="1389" spans="1:22">
      <c r="A1389" s="1289"/>
      <c r="B1389" s="1123"/>
      <c r="C1389" s="1123"/>
      <c r="D1389" s="1123"/>
      <c r="E1389" s="1123"/>
      <c r="G1389" s="1123"/>
      <c r="H1389" s="1123"/>
      <c r="I1389" s="1123"/>
      <c r="J1389" s="1123"/>
      <c r="K1389" s="1123"/>
      <c r="L1389" s="1123"/>
      <c r="M1389" s="1123"/>
      <c r="N1389" s="1123"/>
      <c r="V1389" s="1224"/>
    </row>
    <row r="1390" spans="1:22">
      <c r="A1390" s="1289"/>
      <c r="B1390" s="1123"/>
      <c r="C1390" s="1123"/>
      <c r="D1390" s="1123"/>
      <c r="E1390" s="1123"/>
      <c r="G1390" s="1123"/>
      <c r="H1390" s="1123"/>
      <c r="I1390" s="1123"/>
      <c r="J1390" s="1123"/>
      <c r="K1390" s="1123"/>
      <c r="L1390" s="1123"/>
      <c r="M1390" s="1123"/>
      <c r="N1390" s="1123"/>
      <c r="V1390" s="1224"/>
    </row>
    <row r="1391" spans="1:22">
      <c r="A1391" s="1289"/>
      <c r="B1391" s="1123"/>
      <c r="C1391" s="1123"/>
      <c r="D1391" s="1123"/>
      <c r="E1391" s="1123"/>
      <c r="G1391" s="1123"/>
      <c r="H1391" s="1123"/>
      <c r="I1391" s="1123"/>
      <c r="J1391" s="1123"/>
      <c r="K1391" s="1123"/>
      <c r="L1391" s="1123"/>
      <c r="M1391" s="1123"/>
      <c r="N1391" s="1123"/>
      <c r="V1391" s="1224"/>
    </row>
    <row r="1392" spans="1:22">
      <c r="A1392" s="1289"/>
      <c r="B1392" s="1123"/>
      <c r="C1392" s="1123"/>
      <c r="D1392" s="1123"/>
      <c r="E1392" s="1123"/>
      <c r="G1392" s="1123"/>
      <c r="H1392" s="1123"/>
      <c r="I1392" s="1123"/>
      <c r="J1392" s="1123"/>
      <c r="K1392" s="1123"/>
      <c r="L1392" s="1123"/>
      <c r="M1392" s="1123"/>
      <c r="N1392" s="1123"/>
      <c r="V1392" s="1224"/>
    </row>
    <row r="1393" spans="1:22">
      <c r="A1393" s="1289"/>
      <c r="B1393" s="1123"/>
      <c r="C1393" s="1123"/>
      <c r="D1393" s="1123"/>
      <c r="E1393" s="1123"/>
      <c r="G1393" s="1123"/>
      <c r="H1393" s="1123"/>
      <c r="I1393" s="1123"/>
      <c r="J1393" s="1123"/>
      <c r="K1393" s="1123"/>
      <c r="L1393" s="1123"/>
      <c r="M1393" s="1123"/>
      <c r="N1393" s="1123"/>
      <c r="V1393" s="1224"/>
    </row>
    <row r="1394" spans="1:22">
      <c r="A1394" s="1289"/>
      <c r="B1394" s="1123"/>
      <c r="C1394" s="1123"/>
      <c r="D1394" s="1123"/>
      <c r="E1394" s="1123"/>
      <c r="G1394" s="1123"/>
      <c r="H1394" s="1123"/>
      <c r="I1394" s="1123"/>
      <c r="J1394" s="1123"/>
      <c r="K1394" s="1123"/>
      <c r="L1394" s="1123"/>
      <c r="M1394" s="1123"/>
      <c r="N1394" s="1123"/>
      <c r="V1394" s="1224"/>
    </row>
    <row r="1395" spans="1:22">
      <c r="A1395" s="1289"/>
      <c r="B1395" s="1123"/>
      <c r="C1395" s="1123"/>
      <c r="D1395" s="1123"/>
      <c r="E1395" s="1123"/>
      <c r="G1395" s="1123"/>
      <c r="H1395" s="1123"/>
      <c r="I1395" s="1123"/>
      <c r="J1395" s="1123"/>
      <c r="K1395" s="1123"/>
      <c r="L1395" s="1123"/>
      <c r="M1395" s="1123"/>
      <c r="N1395" s="1123"/>
      <c r="V1395" s="1224"/>
    </row>
    <row r="1396" spans="1:22">
      <c r="A1396" s="1289"/>
      <c r="B1396" s="1123"/>
      <c r="C1396" s="1123"/>
      <c r="D1396" s="1123"/>
      <c r="E1396" s="1123"/>
      <c r="G1396" s="1123"/>
      <c r="H1396" s="1123"/>
      <c r="I1396" s="1123"/>
      <c r="J1396" s="1123"/>
      <c r="K1396" s="1123"/>
      <c r="L1396" s="1123"/>
      <c r="M1396" s="1123"/>
      <c r="N1396" s="1123"/>
      <c r="V1396" s="1224"/>
    </row>
    <row r="1397" spans="1:22">
      <c r="A1397" s="1289"/>
      <c r="B1397" s="1123"/>
      <c r="C1397" s="1123"/>
      <c r="D1397" s="1123"/>
      <c r="E1397" s="1123"/>
      <c r="G1397" s="1123"/>
      <c r="H1397" s="1123"/>
      <c r="I1397" s="1123"/>
      <c r="J1397" s="1123"/>
      <c r="K1397" s="1123"/>
      <c r="L1397" s="1123"/>
      <c r="M1397" s="1123"/>
      <c r="N1397" s="1123"/>
      <c r="V1397" s="1224"/>
    </row>
    <row r="1398" spans="1:22">
      <c r="A1398" s="1289"/>
      <c r="B1398" s="1123"/>
      <c r="C1398" s="1123"/>
      <c r="D1398" s="1123"/>
      <c r="E1398" s="1123"/>
      <c r="G1398" s="1123"/>
      <c r="H1398" s="1123"/>
      <c r="I1398" s="1123"/>
      <c r="J1398" s="1123"/>
      <c r="K1398" s="1123"/>
      <c r="L1398" s="1123"/>
      <c r="M1398" s="1123"/>
      <c r="N1398" s="1123"/>
      <c r="V1398" s="1224"/>
    </row>
    <row r="1399" spans="1:22">
      <c r="A1399" s="1289"/>
      <c r="B1399" s="1123"/>
      <c r="C1399" s="1123"/>
      <c r="D1399" s="1123"/>
      <c r="E1399" s="1123"/>
      <c r="G1399" s="1123"/>
      <c r="H1399" s="1123"/>
      <c r="I1399" s="1123"/>
      <c r="J1399" s="1123"/>
      <c r="K1399" s="1123"/>
      <c r="L1399" s="1123"/>
      <c r="M1399" s="1123"/>
      <c r="N1399" s="1123"/>
      <c r="V1399" s="1224"/>
    </row>
    <row r="1400" spans="1:22">
      <c r="A1400" s="1289"/>
      <c r="B1400" s="1123"/>
      <c r="C1400" s="1123"/>
      <c r="D1400" s="1123"/>
      <c r="E1400" s="1123"/>
      <c r="G1400" s="1123"/>
      <c r="H1400" s="1123"/>
      <c r="I1400" s="1123"/>
      <c r="J1400" s="1123"/>
      <c r="K1400" s="1123"/>
      <c r="L1400" s="1123"/>
      <c r="M1400" s="1123"/>
      <c r="N1400" s="1123"/>
      <c r="V1400" s="1224"/>
    </row>
    <row r="1401" spans="1:22">
      <c r="A1401" s="1289"/>
      <c r="B1401" s="1123"/>
      <c r="C1401" s="1123"/>
      <c r="D1401" s="1123"/>
      <c r="E1401" s="1123"/>
      <c r="G1401" s="1123"/>
      <c r="H1401" s="1123"/>
      <c r="I1401" s="1123"/>
      <c r="J1401" s="1123"/>
      <c r="K1401" s="1123"/>
      <c r="L1401" s="1123"/>
      <c r="M1401" s="1123"/>
      <c r="N1401" s="1123"/>
      <c r="V1401" s="1224"/>
    </row>
    <row r="1402" spans="1:22">
      <c r="A1402" s="1289"/>
      <c r="B1402" s="1123"/>
      <c r="C1402" s="1123"/>
      <c r="D1402" s="1123"/>
      <c r="E1402" s="1123"/>
      <c r="G1402" s="1123"/>
      <c r="H1402" s="1123"/>
      <c r="I1402" s="1123"/>
      <c r="J1402" s="1123"/>
      <c r="K1402" s="1123"/>
      <c r="L1402" s="1123"/>
      <c r="M1402" s="1123"/>
      <c r="N1402" s="1123"/>
      <c r="V1402" s="1224"/>
    </row>
    <row r="1403" spans="1:22">
      <c r="A1403" s="1289"/>
      <c r="B1403" s="1123"/>
      <c r="C1403" s="1123"/>
      <c r="D1403" s="1123"/>
      <c r="E1403" s="1123"/>
      <c r="G1403" s="1123"/>
      <c r="H1403" s="1123"/>
      <c r="I1403" s="1123"/>
      <c r="J1403" s="1123"/>
      <c r="K1403" s="1123"/>
      <c r="L1403" s="1123"/>
      <c r="M1403" s="1123"/>
      <c r="N1403" s="1123"/>
      <c r="V1403" s="1224"/>
    </row>
    <row r="1404" spans="1:22">
      <c r="A1404" s="1289"/>
      <c r="B1404" s="1123"/>
      <c r="C1404" s="1123"/>
      <c r="D1404" s="1123"/>
      <c r="E1404" s="1123"/>
      <c r="G1404" s="1123"/>
      <c r="H1404" s="1123"/>
      <c r="I1404" s="1123"/>
      <c r="J1404" s="1123"/>
      <c r="K1404" s="1123"/>
      <c r="L1404" s="1123"/>
      <c r="M1404" s="1123"/>
      <c r="N1404" s="1123"/>
      <c r="V1404" s="1224"/>
    </row>
    <row r="1405" spans="1:22">
      <c r="A1405" s="1289"/>
      <c r="B1405" s="1123"/>
      <c r="C1405" s="1123"/>
      <c r="D1405" s="1123"/>
      <c r="E1405" s="1123"/>
      <c r="G1405" s="1123"/>
      <c r="H1405" s="1123"/>
      <c r="I1405" s="1123"/>
      <c r="J1405" s="1123"/>
      <c r="K1405" s="1123"/>
      <c r="L1405" s="1123"/>
      <c r="M1405" s="1123"/>
      <c r="N1405" s="1123"/>
      <c r="V1405" s="1224"/>
    </row>
    <row r="1406" spans="1:22">
      <c r="A1406" s="1289"/>
      <c r="B1406" s="1123"/>
      <c r="C1406" s="1123"/>
      <c r="D1406" s="1123"/>
      <c r="E1406" s="1123"/>
      <c r="G1406" s="1123"/>
      <c r="H1406" s="1123"/>
      <c r="I1406" s="1123"/>
      <c r="J1406" s="1123"/>
      <c r="K1406" s="1123"/>
      <c r="L1406" s="1123"/>
      <c r="M1406" s="1123"/>
      <c r="N1406" s="1123"/>
      <c r="V1406" s="1224"/>
    </row>
    <row r="1407" spans="1:22">
      <c r="A1407" s="1289"/>
      <c r="B1407" s="1123"/>
      <c r="C1407" s="1123"/>
      <c r="D1407" s="1123"/>
      <c r="E1407" s="1123"/>
      <c r="G1407" s="1123"/>
      <c r="H1407" s="1123"/>
      <c r="I1407" s="1123"/>
      <c r="J1407" s="1123"/>
      <c r="K1407" s="1123"/>
      <c r="L1407" s="1123"/>
      <c r="M1407" s="1123"/>
      <c r="N1407" s="1123"/>
      <c r="V1407" s="1224"/>
    </row>
    <row r="1408" spans="1:22">
      <c r="A1408" s="1289"/>
      <c r="B1408" s="1123"/>
      <c r="C1408" s="1123"/>
      <c r="D1408" s="1123"/>
      <c r="E1408" s="1123"/>
      <c r="G1408" s="1123"/>
      <c r="H1408" s="1123"/>
      <c r="I1408" s="1123"/>
      <c r="J1408" s="1123"/>
      <c r="K1408" s="1123"/>
      <c r="L1408" s="1123"/>
      <c r="M1408" s="1123"/>
      <c r="N1408" s="1123"/>
      <c r="V1408" s="1224"/>
    </row>
    <row r="1409" spans="1:22">
      <c r="A1409" s="1289"/>
      <c r="B1409" s="1123"/>
      <c r="C1409" s="1123"/>
      <c r="D1409" s="1123"/>
      <c r="E1409" s="1123"/>
      <c r="G1409" s="1123"/>
      <c r="H1409" s="1123"/>
      <c r="I1409" s="1123"/>
      <c r="J1409" s="1123"/>
      <c r="K1409" s="1123"/>
      <c r="L1409" s="1123"/>
      <c r="M1409" s="1123"/>
      <c r="N1409" s="1123"/>
      <c r="V1409" s="1224"/>
    </row>
    <row r="1410" spans="1:22">
      <c r="A1410" s="1289"/>
      <c r="B1410" s="1123"/>
      <c r="C1410" s="1123"/>
      <c r="D1410" s="1123"/>
      <c r="E1410" s="1123"/>
      <c r="G1410" s="1123"/>
      <c r="H1410" s="1123"/>
      <c r="I1410" s="1123"/>
      <c r="J1410" s="1123"/>
      <c r="K1410" s="1123"/>
      <c r="L1410" s="1123"/>
      <c r="M1410" s="1123"/>
      <c r="N1410" s="1123"/>
      <c r="V1410" s="1224"/>
    </row>
    <row r="1411" spans="1:22">
      <c r="A1411" s="1289"/>
      <c r="B1411" s="1123"/>
      <c r="C1411" s="1123"/>
      <c r="D1411" s="1123"/>
      <c r="E1411" s="1123"/>
      <c r="G1411" s="1123"/>
      <c r="H1411" s="1123"/>
      <c r="I1411" s="1123"/>
      <c r="J1411" s="1123"/>
      <c r="K1411" s="1123"/>
      <c r="L1411" s="1123"/>
      <c r="M1411" s="1123"/>
      <c r="N1411" s="1123"/>
      <c r="V1411" s="1224"/>
    </row>
    <row r="1412" spans="1:22">
      <c r="A1412" s="1289"/>
      <c r="B1412" s="1123"/>
      <c r="C1412" s="1123"/>
      <c r="D1412" s="1123"/>
      <c r="E1412" s="1123"/>
      <c r="G1412" s="1123"/>
      <c r="H1412" s="1123"/>
      <c r="I1412" s="1123"/>
      <c r="J1412" s="1123"/>
      <c r="K1412" s="1123"/>
      <c r="L1412" s="1123"/>
      <c r="M1412" s="1123"/>
      <c r="N1412" s="1123"/>
      <c r="V1412" s="1224"/>
    </row>
    <row r="1413" spans="1:22">
      <c r="A1413" s="1289"/>
      <c r="B1413" s="1123"/>
      <c r="C1413" s="1123"/>
      <c r="D1413" s="1123"/>
      <c r="E1413" s="1123"/>
      <c r="G1413" s="1123"/>
      <c r="H1413" s="1123"/>
      <c r="I1413" s="1123"/>
      <c r="J1413" s="1123"/>
      <c r="K1413" s="1123"/>
      <c r="L1413" s="1123"/>
      <c r="M1413" s="1123"/>
      <c r="N1413" s="1123"/>
      <c r="V1413" s="1224"/>
    </row>
    <row r="1414" spans="1:22">
      <c r="A1414" s="1289"/>
      <c r="B1414" s="1123"/>
      <c r="C1414" s="1123"/>
      <c r="D1414" s="1123"/>
      <c r="E1414" s="1123"/>
      <c r="G1414" s="1123"/>
      <c r="H1414" s="1123"/>
      <c r="I1414" s="1123"/>
      <c r="J1414" s="1123"/>
      <c r="K1414" s="1123"/>
      <c r="L1414" s="1123"/>
      <c r="M1414" s="1123"/>
      <c r="N1414" s="1123"/>
      <c r="V1414" s="1224"/>
    </row>
    <row r="1415" spans="1:22">
      <c r="A1415" s="1289"/>
      <c r="B1415" s="1123"/>
      <c r="C1415" s="1123"/>
      <c r="D1415" s="1123"/>
      <c r="E1415" s="1123"/>
      <c r="G1415" s="1123"/>
      <c r="H1415" s="1123"/>
      <c r="I1415" s="1123"/>
      <c r="J1415" s="1123"/>
      <c r="K1415" s="1123"/>
      <c r="L1415" s="1123"/>
      <c r="M1415" s="1123"/>
      <c r="N1415" s="1123"/>
      <c r="V1415" s="1224"/>
    </row>
    <row r="1416" spans="1:22">
      <c r="A1416" s="1289"/>
      <c r="B1416" s="1123"/>
      <c r="C1416" s="1123"/>
      <c r="D1416" s="1123"/>
      <c r="E1416" s="1123"/>
      <c r="G1416" s="1123"/>
      <c r="H1416" s="1123"/>
      <c r="I1416" s="1123"/>
      <c r="J1416" s="1123"/>
      <c r="K1416" s="1123"/>
      <c r="L1416" s="1123"/>
      <c r="M1416" s="1123"/>
      <c r="N1416" s="1123"/>
      <c r="V1416" s="1224"/>
    </row>
    <row r="1417" spans="1:22">
      <c r="A1417" s="1289"/>
      <c r="B1417" s="1123"/>
      <c r="C1417" s="1123"/>
      <c r="D1417" s="1123"/>
      <c r="E1417" s="1123"/>
      <c r="G1417" s="1123"/>
      <c r="H1417" s="1123"/>
      <c r="I1417" s="1123"/>
      <c r="J1417" s="1123"/>
      <c r="K1417" s="1123"/>
      <c r="L1417" s="1123"/>
      <c r="M1417" s="1123"/>
      <c r="N1417" s="1123"/>
      <c r="V1417" s="1224"/>
    </row>
    <row r="1418" spans="1:22">
      <c r="A1418" s="1289"/>
      <c r="B1418" s="1123"/>
      <c r="C1418" s="1123"/>
      <c r="D1418" s="1123"/>
      <c r="E1418" s="1123"/>
      <c r="G1418" s="1123"/>
      <c r="H1418" s="1123"/>
      <c r="I1418" s="1123"/>
      <c r="J1418" s="1123"/>
      <c r="K1418" s="1123"/>
      <c r="L1418" s="1123"/>
      <c r="M1418" s="1123"/>
      <c r="N1418" s="1123"/>
      <c r="V1418" s="1224"/>
    </row>
    <row r="1419" spans="1:22">
      <c r="A1419" s="1289"/>
      <c r="B1419" s="1123"/>
      <c r="C1419" s="1123"/>
      <c r="D1419" s="1123"/>
      <c r="E1419" s="1123"/>
      <c r="G1419" s="1123"/>
      <c r="H1419" s="1123"/>
      <c r="I1419" s="1123"/>
      <c r="J1419" s="1123"/>
      <c r="K1419" s="1123"/>
      <c r="L1419" s="1123"/>
      <c r="M1419" s="1123"/>
      <c r="N1419" s="1123"/>
      <c r="V1419" s="1224"/>
    </row>
    <row r="1420" spans="1:22">
      <c r="A1420" s="1289"/>
      <c r="B1420" s="1123"/>
      <c r="C1420" s="1123"/>
      <c r="D1420" s="1123"/>
      <c r="E1420" s="1123"/>
      <c r="G1420" s="1123"/>
      <c r="H1420" s="1123"/>
      <c r="I1420" s="1123"/>
      <c r="J1420" s="1123"/>
      <c r="K1420" s="1123"/>
      <c r="L1420" s="1123"/>
      <c r="M1420" s="1123"/>
      <c r="N1420" s="1123"/>
      <c r="V1420" s="1224"/>
    </row>
    <row r="1421" spans="1:22">
      <c r="A1421" s="1289"/>
      <c r="B1421" s="1123"/>
      <c r="C1421" s="1123"/>
      <c r="D1421" s="1123"/>
      <c r="E1421" s="1123"/>
      <c r="G1421" s="1123"/>
      <c r="H1421" s="1123"/>
      <c r="I1421" s="1123"/>
      <c r="J1421" s="1123"/>
      <c r="K1421" s="1123"/>
      <c r="L1421" s="1123"/>
      <c r="M1421" s="1123"/>
      <c r="N1421" s="1123"/>
      <c r="V1421" s="1224"/>
    </row>
    <row r="1422" spans="1:22">
      <c r="A1422" s="1289"/>
      <c r="B1422" s="1123"/>
      <c r="C1422" s="1123"/>
      <c r="D1422" s="1123"/>
      <c r="E1422" s="1123"/>
      <c r="G1422" s="1123"/>
      <c r="H1422" s="1123"/>
      <c r="I1422" s="1123"/>
      <c r="J1422" s="1123"/>
      <c r="K1422" s="1123"/>
      <c r="L1422" s="1123"/>
      <c r="M1422" s="1123"/>
      <c r="N1422" s="1123"/>
      <c r="V1422" s="1224"/>
    </row>
    <row r="1423" spans="1:22">
      <c r="A1423" s="1289"/>
      <c r="B1423" s="1123"/>
      <c r="C1423" s="1123"/>
      <c r="D1423" s="1123"/>
      <c r="E1423" s="1123"/>
      <c r="G1423" s="1123"/>
      <c r="H1423" s="1123"/>
      <c r="I1423" s="1123"/>
      <c r="J1423" s="1123"/>
      <c r="K1423" s="1123"/>
      <c r="L1423" s="1123"/>
      <c r="M1423" s="1123"/>
      <c r="N1423" s="1123"/>
      <c r="V1423" s="1224"/>
    </row>
    <row r="1424" spans="1:22">
      <c r="A1424" s="1289"/>
      <c r="B1424" s="1123"/>
      <c r="C1424" s="1123"/>
      <c r="D1424" s="1123"/>
      <c r="E1424" s="1123"/>
      <c r="G1424" s="1123"/>
      <c r="H1424" s="1123"/>
      <c r="I1424" s="1123"/>
      <c r="J1424" s="1123"/>
      <c r="K1424" s="1123"/>
      <c r="L1424" s="1123"/>
      <c r="M1424" s="1123"/>
      <c r="N1424" s="1123"/>
      <c r="V1424" s="1224"/>
    </row>
    <row r="1425" spans="1:22">
      <c r="A1425" s="1289"/>
      <c r="B1425" s="1123"/>
      <c r="C1425" s="1123"/>
      <c r="D1425" s="1123"/>
      <c r="E1425" s="1123"/>
      <c r="G1425" s="1123"/>
      <c r="H1425" s="1123"/>
      <c r="I1425" s="1123"/>
      <c r="J1425" s="1123"/>
      <c r="K1425" s="1123"/>
      <c r="L1425" s="1123"/>
      <c r="M1425" s="1123"/>
      <c r="N1425" s="1123"/>
      <c r="V1425" s="1224"/>
    </row>
    <row r="1426" spans="1:22">
      <c r="A1426" s="1289"/>
      <c r="B1426" s="1123"/>
      <c r="C1426" s="1123"/>
      <c r="D1426" s="1123"/>
      <c r="E1426" s="1123"/>
      <c r="G1426" s="1123"/>
      <c r="H1426" s="1123"/>
      <c r="I1426" s="1123"/>
      <c r="J1426" s="1123"/>
      <c r="K1426" s="1123"/>
      <c r="L1426" s="1123"/>
      <c r="M1426" s="1123"/>
      <c r="N1426" s="1123"/>
      <c r="V1426" s="1224"/>
    </row>
    <row r="1427" spans="1:22">
      <c r="A1427" s="1289"/>
      <c r="B1427" s="1123"/>
      <c r="C1427" s="1123"/>
      <c r="D1427" s="1123"/>
      <c r="E1427" s="1123"/>
      <c r="G1427" s="1123"/>
      <c r="H1427" s="1123"/>
      <c r="I1427" s="1123"/>
      <c r="J1427" s="1123"/>
      <c r="K1427" s="1123"/>
      <c r="L1427" s="1123"/>
      <c r="M1427" s="1123"/>
      <c r="N1427" s="1123"/>
      <c r="V1427" s="1224"/>
    </row>
    <row r="1428" spans="1:22">
      <c r="A1428" s="1289"/>
      <c r="B1428" s="1123"/>
      <c r="C1428" s="1123"/>
      <c r="D1428" s="1123"/>
      <c r="E1428" s="1123"/>
      <c r="G1428" s="1123"/>
      <c r="H1428" s="1123"/>
      <c r="I1428" s="1123"/>
      <c r="J1428" s="1123"/>
      <c r="K1428" s="1123"/>
      <c r="L1428" s="1123"/>
      <c r="M1428" s="1123"/>
      <c r="N1428" s="1123"/>
      <c r="V1428" s="1224"/>
    </row>
    <row r="1429" spans="1:22">
      <c r="A1429" s="1289"/>
      <c r="B1429" s="1123"/>
      <c r="C1429" s="1123"/>
      <c r="D1429" s="1123"/>
      <c r="E1429" s="1123"/>
      <c r="G1429" s="1123"/>
      <c r="H1429" s="1123"/>
      <c r="I1429" s="1123"/>
      <c r="J1429" s="1123"/>
      <c r="K1429" s="1123"/>
      <c r="L1429" s="1123"/>
      <c r="M1429" s="1123"/>
      <c r="N1429" s="1123"/>
      <c r="V1429" s="1224"/>
    </row>
    <row r="1430" spans="1:22">
      <c r="A1430" s="1289"/>
      <c r="B1430" s="1123"/>
      <c r="C1430" s="1123"/>
      <c r="D1430" s="1123"/>
      <c r="E1430" s="1123"/>
      <c r="G1430" s="1123"/>
      <c r="H1430" s="1123"/>
      <c r="I1430" s="1123"/>
      <c r="J1430" s="1123"/>
      <c r="K1430" s="1123"/>
      <c r="L1430" s="1123"/>
      <c r="M1430" s="1123"/>
      <c r="N1430" s="1123"/>
      <c r="V1430" s="1224"/>
    </row>
    <row r="1431" spans="1:22">
      <c r="A1431" s="1289"/>
      <c r="B1431" s="1123"/>
      <c r="C1431" s="1123"/>
      <c r="D1431" s="1123"/>
      <c r="E1431" s="1123"/>
      <c r="G1431" s="1123"/>
      <c r="H1431" s="1123"/>
      <c r="I1431" s="1123"/>
      <c r="J1431" s="1123"/>
      <c r="K1431" s="1123"/>
      <c r="L1431" s="1123"/>
      <c r="M1431" s="1123"/>
      <c r="N1431" s="1123"/>
      <c r="V1431" s="1224"/>
    </row>
    <row r="1432" spans="1:22">
      <c r="A1432" s="1289"/>
      <c r="B1432" s="1123"/>
      <c r="C1432" s="1123"/>
      <c r="D1432" s="1123"/>
      <c r="E1432" s="1123"/>
      <c r="G1432" s="1123"/>
      <c r="H1432" s="1123"/>
      <c r="I1432" s="1123"/>
      <c r="J1432" s="1123"/>
      <c r="K1432" s="1123"/>
      <c r="L1432" s="1123"/>
      <c r="M1432" s="1123"/>
      <c r="N1432" s="1123"/>
      <c r="V1432" s="1224"/>
    </row>
    <row r="1433" spans="1:22">
      <c r="A1433" s="1289"/>
      <c r="B1433" s="1123"/>
      <c r="C1433" s="1123"/>
      <c r="D1433" s="1123"/>
      <c r="E1433" s="1123"/>
      <c r="G1433" s="1123"/>
      <c r="H1433" s="1123"/>
      <c r="I1433" s="1123"/>
      <c r="J1433" s="1123"/>
      <c r="K1433" s="1123"/>
      <c r="L1433" s="1123"/>
      <c r="M1433" s="1123"/>
      <c r="N1433" s="1123"/>
      <c r="V1433" s="1224"/>
    </row>
    <row r="1434" spans="1:22">
      <c r="A1434" s="1289"/>
      <c r="B1434" s="1123"/>
      <c r="C1434" s="1123"/>
      <c r="D1434" s="1123"/>
      <c r="E1434" s="1123"/>
      <c r="G1434" s="1123"/>
      <c r="H1434" s="1123"/>
      <c r="I1434" s="1123"/>
      <c r="J1434" s="1123"/>
      <c r="K1434" s="1123"/>
      <c r="L1434" s="1123"/>
      <c r="M1434" s="1123"/>
      <c r="N1434" s="1123"/>
      <c r="V1434" s="1224"/>
    </row>
    <row r="1435" spans="1:22">
      <c r="A1435" s="1289"/>
      <c r="B1435" s="1123"/>
      <c r="C1435" s="1123"/>
      <c r="D1435" s="1123"/>
      <c r="E1435" s="1123"/>
      <c r="G1435" s="1123"/>
      <c r="H1435" s="1123"/>
      <c r="I1435" s="1123"/>
      <c r="J1435" s="1123"/>
      <c r="K1435" s="1123"/>
      <c r="L1435" s="1123"/>
      <c r="M1435" s="1123"/>
      <c r="N1435" s="1123"/>
      <c r="V1435" s="1224"/>
    </row>
    <row r="1436" spans="1:22">
      <c r="A1436" s="1289"/>
      <c r="B1436" s="1123"/>
      <c r="C1436" s="1123"/>
      <c r="D1436" s="1123"/>
      <c r="E1436" s="1123"/>
      <c r="G1436" s="1123"/>
      <c r="H1436" s="1123"/>
      <c r="I1436" s="1123"/>
      <c r="J1436" s="1123"/>
      <c r="K1436" s="1123"/>
      <c r="L1436" s="1123"/>
      <c r="M1436" s="1123"/>
      <c r="N1436" s="1123"/>
      <c r="V1436" s="1224"/>
    </row>
    <row r="1437" spans="1:22">
      <c r="A1437" s="1289"/>
      <c r="B1437" s="1123"/>
      <c r="C1437" s="1123"/>
      <c r="D1437" s="1123"/>
      <c r="E1437" s="1123"/>
      <c r="G1437" s="1123"/>
      <c r="H1437" s="1123"/>
      <c r="I1437" s="1123"/>
      <c r="J1437" s="1123"/>
      <c r="K1437" s="1123"/>
      <c r="L1437" s="1123"/>
      <c r="M1437" s="1123"/>
      <c r="N1437" s="1123"/>
      <c r="V1437" s="1224"/>
    </row>
    <row r="1438" spans="1:22">
      <c r="A1438" s="1289"/>
      <c r="B1438" s="1123"/>
      <c r="C1438" s="1123"/>
      <c r="D1438" s="1123"/>
      <c r="E1438" s="1123"/>
      <c r="G1438" s="1123"/>
      <c r="H1438" s="1123"/>
      <c r="I1438" s="1123"/>
      <c r="J1438" s="1123"/>
      <c r="K1438" s="1123"/>
      <c r="L1438" s="1123"/>
      <c r="M1438" s="1123"/>
      <c r="N1438" s="1123"/>
      <c r="V1438" s="1224"/>
    </row>
    <row r="1439" spans="1:22">
      <c r="A1439" s="1289"/>
      <c r="B1439" s="1123"/>
      <c r="C1439" s="1123"/>
      <c r="D1439" s="1123"/>
      <c r="E1439" s="1123"/>
      <c r="G1439" s="1123"/>
      <c r="H1439" s="1123"/>
      <c r="I1439" s="1123"/>
      <c r="J1439" s="1123"/>
      <c r="K1439" s="1123"/>
      <c r="L1439" s="1123"/>
      <c r="M1439" s="1123"/>
      <c r="N1439" s="1123"/>
      <c r="V1439" s="1224"/>
    </row>
    <row r="1440" spans="1:22">
      <c r="A1440" s="1289"/>
      <c r="B1440" s="1123"/>
      <c r="C1440" s="1123"/>
      <c r="D1440" s="1123"/>
      <c r="E1440" s="1123"/>
      <c r="G1440" s="1123"/>
      <c r="H1440" s="1123"/>
      <c r="I1440" s="1123"/>
      <c r="J1440" s="1123"/>
      <c r="K1440" s="1123"/>
      <c r="L1440" s="1123"/>
      <c r="M1440" s="1123"/>
      <c r="N1440" s="1123"/>
      <c r="V1440" s="1224"/>
    </row>
    <row r="1441" spans="1:22">
      <c r="A1441" s="1289"/>
      <c r="B1441" s="1123"/>
      <c r="C1441" s="1123"/>
      <c r="D1441" s="1123"/>
      <c r="E1441" s="1123"/>
      <c r="G1441" s="1123"/>
      <c r="H1441" s="1123"/>
      <c r="I1441" s="1123"/>
      <c r="J1441" s="1123"/>
      <c r="K1441" s="1123"/>
      <c r="L1441" s="1123"/>
      <c r="M1441" s="1123"/>
      <c r="N1441" s="1123"/>
      <c r="V1441" s="1224"/>
    </row>
    <row r="1442" spans="1:22">
      <c r="A1442" s="1289"/>
      <c r="B1442" s="1123"/>
      <c r="C1442" s="1123"/>
      <c r="D1442" s="1123"/>
      <c r="E1442" s="1123"/>
      <c r="G1442" s="1123"/>
      <c r="H1442" s="1123"/>
      <c r="I1442" s="1123"/>
      <c r="J1442" s="1123"/>
      <c r="K1442" s="1123"/>
      <c r="L1442" s="1123"/>
      <c r="M1442" s="1123"/>
      <c r="N1442" s="1123"/>
      <c r="V1442" s="1224"/>
    </row>
    <row r="1443" spans="1:22">
      <c r="A1443" s="1289"/>
      <c r="B1443" s="1123"/>
      <c r="C1443" s="1123"/>
      <c r="D1443" s="1123"/>
      <c r="E1443" s="1123"/>
      <c r="G1443" s="1123"/>
      <c r="H1443" s="1123"/>
      <c r="I1443" s="1123"/>
      <c r="J1443" s="1123"/>
      <c r="K1443" s="1123"/>
      <c r="L1443" s="1123"/>
      <c r="M1443" s="1123"/>
      <c r="N1443" s="1123"/>
      <c r="V1443" s="1224"/>
    </row>
    <row r="1444" spans="1:22">
      <c r="A1444" s="1289"/>
      <c r="B1444" s="1123"/>
      <c r="C1444" s="1123"/>
      <c r="D1444" s="1123"/>
      <c r="E1444" s="1123"/>
      <c r="G1444" s="1123"/>
      <c r="H1444" s="1123"/>
      <c r="I1444" s="1123"/>
      <c r="J1444" s="1123"/>
      <c r="K1444" s="1123"/>
      <c r="L1444" s="1123"/>
      <c r="M1444" s="1123"/>
      <c r="N1444" s="1123"/>
      <c r="V1444" s="1224"/>
    </row>
    <row r="1445" spans="1:22">
      <c r="A1445" s="1289"/>
      <c r="B1445" s="1123"/>
      <c r="C1445" s="1123"/>
      <c r="D1445" s="1123"/>
      <c r="E1445" s="1123"/>
      <c r="G1445" s="1123"/>
      <c r="H1445" s="1123"/>
      <c r="I1445" s="1123"/>
      <c r="J1445" s="1123"/>
      <c r="K1445" s="1123"/>
      <c r="L1445" s="1123"/>
      <c r="M1445" s="1123"/>
      <c r="N1445" s="1123"/>
      <c r="V1445" s="1224"/>
    </row>
    <row r="1446" spans="1:22">
      <c r="A1446" s="1289"/>
      <c r="B1446" s="1123"/>
      <c r="C1446" s="1123"/>
      <c r="D1446" s="1123"/>
      <c r="E1446" s="1123"/>
      <c r="G1446" s="1123"/>
      <c r="H1446" s="1123"/>
      <c r="I1446" s="1123"/>
      <c r="J1446" s="1123"/>
      <c r="K1446" s="1123"/>
      <c r="L1446" s="1123"/>
      <c r="M1446" s="1123"/>
      <c r="N1446" s="1123"/>
      <c r="V1446" s="1224"/>
    </row>
    <row r="1447" spans="1:22">
      <c r="A1447" s="1289"/>
      <c r="B1447" s="1123"/>
      <c r="C1447" s="1123"/>
      <c r="D1447" s="1123"/>
      <c r="E1447" s="1123"/>
      <c r="G1447" s="1123"/>
      <c r="H1447" s="1123"/>
      <c r="I1447" s="1123"/>
      <c r="J1447" s="1123"/>
      <c r="K1447" s="1123"/>
      <c r="L1447" s="1123"/>
      <c r="M1447" s="1123"/>
      <c r="N1447" s="1123"/>
      <c r="V1447" s="1224"/>
    </row>
    <row r="1448" spans="1:22">
      <c r="A1448" s="1289"/>
      <c r="B1448" s="1123"/>
      <c r="C1448" s="1123"/>
      <c r="D1448" s="1123"/>
      <c r="E1448" s="1123"/>
      <c r="G1448" s="1123"/>
      <c r="H1448" s="1123"/>
      <c r="I1448" s="1123"/>
      <c r="J1448" s="1123"/>
      <c r="K1448" s="1123"/>
      <c r="L1448" s="1123"/>
      <c r="M1448" s="1123"/>
      <c r="N1448" s="1123"/>
      <c r="V1448" s="1224"/>
    </row>
    <row r="1449" spans="1:22">
      <c r="A1449" s="1289"/>
      <c r="B1449" s="1123"/>
      <c r="C1449" s="1123"/>
      <c r="D1449" s="1123"/>
      <c r="E1449" s="1123"/>
      <c r="G1449" s="1123"/>
      <c r="H1449" s="1123"/>
      <c r="I1449" s="1123"/>
      <c r="J1449" s="1123"/>
      <c r="K1449" s="1123"/>
      <c r="L1449" s="1123"/>
      <c r="M1449" s="1123"/>
      <c r="N1449" s="1123"/>
      <c r="V1449" s="1224"/>
    </row>
    <row r="1450" spans="1:22">
      <c r="A1450" s="1289"/>
      <c r="B1450" s="1123"/>
      <c r="C1450" s="1123"/>
      <c r="D1450" s="1123"/>
      <c r="E1450" s="1123"/>
      <c r="G1450" s="1123"/>
      <c r="H1450" s="1123"/>
      <c r="I1450" s="1123"/>
      <c r="J1450" s="1123"/>
      <c r="K1450" s="1123"/>
      <c r="L1450" s="1123"/>
      <c r="M1450" s="1123"/>
      <c r="N1450" s="1123"/>
      <c r="V1450" s="1224"/>
    </row>
    <row r="1451" spans="1:22">
      <c r="A1451" s="1289"/>
      <c r="B1451" s="1123"/>
      <c r="C1451" s="1123"/>
      <c r="D1451" s="1123"/>
      <c r="E1451" s="1123"/>
      <c r="G1451" s="1123"/>
      <c r="H1451" s="1123"/>
      <c r="I1451" s="1123"/>
      <c r="J1451" s="1123"/>
      <c r="K1451" s="1123"/>
      <c r="L1451" s="1123"/>
      <c r="M1451" s="1123"/>
      <c r="N1451" s="1123"/>
      <c r="V1451" s="1224"/>
    </row>
    <row r="1452" spans="1:22">
      <c r="A1452" s="1289"/>
      <c r="B1452" s="1123"/>
      <c r="C1452" s="1123"/>
      <c r="D1452" s="1123"/>
      <c r="E1452" s="1123"/>
      <c r="G1452" s="1123"/>
      <c r="H1452" s="1123"/>
      <c r="I1452" s="1123"/>
      <c r="J1452" s="1123"/>
      <c r="K1452" s="1123"/>
      <c r="L1452" s="1123"/>
      <c r="M1452" s="1123"/>
      <c r="N1452" s="1123"/>
      <c r="V1452" s="1224"/>
    </row>
    <row r="1453" spans="1:22">
      <c r="A1453" s="1289"/>
      <c r="B1453" s="1123"/>
      <c r="C1453" s="1123"/>
      <c r="D1453" s="1123"/>
      <c r="E1453" s="1123"/>
      <c r="G1453" s="1123"/>
      <c r="H1453" s="1123"/>
      <c r="I1453" s="1123"/>
      <c r="J1453" s="1123"/>
      <c r="K1453" s="1123"/>
      <c r="L1453" s="1123"/>
      <c r="M1453" s="1123"/>
      <c r="N1453" s="1123"/>
      <c r="V1453" s="1224"/>
    </row>
    <row r="1454" spans="1:22">
      <c r="A1454" s="1289"/>
      <c r="B1454" s="1123"/>
      <c r="C1454" s="1123"/>
      <c r="D1454" s="1123"/>
      <c r="E1454" s="1123"/>
      <c r="G1454" s="1123"/>
      <c r="H1454" s="1123"/>
      <c r="I1454" s="1123"/>
      <c r="J1454" s="1123"/>
      <c r="K1454" s="1123"/>
      <c r="L1454" s="1123"/>
      <c r="M1454" s="1123"/>
      <c r="N1454" s="1123"/>
      <c r="V1454" s="1224"/>
    </row>
    <row r="1455" spans="1:22">
      <c r="A1455" s="1289"/>
      <c r="B1455" s="1123"/>
      <c r="C1455" s="1123"/>
      <c r="D1455" s="1123"/>
      <c r="E1455" s="1123"/>
      <c r="G1455" s="1123"/>
      <c r="H1455" s="1123"/>
      <c r="I1455" s="1123"/>
      <c r="J1455" s="1123"/>
      <c r="K1455" s="1123"/>
      <c r="L1455" s="1123"/>
      <c r="M1455" s="1123"/>
      <c r="N1455" s="1123"/>
      <c r="V1455" s="1224"/>
    </row>
    <row r="1456" spans="1:22">
      <c r="A1456" s="1289"/>
      <c r="B1456" s="1123"/>
      <c r="C1456" s="1123"/>
      <c r="D1456" s="1123"/>
      <c r="E1456" s="1123"/>
      <c r="G1456" s="1123"/>
      <c r="H1456" s="1123"/>
      <c r="I1456" s="1123"/>
      <c r="J1456" s="1123"/>
      <c r="K1456" s="1123"/>
      <c r="L1456" s="1123"/>
      <c r="M1456" s="1123"/>
      <c r="N1456" s="1123"/>
      <c r="V1456" s="1224"/>
    </row>
    <row r="1457" spans="1:22">
      <c r="A1457" s="1289"/>
      <c r="B1457" s="1123"/>
      <c r="C1457" s="1123"/>
      <c r="D1457" s="1123"/>
      <c r="E1457" s="1123"/>
      <c r="G1457" s="1123"/>
      <c r="H1457" s="1123"/>
      <c r="I1457" s="1123"/>
      <c r="J1457" s="1123"/>
      <c r="K1457" s="1123"/>
      <c r="L1457" s="1123"/>
      <c r="M1457" s="1123"/>
      <c r="N1457" s="1123"/>
      <c r="V1457" s="1224"/>
    </row>
    <row r="1458" spans="1:22">
      <c r="A1458" s="1289"/>
      <c r="B1458" s="1123"/>
      <c r="C1458" s="1123"/>
      <c r="D1458" s="1123"/>
      <c r="E1458" s="1123"/>
      <c r="G1458" s="1123"/>
      <c r="H1458" s="1123"/>
      <c r="I1458" s="1123"/>
      <c r="J1458" s="1123"/>
      <c r="K1458" s="1123"/>
      <c r="L1458" s="1123"/>
      <c r="M1458" s="1123"/>
      <c r="N1458" s="1123"/>
      <c r="V1458" s="1224"/>
    </row>
    <row r="1459" spans="1:22">
      <c r="A1459" s="1289"/>
      <c r="B1459" s="1123"/>
      <c r="C1459" s="1123"/>
      <c r="D1459" s="1123"/>
      <c r="E1459" s="1123"/>
      <c r="G1459" s="1123"/>
      <c r="H1459" s="1123"/>
      <c r="I1459" s="1123"/>
      <c r="J1459" s="1123"/>
      <c r="K1459" s="1123"/>
      <c r="L1459" s="1123"/>
      <c r="M1459" s="1123"/>
      <c r="N1459" s="1123"/>
      <c r="V1459" s="1224"/>
    </row>
    <row r="1460" spans="1:22">
      <c r="A1460" s="1289"/>
      <c r="B1460" s="1123"/>
      <c r="C1460" s="1123"/>
      <c r="D1460" s="1123"/>
      <c r="E1460" s="1123"/>
      <c r="G1460" s="1123"/>
      <c r="H1460" s="1123"/>
      <c r="I1460" s="1123"/>
      <c r="J1460" s="1123"/>
      <c r="K1460" s="1123"/>
      <c r="L1460" s="1123"/>
      <c r="M1460" s="1123"/>
      <c r="N1460" s="1123"/>
      <c r="V1460" s="1224"/>
    </row>
    <row r="1461" spans="1:22">
      <c r="A1461" s="1289"/>
      <c r="B1461" s="1123"/>
      <c r="C1461" s="1123"/>
      <c r="D1461" s="1123"/>
      <c r="E1461" s="1123"/>
      <c r="G1461" s="1123"/>
      <c r="H1461" s="1123"/>
      <c r="I1461" s="1123"/>
      <c r="J1461" s="1123"/>
      <c r="K1461" s="1123"/>
      <c r="L1461" s="1123"/>
      <c r="M1461" s="1123"/>
      <c r="N1461" s="1123"/>
      <c r="V1461" s="1224"/>
    </row>
    <row r="1462" spans="1:22">
      <c r="A1462" s="1289"/>
      <c r="B1462" s="1123"/>
      <c r="C1462" s="1123"/>
      <c r="D1462" s="1123"/>
      <c r="E1462" s="1123"/>
      <c r="G1462" s="1123"/>
      <c r="H1462" s="1123"/>
      <c r="I1462" s="1123"/>
      <c r="J1462" s="1123"/>
      <c r="K1462" s="1123"/>
      <c r="L1462" s="1123"/>
      <c r="M1462" s="1123"/>
      <c r="N1462" s="1123"/>
      <c r="V1462" s="1224"/>
    </row>
    <row r="1463" spans="1:22">
      <c r="A1463" s="1289"/>
      <c r="B1463" s="1123"/>
      <c r="C1463" s="1123"/>
      <c r="D1463" s="1123"/>
      <c r="E1463" s="1123"/>
      <c r="G1463" s="1123"/>
      <c r="H1463" s="1123"/>
      <c r="I1463" s="1123"/>
      <c r="J1463" s="1123"/>
      <c r="K1463" s="1123"/>
      <c r="L1463" s="1123"/>
      <c r="M1463" s="1123"/>
      <c r="N1463" s="1123"/>
      <c r="V1463" s="1224"/>
    </row>
    <row r="1464" spans="1:22">
      <c r="A1464" s="1289"/>
      <c r="B1464" s="1123"/>
      <c r="C1464" s="1123"/>
      <c r="D1464" s="1123"/>
      <c r="E1464" s="1123"/>
      <c r="G1464" s="1123"/>
      <c r="H1464" s="1123"/>
      <c r="I1464" s="1123"/>
      <c r="J1464" s="1123"/>
      <c r="K1464" s="1123"/>
      <c r="L1464" s="1123"/>
      <c r="M1464" s="1123"/>
      <c r="N1464" s="1123"/>
      <c r="V1464" s="1224"/>
    </row>
    <row r="1465" spans="1:22">
      <c r="A1465" s="1289"/>
      <c r="B1465" s="1123"/>
      <c r="C1465" s="1123"/>
      <c r="D1465" s="1123"/>
      <c r="E1465" s="1123"/>
      <c r="G1465" s="1123"/>
      <c r="H1465" s="1123"/>
      <c r="I1465" s="1123"/>
      <c r="J1465" s="1123"/>
      <c r="K1465" s="1123"/>
      <c r="L1465" s="1123"/>
      <c r="M1465" s="1123"/>
      <c r="N1465" s="1123"/>
      <c r="V1465" s="1224"/>
    </row>
    <row r="1466" spans="1:22">
      <c r="A1466" s="1289"/>
      <c r="B1466" s="1123"/>
      <c r="C1466" s="1123"/>
      <c r="D1466" s="1123"/>
      <c r="E1466" s="1123"/>
      <c r="G1466" s="1123"/>
      <c r="H1466" s="1123"/>
      <c r="I1466" s="1123"/>
      <c r="J1466" s="1123"/>
      <c r="K1466" s="1123"/>
      <c r="L1466" s="1123"/>
      <c r="M1466" s="1123"/>
      <c r="N1466" s="1123"/>
      <c r="V1466" s="1224"/>
    </row>
    <row r="1467" spans="1:22">
      <c r="A1467" s="1289"/>
      <c r="B1467" s="1123"/>
      <c r="C1467" s="1123"/>
      <c r="D1467" s="1123"/>
      <c r="E1467" s="1123"/>
      <c r="G1467" s="1123"/>
      <c r="H1467" s="1123"/>
      <c r="I1467" s="1123"/>
      <c r="J1467" s="1123"/>
      <c r="K1467" s="1123"/>
      <c r="L1467" s="1123"/>
      <c r="M1467" s="1123"/>
      <c r="N1467" s="1123"/>
      <c r="V1467" s="1224"/>
    </row>
    <row r="1468" spans="1:22">
      <c r="A1468" s="1289"/>
      <c r="B1468" s="1123"/>
      <c r="C1468" s="1123"/>
      <c r="D1468" s="1123"/>
      <c r="E1468" s="1123"/>
      <c r="G1468" s="1123"/>
      <c r="H1468" s="1123"/>
      <c r="I1468" s="1123"/>
      <c r="J1468" s="1123"/>
      <c r="K1468" s="1123"/>
      <c r="L1468" s="1123"/>
      <c r="M1468" s="1123"/>
      <c r="N1468" s="1123"/>
      <c r="V1468" s="1224"/>
    </row>
    <row r="1469" spans="1:22">
      <c r="A1469" s="1289"/>
      <c r="B1469" s="1123"/>
      <c r="C1469" s="1123"/>
      <c r="D1469" s="1123"/>
      <c r="E1469" s="1123"/>
      <c r="G1469" s="1123"/>
      <c r="H1469" s="1123"/>
      <c r="I1469" s="1123"/>
      <c r="J1469" s="1123"/>
      <c r="K1469" s="1123"/>
      <c r="L1469" s="1123"/>
      <c r="M1469" s="1123"/>
      <c r="N1469" s="1123"/>
      <c r="V1469" s="1224"/>
    </row>
    <row r="1470" spans="1:22">
      <c r="A1470" s="1289"/>
      <c r="B1470" s="1123"/>
      <c r="C1470" s="1123"/>
      <c r="D1470" s="1123"/>
      <c r="E1470" s="1123"/>
      <c r="G1470" s="1123"/>
      <c r="H1470" s="1123"/>
      <c r="I1470" s="1123"/>
      <c r="J1470" s="1123"/>
      <c r="K1470" s="1123"/>
      <c r="L1470" s="1123"/>
      <c r="M1470" s="1123"/>
      <c r="N1470" s="1123"/>
      <c r="V1470" s="1224"/>
    </row>
    <row r="1471" spans="1:22">
      <c r="A1471" s="1289"/>
      <c r="B1471" s="1123"/>
      <c r="C1471" s="1123"/>
      <c r="D1471" s="1123"/>
      <c r="E1471" s="1123"/>
      <c r="G1471" s="1123"/>
      <c r="H1471" s="1123"/>
      <c r="I1471" s="1123"/>
      <c r="J1471" s="1123"/>
      <c r="K1471" s="1123"/>
      <c r="L1471" s="1123"/>
      <c r="M1471" s="1123"/>
      <c r="N1471" s="1123"/>
      <c r="V1471" s="1224"/>
    </row>
    <row r="1472" spans="1:22">
      <c r="A1472" s="1289"/>
      <c r="B1472" s="1123"/>
      <c r="C1472" s="1123"/>
      <c r="D1472" s="1123"/>
      <c r="E1472" s="1123"/>
      <c r="G1472" s="1123"/>
      <c r="H1472" s="1123"/>
      <c r="I1472" s="1123"/>
      <c r="J1472" s="1123"/>
      <c r="K1472" s="1123"/>
      <c r="L1472" s="1123"/>
      <c r="M1472" s="1123"/>
      <c r="N1472" s="1123"/>
      <c r="V1472" s="1224"/>
    </row>
    <row r="1473" spans="1:22">
      <c r="A1473" s="1289"/>
      <c r="B1473" s="1123"/>
      <c r="C1473" s="1123"/>
      <c r="D1473" s="1123"/>
      <c r="E1473" s="1123"/>
      <c r="G1473" s="1123"/>
      <c r="H1473" s="1123"/>
      <c r="I1473" s="1123"/>
      <c r="J1473" s="1123"/>
      <c r="K1473" s="1123"/>
      <c r="L1473" s="1123"/>
      <c r="M1473" s="1123"/>
      <c r="N1473" s="1123"/>
      <c r="V1473" s="1224"/>
    </row>
    <row r="1474" spans="1:22">
      <c r="A1474" s="1289"/>
      <c r="B1474" s="1123"/>
      <c r="C1474" s="1123"/>
      <c r="D1474" s="1123"/>
      <c r="E1474" s="1123"/>
      <c r="G1474" s="1123"/>
      <c r="H1474" s="1123"/>
      <c r="I1474" s="1123"/>
      <c r="J1474" s="1123"/>
      <c r="K1474" s="1123"/>
      <c r="L1474" s="1123"/>
      <c r="M1474" s="1123"/>
      <c r="N1474" s="1123"/>
      <c r="V1474" s="1224"/>
    </row>
    <row r="1475" spans="1:22">
      <c r="A1475" s="1289"/>
      <c r="B1475" s="1123"/>
      <c r="C1475" s="1123"/>
      <c r="D1475" s="1123"/>
      <c r="E1475" s="1123"/>
      <c r="G1475" s="1123"/>
      <c r="H1475" s="1123"/>
      <c r="I1475" s="1123"/>
      <c r="J1475" s="1123"/>
      <c r="K1475" s="1123"/>
      <c r="L1475" s="1123"/>
      <c r="M1475" s="1123"/>
      <c r="N1475" s="1123"/>
      <c r="V1475" s="1224"/>
    </row>
    <row r="1476" spans="1:22">
      <c r="A1476" s="1289"/>
      <c r="B1476" s="1123"/>
      <c r="C1476" s="1123"/>
      <c r="D1476" s="1123"/>
      <c r="E1476" s="1123"/>
      <c r="G1476" s="1123"/>
      <c r="H1476" s="1123"/>
      <c r="I1476" s="1123"/>
      <c r="J1476" s="1123"/>
      <c r="K1476" s="1123"/>
      <c r="L1476" s="1123"/>
      <c r="M1476" s="1123"/>
      <c r="N1476" s="1123"/>
      <c r="V1476" s="1224"/>
    </row>
    <row r="1477" spans="1:22">
      <c r="A1477" s="1289"/>
      <c r="B1477" s="1123"/>
      <c r="C1477" s="1123"/>
      <c r="D1477" s="1123"/>
      <c r="E1477" s="1123"/>
      <c r="G1477" s="1123"/>
      <c r="H1477" s="1123"/>
      <c r="I1477" s="1123"/>
      <c r="J1477" s="1123"/>
      <c r="K1477" s="1123"/>
      <c r="L1477" s="1123"/>
      <c r="M1477" s="1123"/>
      <c r="N1477" s="1123"/>
      <c r="V1477" s="1224"/>
    </row>
    <row r="1478" spans="1:22">
      <c r="A1478" s="1289"/>
      <c r="B1478" s="1123"/>
      <c r="C1478" s="1123"/>
      <c r="D1478" s="1123"/>
      <c r="E1478" s="1123"/>
      <c r="G1478" s="1123"/>
      <c r="H1478" s="1123"/>
      <c r="I1478" s="1123"/>
      <c r="J1478" s="1123"/>
      <c r="K1478" s="1123"/>
      <c r="L1478" s="1123"/>
      <c r="M1478" s="1123"/>
      <c r="N1478" s="1123"/>
      <c r="V1478" s="1224"/>
    </row>
    <row r="1479" spans="1:22">
      <c r="A1479" s="1289"/>
      <c r="B1479" s="1123"/>
      <c r="C1479" s="1123"/>
      <c r="D1479" s="1123"/>
      <c r="E1479" s="1123"/>
      <c r="G1479" s="1123"/>
      <c r="H1479" s="1123"/>
      <c r="I1479" s="1123"/>
      <c r="J1479" s="1123"/>
      <c r="K1479" s="1123"/>
      <c r="L1479" s="1123"/>
      <c r="M1479" s="1123"/>
      <c r="N1479" s="1123"/>
      <c r="V1479" s="1224"/>
    </row>
    <row r="1480" spans="1:22">
      <c r="A1480" s="1289"/>
      <c r="B1480" s="1123"/>
      <c r="C1480" s="1123"/>
      <c r="D1480" s="1123"/>
      <c r="E1480" s="1123"/>
      <c r="G1480" s="1123"/>
      <c r="H1480" s="1123"/>
      <c r="I1480" s="1123"/>
      <c r="J1480" s="1123"/>
      <c r="K1480" s="1123"/>
      <c r="L1480" s="1123"/>
      <c r="M1480" s="1123"/>
      <c r="N1480" s="1123"/>
      <c r="V1480" s="1224"/>
    </row>
    <row r="1481" spans="1:22">
      <c r="A1481" s="1289"/>
      <c r="B1481" s="1123"/>
      <c r="C1481" s="1123"/>
      <c r="D1481" s="1123"/>
      <c r="E1481" s="1123"/>
      <c r="G1481" s="1123"/>
      <c r="H1481" s="1123"/>
      <c r="I1481" s="1123"/>
      <c r="J1481" s="1123"/>
      <c r="K1481" s="1123"/>
      <c r="L1481" s="1123"/>
      <c r="M1481" s="1123"/>
      <c r="N1481" s="1123"/>
      <c r="V1481" s="1224"/>
    </row>
    <row r="1482" spans="1:22">
      <c r="A1482" s="1289"/>
      <c r="B1482" s="1123"/>
      <c r="C1482" s="1123"/>
      <c r="D1482" s="1123"/>
      <c r="E1482" s="1123"/>
      <c r="G1482" s="1123"/>
      <c r="H1482" s="1123"/>
      <c r="I1482" s="1123"/>
      <c r="J1482" s="1123"/>
      <c r="K1482" s="1123"/>
      <c r="L1482" s="1123"/>
      <c r="M1482" s="1123"/>
      <c r="N1482" s="1123"/>
      <c r="V1482" s="1224"/>
    </row>
    <row r="1483" spans="1:22">
      <c r="A1483" s="1289"/>
      <c r="B1483" s="1123"/>
      <c r="C1483" s="1123"/>
      <c r="D1483" s="1123"/>
      <c r="E1483" s="1123"/>
      <c r="G1483" s="1123"/>
      <c r="H1483" s="1123"/>
      <c r="I1483" s="1123"/>
      <c r="J1483" s="1123"/>
      <c r="K1483" s="1123"/>
      <c r="L1483" s="1123"/>
      <c r="M1483" s="1123"/>
      <c r="N1483" s="1123"/>
      <c r="V1483" s="1224"/>
    </row>
    <row r="1484" spans="1:22">
      <c r="A1484" s="1289"/>
      <c r="B1484" s="1123"/>
      <c r="C1484" s="1123"/>
      <c r="D1484" s="1123"/>
      <c r="E1484" s="1123"/>
      <c r="G1484" s="1123"/>
      <c r="H1484" s="1123"/>
      <c r="I1484" s="1123"/>
      <c r="J1484" s="1123"/>
      <c r="K1484" s="1123"/>
      <c r="L1484" s="1123"/>
      <c r="M1484" s="1123"/>
      <c r="N1484" s="1123"/>
      <c r="V1484" s="1224"/>
    </row>
    <row r="1485" spans="1:22">
      <c r="A1485" s="1289"/>
      <c r="B1485" s="1123"/>
      <c r="C1485" s="1123"/>
      <c r="D1485" s="1123"/>
      <c r="E1485" s="1123"/>
      <c r="G1485" s="1123"/>
      <c r="H1485" s="1123"/>
      <c r="I1485" s="1123"/>
      <c r="J1485" s="1123"/>
      <c r="K1485" s="1123"/>
      <c r="L1485" s="1123"/>
      <c r="M1485" s="1123"/>
      <c r="N1485" s="1123"/>
      <c r="V1485" s="1224"/>
    </row>
    <row r="1486" spans="1:22">
      <c r="A1486" s="1289"/>
      <c r="B1486" s="1123"/>
      <c r="C1486" s="1123"/>
      <c r="D1486" s="1123"/>
      <c r="E1486" s="1123"/>
      <c r="G1486" s="1123"/>
      <c r="H1486" s="1123"/>
      <c r="I1486" s="1123"/>
      <c r="J1486" s="1123"/>
      <c r="K1486" s="1123"/>
      <c r="L1486" s="1123"/>
      <c r="M1486" s="1123"/>
      <c r="N1486" s="1123"/>
      <c r="V1486" s="1224"/>
    </row>
    <row r="1487" spans="1:22">
      <c r="A1487" s="1289"/>
      <c r="B1487" s="1123"/>
      <c r="C1487" s="1123"/>
      <c r="D1487" s="1123"/>
      <c r="E1487" s="1123"/>
      <c r="G1487" s="1123"/>
      <c r="H1487" s="1123"/>
      <c r="I1487" s="1123"/>
      <c r="J1487" s="1123"/>
      <c r="K1487" s="1123"/>
      <c r="L1487" s="1123"/>
      <c r="M1487" s="1123"/>
      <c r="N1487" s="1123"/>
      <c r="V1487" s="1224"/>
    </row>
    <row r="1488" spans="1:22">
      <c r="A1488" s="1289"/>
      <c r="B1488" s="1123"/>
      <c r="C1488" s="1123"/>
      <c r="D1488" s="1123"/>
      <c r="E1488" s="1123"/>
      <c r="G1488" s="1123"/>
      <c r="H1488" s="1123"/>
      <c r="I1488" s="1123"/>
      <c r="J1488" s="1123"/>
      <c r="K1488" s="1123"/>
      <c r="L1488" s="1123"/>
      <c r="M1488" s="1123"/>
      <c r="N1488" s="1123"/>
      <c r="V1488" s="1224"/>
    </row>
    <row r="1489" spans="1:22">
      <c r="A1489" s="1289"/>
      <c r="B1489" s="1123"/>
      <c r="C1489" s="1123"/>
      <c r="D1489" s="1123"/>
      <c r="E1489" s="1123"/>
      <c r="G1489" s="1123"/>
      <c r="H1489" s="1123"/>
      <c r="I1489" s="1123"/>
      <c r="J1489" s="1123"/>
      <c r="K1489" s="1123"/>
      <c r="L1489" s="1123"/>
      <c r="M1489" s="1123"/>
      <c r="N1489" s="1123"/>
      <c r="V1489" s="1224"/>
    </row>
    <row r="1490" spans="1:22">
      <c r="A1490" s="1289"/>
      <c r="B1490" s="1123"/>
      <c r="C1490" s="1123"/>
      <c r="D1490" s="1123"/>
      <c r="E1490" s="1123"/>
      <c r="G1490" s="1123"/>
      <c r="H1490" s="1123"/>
      <c r="I1490" s="1123"/>
      <c r="J1490" s="1123"/>
      <c r="K1490" s="1123"/>
      <c r="L1490" s="1123"/>
      <c r="M1490" s="1123"/>
      <c r="N1490" s="1123"/>
      <c r="V1490" s="1224"/>
    </row>
    <row r="1491" spans="1:22">
      <c r="A1491" s="1289"/>
      <c r="B1491" s="1123"/>
      <c r="C1491" s="1123"/>
      <c r="D1491" s="1123"/>
      <c r="E1491" s="1123"/>
      <c r="G1491" s="1123"/>
      <c r="H1491" s="1123"/>
      <c r="I1491" s="1123"/>
      <c r="J1491" s="1123"/>
      <c r="K1491" s="1123"/>
      <c r="L1491" s="1123"/>
      <c r="M1491" s="1123"/>
      <c r="N1491" s="1123"/>
      <c r="V1491" s="1224"/>
    </row>
    <row r="1492" spans="1:22">
      <c r="A1492" s="1289"/>
      <c r="B1492" s="1123"/>
      <c r="C1492" s="1123"/>
      <c r="D1492" s="1123"/>
      <c r="E1492" s="1123"/>
      <c r="G1492" s="1123"/>
      <c r="H1492" s="1123"/>
      <c r="I1492" s="1123"/>
      <c r="J1492" s="1123"/>
      <c r="K1492" s="1123"/>
      <c r="L1492" s="1123"/>
      <c r="M1492" s="1123"/>
      <c r="N1492" s="1123"/>
      <c r="V1492" s="1224"/>
    </row>
    <row r="1493" spans="1:22">
      <c r="A1493" s="1289"/>
      <c r="B1493" s="1123"/>
      <c r="C1493" s="1123"/>
      <c r="D1493" s="1123"/>
      <c r="E1493" s="1123"/>
      <c r="G1493" s="1123"/>
      <c r="H1493" s="1123"/>
      <c r="I1493" s="1123"/>
      <c r="J1493" s="1123"/>
      <c r="K1493" s="1123"/>
      <c r="L1493" s="1123"/>
      <c r="M1493" s="1123"/>
      <c r="N1493" s="1123"/>
      <c r="V1493" s="1224"/>
    </row>
    <row r="1494" spans="1:22">
      <c r="A1494" s="1289"/>
      <c r="B1494" s="1123"/>
      <c r="C1494" s="1123"/>
      <c r="D1494" s="1123"/>
      <c r="E1494" s="1123"/>
      <c r="G1494" s="1123"/>
      <c r="H1494" s="1123"/>
      <c r="I1494" s="1123"/>
      <c r="J1494" s="1123"/>
      <c r="K1494" s="1123"/>
      <c r="L1494" s="1123"/>
      <c r="M1494" s="1123"/>
      <c r="N1494" s="1123"/>
      <c r="V1494" s="1224"/>
    </row>
    <row r="1495" spans="1:22">
      <c r="A1495" s="1289"/>
      <c r="B1495" s="1123"/>
      <c r="C1495" s="1123"/>
      <c r="D1495" s="1123"/>
      <c r="E1495" s="1123"/>
      <c r="G1495" s="1123"/>
      <c r="H1495" s="1123"/>
      <c r="I1495" s="1123"/>
      <c r="J1495" s="1123"/>
      <c r="K1495" s="1123"/>
      <c r="L1495" s="1123"/>
      <c r="M1495" s="1123"/>
      <c r="N1495" s="1123"/>
      <c r="V1495" s="1224"/>
    </row>
    <row r="1496" spans="1:22">
      <c r="A1496" s="1289"/>
      <c r="B1496" s="1123"/>
      <c r="C1496" s="1123"/>
      <c r="D1496" s="1123"/>
      <c r="E1496" s="1123"/>
      <c r="G1496" s="1123"/>
      <c r="H1496" s="1123"/>
      <c r="I1496" s="1123"/>
      <c r="J1496" s="1123"/>
      <c r="K1496" s="1123"/>
      <c r="L1496" s="1123"/>
      <c r="M1496" s="1123"/>
      <c r="N1496" s="1123"/>
      <c r="V1496" s="1224"/>
    </row>
    <row r="1497" spans="1:22">
      <c r="A1497" s="1289"/>
      <c r="B1497" s="1123"/>
      <c r="C1497" s="1123"/>
      <c r="D1497" s="1123"/>
      <c r="E1497" s="1123"/>
      <c r="G1497" s="1123"/>
      <c r="H1497" s="1123"/>
      <c r="I1497" s="1123"/>
      <c r="J1497" s="1123"/>
      <c r="K1497" s="1123"/>
      <c r="L1497" s="1123"/>
      <c r="M1497" s="1123"/>
      <c r="N1497" s="1123"/>
      <c r="V1497" s="1224"/>
    </row>
    <row r="1498" spans="1:22">
      <c r="A1498" s="1289"/>
      <c r="B1498" s="1123"/>
      <c r="C1498" s="1123"/>
      <c r="D1498" s="1123"/>
      <c r="E1498" s="1123"/>
      <c r="G1498" s="1123"/>
      <c r="H1498" s="1123"/>
      <c r="I1498" s="1123"/>
      <c r="J1498" s="1123"/>
      <c r="K1498" s="1123"/>
      <c r="L1498" s="1123"/>
      <c r="M1498" s="1123"/>
      <c r="N1498" s="1123"/>
      <c r="V1498" s="1224"/>
    </row>
    <row r="1499" spans="1:22">
      <c r="A1499" s="1289"/>
      <c r="B1499" s="1123"/>
      <c r="C1499" s="1123"/>
      <c r="D1499" s="1123"/>
      <c r="E1499" s="1123"/>
      <c r="G1499" s="1123"/>
      <c r="H1499" s="1123"/>
      <c r="I1499" s="1123"/>
      <c r="J1499" s="1123"/>
      <c r="K1499" s="1123"/>
      <c r="L1499" s="1123"/>
      <c r="M1499" s="1123"/>
      <c r="N1499" s="1123"/>
      <c r="V1499" s="1224"/>
    </row>
    <row r="1500" spans="1:22">
      <c r="A1500" s="1289"/>
      <c r="B1500" s="1123"/>
      <c r="C1500" s="1123"/>
      <c r="D1500" s="1123"/>
      <c r="E1500" s="1123"/>
      <c r="G1500" s="1123"/>
      <c r="H1500" s="1123"/>
      <c r="I1500" s="1123"/>
      <c r="J1500" s="1123"/>
      <c r="K1500" s="1123"/>
      <c r="L1500" s="1123"/>
      <c r="M1500" s="1123"/>
      <c r="N1500" s="1123"/>
      <c r="V1500" s="1224"/>
    </row>
    <row r="1501" spans="1:22">
      <c r="A1501" s="1289"/>
      <c r="B1501" s="1123"/>
      <c r="C1501" s="1123"/>
      <c r="D1501" s="1123"/>
      <c r="E1501" s="1123"/>
      <c r="G1501" s="1123"/>
      <c r="H1501" s="1123"/>
      <c r="I1501" s="1123"/>
      <c r="J1501" s="1123"/>
      <c r="K1501" s="1123"/>
      <c r="L1501" s="1123"/>
      <c r="M1501" s="1123"/>
      <c r="N1501" s="1123"/>
      <c r="V1501" s="1224"/>
    </row>
    <row r="1502" spans="1:22">
      <c r="A1502" s="1289"/>
      <c r="B1502" s="1123"/>
      <c r="C1502" s="1123"/>
      <c r="D1502" s="1123"/>
      <c r="E1502" s="1123"/>
      <c r="G1502" s="1123"/>
      <c r="H1502" s="1123"/>
      <c r="I1502" s="1123"/>
      <c r="J1502" s="1123"/>
      <c r="K1502" s="1123"/>
      <c r="L1502" s="1123"/>
      <c r="M1502" s="1123"/>
      <c r="N1502" s="1123"/>
      <c r="V1502" s="1224"/>
    </row>
    <row r="1503" spans="1:22">
      <c r="A1503" s="1289"/>
      <c r="B1503" s="1123"/>
      <c r="C1503" s="1123"/>
      <c r="D1503" s="1123"/>
      <c r="E1503" s="1123"/>
      <c r="G1503" s="1123"/>
      <c r="H1503" s="1123"/>
      <c r="I1503" s="1123"/>
      <c r="J1503" s="1123"/>
      <c r="K1503" s="1123"/>
      <c r="L1503" s="1123"/>
      <c r="M1503" s="1123"/>
      <c r="N1503" s="1123"/>
      <c r="V1503" s="1224"/>
    </row>
    <row r="1504" spans="1:22">
      <c r="A1504" s="1289"/>
      <c r="B1504" s="1123"/>
      <c r="C1504" s="1123"/>
      <c r="D1504" s="1123"/>
      <c r="E1504" s="1123"/>
      <c r="G1504" s="1123"/>
      <c r="H1504" s="1123"/>
      <c r="I1504" s="1123"/>
      <c r="J1504" s="1123"/>
      <c r="K1504" s="1123"/>
      <c r="L1504" s="1123"/>
      <c r="M1504" s="1123"/>
      <c r="N1504" s="1123"/>
      <c r="V1504" s="1224"/>
    </row>
    <row r="1505" spans="1:22">
      <c r="A1505" s="1289"/>
      <c r="B1505" s="1123"/>
      <c r="C1505" s="1123"/>
      <c r="D1505" s="1123"/>
      <c r="E1505" s="1123"/>
      <c r="G1505" s="1123"/>
      <c r="H1505" s="1123"/>
      <c r="I1505" s="1123"/>
      <c r="J1505" s="1123"/>
      <c r="K1505" s="1123"/>
      <c r="L1505" s="1123"/>
      <c r="M1505" s="1123"/>
      <c r="N1505" s="1123"/>
      <c r="V1505" s="1224"/>
    </row>
    <row r="1506" spans="1:22">
      <c r="A1506" s="1289"/>
      <c r="B1506" s="1123"/>
      <c r="C1506" s="1123"/>
      <c r="D1506" s="1123"/>
      <c r="E1506" s="1123"/>
      <c r="G1506" s="1123"/>
      <c r="H1506" s="1123"/>
      <c r="I1506" s="1123"/>
      <c r="J1506" s="1123"/>
      <c r="K1506" s="1123"/>
      <c r="L1506" s="1123"/>
      <c r="M1506" s="1123"/>
      <c r="N1506" s="1123"/>
      <c r="V1506" s="1224"/>
    </row>
    <row r="1507" spans="1:22">
      <c r="A1507" s="1289"/>
      <c r="B1507" s="1123"/>
      <c r="C1507" s="1123"/>
      <c r="D1507" s="1123"/>
      <c r="E1507" s="1123"/>
      <c r="G1507" s="1123"/>
      <c r="H1507" s="1123"/>
      <c r="I1507" s="1123"/>
      <c r="J1507" s="1123"/>
      <c r="K1507" s="1123"/>
      <c r="L1507" s="1123"/>
      <c r="M1507" s="1123"/>
      <c r="N1507" s="1123"/>
      <c r="V1507" s="1224"/>
    </row>
    <row r="1508" spans="1:22">
      <c r="A1508" s="1289"/>
      <c r="B1508" s="1123"/>
      <c r="C1508" s="1123"/>
      <c r="D1508" s="1123"/>
      <c r="E1508" s="1123"/>
      <c r="G1508" s="1123"/>
      <c r="H1508" s="1123"/>
      <c r="I1508" s="1123"/>
      <c r="J1508" s="1123"/>
      <c r="K1508" s="1123"/>
      <c r="L1508" s="1123"/>
      <c r="M1508" s="1123"/>
      <c r="N1508" s="1123"/>
      <c r="V1508" s="1224"/>
    </row>
    <row r="1509" spans="1:22">
      <c r="A1509" s="1289"/>
      <c r="B1509" s="1123"/>
      <c r="C1509" s="1123"/>
      <c r="D1509" s="1123"/>
      <c r="E1509" s="1123"/>
      <c r="G1509" s="1123"/>
      <c r="H1509" s="1123"/>
      <c r="I1509" s="1123"/>
      <c r="J1509" s="1123"/>
      <c r="K1509" s="1123"/>
      <c r="L1509" s="1123"/>
      <c r="M1509" s="1123"/>
      <c r="N1509" s="1123"/>
      <c r="V1509" s="1224"/>
    </row>
    <row r="1510" spans="1:22">
      <c r="A1510" s="1289"/>
      <c r="B1510" s="1123"/>
      <c r="C1510" s="1123"/>
      <c r="D1510" s="1123"/>
      <c r="E1510" s="1123"/>
      <c r="G1510" s="1123"/>
      <c r="H1510" s="1123"/>
      <c r="I1510" s="1123"/>
      <c r="J1510" s="1123"/>
      <c r="K1510" s="1123"/>
      <c r="L1510" s="1123"/>
      <c r="M1510" s="1123"/>
      <c r="N1510" s="1123"/>
      <c r="V1510" s="1224"/>
    </row>
    <row r="1511" spans="1:22">
      <c r="A1511" s="1289"/>
      <c r="B1511" s="1123"/>
      <c r="C1511" s="1123"/>
      <c r="D1511" s="1123"/>
      <c r="E1511" s="1123"/>
      <c r="G1511" s="1123"/>
      <c r="H1511" s="1123"/>
      <c r="I1511" s="1123"/>
      <c r="J1511" s="1123"/>
      <c r="K1511" s="1123"/>
      <c r="L1511" s="1123"/>
      <c r="M1511" s="1123"/>
      <c r="N1511" s="1123"/>
      <c r="V1511" s="1224"/>
    </row>
    <row r="1512" spans="1:22">
      <c r="A1512" s="1289"/>
      <c r="B1512" s="1123"/>
      <c r="C1512" s="1123"/>
      <c r="D1512" s="1123"/>
      <c r="E1512" s="1123"/>
      <c r="G1512" s="1123"/>
      <c r="H1512" s="1123"/>
      <c r="I1512" s="1123"/>
      <c r="J1512" s="1123"/>
      <c r="K1512" s="1123"/>
      <c r="L1512" s="1123"/>
      <c r="M1512" s="1123"/>
      <c r="N1512" s="1123"/>
      <c r="V1512" s="1224"/>
    </row>
    <row r="1513" spans="1:22">
      <c r="A1513" s="1289"/>
      <c r="B1513" s="1123"/>
      <c r="C1513" s="1123"/>
      <c r="D1513" s="1123"/>
      <c r="E1513" s="1123"/>
      <c r="G1513" s="1123"/>
      <c r="H1513" s="1123"/>
      <c r="I1513" s="1123"/>
      <c r="J1513" s="1123"/>
      <c r="K1513" s="1123"/>
      <c r="L1513" s="1123"/>
      <c r="M1513" s="1123"/>
      <c r="N1513" s="1123"/>
      <c r="V1513" s="1224"/>
    </row>
    <row r="1514" spans="1:22">
      <c r="A1514" s="1289"/>
      <c r="B1514" s="1123"/>
      <c r="C1514" s="1123"/>
      <c r="D1514" s="1123"/>
      <c r="E1514" s="1123"/>
      <c r="G1514" s="1123"/>
      <c r="H1514" s="1123"/>
      <c r="I1514" s="1123"/>
      <c r="J1514" s="1123"/>
      <c r="K1514" s="1123"/>
      <c r="L1514" s="1123"/>
      <c r="M1514" s="1123"/>
      <c r="N1514" s="1123"/>
      <c r="V1514" s="1224"/>
    </row>
    <row r="1515" spans="1:22">
      <c r="A1515" s="1289"/>
      <c r="B1515" s="1123"/>
      <c r="C1515" s="1123"/>
      <c r="D1515" s="1123"/>
      <c r="E1515" s="1123"/>
      <c r="G1515" s="1123"/>
      <c r="H1515" s="1123"/>
      <c r="I1515" s="1123"/>
      <c r="J1515" s="1123"/>
      <c r="K1515" s="1123"/>
      <c r="L1515" s="1123"/>
      <c r="M1515" s="1123"/>
      <c r="N1515" s="1123"/>
      <c r="V1515" s="1224"/>
    </row>
    <row r="1516" spans="1:22">
      <c r="A1516" s="1289"/>
      <c r="B1516" s="1123"/>
      <c r="C1516" s="1123"/>
      <c r="D1516" s="1123"/>
      <c r="E1516" s="1123"/>
      <c r="G1516" s="1123"/>
      <c r="H1516" s="1123"/>
      <c r="I1516" s="1123"/>
      <c r="J1516" s="1123"/>
      <c r="K1516" s="1123"/>
      <c r="L1516" s="1123"/>
      <c r="M1516" s="1123"/>
      <c r="N1516" s="1123"/>
      <c r="V1516" s="1224"/>
    </row>
    <row r="1517" spans="1:22">
      <c r="A1517" s="1289"/>
      <c r="B1517" s="1123"/>
      <c r="C1517" s="1123"/>
      <c r="D1517" s="1123"/>
      <c r="E1517" s="1123"/>
      <c r="G1517" s="1123"/>
      <c r="H1517" s="1123"/>
      <c r="I1517" s="1123"/>
      <c r="J1517" s="1123"/>
      <c r="K1517" s="1123"/>
      <c r="L1517" s="1123"/>
      <c r="M1517" s="1123"/>
      <c r="N1517" s="1123"/>
      <c r="V1517" s="1224"/>
    </row>
    <row r="1518" spans="1:22">
      <c r="A1518" s="1289"/>
      <c r="B1518" s="1123"/>
      <c r="C1518" s="1123"/>
      <c r="D1518" s="1123"/>
      <c r="E1518" s="1123"/>
      <c r="G1518" s="1123"/>
      <c r="H1518" s="1123"/>
      <c r="I1518" s="1123"/>
      <c r="J1518" s="1123"/>
      <c r="K1518" s="1123"/>
      <c r="L1518" s="1123"/>
      <c r="M1518" s="1123"/>
      <c r="N1518" s="1123"/>
      <c r="V1518" s="1224"/>
    </row>
    <row r="1519" spans="1:22">
      <c r="A1519" s="1289"/>
      <c r="B1519" s="1123"/>
      <c r="C1519" s="1123"/>
      <c r="D1519" s="1123"/>
      <c r="E1519" s="1123"/>
      <c r="G1519" s="1123"/>
      <c r="H1519" s="1123"/>
      <c r="I1519" s="1123"/>
      <c r="J1519" s="1123"/>
      <c r="K1519" s="1123"/>
      <c r="L1519" s="1123"/>
      <c r="M1519" s="1123"/>
      <c r="N1519" s="1123"/>
      <c r="V1519" s="1224"/>
    </row>
    <row r="1520" spans="1:22">
      <c r="A1520" s="1289"/>
      <c r="B1520" s="1123"/>
      <c r="C1520" s="1123"/>
      <c r="D1520" s="1123"/>
      <c r="E1520" s="1123"/>
      <c r="G1520" s="1123"/>
      <c r="H1520" s="1123"/>
      <c r="I1520" s="1123"/>
      <c r="J1520" s="1123"/>
      <c r="K1520" s="1123"/>
      <c r="L1520" s="1123"/>
      <c r="M1520" s="1123"/>
      <c r="N1520" s="1123"/>
      <c r="V1520" s="1224"/>
    </row>
    <row r="1521" spans="1:22">
      <c r="A1521" s="1289"/>
      <c r="B1521" s="1123"/>
      <c r="C1521" s="1123"/>
      <c r="D1521" s="1123"/>
      <c r="E1521" s="1123"/>
      <c r="G1521" s="1123"/>
      <c r="H1521" s="1123"/>
      <c r="I1521" s="1123"/>
      <c r="J1521" s="1123"/>
      <c r="K1521" s="1123"/>
      <c r="L1521" s="1123"/>
      <c r="M1521" s="1123"/>
      <c r="N1521" s="1123"/>
      <c r="V1521" s="1224"/>
    </row>
    <row r="1522" spans="1:22">
      <c r="A1522" s="1289"/>
      <c r="B1522" s="1123"/>
      <c r="C1522" s="1123"/>
      <c r="D1522" s="1123"/>
      <c r="E1522" s="1123"/>
      <c r="G1522" s="1123"/>
      <c r="H1522" s="1123"/>
      <c r="I1522" s="1123"/>
      <c r="J1522" s="1123"/>
      <c r="K1522" s="1123"/>
      <c r="L1522" s="1123"/>
      <c r="M1522" s="1123"/>
      <c r="N1522" s="1123"/>
      <c r="V1522" s="1224"/>
    </row>
    <row r="1523" spans="1:22">
      <c r="A1523" s="1289"/>
      <c r="B1523" s="1123"/>
      <c r="C1523" s="1123"/>
      <c r="D1523" s="1123"/>
      <c r="E1523" s="1123"/>
      <c r="G1523" s="1123"/>
      <c r="H1523" s="1123"/>
      <c r="I1523" s="1123"/>
      <c r="J1523" s="1123"/>
      <c r="K1523" s="1123"/>
      <c r="L1523" s="1123"/>
      <c r="M1523" s="1123"/>
      <c r="N1523" s="1123"/>
      <c r="V1523" s="1224"/>
    </row>
    <row r="1524" spans="1:22">
      <c r="A1524" s="1289"/>
      <c r="B1524" s="1123"/>
      <c r="C1524" s="1123"/>
      <c r="D1524" s="1123"/>
      <c r="E1524" s="1123"/>
      <c r="G1524" s="1123"/>
      <c r="H1524" s="1123"/>
      <c r="I1524" s="1123"/>
      <c r="J1524" s="1123"/>
      <c r="K1524" s="1123"/>
      <c r="L1524" s="1123"/>
      <c r="M1524" s="1123"/>
      <c r="N1524" s="1123"/>
      <c r="V1524" s="1224"/>
    </row>
    <row r="1525" spans="1:22">
      <c r="A1525" s="1289"/>
      <c r="B1525" s="1123"/>
      <c r="C1525" s="1123"/>
      <c r="D1525" s="1123"/>
      <c r="E1525" s="1123"/>
      <c r="G1525" s="1123"/>
      <c r="H1525" s="1123"/>
      <c r="I1525" s="1123"/>
      <c r="J1525" s="1123"/>
      <c r="K1525" s="1123"/>
      <c r="L1525" s="1123"/>
      <c r="M1525" s="1123"/>
      <c r="N1525" s="1123"/>
      <c r="V1525" s="1224"/>
    </row>
    <row r="1526" spans="1:22">
      <c r="A1526" s="1289"/>
      <c r="B1526" s="1123"/>
      <c r="C1526" s="1123"/>
      <c r="D1526" s="1123"/>
      <c r="E1526" s="1123"/>
      <c r="G1526" s="1123"/>
      <c r="H1526" s="1123"/>
      <c r="I1526" s="1123"/>
      <c r="J1526" s="1123"/>
      <c r="K1526" s="1123"/>
      <c r="L1526" s="1123"/>
      <c r="M1526" s="1123"/>
      <c r="N1526" s="1123"/>
      <c r="V1526" s="1224"/>
    </row>
    <row r="1527" spans="1:22">
      <c r="A1527" s="1289"/>
      <c r="B1527" s="1123"/>
      <c r="C1527" s="1123"/>
      <c r="D1527" s="1123"/>
      <c r="E1527" s="1123"/>
      <c r="G1527" s="1123"/>
      <c r="H1527" s="1123"/>
      <c r="I1527" s="1123"/>
      <c r="J1527" s="1123"/>
      <c r="K1527" s="1123"/>
      <c r="L1527" s="1123"/>
      <c r="M1527" s="1123"/>
      <c r="N1527" s="1123"/>
      <c r="V1527" s="1224"/>
    </row>
    <row r="1528" spans="1:22">
      <c r="A1528" s="1289"/>
      <c r="B1528" s="1123"/>
      <c r="C1528" s="1123"/>
      <c r="D1528" s="1123"/>
      <c r="E1528" s="1123"/>
      <c r="G1528" s="1123"/>
      <c r="H1528" s="1123"/>
      <c r="I1528" s="1123"/>
      <c r="J1528" s="1123"/>
      <c r="K1528" s="1123"/>
      <c r="L1528" s="1123"/>
      <c r="M1528" s="1123"/>
      <c r="N1528" s="1123"/>
      <c r="V1528" s="1224"/>
    </row>
    <row r="1529" spans="1:22">
      <c r="A1529" s="1289"/>
      <c r="B1529" s="1123"/>
      <c r="C1529" s="1123"/>
      <c r="D1529" s="1123"/>
      <c r="E1529" s="1123"/>
      <c r="G1529" s="1123"/>
      <c r="H1529" s="1123"/>
      <c r="I1529" s="1123"/>
      <c r="J1529" s="1123"/>
      <c r="K1529" s="1123"/>
      <c r="L1529" s="1123"/>
      <c r="M1529" s="1123"/>
      <c r="N1529" s="1123"/>
      <c r="V1529" s="1224"/>
    </row>
    <row r="1530" spans="1:22">
      <c r="A1530" s="1289"/>
      <c r="B1530" s="1123"/>
      <c r="C1530" s="1123"/>
      <c r="D1530" s="1123"/>
      <c r="E1530" s="1123"/>
      <c r="G1530" s="1123"/>
      <c r="H1530" s="1123"/>
      <c r="I1530" s="1123"/>
      <c r="J1530" s="1123"/>
      <c r="K1530" s="1123"/>
      <c r="L1530" s="1123"/>
      <c r="M1530" s="1123"/>
      <c r="N1530" s="1123"/>
      <c r="V1530" s="1224"/>
    </row>
    <row r="1531" spans="1:22">
      <c r="A1531" s="1289"/>
      <c r="B1531" s="1123"/>
      <c r="C1531" s="1123"/>
      <c r="D1531" s="1123"/>
      <c r="E1531" s="1123"/>
      <c r="G1531" s="1123"/>
      <c r="H1531" s="1123"/>
      <c r="I1531" s="1123"/>
      <c r="J1531" s="1123"/>
      <c r="K1531" s="1123"/>
      <c r="L1531" s="1123"/>
      <c r="M1531" s="1123"/>
      <c r="N1531" s="1123"/>
      <c r="V1531" s="1224"/>
    </row>
    <row r="1532" spans="1:22">
      <c r="A1532" s="1289"/>
      <c r="B1532" s="1123"/>
      <c r="C1532" s="1123"/>
      <c r="D1532" s="1123"/>
      <c r="E1532" s="1123"/>
      <c r="G1532" s="1123"/>
      <c r="H1532" s="1123"/>
      <c r="I1532" s="1123"/>
      <c r="J1532" s="1123"/>
      <c r="K1532" s="1123"/>
      <c r="L1532" s="1123"/>
      <c r="M1532" s="1123"/>
      <c r="N1532" s="1123"/>
      <c r="V1532" s="1224"/>
    </row>
    <row r="1533" spans="1:22">
      <c r="A1533" s="1289"/>
      <c r="B1533" s="1123"/>
      <c r="C1533" s="1123"/>
      <c r="D1533" s="1123"/>
      <c r="E1533" s="1123"/>
      <c r="G1533" s="1123"/>
      <c r="H1533" s="1123"/>
      <c r="I1533" s="1123"/>
      <c r="J1533" s="1123"/>
      <c r="K1533" s="1123"/>
      <c r="L1533" s="1123"/>
      <c r="M1533" s="1123"/>
      <c r="N1533" s="1123"/>
      <c r="V1533" s="1224"/>
    </row>
    <row r="1534" spans="1:22">
      <c r="A1534" s="1289"/>
      <c r="B1534" s="1123"/>
      <c r="C1534" s="1123"/>
      <c r="D1534" s="1123"/>
      <c r="E1534" s="1123"/>
      <c r="G1534" s="1123"/>
      <c r="H1534" s="1123"/>
      <c r="I1534" s="1123"/>
      <c r="J1534" s="1123"/>
      <c r="K1534" s="1123"/>
      <c r="L1534" s="1123"/>
      <c r="M1534" s="1123"/>
      <c r="N1534" s="1123"/>
      <c r="V1534" s="1224"/>
    </row>
    <row r="1535" spans="1:22">
      <c r="A1535" s="1289"/>
      <c r="B1535" s="1123"/>
      <c r="C1535" s="1123"/>
      <c r="D1535" s="1123"/>
      <c r="E1535" s="1123"/>
      <c r="G1535" s="1123"/>
      <c r="H1535" s="1123"/>
      <c r="I1535" s="1123"/>
      <c r="J1535" s="1123"/>
      <c r="K1535" s="1123"/>
      <c r="L1535" s="1123"/>
      <c r="M1535" s="1123"/>
      <c r="N1535" s="1123"/>
      <c r="V1535" s="1224"/>
    </row>
    <row r="1536" spans="1:22">
      <c r="A1536" s="1289"/>
      <c r="B1536" s="1123"/>
      <c r="C1536" s="1123"/>
      <c r="D1536" s="1123"/>
      <c r="E1536" s="1123"/>
      <c r="G1536" s="1123"/>
      <c r="H1536" s="1123"/>
      <c r="I1536" s="1123"/>
      <c r="J1536" s="1123"/>
      <c r="K1536" s="1123"/>
      <c r="L1536" s="1123"/>
      <c r="M1536" s="1123"/>
      <c r="N1536" s="1123"/>
      <c r="V1536" s="1224"/>
    </row>
    <row r="1537" spans="1:22">
      <c r="A1537" s="1289"/>
      <c r="B1537" s="1123"/>
      <c r="C1537" s="1123"/>
      <c r="D1537" s="1123"/>
      <c r="E1537" s="1123"/>
      <c r="G1537" s="1123"/>
      <c r="H1537" s="1123"/>
      <c r="I1537" s="1123"/>
      <c r="J1537" s="1123"/>
      <c r="K1537" s="1123"/>
      <c r="L1537" s="1123"/>
      <c r="M1537" s="1123"/>
      <c r="N1537" s="1123"/>
      <c r="V1537" s="1224"/>
    </row>
    <row r="1538" spans="1:22">
      <c r="A1538" s="1289"/>
      <c r="B1538" s="1123"/>
      <c r="C1538" s="1123"/>
      <c r="D1538" s="1123"/>
      <c r="E1538" s="1123"/>
      <c r="G1538" s="1123"/>
      <c r="H1538" s="1123"/>
      <c r="I1538" s="1123"/>
      <c r="J1538" s="1123"/>
      <c r="K1538" s="1123"/>
      <c r="L1538" s="1123"/>
      <c r="M1538" s="1123"/>
      <c r="N1538" s="1123"/>
      <c r="V1538" s="1224"/>
    </row>
    <row r="1539" spans="1:22">
      <c r="A1539" s="1289"/>
      <c r="B1539" s="1123"/>
      <c r="C1539" s="1123"/>
      <c r="D1539" s="1123"/>
      <c r="E1539" s="1123"/>
      <c r="G1539" s="1123"/>
      <c r="H1539" s="1123"/>
      <c r="I1539" s="1123"/>
      <c r="J1539" s="1123"/>
      <c r="K1539" s="1123"/>
      <c r="L1539" s="1123"/>
      <c r="M1539" s="1123"/>
      <c r="N1539" s="1123"/>
      <c r="V1539" s="1224"/>
    </row>
    <row r="1540" spans="1:22">
      <c r="A1540" s="1289"/>
      <c r="B1540" s="1123"/>
      <c r="C1540" s="1123"/>
      <c r="D1540" s="1123"/>
      <c r="E1540" s="1123"/>
      <c r="G1540" s="1123"/>
      <c r="H1540" s="1123"/>
      <c r="I1540" s="1123"/>
      <c r="J1540" s="1123"/>
      <c r="K1540" s="1123"/>
      <c r="L1540" s="1123"/>
      <c r="M1540" s="1123"/>
      <c r="N1540" s="1123"/>
      <c r="V1540" s="1224"/>
    </row>
    <row r="1541" spans="1:22">
      <c r="A1541" s="1289"/>
      <c r="B1541" s="1123"/>
      <c r="C1541" s="1123"/>
      <c r="D1541" s="1123"/>
      <c r="E1541" s="1123"/>
      <c r="G1541" s="1123"/>
      <c r="H1541" s="1123"/>
      <c r="I1541" s="1123"/>
      <c r="J1541" s="1123"/>
      <c r="K1541" s="1123"/>
      <c r="L1541" s="1123"/>
      <c r="M1541" s="1123"/>
      <c r="N1541" s="1123"/>
      <c r="V1541" s="1224"/>
    </row>
    <row r="1542" spans="1:22">
      <c r="A1542" s="1289"/>
      <c r="B1542" s="1123"/>
      <c r="C1542" s="1123"/>
      <c r="D1542" s="1123"/>
      <c r="E1542" s="1123"/>
      <c r="G1542" s="1123"/>
      <c r="H1542" s="1123"/>
      <c r="I1542" s="1123"/>
      <c r="J1542" s="1123"/>
      <c r="K1542" s="1123"/>
      <c r="L1542" s="1123"/>
      <c r="M1542" s="1123"/>
      <c r="N1542" s="1123"/>
      <c r="V1542" s="1224"/>
    </row>
    <row r="1543" spans="1:22">
      <c r="A1543" s="1289"/>
      <c r="B1543" s="1123"/>
      <c r="C1543" s="1123"/>
      <c r="D1543" s="1123"/>
      <c r="E1543" s="1123"/>
      <c r="G1543" s="1123"/>
      <c r="H1543" s="1123"/>
      <c r="I1543" s="1123"/>
      <c r="J1543" s="1123"/>
      <c r="K1543" s="1123"/>
      <c r="L1543" s="1123"/>
      <c r="M1543" s="1123"/>
      <c r="N1543" s="1123"/>
      <c r="V1543" s="1224"/>
    </row>
    <row r="1544" spans="1:22">
      <c r="A1544" s="1289"/>
      <c r="B1544" s="1123"/>
      <c r="C1544" s="1123"/>
      <c r="D1544" s="1123"/>
      <c r="E1544" s="1123"/>
      <c r="G1544" s="1123"/>
      <c r="H1544" s="1123"/>
      <c r="I1544" s="1123"/>
      <c r="J1544" s="1123"/>
      <c r="K1544" s="1123"/>
      <c r="L1544" s="1123"/>
      <c r="M1544" s="1123"/>
      <c r="N1544" s="1123"/>
      <c r="V1544" s="1224"/>
    </row>
    <row r="1545" spans="1:22">
      <c r="A1545" s="1289"/>
      <c r="B1545" s="1123"/>
      <c r="C1545" s="1123"/>
      <c r="D1545" s="1123"/>
      <c r="E1545" s="1123"/>
      <c r="G1545" s="1123"/>
      <c r="H1545" s="1123"/>
      <c r="I1545" s="1123"/>
      <c r="J1545" s="1123"/>
      <c r="K1545" s="1123"/>
      <c r="L1545" s="1123"/>
      <c r="M1545" s="1123"/>
      <c r="N1545" s="1123"/>
      <c r="V1545" s="1224"/>
    </row>
    <row r="1546" spans="1:22">
      <c r="A1546" s="1289"/>
      <c r="B1546" s="1123"/>
      <c r="C1546" s="1123"/>
      <c r="D1546" s="1123"/>
      <c r="E1546" s="1123"/>
      <c r="G1546" s="1123"/>
      <c r="H1546" s="1123"/>
      <c r="I1546" s="1123"/>
      <c r="J1546" s="1123"/>
      <c r="K1546" s="1123"/>
      <c r="L1546" s="1123"/>
      <c r="M1546" s="1123"/>
      <c r="N1546" s="1123"/>
      <c r="V1546" s="1224"/>
    </row>
    <row r="1547" spans="1:22">
      <c r="A1547" s="1289"/>
      <c r="B1547" s="1123"/>
      <c r="C1547" s="1123"/>
      <c r="D1547" s="1123"/>
      <c r="E1547" s="1123"/>
      <c r="G1547" s="1123"/>
      <c r="H1547" s="1123"/>
      <c r="I1547" s="1123"/>
      <c r="J1547" s="1123"/>
      <c r="K1547" s="1123"/>
      <c r="L1547" s="1123"/>
      <c r="M1547" s="1123"/>
      <c r="N1547" s="1123"/>
      <c r="V1547" s="1224"/>
    </row>
    <row r="1548" spans="1:22">
      <c r="A1548" s="1289"/>
      <c r="B1548" s="1123"/>
      <c r="C1548" s="1123"/>
      <c r="D1548" s="1123"/>
      <c r="E1548" s="1123"/>
      <c r="G1548" s="1123"/>
      <c r="H1548" s="1123"/>
      <c r="I1548" s="1123"/>
      <c r="J1548" s="1123"/>
      <c r="K1548" s="1123"/>
      <c r="L1548" s="1123"/>
      <c r="M1548" s="1123"/>
      <c r="N1548" s="1123"/>
      <c r="V1548" s="1224"/>
    </row>
    <row r="1549" spans="1:22">
      <c r="A1549" s="1289"/>
      <c r="B1549" s="1123"/>
      <c r="C1549" s="1123"/>
      <c r="D1549" s="1123"/>
      <c r="E1549" s="1123"/>
      <c r="G1549" s="1123"/>
      <c r="H1549" s="1123"/>
      <c r="I1549" s="1123"/>
      <c r="J1549" s="1123"/>
      <c r="K1549" s="1123"/>
      <c r="L1549" s="1123"/>
      <c r="M1549" s="1123"/>
      <c r="N1549" s="1123"/>
      <c r="V1549" s="1224"/>
    </row>
    <row r="1550" spans="1:22">
      <c r="A1550" s="1289"/>
      <c r="B1550" s="1123"/>
      <c r="C1550" s="1123"/>
      <c r="D1550" s="1123"/>
      <c r="E1550" s="1123"/>
      <c r="G1550" s="1123"/>
      <c r="H1550" s="1123"/>
      <c r="I1550" s="1123"/>
      <c r="J1550" s="1123"/>
      <c r="K1550" s="1123"/>
      <c r="L1550" s="1123"/>
      <c r="M1550" s="1123"/>
      <c r="N1550" s="1123"/>
      <c r="V1550" s="1224"/>
    </row>
    <row r="1551" spans="1:22">
      <c r="A1551" s="1289"/>
      <c r="B1551" s="1123"/>
      <c r="C1551" s="1123"/>
      <c r="D1551" s="1123"/>
      <c r="E1551" s="1123"/>
      <c r="G1551" s="1123"/>
      <c r="H1551" s="1123"/>
      <c r="I1551" s="1123"/>
      <c r="J1551" s="1123"/>
      <c r="K1551" s="1123"/>
      <c r="L1551" s="1123"/>
      <c r="M1551" s="1123"/>
      <c r="N1551" s="1123"/>
      <c r="V1551" s="1224"/>
    </row>
    <row r="1552" spans="1:22">
      <c r="A1552" s="1289"/>
      <c r="B1552" s="1123"/>
      <c r="C1552" s="1123"/>
      <c r="D1552" s="1123"/>
      <c r="E1552" s="1123"/>
      <c r="G1552" s="1123"/>
      <c r="H1552" s="1123"/>
      <c r="I1552" s="1123"/>
      <c r="J1552" s="1123"/>
      <c r="K1552" s="1123"/>
      <c r="L1552" s="1123"/>
      <c r="M1552" s="1123"/>
      <c r="N1552" s="1123"/>
      <c r="V1552" s="1224"/>
    </row>
    <row r="1553" spans="1:22">
      <c r="A1553" s="1289"/>
      <c r="B1553" s="1123"/>
      <c r="C1553" s="1123"/>
      <c r="D1553" s="1123"/>
      <c r="E1553" s="1123"/>
      <c r="G1553" s="1123"/>
      <c r="H1553" s="1123"/>
      <c r="I1553" s="1123"/>
      <c r="J1553" s="1123"/>
      <c r="K1553" s="1123"/>
      <c r="L1553" s="1123"/>
      <c r="M1553" s="1123"/>
      <c r="N1553" s="1123"/>
      <c r="V1553" s="1224"/>
    </row>
    <row r="1554" spans="1:22">
      <c r="A1554" s="1289"/>
      <c r="B1554" s="1123"/>
      <c r="C1554" s="1123"/>
      <c r="D1554" s="1123"/>
      <c r="E1554" s="1123"/>
      <c r="G1554" s="1123"/>
      <c r="H1554" s="1123"/>
      <c r="I1554" s="1123"/>
      <c r="J1554" s="1123"/>
      <c r="K1554" s="1123"/>
      <c r="L1554" s="1123"/>
      <c r="M1554" s="1123"/>
      <c r="N1554" s="1123"/>
      <c r="V1554" s="1224"/>
    </row>
    <row r="1555" spans="1:22">
      <c r="A1555" s="1289"/>
      <c r="B1555" s="1123"/>
      <c r="C1555" s="1123"/>
      <c r="D1555" s="1123"/>
      <c r="E1555" s="1123"/>
      <c r="G1555" s="1123"/>
      <c r="H1555" s="1123"/>
      <c r="I1555" s="1123"/>
      <c r="J1555" s="1123"/>
      <c r="K1555" s="1123"/>
      <c r="L1555" s="1123"/>
      <c r="M1555" s="1123"/>
      <c r="N1555" s="1123"/>
      <c r="V1555" s="1224"/>
    </row>
    <row r="1556" spans="1:22">
      <c r="A1556" s="1289"/>
      <c r="B1556" s="1123"/>
      <c r="C1556" s="1123"/>
      <c r="D1556" s="1123"/>
      <c r="E1556" s="1123"/>
      <c r="G1556" s="1123"/>
      <c r="H1556" s="1123"/>
      <c r="I1556" s="1123"/>
      <c r="J1556" s="1123"/>
      <c r="K1556" s="1123"/>
      <c r="L1556" s="1123"/>
      <c r="M1556" s="1123"/>
      <c r="N1556" s="1123"/>
      <c r="V1556" s="1224"/>
    </row>
    <row r="1557" spans="1:22">
      <c r="A1557" s="1289"/>
      <c r="B1557" s="1123"/>
      <c r="C1557" s="1123"/>
      <c r="D1557" s="1123"/>
      <c r="E1557" s="1123"/>
      <c r="G1557" s="1123"/>
      <c r="H1557" s="1123"/>
      <c r="I1557" s="1123"/>
      <c r="J1557" s="1123"/>
      <c r="K1557" s="1123"/>
      <c r="L1557" s="1123"/>
      <c r="M1557" s="1123"/>
      <c r="N1557" s="1123"/>
      <c r="V1557" s="1224"/>
    </row>
    <row r="1558" spans="1:22">
      <c r="A1558" s="1289"/>
      <c r="B1558" s="1123"/>
      <c r="C1558" s="1123"/>
      <c r="D1558" s="1123"/>
      <c r="E1558" s="1123"/>
      <c r="G1558" s="1123"/>
      <c r="H1558" s="1123"/>
      <c r="I1558" s="1123"/>
      <c r="J1558" s="1123"/>
      <c r="K1558" s="1123"/>
      <c r="L1558" s="1123"/>
      <c r="M1558" s="1123"/>
      <c r="N1558" s="1123"/>
      <c r="V1558" s="1224"/>
    </row>
    <row r="1559" spans="1:22">
      <c r="A1559" s="1289"/>
      <c r="B1559" s="1123"/>
      <c r="C1559" s="1123"/>
      <c r="D1559" s="1123"/>
      <c r="E1559" s="1123"/>
      <c r="G1559" s="1123"/>
      <c r="H1559" s="1123"/>
      <c r="I1559" s="1123"/>
      <c r="J1559" s="1123"/>
      <c r="K1559" s="1123"/>
      <c r="L1559" s="1123"/>
      <c r="M1559" s="1123"/>
      <c r="N1559" s="1123"/>
      <c r="V1559" s="1224"/>
    </row>
    <row r="1560" spans="1:22">
      <c r="A1560" s="1289"/>
      <c r="B1560" s="1123"/>
      <c r="C1560" s="1123"/>
      <c r="D1560" s="1123"/>
      <c r="E1560" s="1123"/>
      <c r="G1560" s="1123"/>
      <c r="H1560" s="1123"/>
      <c r="I1560" s="1123"/>
      <c r="J1560" s="1123"/>
      <c r="K1560" s="1123"/>
      <c r="L1560" s="1123"/>
      <c r="M1560" s="1123"/>
      <c r="N1560" s="1123"/>
      <c r="V1560" s="1224"/>
    </row>
    <row r="1561" spans="1:22">
      <c r="A1561" s="1289"/>
      <c r="B1561" s="1123"/>
      <c r="C1561" s="1123"/>
      <c r="D1561" s="1123"/>
      <c r="E1561" s="1123"/>
      <c r="G1561" s="1123"/>
      <c r="H1561" s="1123"/>
      <c r="I1561" s="1123"/>
      <c r="J1561" s="1123"/>
      <c r="K1561" s="1123"/>
      <c r="L1561" s="1123"/>
      <c r="M1561" s="1123"/>
      <c r="N1561" s="1123"/>
      <c r="V1561" s="1224"/>
    </row>
    <row r="1562" spans="1:22">
      <c r="A1562" s="1289"/>
      <c r="B1562" s="1123"/>
      <c r="C1562" s="1123"/>
      <c r="D1562" s="1123"/>
      <c r="E1562" s="1123"/>
      <c r="G1562" s="1123"/>
      <c r="H1562" s="1123"/>
      <c r="I1562" s="1123"/>
      <c r="J1562" s="1123"/>
      <c r="K1562" s="1123"/>
      <c r="L1562" s="1123"/>
      <c r="M1562" s="1123"/>
      <c r="N1562" s="1123"/>
      <c r="V1562" s="1224"/>
    </row>
    <row r="1563" spans="1:22">
      <c r="A1563" s="1289"/>
      <c r="B1563" s="1123"/>
      <c r="C1563" s="1123"/>
      <c r="D1563" s="1123"/>
      <c r="E1563" s="1123"/>
      <c r="G1563" s="1123"/>
      <c r="H1563" s="1123"/>
      <c r="I1563" s="1123"/>
      <c r="J1563" s="1123"/>
      <c r="K1563" s="1123"/>
      <c r="L1563" s="1123"/>
      <c r="M1563" s="1123"/>
      <c r="N1563" s="1123"/>
      <c r="V1563" s="1224"/>
    </row>
    <row r="1564" spans="1:22">
      <c r="A1564" s="1289"/>
      <c r="B1564" s="1123"/>
      <c r="C1564" s="1123"/>
      <c r="D1564" s="1123"/>
      <c r="E1564" s="1123"/>
      <c r="G1564" s="1123"/>
      <c r="H1564" s="1123"/>
      <c r="I1564" s="1123"/>
      <c r="J1564" s="1123"/>
      <c r="K1564" s="1123"/>
      <c r="L1564" s="1123"/>
      <c r="M1564" s="1123"/>
      <c r="N1564" s="1123"/>
      <c r="V1564" s="1224"/>
    </row>
    <row r="1565" spans="1:22">
      <c r="A1565" s="1289"/>
      <c r="B1565" s="1123"/>
      <c r="C1565" s="1123"/>
      <c r="D1565" s="1123"/>
      <c r="E1565" s="1123"/>
      <c r="G1565" s="1123"/>
      <c r="H1565" s="1123"/>
      <c r="I1565" s="1123"/>
      <c r="J1565" s="1123"/>
      <c r="K1565" s="1123"/>
      <c r="L1565" s="1123"/>
      <c r="M1565" s="1123"/>
      <c r="N1565" s="1123"/>
      <c r="V1565" s="1224"/>
    </row>
    <row r="1566" spans="1:22">
      <c r="A1566" s="1289"/>
      <c r="B1566" s="1123"/>
      <c r="C1566" s="1123"/>
      <c r="D1566" s="1123"/>
      <c r="E1566" s="1123"/>
      <c r="G1566" s="1123"/>
      <c r="H1566" s="1123"/>
      <c r="I1566" s="1123"/>
      <c r="J1566" s="1123"/>
      <c r="K1566" s="1123"/>
      <c r="L1566" s="1123"/>
      <c r="M1566" s="1123"/>
      <c r="N1566" s="1123"/>
      <c r="V1566" s="1224"/>
    </row>
    <row r="1567" spans="1:22">
      <c r="A1567" s="1289"/>
      <c r="B1567" s="1123"/>
      <c r="C1567" s="1123"/>
      <c r="D1567" s="1123"/>
      <c r="E1567" s="1123"/>
      <c r="G1567" s="1123"/>
      <c r="H1567" s="1123"/>
      <c r="I1567" s="1123"/>
      <c r="J1567" s="1123"/>
      <c r="K1567" s="1123"/>
      <c r="L1567" s="1123"/>
      <c r="M1567" s="1123"/>
      <c r="N1567" s="1123"/>
      <c r="V1567" s="1224"/>
    </row>
    <row r="1568" spans="1:22">
      <c r="A1568" s="1289"/>
      <c r="B1568" s="1123"/>
      <c r="C1568" s="1123"/>
      <c r="D1568" s="1123"/>
      <c r="E1568" s="1123"/>
      <c r="G1568" s="1123"/>
      <c r="H1568" s="1123"/>
      <c r="I1568" s="1123"/>
      <c r="J1568" s="1123"/>
      <c r="K1568" s="1123"/>
      <c r="L1568" s="1123"/>
      <c r="M1568" s="1123"/>
      <c r="N1568" s="1123"/>
      <c r="V1568" s="1224"/>
    </row>
    <row r="1569" spans="1:22">
      <c r="A1569" s="1289"/>
      <c r="B1569" s="1123"/>
      <c r="C1569" s="1123"/>
      <c r="D1569" s="1123"/>
      <c r="E1569" s="1123"/>
      <c r="G1569" s="1123"/>
      <c r="H1569" s="1123"/>
      <c r="I1569" s="1123"/>
      <c r="J1569" s="1123"/>
      <c r="K1569" s="1123"/>
      <c r="L1569" s="1123"/>
      <c r="M1569" s="1123"/>
      <c r="N1569" s="1123"/>
      <c r="V1569" s="1224"/>
    </row>
    <row r="1570" spans="1:22">
      <c r="A1570" s="1289"/>
      <c r="B1570" s="1123"/>
      <c r="C1570" s="1123"/>
      <c r="D1570" s="1123"/>
      <c r="E1570" s="1123"/>
      <c r="G1570" s="1123"/>
      <c r="H1570" s="1123"/>
      <c r="I1570" s="1123"/>
      <c r="J1570" s="1123"/>
      <c r="K1570" s="1123"/>
      <c r="L1570" s="1123"/>
      <c r="M1570" s="1123"/>
      <c r="N1570" s="1123"/>
      <c r="V1570" s="1224"/>
    </row>
    <row r="1571" spans="1:22">
      <c r="A1571" s="1289"/>
      <c r="B1571" s="1123"/>
      <c r="C1571" s="1123"/>
      <c r="D1571" s="1123"/>
      <c r="E1571" s="1123"/>
      <c r="G1571" s="1123"/>
      <c r="H1571" s="1123"/>
      <c r="I1571" s="1123"/>
      <c r="J1571" s="1123"/>
      <c r="K1571" s="1123"/>
      <c r="L1571" s="1123"/>
      <c r="M1571" s="1123"/>
      <c r="N1571" s="1123"/>
      <c r="V1571" s="1224"/>
    </row>
    <row r="1572" spans="1:22">
      <c r="A1572" s="1289"/>
      <c r="B1572" s="1123"/>
      <c r="C1572" s="1123"/>
      <c r="D1572" s="1123"/>
      <c r="E1572" s="1123"/>
      <c r="G1572" s="1123"/>
      <c r="H1572" s="1123"/>
      <c r="I1572" s="1123"/>
      <c r="J1572" s="1123"/>
      <c r="K1572" s="1123"/>
      <c r="L1572" s="1123"/>
      <c r="M1572" s="1123"/>
      <c r="N1572" s="1123"/>
      <c r="V1572" s="1224"/>
    </row>
    <row r="1573" spans="1:22">
      <c r="A1573" s="1289"/>
      <c r="B1573" s="1123"/>
      <c r="C1573" s="1123"/>
      <c r="D1573" s="1123"/>
      <c r="E1573" s="1123"/>
      <c r="G1573" s="1123"/>
      <c r="H1573" s="1123"/>
      <c r="I1573" s="1123"/>
      <c r="J1573" s="1123"/>
      <c r="K1573" s="1123"/>
      <c r="L1573" s="1123"/>
      <c r="M1573" s="1123"/>
      <c r="N1573" s="1123"/>
      <c r="V1573" s="1224"/>
    </row>
    <row r="1574" spans="1:22">
      <c r="A1574" s="1289"/>
      <c r="B1574" s="1123"/>
      <c r="C1574" s="1123"/>
      <c r="D1574" s="1123"/>
      <c r="E1574" s="1123"/>
      <c r="G1574" s="1123"/>
      <c r="H1574" s="1123"/>
      <c r="I1574" s="1123"/>
      <c r="J1574" s="1123"/>
      <c r="K1574" s="1123"/>
      <c r="L1574" s="1123"/>
      <c r="M1574" s="1123"/>
      <c r="N1574" s="1123"/>
      <c r="V1574" s="1224"/>
    </row>
    <row r="1575" spans="1:22">
      <c r="A1575" s="1289"/>
      <c r="B1575" s="1123"/>
      <c r="C1575" s="1123"/>
      <c r="D1575" s="1123"/>
      <c r="E1575" s="1123"/>
      <c r="G1575" s="1123"/>
      <c r="H1575" s="1123"/>
      <c r="I1575" s="1123"/>
      <c r="J1575" s="1123"/>
      <c r="K1575" s="1123"/>
      <c r="L1575" s="1123"/>
      <c r="M1575" s="1123"/>
      <c r="N1575" s="1123"/>
      <c r="V1575" s="1224"/>
    </row>
    <row r="1576" spans="1:22">
      <c r="A1576" s="1289"/>
      <c r="B1576" s="1123"/>
      <c r="C1576" s="1123"/>
      <c r="D1576" s="1123"/>
      <c r="E1576" s="1123"/>
      <c r="G1576" s="1123"/>
      <c r="H1576" s="1123"/>
      <c r="I1576" s="1123"/>
      <c r="J1576" s="1123"/>
      <c r="K1576" s="1123"/>
      <c r="L1576" s="1123"/>
      <c r="M1576" s="1123"/>
      <c r="N1576" s="1123"/>
      <c r="V1576" s="1224"/>
    </row>
    <row r="1577" spans="1:22">
      <c r="A1577" s="1289"/>
      <c r="B1577" s="1123"/>
      <c r="C1577" s="1123"/>
      <c r="D1577" s="1123"/>
      <c r="E1577" s="1123"/>
      <c r="G1577" s="1123"/>
      <c r="H1577" s="1123"/>
      <c r="I1577" s="1123"/>
      <c r="J1577" s="1123"/>
      <c r="K1577" s="1123"/>
      <c r="L1577" s="1123"/>
      <c r="M1577" s="1123"/>
      <c r="N1577" s="1123"/>
      <c r="V1577" s="1224"/>
    </row>
    <row r="1578" spans="1:22">
      <c r="A1578" s="1289"/>
      <c r="B1578" s="1123"/>
      <c r="C1578" s="1123"/>
      <c r="D1578" s="1123"/>
      <c r="E1578" s="1123"/>
      <c r="G1578" s="1123"/>
      <c r="H1578" s="1123"/>
      <c r="I1578" s="1123"/>
      <c r="J1578" s="1123"/>
      <c r="K1578" s="1123"/>
      <c r="L1578" s="1123"/>
      <c r="M1578" s="1123"/>
      <c r="N1578" s="1123"/>
      <c r="V1578" s="1224"/>
    </row>
    <row r="1579" spans="1:22">
      <c r="A1579" s="1289"/>
      <c r="B1579" s="1123"/>
      <c r="C1579" s="1123"/>
      <c r="D1579" s="1123"/>
      <c r="E1579" s="1123"/>
      <c r="G1579" s="1123"/>
      <c r="H1579" s="1123"/>
      <c r="I1579" s="1123"/>
      <c r="J1579" s="1123"/>
      <c r="K1579" s="1123"/>
      <c r="L1579" s="1123"/>
      <c r="M1579" s="1123"/>
      <c r="N1579" s="1123"/>
      <c r="V1579" s="1224"/>
    </row>
    <row r="1580" spans="1:22">
      <c r="A1580" s="1289"/>
      <c r="B1580" s="1123"/>
      <c r="C1580" s="1123"/>
      <c r="D1580" s="1123"/>
      <c r="E1580" s="1123"/>
      <c r="G1580" s="1123"/>
      <c r="H1580" s="1123"/>
      <c r="I1580" s="1123"/>
      <c r="J1580" s="1123"/>
      <c r="K1580" s="1123"/>
      <c r="L1580" s="1123"/>
      <c r="M1580" s="1123"/>
      <c r="N1580" s="1123"/>
      <c r="V1580" s="1224"/>
    </row>
    <row r="1581" spans="1:22">
      <c r="A1581" s="1289"/>
      <c r="B1581" s="1123"/>
      <c r="C1581" s="1123"/>
      <c r="D1581" s="1123"/>
      <c r="E1581" s="1123"/>
      <c r="G1581" s="1123"/>
      <c r="H1581" s="1123"/>
      <c r="I1581" s="1123"/>
      <c r="J1581" s="1123"/>
      <c r="K1581" s="1123"/>
      <c r="L1581" s="1123"/>
      <c r="M1581" s="1123"/>
      <c r="N1581" s="1123"/>
      <c r="V1581" s="1224"/>
    </row>
    <row r="1582" spans="1:22">
      <c r="A1582" s="1289"/>
      <c r="B1582" s="1123"/>
      <c r="C1582" s="1123"/>
      <c r="D1582" s="1123"/>
      <c r="E1582" s="1123"/>
      <c r="G1582" s="1123"/>
      <c r="H1582" s="1123"/>
      <c r="I1582" s="1123"/>
      <c r="J1582" s="1123"/>
      <c r="K1582" s="1123"/>
      <c r="L1582" s="1123"/>
      <c r="M1582" s="1123"/>
      <c r="N1582" s="1123"/>
      <c r="V1582" s="1224"/>
    </row>
    <row r="1583" spans="1:22">
      <c r="A1583" s="1289"/>
      <c r="B1583" s="1123"/>
      <c r="C1583" s="1123"/>
      <c r="D1583" s="1123"/>
      <c r="E1583" s="1123"/>
      <c r="G1583" s="1123"/>
      <c r="H1583" s="1123"/>
      <c r="I1583" s="1123"/>
      <c r="J1583" s="1123"/>
      <c r="K1583" s="1123"/>
      <c r="L1583" s="1123"/>
      <c r="M1583" s="1123"/>
      <c r="N1583" s="1123"/>
      <c r="V1583" s="1224"/>
    </row>
    <row r="1584" spans="1:22">
      <c r="A1584" s="1289"/>
      <c r="B1584" s="1123"/>
      <c r="C1584" s="1123"/>
      <c r="D1584" s="1123"/>
      <c r="E1584" s="1123"/>
      <c r="G1584" s="1123"/>
      <c r="H1584" s="1123"/>
      <c r="I1584" s="1123"/>
      <c r="J1584" s="1123"/>
      <c r="K1584" s="1123"/>
      <c r="L1584" s="1123"/>
      <c r="M1584" s="1123"/>
      <c r="N1584" s="1123"/>
      <c r="V1584" s="1224"/>
    </row>
    <row r="1585" spans="1:22">
      <c r="A1585" s="1289"/>
      <c r="B1585" s="1123"/>
      <c r="C1585" s="1123"/>
      <c r="D1585" s="1123"/>
      <c r="E1585" s="1123"/>
      <c r="G1585" s="1123"/>
      <c r="H1585" s="1123"/>
      <c r="I1585" s="1123"/>
      <c r="J1585" s="1123"/>
      <c r="K1585" s="1123"/>
      <c r="L1585" s="1123"/>
      <c r="M1585" s="1123"/>
      <c r="N1585" s="1123"/>
      <c r="V1585" s="1224"/>
    </row>
    <row r="1586" spans="1:22">
      <c r="A1586" s="1289"/>
      <c r="B1586" s="1123"/>
      <c r="C1586" s="1123"/>
      <c r="D1586" s="1123"/>
      <c r="E1586" s="1123"/>
      <c r="G1586" s="1123"/>
      <c r="H1586" s="1123"/>
      <c r="I1586" s="1123"/>
      <c r="J1586" s="1123"/>
      <c r="K1586" s="1123"/>
      <c r="L1586" s="1123"/>
      <c r="M1586" s="1123"/>
      <c r="N1586" s="1123"/>
      <c r="V1586" s="1224"/>
    </row>
    <row r="1587" spans="1:22">
      <c r="A1587" s="1289"/>
      <c r="B1587" s="1123"/>
      <c r="C1587" s="1123"/>
      <c r="D1587" s="1123"/>
      <c r="E1587" s="1123"/>
      <c r="G1587" s="1123"/>
      <c r="H1587" s="1123"/>
      <c r="I1587" s="1123"/>
      <c r="J1587" s="1123"/>
      <c r="K1587" s="1123"/>
      <c r="L1587" s="1123"/>
      <c r="M1587" s="1123"/>
      <c r="N1587" s="1123"/>
      <c r="V1587" s="1224"/>
    </row>
    <row r="1588" spans="1:22">
      <c r="A1588" s="1289"/>
      <c r="B1588" s="1123"/>
      <c r="C1588" s="1123"/>
      <c r="D1588" s="1123"/>
      <c r="E1588" s="1123"/>
      <c r="G1588" s="1123"/>
      <c r="H1588" s="1123"/>
      <c r="I1588" s="1123"/>
      <c r="J1588" s="1123"/>
      <c r="K1588" s="1123"/>
      <c r="L1588" s="1123"/>
      <c r="M1588" s="1123"/>
      <c r="N1588" s="1123"/>
      <c r="V1588" s="1224"/>
    </row>
    <row r="1589" spans="1:22">
      <c r="A1589" s="1289"/>
      <c r="B1589" s="1123"/>
      <c r="C1589" s="1123"/>
      <c r="D1589" s="1123"/>
      <c r="E1589" s="1123"/>
      <c r="G1589" s="1123"/>
      <c r="H1589" s="1123"/>
      <c r="I1589" s="1123"/>
      <c r="J1589" s="1123"/>
      <c r="K1589" s="1123"/>
      <c r="L1589" s="1123"/>
      <c r="M1589" s="1123"/>
      <c r="N1589" s="1123"/>
      <c r="V1589" s="1224"/>
    </row>
    <row r="1590" spans="1:22">
      <c r="A1590" s="1289"/>
      <c r="B1590" s="1123"/>
      <c r="C1590" s="1123"/>
      <c r="D1590" s="1123"/>
      <c r="E1590" s="1123"/>
      <c r="G1590" s="1123"/>
      <c r="H1590" s="1123"/>
      <c r="I1590" s="1123"/>
      <c r="J1590" s="1123"/>
      <c r="K1590" s="1123"/>
      <c r="L1590" s="1123"/>
      <c r="M1590" s="1123"/>
      <c r="N1590" s="1123"/>
      <c r="V1590" s="1224"/>
    </row>
    <row r="1591" spans="1:22">
      <c r="A1591" s="1289"/>
      <c r="B1591" s="1123"/>
      <c r="C1591" s="1123"/>
      <c r="D1591" s="1123"/>
      <c r="E1591" s="1123"/>
      <c r="G1591" s="1123"/>
      <c r="H1591" s="1123"/>
      <c r="I1591" s="1123"/>
      <c r="J1591" s="1123"/>
      <c r="K1591" s="1123"/>
      <c r="L1591" s="1123"/>
      <c r="M1591" s="1123"/>
      <c r="N1591" s="1123"/>
      <c r="V1591" s="1224"/>
    </row>
    <row r="1592" spans="1:22">
      <c r="A1592" s="1289"/>
      <c r="B1592" s="1123"/>
      <c r="C1592" s="1123"/>
      <c r="D1592" s="1123"/>
      <c r="E1592" s="1123"/>
      <c r="G1592" s="1123"/>
      <c r="H1592" s="1123"/>
      <c r="I1592" s="1123"/>
      <c r="J1592" s="1123"/>
      <c r="K1592" s="1123"/>
      <c r="L1592" s="1123"/>
      <c r="M1592" s="1123"/>
      <c r="N1592" s="1123"/>
      <c r="V1592" s="1224"/>
    </row>
    <row r="1593" spans="1:22">
      <c r="A1593" s="1289"/>
      <c r="B1593" s="1123"/>
      <c r="C1593" s="1123"/>
      <c r="D1593" s="1123"/>
      <c r="E1593" s="1123"/>
      <c r="G1593" s="1123"/>
      <c r="H1593" s="1123"/>
      <c r="I1593" s="1123"/>
      <c r="J1593" s="1123"/>
      <c r="K1593" s="1123"/>
      <c r="L1593" s="1123"/>
      <c r="M1593" s="1123"/>
      <c r="N1593" s="1123"/>
      <c r="V1593" s="1224"/>
    </row>
    <row r="1594" spans="1:22">
      <c r="A1594" s="1289"/>
      <c r="B1594" s="1123"/>
      <c r="C1594" s="1123"/>
      <c r="D1594" s="1123"/>
      <c r="E1594" s="1123"/>
      <c r="G1594" s="1123"/>
      <c r="H1594" s="1123"/>
      <c r="I1594" s="1123"/>
      <c r="J1594" s="1123"/>
      <c r="K1594" s="1123"/>
      <c r="L1594" s="1123"/>
      <c r="M1594" s="1123"/>
      <c r="N1594" s="1123"/>
      <c r="V1594" s="1224"/>
    </row>
    <row r="1595" spans="1:22">
      <c r="A1595" s="1289"/>
      <c r="B1595" s="1123"/>
      <c r="C1595" s="1123"/>
      <c r="D1595" s="1123"/>
      <c r="E1595" s="1123"/>
      <c r="G1595" s="1123"/>
      <c r="H1595" s="1123"/>
      <c r="I1595" s="1123"/>
      <c r="J1595" s="1123"/>
      <c r="K1595" s="1123"/>
      <c r="L1595" s="1123"/>
      <c r="M1595" s="1123"/>
      <c r="N1595" s="1123"/>
      <c r="V1595" s="1224"/>
    </row>
    <row r="1596" spans="1:22">
      <c r="A1596" s="1289"/>
      <c r="B1596" s="1123"/>
      <c r="C1596" s="1123"/>
      <c r="D1596" s="1123"/>
      <c r="E1596" s="1123"/>
      <c r="G1596" s="1123"/>
      <c r="H1596" s="1123"/>
      <c r="I1596" s="1123"/>
      <c r="J1596" s="1123"/>
      <c r="K1596" s="1123"/>
      <c r="L1596" s="1123"/>
      <c r="M1596" s="1123"/>
      <c r="N1596" s="1123"/>
      <c r="V1596" s="1224"/>
    </row>
    <row r="1597" spans="1:22">
      <c r="A1597" s="1289"/>
      <c r="B1597" s="1123"/>
      <c r="C1597" s="1123"/>
      <c r="D1597" s="1123"/>
      <c r="E1597" s="1123"/>
      <c r="G1597" s="1123"/>
      <c r="H1597" s="1123"/>
      <c r="I1597" s="1123"/>
      <c r="J1597" s="1123"/>
      <c r="K1597" s="1123"/>
      <c r="L1597" s="1123"/>
      <c r="M1597" s="1123"/>
      <c r="N1597" s="1123"/>
      <c r="V1597" s="1224"/>
    </row>
    <row r="1598" spans="1:22">
      <c r="A1598" s="1289"/>
      <c r="B1598" s="1123"/>
      <c r="C1598" s="1123"/>
      <c r="D1598" s="1123"/>
      <c r="E1598" s="1123"/>
      <c r="G1598" s="1123"/>
      <c r="H1598" s="1123"/>
      <c r="I1598" s="1123"/>
      <c r="J1598" s="1123"/>
      <c r="K1598" s="1123"/>
      <c r="L1598" s="1123"/>
      <c r="M1598" s="1123"/>
      <c r="N1598" s="1123"/>
      <c r="V1598" s="1224"/>
    </row>
    <row r="1599" spans="1:22">
      <c r="A1599" s="1289"/>
      <c r="B1599" s="1123"/>
      <c r="C1599" s="1123"/>
      <c r="D1599" s="1123"/>
      <c r="E1599" s="1123"/>
      <c r="G1599" s="1123"/>
      <c r="H1599" s="1123"/>
      <c r="I1599" s="1123"/>
      <c r="J1599" s="1123"/>
      <c r="K1599" s="1123"/>
      <c r="L1599" s="1123"/>
      <c r="M1599" s="1123"/>
      <c r="N1599" s="1123"/>
      <c r="V1599" s="1224"/>
    </row>
    <row r="1600" spans="1:22">
      <c r="A1600" s="1289"/>
      <c r="B1600" s="1123"/>
      <c r="C1600" s="1123"/>
      <c r="D1600" s="1123"/>
      <c r="E1600" s="1123"/>
      <c r="G1600" s="1123"/>
      <c r="H1600" s="1123"/>
      <c r="I1600" s="1123"/>
      <c r="J1600" s="1123"/>
      <c r="K1600" s="1123"/>
      <c r="L1600" s="1123"/>
      <c r="M1600" s="1123"/>
      <c r="N1600" s="1123"/>
      <c r="V1600" s="1224"/>
    </row>
    <row r="1601" spans="1:22">
      <c r="A1601" s="1289"/>
      <c r="B1601" s="1123"/>
      <c r="C1601" s="1123"/>
      <c r="D1601" s="1123"/>
      <c r="E1601" s="1123"/>
      <c r="G1601" s="1123"/>
      <c r="H1601" s="1123"/>
      <c r="I1601" s="1123"/>
      <c r="J1601" s="1123"/>
      <c r="K1601" s="1123"/>
      <c r="L1601" s="1123"/>
      <c r="M1601" s="1123"/>
      <c r="N1601" s="1123"/>
      <c r="V1601" s="1224"/>
    </row>
    <row r="1602" spans="1:22">
      <c r="A1602" s="1289"/>
      <c r="B1602" s="1123"/>
      <c r="C1602" s="1123"/>
      <c r="D1602" s="1123"/>
      <c r="E1602" s="1123"/>
      <c r="G1602" s="1123"/>
      <c r="H1602" s="1123"/>
      <c r="I1602" s="1123"/>
      <c r="J1602" s="1123"/>
      <c r="K1602" s="1123"/>
      <c r="L1602" s="1123"/>
      <c r="M1602" s="1123"/>
      <c r="N1602" s="1123"/>
      <c r="V1602" s="1224"/>
    </row>
    <row r="1603" spans="1:22">
      <c r="A1603" s="1289"/>
      <c r="B1603" s="1123"/>
      <c r="C1603" s="1123"/>
      <c r="D1603" s="1123"/>
      <c r="E1603" s="1123"/>
      <c r="G1603" s="1123"/>
      <c r="H1603" s="1123"/>
      <c r="I1603" s="1123"/>
      <c r="J1603" s="1123"/>
      <c r="K1603" s="1123"/>
      <c r="L1603" s="1123"/>
      <c r="M1603" s="1123"/>
      <c r="N1603" s="1123"/>
      <c r="V1603" s="1224"/>
    </row>
    <row r="1604" spans="1:22">
      <c r="A1604" s="1289"/>
      <c r="B1604" s="1123"/>
      <c r="C1604" s="1123"/>
      <c r="D1604" s="1123"/>
      <c r="E1604" s="1123"/>
      <c r="G1604" s="1123"/>
      <c r="H1604" s="1123"/>
      <c r="I1604" s="1123"/>
      <c r="J1604" s="1123"/>
      <c r="K1604" s="1123"/>
      <c r="L1604" s="1123"/>
      <c r="M1604" s="1123"/>
      <c r="N1604" s="1123"/>
      <c r="V1604" s="1224"/>
    </row>
    <row r="1605" spans="1:22">
      <c r="A1605" s="1289"/>
      <c r="B1605" s="1123"/>
      <c r="C1605" s="1123"/>
      <c r="D1605" s="1123"/>
      <c r="E1605" s="1123"/>
      <c r="G1605" s="1123"/>
      <c r="H1605" s="1123"/>
      <c r="I1605" s="1123"/>
      <c r="J1605" s="1123"/>
      <c r="K1605" s="1123"/>
      <c r="L1605" s="1123"/>
      <c r="M1605" s="1123"/>
      <c r="N1605" s="1123"/>
      <c r="V1605" s="1224"/>
    </row>
    <row r="1606" spans="1:22">
      <c r="A1606" s="1289"/>
      <c r="B1606" s="1123"/>
      <c r="C1606" s="1123"/>
      <c r="D1606" s="1123"/>
      <c r="E1606" s="1123"/>
      <c r="G1606" s="1123"/>
      <c r="H1606" s="1123"/>
      <c r="I1606" s="1123"/>
      <c r="J1606" s="1123"/>
      <c r="K1606" s="1123"/>
      <c r="L1606" s="1123"/>
      <c r="M1606" s="1123"/>
      <c r="N1606" s="1123"/>
      <c r="V1606" s="1224"/>
    </row>
    <row r="1607" spans="1:22">
      <c r="A1607" s="1289"/>
      <c r="B1607" s="1123"/>
      <c r="C1607" s="1123"/>
      <c r="D1607" s="1123"/>
      <c r="E1607" s="1123"/>
      <c r="G1607" s="1123"/>
      <c r="H1607" s="1123"/>
      <c r="I1607" s="1123"/>
      <c r="J1607" s="1123"/>
      <c r="K1607" s="1123"/>
      <c r="L1607" s="1123"/>
      <c r="M1607" s="1123"/>
      <c r="N1607" s="1123"/>
      <c r="V1607" s="1224"/>
    </row>
    <row r="1608" spans="1:22">
      <c r="A1608" s="1289"/>
      <c r="B1608" s="1123"/>
      <c r="C1608" s="1123"/>
      <c r="D1608" s="1123"/>
      <c r="E1608" s="1123"/>
      <c r="G1608" s="1123"/>
      <c r="H1608" s="1123"/>
      <c r="I1608" s="1123"/>
      <c r="J1608" s="1123"/>
      <c r="K1608" s="1123"/>
      <c r="L1608" s="1123"/>
      <c r="M1608" s="1123"/>
      <c r="N1608" s="1123"/>
      <c r="V1608" s="1224"/>
    </row>
    <row r="1609" spans="1:22">
      <c r="A1609" s="1289"/>
      <c r="B1609" s="1123"/>
      <c r="C1609" s="1123"/>
      <c r="D1609" s="1123"/>
      <c r="E1609" s="1123"/>
      <c r="G1609" s="1123"/>
      <c r="H1609" s="1123"/>
      <c r="I1609" s="1123"/>
      <c r="J1609" s="1123"/>
      <c r="K1609" s="1123"/>
      <c r="L1609" s="1123"/>
      <c r="M1609" s="1123"/>
      <c r="N1609" s="1123"/>
      <c r="V1609" s="1224"/>
    </row>
    <row r="1610" spans="1:22">
      <c r="A1610" s="1289"/>
      <c r="B1610" s="1123"/>
      <c r="C1610" s="1123"/>
      <c r="D1610" s="1123"/>
      <c r="E1610" s="1123"/>
      <c r="G1610" s="1123"/>
      <c r="H1610" s="1123"/>
      <c r="I1610" s="1123"/>
      <c r="J1610" s="1123"/>
      <c r="K1610" s="1123"/>
      <c r="L1610" s="1123"/>
      <c r="M1610" s="1123"/>
      <c r="N1610" s="1123"/>
      <c r="V1610" s="1224"/>
    </row>
    <row r="1611" spans="1:22">
      <c r="A1611" s="1289"/>
      <c r="B1611" s="1123"/>
      <c r="C1611" s="1123"/>
      <c r="D1611" s="1123"/>
      <c r="E1611" s="1123"/>
      <c r="G1611" s="1123"/>
      <c r="H1611" s="1123"/>
      <c r="I1611" s="1123"/>
      <c r="J1611" s="1123"/>
      <c r="K1611" s="1123"/>
      <c r="L1611" s="1123"/>
      <c r="M1611" s="1123"/>
      <c r="N1611" s="1123"/>
      <c r="V1611" s="1224"/>
    </row>
    <row r="1612" spans="1:22">
      <c r="A1612" s="1289"/>
      <c r="B1612" s="1123"/>
      <c r="C1612" s="1123"/>
      <c r="D1612" s="1123"/>
      <c r="E1612" s="1123"/>
      <c r="G1612" s="1123"/>
      <c r="H1612" s="1123"/>
      <c r="I1612" s="1123"/>
      <c r="J1612" s="1123"/>
      <c r="K1612" s="1123"/>
      <c r="L1612" s="1123"/>
      <c r="M1612" s="1123"/>
      <c r="N1612" s="1123"/>
      <c r="V1612" s="1224"/>
    </row>
    <row r="1613" spans="1:22">
      <c r="A1613" s="1289"/>
      <c r="B1613" s="1123"/>
      <c r="C1613" s="1123"/>
      <c r="D1613" s="1123"/>
      <c r="E1613" s="1123"/>
      <c r="G1613" s="1123"/>
      <c r="H1613" s="1123"/>
      <c r="I1613" s="1123"/>
      <c r="J1613" s="1123"/>
      <c r="K1613" s="1123"/>
      <c r="L1613" s="1123"/>
      <c r="M1613" s="1123"/>
      <c r="N1613" s="1123"/>
      <c r="V1613" s="1224"/>
    </row>
    <row r="1614" spans="1:22">
      <c r="A1614" s="1289"/>
      <c r="B1614" s="1123"/>
      <c r="C1614" s="1123"/>
      <c r="D1614" s="1123"/>
      <c r="E1614" s="1123"/>
      <c r="G1614" s="1123"/>
      <c r="H1614" s="1123"/>
      <c r="I1614" s="1123"/>
      <c r="J1614" s="1123"/>
      <c r="K1614" s="1123"/>
      <c r="L1614" s="1123"/>
      <c r="M1614" s="1123"/>
      <c r="N1614" s="1123"/>
      <c r="V1614" s="1224"/>
    </row>
    <row r="1615" spans="1:22">
      <c r="A1615" s="1289"/>
      <c r="B1615" s="1123"/>
      <c r="C1615" s="1123"/>
      <c r="D1615" s="1123"/>
      <c r="E1615" s="1123"/>
      <c r="G1615" s="1123"/>
      <c r="H1615" s="1123"/>
      <c r="I1615" s="1123"/>
      <c r="J1615" s="1123"/>
      <c r="K1615" s="1123"/>
      <c r="L1615" s="1123"/>
      <c r="M1615" s="1123"/>
      <c r="N1615" s="1123"/>
      <c r="V1615" s="1224"/>
    </row>
    <row r="1616" spans="1:22">
      <c r="A1616" s="1289"/>
      <c r="B1616" s="1123"/>
      <c r="C1616" s="1123"/>
      <c r="D1616" s="1123"/>
      <c r="E1616" s="1123"/>
      <c r="G1616" s="1123"/>
      <c r="H1616" s="1123"/>
      <c r="I1616" s="1123"/>
      <c r="J1616" s="1123"/>
      <c r="K1616" s="1123"/>
      <c r="L1616" s="1123"/>
      <c r="M1616" s="1123"/>
      <c r="N1616" s="1123"/>
      <c r="V1616" s="1224"/>
    </row>
    <row r="1617" spans="1:22">
      <c r="A1617" s="1289"/>
      <c r="B1617" s="1123"/>
      <c r="C1617" s="1123"/>
      <c r="D1617" s="1123"/>
      <c r="E1617" s="1123"/>
      <c r="G1617" s="1123"/>
      <c r="H1617" s="1123"/>
      <c r="I1617" s="1123"/>
      <c r="J1617" s="1123"/>
      <c r="K1617" s="1123"/>
      <c r="L1617" s="1123"/>
      <c r="M1617" s="1123"/>
      <c r="N1617" s="1123"/>
      <c r="V1617" s="1224"/>
    </row>
    <row r="1618" spans="1:22">
      <c r="A1618" s="1289"/>
      <c r="B1618" s="1123"/>
      <c r="C1618" s="1123"/>
      <c r="D1618" s="1123"/>
      <c r="E1618" s="1123"/>
      <c r="G1618" s="1123"/>
      <c r="H1618" s="1123"/>
      <c r="I1618" s="1123"/>
      <c r="J1618" s="1123"/>
      <c r="K1618" s="1123"/>
      <c r="L1618" s="1123"/>
      <c r="M1618" s="1123"/>
      <c r="N1618" s="1123"/>
      <c r="V1618" s="1224"/>
    </row>
    <row r="1619" spans="1:22">
      <c r="A1619" s="1289"/>
      <c r="B1619" s="1123"/>
      <c r="C1619" s="1123"/>
      <c r="D1619" s="1123"/>
      <c r="E1619" s="1123"/>
      <c r="G1619" s="1123"/>
      <c r="H1619" s="1123"/>
      <c r="I1619" s="1123"/>
      <c r="J1619" s="1123"/>
      <c r="K1619" s="1123"/>
      <c r="L1619" s="1123"/>
      <c r="M1619" s="1123"/>
      <c r="N1619" s="1123"/>
      <c r="V1619" s="1224"/>
    </row>
    <row r="1620" spans="1:22">
      <c r="A1620" s="1289"/>
      <c r="B1620" s="1123"/>
      <c r="C1620" s="1123"/>
      <c r="D1620" s="1123"/>
      <c r="E1620" s="1123"/>
      <c r="G1620" s="1123"/>
      <c r="H1620" s="1123"/>
      <c r="I1620" s="1123"/>
      <c r="J1620" s="1123"/>
      <c r="K1620" s="1123"/>
      <c r="L1620" s="1123"/>
      <c r="M1620" s="1123"/>
      <c r="N1620" s="1123"/>
      <c r="V1620" s="1224"/>
    </row>
    <row r="1621" spans="1:22">
      <c r="A1621" s="1289"/>
      <c r="B1621" s="1123"/>
      <c r="C1621" s="1123"/>
      <c r="D1621" s="1123"/>
      <c r="E1621" s="1123"/>
      <c r="G1621" s="1123"/>
      <c r="H1621" s="1123"/>
      <c r="I1621" s="1123"/>
      <c r="J1621" s="1123"/>
      <c r="K1621" s="1123"/>
      <c r="L1621" s="1123"/>
      <c r="M1621" s="1123"/>
      <c r="N1621" s="1123"/>
      <c r="V1621" s="1224"/>
    </row>
    <row r="1622" spans="1:22">
      <c r="A1622" s="1289"/>
      <c r="B1622" s="1123"/>
      <c r="C1622" s="1123"/>
      <c r="D1622" s="1123"/>
      <c r="E1622" s="1123"/>
      <c r="G1622" s="1123"/>
      <c r="H1622" s="1123"/>
      <c r="I1622" s="1123"/>
      <c r="J1622" s="1123"/>
      <c r="K1622" s="1123"/>
      <c r="L1622" s="1123"/>
      <c r="M1622" s="1123"/>
      <c r="N1622" s="1123"/>
      <c r="V1622" s="1224"/>
    </row>
    <row r="1623" spans="1:22">
      <c r="A1623" s="1289"/>
      <c r="B1623" s="1123"/>
      <c r="C1623" s="1123"/>
      <c r="D1623" s="1123"/>
      <c r="E1623" s="1123"/>
      <c r="G1623" s="1123"/>
      <c r="H1623" s="1123"/>
      <c r="I1623" s="1123"/>
      <c r="J1623" s="1123"/>
      <c r="K1623" s="1123"/>
      <c r="L1623" s="1123"/>
      <c r="M1623" s="1123"/>
      <c r="N1623" s="1123"/>
      <c r="V1623" s="1224"/>
    </row>
    <row r="1624" spans="1:22">
      <c r="A1624" s="1289"/>
      <c r="B1624" s="1123"/>
      <c r="C1624" s="1123"/>
      <c r="D1624" s="1123"/>
      <c r="E1624" s="1123"/>
      <c r="G1624" s="1123"/>
      <c r="H1624" s="1123"/>
      <c r="I1624" s="1123"/>
      <c r="J1624" s="1123"/>
      <c r="K1624" s="1123"/>
      <c r="L1624" s="1123"/>
      <c r="M1624" s="1123"/>
      <c r="N1624" s="1123"/>
      <c r="V1624" s="1224"/>
    </row>
    <row r="1625" spans="1:22">
      <c r="A1625" s="1289"/>
      <c r="B1625" s="1123"/>
      <c r="C1625" s="1123"/>
      <c r="D1625" s="1123"/>
      <c r="E1625" s="1123"/>
      <c r="G1625" s="1123"/>
      <c r="H1625" s="1123"/>
      <c r="I1625" s="1123"/>
      <c r="J1625" s="1123"/>
      <c r="K1625" s="1123"/>
      <c r="L1625" s="1123"/>
      <c r="M1625" s="1123"/>
      <c r="N1625" s="1123"/>
      <c r="V1625" s="1224"/>
    </row>
    <row r="1626" spans="1:22">
      <c r="A1626" s="1289"/>
      <c r="B1626" s="1123"/>
      <c r="C1626" s="1123"/>
      <c r="D1626" s="1123"/>
      <c r="E1626" s="1123"/>
      <c r="G1626" s="1123"/>
      <c r="H1626" s="1123"/>
      <c r="I1626" s="1123"/>
      <c r="J1626" s="1123"/>
      <c r="K1626" s="1123"/>
      <c r="L1626" s="1123"/>
      <c r="M1626" s="1123"/>
      <c r="N1626" s="1123"/>
      <c r="V1626" s="1224"/>
    </row>
    <row r="1627" spans="1:22">
      <c r="A1627" s="1289"/>
      <c r="B1627" s="1123"/>
      <c r="C1627" s="1123"/>
      <c r="D1627" s="1123"/>
      <c r="E1627" s="1123"/>
      <c r="G1627" s="1123"/>
      <c r="H1627" s="1123"/>
      <c r="I1627" s="1123"/>
      <c r="J1627" s="1123"/>
      <c r="K1627" s="1123"/>
      <c r="L1627" s="1123"/>
      <c r="M1627" s="1123"/>
      <c r="N1627" s="1123"/>
      <c r="V1627" s="1224"/>
    </row>
    <row r="1628" spans="1:22">
      <c r="A1628" s="1289"/>
      <c r="B1628" s="1123"/>
      <c r="C1628" s="1123"/>
      <c r="D1628" s="1123"/>
      <c r="E1628" s="1123"/>
      <c r="G1628" s="1123"/>
      <c r="H1628" s="1123"/>
      <c r="I1628" s="1123"/>
      <c r="J1628" s="1123"/>
      <c r="K1628" s="1123"/>
      <c r="L1628" s="1123"/>
      <c r="M1628" s="1123"/>
      <c r="N1628" s="1123"/>
      <c r="V1628" s="1224"/>
    </row>
    <row r="1629" spans="1:22">
      <c r="A1629" s="1289"/>
      <c r="B1629" s="1123"/>
      <c r="C1629" s="1123"/>
      <c r="D1629" s="1123"/>
      <c r="E1629" s="1123"/>
      <c r="G1629" s="1123"/>
      <c r="H1629" s="1123"/>
      <c r="I1629" s="1123"/>
      <c r="J1629" s="1123"/>
      <c r="K1629" s="1123"/>
      <c r="L1629" s="1123"/>
      <c r="M1629" s="1123"/>
      <c r="N1629" s="1123"/>
      <c r="V1629" s="1224"/>
    </row>
    <row r="1630" spans="1:22">
      <c r="A1630" s="1289"/>
      <c r="B1630" s="1123"/>
      <c r="C1630" s="1123"/>
      <c r="D1630" s="1123"/>
      <c r="E1630" s="1123"/>
      <c r="G1630" s="1123"/>
      <c r="H1630" s="1123"/>
      <c r="I1630" s="1123"/>
      <c r="J1630" s="1123"/>
      <c r="K1630" s="1123"/>
      <c r="L1630" s="1123"/>
      <c r="M1630" s="1123"/>
      <c r="N1630" s="1123"/>
      <c r="V1630" s="1224"/>
    </row>
    <row r="1631" spans="1:22">
      <c r="A1631" s="1289"/>
      <c r="B1631" s="1123"/>
      <c r="C1631" s="1123"/>
      <c r="D1631" s="1123"/>
      <c r="E1631" s="1123"/>
      <c r="G1631" s="1123"/>
      <c r="H1631" s="1123"/>
      <c r="I1631" s="1123"/>
      <c r="J1631" s="1123"/>
      <c r="K1631" s="1123"/>
      <c r="L1631" s="1123"/>
      <c r="M1631" s="1123"/>
      <c r="N1631" s="1123"/>
      <c r="V1631" s="1224"/>
    </row>
    <row r="1632" spans="1:22">
      <c r="A1632" s="1289"/>
      <c r="B1632" s="1123"/>
      <c r="C1632" s="1123"/>
      <c r="D1632" s="1123"/>
      <c r="E1632" s="1123"/>
      <c r="G1632" s="1123"/>
      <c r="H1632" s="1123"/>
      <c r="I1632" s="1123"/>
      <c r="J1632" s="1123"/>
      <c r="K1632" s="1123"/>
      <c r="L1632" s="1123"/>
      <c r="M1632" s="1123"/>
      <c r="N1632" s="1123"/>
      <c r="V1632" s="1224"/>
    </row>
    <row r="1633" spans="1:22">
      <c r="A1633" s="1289"/>
      <c r="B1633" s="1123"/>
      <c r="C1633" s="1123"/>
      <c r="D1633" s="1123"/>
      <c r="E1633" s="1123"/>
      <c r="G1633" s="1123"/>
      <c r="H1633" s="1123"/>
      <c r="I1633" s="1123"/>
      <c r="J1633" s="1123"/>
      <c r="K1633" s="1123"/>
      <c r="L1633" s="1123"/>
      <c r="M1633" s="1123"/>
      <c r="N1633" s="1123"/>
      <c r="V1633" s="1224"/>
    </row>
    <row r="1634" spans="1:22">
      <c r="A1634" s="1289"/>
      <c r="B1634" s="1123"/>
      <c r="C1634" s="1123"/>
      <c r="D1634" s="1123"/>
      <c r="E1634" s="1123"/>
      <c r="G1634" s="1123"/>
      <c r="H1634" s="1123"/>
      <c r="I1634" s="1123"/>
      <c r="J1634" s="1123"/>
      <c r="K1634" s="1123"/>
      <c r="L1634" s="1123"/>
      <c r="M1634" s="1123"/>
      <c r="N1634" s="1123"/>
      <c r="V1634" s="1224"/>
    </row>
    <row r="1635" spans="1:22">
      <c r="A1635" s="1289"/>
      <c r="B1635" s="1123"/>
      <c r="C1635" s="1123"/>
      <c r="D1635" s="1123"/>
      <c r="E1635" s="1123"/>
      <c r="G1635" s="1123"/>
      <c r="H1635" s="1123"/>
      <c r="I1635" s="1123"/>
      <c r="J1635" s="1123"/>
      <c r="K1635" s="1123"/>
      <c r="L1635" s="1123"/>
      <c r="M1635" s="1123"/>
      <c r="N1635" s="1123"/>
      <c r="V1635" s="1224"/>
    </row>
    <row r="1636" spans="1:22">
      <c r="A1636" s="1289"/>
      <c r="B1636" s="1123"/>
      <c r="C1636" s="1123"/>
      <c r="D1636" s="1123"/>
      <c r="E1636" s="1123"/>
      <c r="G1636" s="1123"/>
      <c r="H1636" s="1123"/>
      <c r="I1636" s="1123"/>
      <c r="J1636" s="1123"/>
      <c r="K1636" s="1123"/>
      <c r="L1636" s="1123"/>
      <c r="M1636" s="1123"/>
      <c r="N1636" s="1123"/>
      <c r="V1636" s="1224"/>
    </row>
    <row r="1637" spans="1:22">
      <c r="A1637" s="1289"/>
      <c r="B1637" s="1123"/>
      <c r="C1637" s="1123"/>
      <c r="D1637" s="1123"/>
      <c r="E1637" s="1123"/>
      <c r="G1637" s="1123"/>
      <c r="H1637" s="1123"/>
      <c r="I1637" s="1123"/>
      <c r="J1637" s="1123"/>
      <c r="K1637" s="1123"/>
      <c r="L1637" s="1123"/>
      <c r="M1637" s="1123"/>
      <c r="N1637" s="1123"/>
      <c r="V1637" s="1224"/>
    </row>
    <row r="1638" spans="1:22">
      <c r="A1638" s="1289"/>
      <c r="B1638" s="1123"/>
      <c r="C1638" s="1123"/>
      <c r="D1638" s="1123"/>
      <c r="E1638" s="1123"/>
      <c r="G1638" s="1123"/>
      <c r="H1638" s="1123"/>
      <c r="I1638" s="1123"/>
      <c r="J1638" s="1123"/>
      <c r="K1638" s="1123"/>
      <c r="L1638" s="1123"/>
      <c r="M1638" s="1123"/>
      <c r="N1638" s="1123"/>
      <c r="V1638" s="1224"/>
    </row>
    <row r="1639" spans="1:22">
      <c r="A1639" s="1289"/>
      <c r="B1639" s="1123"/>
      <c r="C1639" s="1123"/>
      <c r="D1639" s="1123"/>
      <c r="E1639" s="1123"/>
      <c r="G1639" s="1123"/>
      <c r="H1639" s="1123"/>
      <c r="I1639" s="1123"/>
      <c r="J1639" s="1123"/>
      <c r="K1639" s="1123"/>
      <c r="L1639" s="1123"/>
      <c r="M1639" s="1123"/>
      <c r="N1639" s="1123"/>
      <c r="V1639" s="1224"/>
    </row>
    <row r="1640" spans="1:22">
      <c r="A1640" s="1289"/>
      <c r="B1640" s="1123"/>
      <c r="C1640" s="1123"/>
      <c r="D1640" s="1123"/>
      <c r="E1640" s="1123"/>
      <c r="G1640" s="1123"/>
      <c r="H1640" s="1123"/>
      <c r="I1640" s="1123"/>
      <c r="J1640" s="1123"/>
      <c r="K1640" s="1123"/>
      <c r="L1640" s="1123"/>
      <c r="M1640" s="1123"/>
      <c r="N1640" s="1123"/>
      <c r="V1640" s="1224"/>
    </row>
    <row r="1641" spans="1:22">
      <c r="A1641" s="1289"/>
      <c r="B1641" s="1123"/>
      <c r="C1641" s="1123"/>
      <c r="D1641" s="1123"/>
      <c r="E1641" s="1123"/>
      <c r="G1641" s="1123"/>
      <c r="H1641" s="1123"/>
      <c r="I1641" s="1123"/>
      <c r="J1641" s="1123"/>
      <c r="K1641" s="1123"/>
      <c r="L1641" s="1123"/>
      <c r="M1641" s="1123"/>
      <c r="N1641" s="1123"/>
      <c r="V1641" s="1224"/>
    </row>
    <row r="1642" spans="1:22">
      <c r="A1642" s="1289"/>
      <c r="B1642" s="1123"/>
      <c r="C1642" s="1123"/>
      <c r="D1642" s="1123"/>
      <c r="E1642" s="1123"/>
      <c r="G1642" s="1123"/>
      <c r="H1642" s="1123"/>
      <c r="I1642" s="1123"/>
      <c r="J1642" s="1123"/>
      <c r="K1642" s="1123"/>
      <c r="L1642" s="1123"/>
      <c r="M1642" s="1123"/>
      <c r="N1642" s="1123"/>
      <c r="V1642" s="1224"/>
    </row>
    <row r="1643" spans="1:22">
      <c r="A1643" s="1289"/>
      <c r="B1643" s="1123"/>
      <c r="C1643" s="1123"/>
      <c r="D1643" s="1123"/>
      <c r="E1643" s="1123"/>
      <c r="G1643" s="1123"/>
      <c r="H1643" s="1123"/>
      <c r="I1643" s="1123"/>
      <c r="J1643" s="1123"/>
      <c r="K1643" s="1123"/>
      <c r="L1643" s="1123"/>
      <c r="M1643" s="1123"/>
      <c r="N1643" s="1123"/>
      <c r="V1643" s="1224"/>
    </row>
    <row r="1644" spans="1:22">
      <c r="A1644" s="1289"/>
      <c r="B1644" s="1123"/>
      <c r="C1644" s="1123"/>
      <c r="D1644" s="1123"/>
      <c r="E1644" s="1123"/>
      <c r="G1644" s="1123"/>
      <c r="H1644" s="1123"/>
      <c r="I1644" s="1123"/>
      <c r="J1644" s="1123"/>
      <c r="K1644" s="1123"/>
      <c r="L1644" s="1123"/>
      <c r="M1644" s="1123"/>
      <c r="N1644" s="1123"/>
      <c r="V1644" s="1224"/>
    </row>
    <row r="1645" spans="1:22">
      <c r="A1645" s="1289"/>
      <c r="B1645" s="1123"/>
      <c r="C1645" s="1123"/>
      <c r="D1645" s="1123"/>
      <c r="E1645" s="1123"/>
      <c r="G1645" s="1123"/>
      <c r="H1645" s="1123"/>
      <c r="I1645" s="1123"/>
      <c r="J1645" s="1123"/>
      <c r="K1645" s="1123"/>
      <c r="L1645" s="1123"/>
      <c r="M1645" s="1123"/>
      <c r="N1645" s="1123"/>
      <c r="V1645" s="1224"/>
    </row>
    <row r="1646" spans="1:22">
      <c r="A1646" s="1289"/>
      <c r="B1646" s="1123"/>
      <c r="C1646" s="1123"/>
      <c r="D1646" s="1123"/>
      <c r="E1646" s="1123"/>
      <c r="G1646" s="1123"/>
      <c r="H1646" s="1123"/>
      <c r="I1646" s="1123"/>
      <c r="J1646" s="1123"/>
      <c r="K1646" s="1123"/>
      <c r="L1646" s="1123"/>
      <c r="M1646" s="1123"/>
      <c r="N1646" s="1123"/>
      <c r="V1646" s="1224"/>
    </row>
    <row r="1647" spans="1:22">
      <c r="A1647" s="1289"/>
      <c r="B1647" s="1123"/>
      <c r="C1647" s="1123"/>
      <c r="D1647" s="1123"/>
      <c r="E1647" s="1123"/>
      <c r="G1647" s="1123"/>
      <c r="H1647" s="1123"/>
      <c r="I1647" s="1123"/>
      <c r="J1647" s="1123"/>
      <c r="K1647" s="1123"/>
      <c r="L1647" s="1123"/>
      <c r="M1647" s="1123"/>
      <c r="N1647" s="1123"/>
      <c r="V1647" s="1224"/>
    </row>
    <row r="1648" spans="1:22">
      <c r="A1648" s="1289"/>
      <c r="B1648" s="1123"/>
      <c r="C1648" s="1123"/>
      <c r="D1648" s="1123"/>
      <c r="E1648" s="1123"/>
      <c r="G1648" s="1123"/>
      <c r="H1648" s="1123"/>
      <c r="I1648" s="1123"/>
      <c r="J1648" s="1123"/>
      <c r="K1648" s="1123"/>
      <c r="L1648" s="1123"/>
      <c r="M1648" s="1123"/>
      <c r="N1648" s="1123"/>
      <c r="V1648" s="1224"/>
    </row>
    <row r="1649" spans="1:22">
      <c r="A1649" s="1289"/>
      <c r="B1649" s="1123"/>
      <c r="C1649" s="1123"/>
      <c r="D1649" s="1123"/>
      <c r="E1649" s="1123"/>
      <c r="G1649" s="1123"/>
      <c r="H1649" s="1123"/>
      <c r="I1649" s="1123"/>
      <c r="J1649" s="1123"/>
      <c r="K1649" s="1123"/>
      <c r="L1649" s="1123"/>
      <c r="M1649" s="1123"/>
      <c r="N1649" s="1123"/>
      <c r="V1649" s="1224"/>
    </row>
    <row r="1650" spans="1:22">
      <c r="A1650" s="1289"/>
      <c r="B1650" s="1123"/>
      <c r="C1650" s="1123"/>
      <c r="D1650" s="1123"/>
      <c r="E1650" s="1123"/>
      <c r="G1650" s="1123"/>
      <c r="H1650" s="1123"/>
      <c r="I1650" s="1123"/>
      <c r="J1650" s="1123"/>
      <c r="K1650" s="1123"/>
      <c r="L1650" s="1123"/>
      <c r="M1650" s="1123"/>
      <c r="N1650" s="1123"/>
      <c r="V1650" s="1224"/>
    </row>
    <row r="1651" spans="1:22">
      <c r="A1651" s="1289"/>
      <c r="B1651" s="1123"/>
      <c r="C1651" s="1123"/>
      <c r="D1651" s="1123"/>
      <c r="E1651" s="1123"/>
      <c r="G1651" s="1123"/>
      <c r="H1651" s="1123"/>
      <c r="I1651" s="1123"/>
      <c r="J1651" s="1123"/>
      <c r="K1651" s="1123"/>
      <c r="L1651" s="1123"/>
      <c r="M1651" s="1123"/>
      <c r="N1651" s="1123"/>
      <c r="V1651" s="1224"/>
    </row>
    <row r="1652" spans="1:22">
      <c r="A1652" s="1289"/>
      <c r="B1652" s="1123"/>
      <c r="C1652" s="1123"/>
      <c r="D1652" s="1123"/>
      <c r="E1652" s="1123"/>
      <c r="G1652" s="1123"/>
      <c r="H1652" s="1123"/>
      <c r="I1652" s="1123"/>
      <c r="J1652" s="1123"/>
      <c r="K1652" s="1123"/>
      <c r="L1652" s="1123"/>
      <c r="M1652" s="1123"/>
      <c r="N1652" s="1123"/>
      <c r="V1652" s="1224"/>
    </row>
    <row r="1653" spans="1:22">
      <c r="A1653" s="1289"/>
      <c r="B1653" s="1123"/>
      <c r="C1653" s="1123"/>
      <c r="D1653" s="1123"/>
      <c r="E1653" s="1123"/>
      <c r="G1653" s="1123"/>
      <c r="H1653" s="1123"/>
      <c r="I1653" s="1123"/>
      <c r="J1653" s="1123"/>
      <c r="K1653" s="1123"/>
      <c r="L1653" s="1123"/>
      <c r="M1653" s="1123"/>
      <c r="N1653" s="1123"/>
      <c r="V1653" s="1224"/>
    </row>
    <row r="1654" spans="1:22">
      <c r="A1654" s="1289"/>
      <c r="B1654" s="1123"/>
      <c r="C1654" s="1123"/>
      <c r="D1654" s="1123"/>
      <c r="E1654" s="1123"/>
      <c r="G1654" s="1123"/>
      <c r="H1654" s="1123"/>
      <c r="I1654" s="1123"/>
      <c r="J1654" s="1123"/>
      <c r="K1654" s="1123"/>
      <c r="L1654" s="1123"/>
      <c r="M1654" s="1123"/>
      <c r="N1654" s="1123"/>
      <c r="V1654" s="1224"/>
    </row>
    <row r="1655" spans="1:22">
      <c r="A1655" s="1289"/>
      <c r="B1655" s="1123"/>
      <c r="C1655" s="1123"/>
      <c r="D1655" s="1123"/>
      <c r="E1655" s="1123"/>
      <c r="G1655" s="1123"/>
      <c r="H1655" s="1123"/>
      <c r="I1655" s="1123"/>
      <c r="J1655" s="1123"/>
      <c r="K1655" s="1123"/>
      <c r="L1655" s="1123"/>
      <c r="M1655" s="1123"/>
      <c r="N1655" s="1123"/>
      <c r="V1655" s="1224"/>
    </row>
    <row r="1656" spans="1:22">
      <c r="A1656" s="1289"/>
      <c r="B1656" s="1123"/>
      <c r="C1656" s="1123"/>
      <c r="D1656" s="1123"/>
      <c r="E1656" s="1123"/>
      <c r="G1656" s="1123"/>
      <c r="H1656" s="1123"/>
      <c r="I1656" s="1123"/>
      <c r="J1656" s="1123"/>
      <c r="K1656" s="1123"/>
      <c r="L1656" s="1123"/>
      <c r="M1656" s="1123"/>
      <c r="N1656" s="1123"/>
      <c r="V1656" s="1224"/>
    </row>
    <row r="1657" spans="1:22">
      <c r="A1657" s="1289"/>
      <c r="B1657" s="1123"/>
      <c r="C1657" s="1123"/>
      <c r="D1657" s="1123"/>
      <c r="E1657" s="1123"/>
      <c r="G1657" s="1123"/>
      <c r="H1657" s="1123"/>
      <c r="I1657" s="1123"/>
      <c r="J1657" s="1123"/>
      <c r="K1657" s="1123"/>
      <c r="L1657" s="1123"/>
      <c r="M1657" s="1123"/>
      <c r="N1657" s="1123"/>
      <c r="V1657" s="1224"/>
    </row>
    <row r="1658" spans="1:22">
      <c r="A1658" s="1289"/>
      <c r="B1658" s="1123"/>
      <c r="C1658" s="1123"/>
      <c r="D1658" s="1123"/>
      <c r="E1658" s="1123"/>
      <c r="G1658" s="1123"/>
      <c r="H1658" s="1123"/>
      <c r="I1658" s="1123"/>
      <c r="J1658" s="1123"/>
      <c r="K1658" s="1123"/>
      <c r="L1658" s="1123"/>
      <c r="M1658" s="1123"/>
      <c r="N1658" s="1123"/>
      <c r="V1658" s="1224"/>
    </row>
    <row r="1659" spans="1:22">
      <c r="A1659" s="1289"/>
      <c r="B1659" s="1123"/>
      <c r="C1659" s="1123"/>
      <c r="D1659" s="1123"/>
      <c r="E1659" s="1123"/>
      <c r="G1659" s="1123"/>
      <c r="H1659" s="1123"/>
      <c r="I1659" s="1123"/>
      <c r="J1659" s="1123"/>
      <c r="K1659" s="1123"/>
      <c r="L1659" s="1123"/>
      <c r="M1659" s="1123"/>
      <c r="N1659" s="1123"/>
      <c r="V1659" s="1224"/>
    </row>
    <row r="1660" spans="1:22">
      <c r="A1660" s="1289"/>
      <c r="B1660" s="1123"/>
      <c r="C1660" s="1123"/>
      <c r="D1660" s="1123"/>
      <c r="E1660" s="1123"/>
      <c r="G1660" s="1123"/>
      <c r="H1660" s="1123"/>
      <c r="I1660" s="1123"/>
      <c r="J1660" s="1123"/>
      <c r="K1660" s="1123"/>
      <c r="L1660" s="1123"/>
      <c r="M1660" s="1123"/>
      <c r="N1660" s="1123"/>
      <c r="V1660" s="1224"/>
    </row>
    <row r="1661" spans="1:22">
      <c r="A1661" s="1289"/>
      <c r="B1661" s="1123"/>
      <c r="C1661" s="1123"/>
      <c r="D1661" s="1123"/>
      <c r="E1661" s="1123"/>
      <c r="G1661" s="1123"/>
      <c r="H1661" s="1123"/>
      <c r="I1661" s="1123"/>
      <c r="J1661" s="1123"/>
      <c r="K1661" s="1123"/>
      <c r="L1661" s="1123"/>
      <c r="M1661" s="1123"/>
      <c r="N1661" s="1123"/>
      <c r="V1661" s="1224"/>
    </row>
    <row r="1662" spans="1:22">
      <c r="A1662" s="1289"/>
      <c r="B1662" s="1123"/>
      <c r="C1662" s="1123"/>
      <c r="D1662" s="1123"/>
      <c r="E1662" s="1123"/>
      <c r="G1662" s="1123"/>
      <c r="H1662" s="1123"/>
      <c r="I1662" s="1123"/>
      <c r="J1662" s="1123"/>
      <c r="K1662" s="1123"/>
      <c r="L1662" s="1123"/>
      <c r="M1662" s="1123"/>
      <c r="N1662" s="1123"/>
      <c r="V1662" s="1224"/>
    </row>
    <row r="1663" spans="1:22">
      <c r="A1663" s="1289"/>
      <c r="B1663" s="1123"/>
      <c r="C1663" s="1123"/>
      <c r="D1663" s="1123"/>
      <c r="E1663" s="1123"/>
      <c r="G1663" s="1123"/>
      <c r="H1663" s="1123"/>
      <c r="I1663" s="1123"/>
      <c r="J1663" s="1123"/>
      <c r="K1663" s="1123"/>
      <c r="L1663" s="1123"/>
      <c r="M1663" s="1123"/>
      <c r="N1663" s="1123"/>
      <c r="V1663" s="1224"/>
    </row>
    <row r="1664" spans="1:22">
      <c r="A1664" s="1289"/>
      <c r="B1664" s="1123"/>
      <c r="C1664" s="1123"/>
      <c r="D1664" s="1123"/>
      <c r="E1664" s="1123"/>
      <c r="G1664" s="1123"/>
      <c r="H1664" s="1123"/>
      <c r="I1664" s="1123"/>
      <c r="J1664" s="1123"/>
      <c r="K1664" s="1123"/>
      <c r="L1664" s="1123"/>
      <c r="M1664" s="1123"/>
      <c r="N1664" s="1123"/>
      <c r="V1664" s="1224"/>
    </row>
    <row r="1665" spans="1:22">
      <c r="A1665" s="1289"/>
      <c r="B1665" s="1123"/>
      <c r="C1665" s="1123"/>
      <c r="D1665" s="1123"/>
      <c r="E1665" s="1123"/>
      <c r="G1665" s="1123"/>
      <c r="H1665" s="1123"/>
      <c r="I1665" s="1123"/>
      <c r="J1665" s="1123"/>
      <c r="K1665" s="1123"/>
      <c r="L1665" s="1123"/>
      <c r="M1665" s="1123"/>
      <c r="N1665" s="1123"/>
      <c r="V1665" s="1224"/>
    </row>
    <row r="1666" spans="1:22">
      <c r="A1666" s="1289"/>
      <c r="B1666" s="1123"/>
      <c r="C1666" s="1123"/>
      <c r="D1666" s="1123"/>
      <c r="E1666" s="1123"/>
      <c r="G1666" s="1123"/>
      <c r="H1666" s="1123"/>
      <c r="I1666" s="1123"/>
      <c r="J1666" s="1123"/>
      <c r="K1666" s="1123"/>
      <c r="L1666" s="1123"/>
      <c r="M1666" s="1123"/>
      <c r="N1666" s="1123"/>
      <c r="V1666" s="1224"/>
    </row>
    <row r="1667" spans="1:22">
      <c r="A1667" s="1289"/>
      <c r="B1667" s="1123"/>
      <c r="C1667" s="1123"/>
      <c r="D1667" s="1123"/>
      <c r="E1667" s="1123"/>
      <c r="G1667" s="1123"/>
      <c r="H1667" s="1123"/>
      <c r="I1667" s="1123"/>
      <c r="J1667" s="1123"/>
      <c r="K1667" s="1123"/>
      <c r="L1667" s="1123"/>
      <c r="M1667" s="1123"/>
      <c r="N1667" s="1123"/>
      <c r="V1667" s="1224"/>
    </row>
    <row r="1668" spans="1:22">
      <c r="A1668" s="1289"/>
      <c r="B1668" s="1123"/>
      <c r="C1668" s="1123"/>
      <c r="D1668" s="1123"/>
      <c r="E1668" s="1123"/>
      <c r="G1668" s="1123"/>
      <c r="H1668" s="1123"/>
      <c r="I1668" s="1123"/>
      <c r="J1668" s="1123"/>
      <c r="K1668" s="1123"/>
      <c r="L1668" s="1123"/>
      <c r="M1668" s="1123"/>
      <c r="N1668" s="1123"/>
      <c r="V1668" s="1224"/>
    </row>
    <row r="1669" spans="1:22">
      <c r="A1669" s="1289"/>
      <c r="B1669" s="1123"/>
      <c r="C1669" s="1123"/>
      <c r="D1669" s="1123"/>
      <c r="E1669" s="1123"/>
      <c r="G1669" s="1123"/>
      <c r="H1669" s="1123"/>
      <c r="I1669" s="1123"/>
      <c r="J1669" s="1123"/>
      <c r="K1669" s="1123"/>
      <c r="L1669" s="1123"/>
      <c r="M1669" s="1123"/>
      <c r="N1669" s="1123"/>
      <c r="V1669" s="1224"/>
    </row>
    <row r="1670" spans="1:22">
      <c r="A1670" s="1289"/>
      <c r="B1670" s="1123"/>
      <c r="C1670" s="1123"/>
      <c r="D1670" s="1123"/>
      <c r="E1670" s="1123"/>
      <c r="G1670" s="1123"/>
      <c r="H1670" s="1123"/>
      <c r="I1670" s="1123"/>
      <c r="J1670" s="1123"/>
      <c r="K1670" s="1123"/>
      <c r="L1670" s="1123"/>
      <c r="M1670" s="1123"/>
      <c r="N1670" s="1123"/>
      <c r="V1670" s="1224"/>
    </row>
    <row r="1671" spans="1:22">
      <c r="A1671" s="1289"/>
      <c r="B1671" s="1123"/>
      <c r="C1671" s="1123"/>
      <c r="D1671" s="1123"/>
      <c r="E1671" s="1123"/>
      <c r="G1671" s="1123"/>
      <c r="H1671" s="1123"/>
      <c r="I1671" s="1123"/>
      <c r="J1671" s="1123"/>
      <c r="K1671" s="1123"/>
      <c r="L1671" s="1123"/>
      <c r="M1671" s="1123"/>
      <c r="N1671" s="1123"/>
      <c r="V1671" s="1224"/>
    </row>
    <row r="1672" spans="1:22">
      <c r="A1672" s="1289"/>
      <c r="B1672" s="1123"/>
      <c r="C1672" s="1123"/>
      <c r="D1672" s="1123"/>
      <c r="E1672" s="1123"/>
      <c r="G1672" s="1123"/>
      <c r="H1672" s="1123"/>
      <c r="I1672" s="1123"/>
      <c r="J1672" s="1123"/>
      <c r="K1672" s="1123"/>
      <c r="L1672" s="1123"/>
      <c r="M1672" s="1123"/>
      <c r="N1672" s="1123"/>
      <c r="V1672" s="1224"/>
    </row>
    <row r="1673" spans="1:22">
      <c r="A1673" s="1289"/>
      <c r="B1673" s="1123"/>
      <c r="C1673" s="1123"/>
      <c r="D1673" s="1123"/>
      <c r="E1673" s="1123"/>
      <c r="G1673" s="1123"/>
      <c r="H1673" s="1123"/>
      <c r="I1673" s="1123"/>
      <c r="J1673" s="1123"/>
      <c r="K1673" s="1123"/>
      <c r="L1673" s="1123"/>
      <c r="M1673" s="1123"/>
      <c r="N1673" s="1123"/>
      <c r="V1673" s="1224"/>
    </row>
    <row r="1674" spans="1:22">
      <c r="A1674" s="1289"/>
      <c r="B1674" s="1123"/>
      <c r="C1674" s="1123"/>
      <c r="D1674" s="1123"/>
      <c r="E1674" s="1123"/>
      <c r="G1674" s="1123"/>
      <c r="H1674" s="1123"/>
      <c r="I1674" s="1123"/>
      <c r="J1674" s="1123"/>
      <c r="K1674" s="1123"/>
      <c r="L1674" s="1123"/>
      <c r="M1674" s="1123"/>
      <c r="N1674" s="1123"/>
      <c r="V1674" s="1224"/>
    </row>
    <row r="1675" spans="1:22">
      <c r="A1675" s="1289"/>
      <c r="B1675" s="1123"/>
      <c r="C1675" s="1123"/>
      <c r="D1675" s="1123"/>
      <c r="E1675" s="1123"/>
      <c r="G1675" s="1123"/>
      <c r="H1675" s="1123"/>
      <c r="I1675" s="1123"/>
      <c r="J1675" s="1123"/>
      <c r="K1675" s="1123"/>
      <c r="L1675" s="1123"/>
      <c r="M1675" s="1123"/>
      <c r="N1675" s="1123"/>
      <c r="V1675" s="1224"/>
    </row>
    <row r="1676" spans="1:22">
      <c r="A1676" s="1289"/>
      <c r="B1676" s="1123"/>
      <c r="C1676" s="1123"/>
      <c r="D1676" s="1123"/>
      <c r="E1676" s="1123"/>
      <c r="G1676" s="1123"/>
      <c r="H1676" s="1123"/>
      <c r="I1676" s="1123"/>
      <c r="J1676" s="1123"/>
      <c r="K1676" s="1123"/>
      <c r="L1676" s="1123"/>
      <c r="M1676" s="1123"/>
      <c r="N1676" s="1123"/>
      <c r="V1676" s="1224"/>
    </row>
    <row r="1677" spans="1:22">
      <c r="A1677" s="1289"/>
      <c r="B1677" s="1123"/>
      <c r="C1677" s="1123"/>
      <c r="D1677" s="1123"/>
      <c r="E1677" s="1123"/>
      <c r="G1677" s="1123"/>
      <c r="H1677" s="1123"/>
      <c r="I1677" s="1123"/>
      <c r="J1677" s="1123"/>
      <c r="K1677" s="1123"/>
      <c r="L1677" s="1123"/>
      <c r="M1677" s="1123"/>
      <c r="N1677" s="1123"/>
      <c r="V1677" s="1224"/>
    </row>
    <row r="1678" spans="1:22">
      <c r="A1678" s="1289"/>
      <c r="B1678" s="1123"/>
      <c r="C1678" s="1123"/>
      <c r="D1678" s="1123"/>
      <c r="E1678" s="1123"/>
      <c r="G1678" s="1123"/>
      <c r="H1678" s="1123"/>
      <c r="I1678" s="1123"/>
      <c r="J1678" s="1123"/>
      <c r="K1678" s="1123"/>
      <c r="L1678" s="1123"/>
      <c r="M1678" s="1123"/>
      <c r="N1678" s="1123"/>
      <c r="V1678" s="1224"/>
    </row>
    <row r="1679" spans="1:22">
      <c r="A1679" s="1289"/>
      <c r="B1679" s="1123"/>
      <c r="C1679" s="1123"/>
      <c r="D1679" s="1123"/>
      <c r="E1679" s="1123"/>
      <c r="G1679" s="1123"/>
      <c r="H1679" s="1123"/>
      <c r="I1679" s="1123"/>
      <c r="J1679" s="1123"/>
      <c r="K1679" s="1123"/>
      <c r="L1679" s="1123"/>
      <c r="M1679" s="1123"/>
      <c r="N1679" s="1123"/>
      <c r="V1679" s="1224"/>
    </row>
    <row r="1680" spans="1:22">
      <c r="A1680" s="1289"/>
      <c r="B1680" s="1123"/>
      <c r="C1680" s="1123"/>
      <c r="D1680" s="1123"/>
      <c r="E1680" s="1123"/>
      <c r="G1680" s="1123"/>
      <c r="H1680" s="1123"/>
      <c r="I1680" s="1123"/>
      <c r="J1680" s="1123"/>
      <c r="K1680" s="1123"/>
      <c r="L1680" s="1123"/>
      <c r="M1680" s="1123"/>
      <c r="N1680" s="1123"/>
      <c r="V1680" s="1224"/>
    </row>
    <row r="1681" spans="1:22">
      <c r="A1681" s="1289"/>
      <c r="B1681" s="1123"/>
      <c r="C1681" s="1123"/>
      <c r="D1681" s="1123"/>
      <c r="E1681" s="1123"/>
      <c r="G1681" s="1123"/>
      <c r="H1681" s="1123"/>
      <c r="I1681" s="1123"/>
      <c r="J1681" s="1123"/>
      <c r="K1681" s="1123"/>
      <c r="L1681" s="1123"/>
      <c r="M1681" s="1123"/>
      <c r="N1681" s="1123"/>
      <c r="V1681" s="1224"/>
    </row>
    <row r="1682" spans="1:22">
      <c r="A1682" s="1289"/>
      <c r="B1682" s="1123"/>
      <c r="C1682" s="1123"/>
      <c r="D1682" s="1123"/>
      <c r="E1682" s="1123"/>
      <c r="G1682" s="1123"/>
      <c r="H1682" s="1123"/>
      <c r="I1682" s="1123"/>
      <c r="J1682" s="1123"/>
      <c r="K1682" s="1123"/>
      <c r="L1682" s="1123"/>
      <c r="M1682" s="1123"/>
      <c r="N1682" s="1123"/>
      <c r="V1682" s="1224"/>
    </row>
    <row r="1683" spans="1:22">
      <c r="A1683" s="1289"/>
      <c r="B1683" s="1123"/>
      <c r="C1683" s="1123"/>
      <c r="D1683" s="1123"/>
      <c r="E1683" s="1123"/>
      <c r="G1683" s="1123"/>
      <c r="H1683" s="1123"/>
      <c r="I1683" s="1123"/>
      <c r="J1683" s="1123"/>
      <c r="K1683" s="1123"/>
      <c r="L1683" s="1123"/>
      <c r="M1683" s="1123"/>
      <c r="N1683" s="1123"/>
      <c r="V1683" s="1224"/>
    </row>
    <row r="1684" spans="1:22">
      <c r="A1684" s="1289"/>
      <c r="B1684" s="1123"/>
      <c r="C1684" s="1123"/>
      <c r="D1684" s="1123"/>
      <c r="E1684" s="1123"/>
      <c r="G1684" s="1123"/>
      <c r="H1684" s="1123"/>
      <c r="I1684" s="1123"/>
      <c r="J1684" s="1123"/>
      <c r="K1684" s="1123"/>
      <c r="L1684" s="1123"/>
      <c r="M1684" s="1123"/>
      <c r="N1684" s="1123"/>
      <c r="V1684" s="1224"/>
    </row>
    <row r="1685" spans="1:22">
      <c r="A1685" s="1289"/>
      <c r="B1685" s="1123"/>
      <c r="C1685" s="1123"/>
      <c r="D1685" s="1123"/>
      <c r="E1685" s="1123"/>
      <c r="G1685" s="1123"/>
      <c r="H1685" s="1123"/>
      <c r="I1685" s="1123"/>
      <c r="J1685" s="1123"/>
      <c r="K1685" s="1123"/>
      <c r="L1685" s="1123"/>
      <c r="M1685" s="1123"/>
      <c r="N1685" s="1123"/>
      <c r="V1685" s="1224"/>
    </row>
    <row r="1686" spans="1:22">
      <c r="A1686" s="1289"/>
      <c r="B1686" s="1123"/>
      <c r="C1686" s="1123"/>
      <c r="D1686" s="1123"/>
      <c r="E1686" s="1123"/>
      <c r="G1686" s="1123"/>
      <c r="H1686" s="1123"/>
      <c r="I1686" s="1123"/>
      <c r="J1686" s="1123"/>
      <c r="K1686" s="1123"/>
      <c r="L1686" s="1123"/>
      <c r="M1686" s="1123"/>
      <c r="N1686" s="1123"/>
      <c r="V1686" s="1224"/>
    </row>
    <row r="1687" spans="1:22">
      <c r="A1687" s="1289"/>
      <c r="B1687" s="1123"/>
      <c r="C1687" s="1123"/>
      <c r="D1687" s="1123"/>
      <c r="E1687" s="1123"/>
      <c r="G1687" s="1123"/>
      <c r="H1687" s="1123"/>
      <c r="I1687" s="1123"/>
      <c r="J1687" s="1123"/>
      <c r="K1687" s="1123"/>
      <c r="L1687" s="1123"/>
      <c r="M1687" s="1123"/>
      <c r="N1687" s="1123"/>
      <c r="V1687" s="1224"/>
    </row>
    <row r="1688" spans="1:22">
      <c r="A1688" s="1289"/>
      <c r="B1688" s="1123"/>
      <c r="C1688" s="1123"/>
      <c r="D1688" s="1123"/>
      <c r="E1688" s="1123"/>
      <c r="G1688" s="1123"/>
      <c r="H1688" s="1123"/>
      <c r="I1688" s="1123"/>
      <c r="J1688" s="1123"/>
      <c r="K1688" s="1123"/>
      <c r="L1688" s="1123"/>
      <c r="M1688" s="1123"/>
      <c r="N1688" s="1123"/>
      <c r="V1688" s="1224"/>
    </row>
    <row r="1689" spans="1:22">
      <c r="A1689" s="1289"/>
      <c r="B1689" s="1123"/>
      <c r="C1689" s="1123"/>
      <c r="D1689" s="1123"/>
      <c r="E1689" s="1123"/>
      <c r="G1689" s="1123"/>
      <c r="H1689" s="1123"/>
      <c r="I1689" s="1123"/>
      <c r="J1689" s="1123"/>
      <c r="K1689" s="1123"/>
      <c r="L1689" s="1123"/>
      <c r="M1689" s="1123"/>
      <c r="N1689" s="1123"/>
      <c r="V1689" s="1224"/>
    </row>
    <row r="1690" spans="1:22">
      <c r="A1690" s="1289"/>
      <c r="B1690" s="1123"/>
      <c r="C1690" s="1123"/>
      <c r="D1690" s="1123"/>
      <c r="E1690" s="1123"/>
      <c r="G1690" s="1123"/>
      <c r="H1690" s="1123"/>
      <c r="I1690" s="1123"/>
      <c r="J1690" s="1123"/>
      <c r="K1690" s="1123"/>
      <c r="L1690" s="1123"/>
      <c r="M1690" s="1123"/>
      <c r="N1690" s="1123"/>
      <c r="V1690" s="1224"/>
    </row>
    <row r="1691" spans="1:22">
      <c r="A1691" s="1289"/>
      <c r="B1691" s="1123"/>
      <c r="C1691" s="1123"/>
      <c r="D1691" s="1123"/>
      <c r="E1691" s="1123"/>
      <c r="G1691" s="1123"/>
      <c r="H1691" s="1123"/>
      <c r="I1691" s="1123"/>
      <c r="J1691" s="1123"/>
      <c r="K1691" s="1123"/>
      <c r="L1691" s="1123"/>
      <c r="M1691" s="1123"/>
      <c r="N1691" s="1123"/>
      <c r="V1691" s="1224"/>
    </row>
    <row r="1692" spans="1:22">
      <c r="A1692" s="1289"/>
      <c r="B1692" s="1123"/>
      <c r="C1692" s="1123"/>
      <c r="D1692" s="1123"/>
      <c r="E1692" s="1123"/>
      <c r="G1692" s="1123"/>
      <c r="H1692" s="1123"/>
      <c r="I1692" s="1123"/>
      <c r="J1692" s="1123"/>
      <c r="K1692" s="1123"/>
      <c r="L1692" s="1123"/>
      <c r="M1692" s="1123"/>
      <c r="N1692" s="1123"/>
      <c r="V1692" s="1224"/>
    </row>
    <row r="1693" spans="1:22">
      <c r="A1693" s="1289"/>
      <c r="B1693" s="1123"/>
      <c r="C1693" s="1123"/>
      <c r="D1693" s="1123"/>
      <c r="E1693" s="1123"/>
      <c r="G1693" s="1123"/>
      <c r="H1693" s="1123"/>
      <c r="I1693" s="1123"/>
      <c r="J1693" s="1123"/>
      <c r="K1693" s="1123"/>
      <c r="L1693" s="1123"/>
      <c r="M1693" s="1123"/>
      <c r="N1693" s="1123"/>
      <c r="V1693" s="1224"/>
    </row>
    <row r="1694" spans="1:22">
      <c r="A1694" s="1289"/>
      <c r="B1694" s="1123"/>
      <c r="C1694" s="1123"/>
      <c r="D1694" s="1123"/>
      <c r="E1694" s="1123"/>
      <c r="G1694" s="1123"/>
      <c r="H1694" s="1123"/>
      <c r="I1694" s="1123"/>
      <c r="J1694" s="1123"/>
      <c r="K1694" s="1123"/>
      <c r="L1694" s="1123"/>
      <c r="M1694" s="1123"/>
      <c r="N1694" s="1123"/>
      <c r="V1694" s="1224"/>
    </row>
    <row r="1695" spans="1:22">
      <c r="A1695" s="1289"/>
      <c r="B1695" s="1123"/>
      <c r="C1695" s="1123"/>
      <c r="D1695" s="1123"/>
      <c r="E1695" s="1123"/>
      <c r="G1695" s="1123"/>
      <c r="H1695" s="1123"/>
      <c r="I1695" s="1123"/>
      <c r="J1695" s="1123"/>
      <c r="K1695" s="1123"/>
      <c r="L1695" s="1123"/>
      <c r="M1695" s="1123"/>
      <c r="N1695" s="1123"/>
      <c r="V1695" s="1224"/>
    </row>
    <row r="1696" spans="1:22">
      <c r="A1696" s="1289"/>
      <c r="B1696" s="1123"/>
      <c r="C1696" s="1123"/>
      <c r="D1696" s="1123"/>
      <c r="E1696" s="1123"/>
      <c r="G1696" s="1123"/>
      <c r="H1696" s="1123"/>
      <c r="I1696" s="1123"/>
      <c r="J1696" s="1123"/>
      <c r="K1696" s="1123"/>
      <c r="L1696" s="1123"/>
      <c r="M1696" s="1123"/>
      <c r="N1696" s="1123"/>
      <c r="V1696" s="1224"/>
    </row>
    <row r="1697" spans="1:22">
      <c r="A1697" s="1289"/>
      <c r="B1697" s="1123"/>
      <c r="C1697" s="1123"/>
      <c r="D1697" s="1123"/>
      <c r="E1697" s="1123"/>
      <c r="G1697" s="1123"/>
      <c r="H1697" s="1123"/>
      <c r="I1697" s="1123"/>
      <c r="J1697" s="1123"/>
      <c r="K1697" s="1123"/>
      <c r="L1697" s="1123"/>
      <c r="M1697" s="1123"/>
      <c r="N1697" s="1123"/>
      <c r="V1697" s="1224"/>
    </row>
    <row r="1698" spans="1:22">
      <c r="A1698" s="1289"/>
      <c r="B1698" s="1123"/>
      <c r="C1698" s="1123"/>
      <c r="D1698" s="1123"/>
      <c r="E1698" s="1123"/>
      <c r="G1698" s="1123"/>
      <c r="H1698" s="1123"/>
      <c r="I1698" s="1123"/>
      <c r="J1698" s="1123"/>
      <c r="K1698" s="1123"/>
      <c r="L1698" s="1123"/>
      <c r="M1698" s="1123"/>
      <c r="N1698" s="1123"/>
      <c r="V1698" s="1224"/>
    </row>
    <row r="1699" spans="1:22">
      <c r="A1699" s="1289"/>
      <c r="B1699" s="1123"/>
      <c r="C1699" s="1123"/>
      <c r="D1699" s="1123"/>
      <c r="E1699" s="1123"/>
      <c r="G1699" s="1123"/>
      <c r="H1699" s="1123"/>
      <c r="I1699" s="1123"/>
      <c r="J1699" s="1123"/>
      <c r="K1699" s="1123"/>
      <c r="L1699" s="1123"/>
      <c r="M1699" s="1123"/>
      <c r="N1699" s="1123"/>
      <c r="V1699" s="1224"/>
    </row>
    <row r="1700" spans="1:22">
      <c r="A1700" s="1289"/>
      <c r="B1700" s="1123"/>
      <c r="C1700" s="1123"/>
      <c r="D1700" s="1123"/>
      <c r="E1700" s="1123"/>
      <c r="G1700" s="1123"/>
      <c r="H1700" s="1123"/>
      <c r="I1700" s="1123"/>
      <c r="J1700" s="1123"/>
      <c r="K1700" s="1123"/>
      <c r="L1700" s="1123"/>
      <c r="M1700" s="1123"/>
      <c r="N1700" s="1123"/>
      <c r="V1700" s="1224"/>
    </row>
    <row r="1701" spans="1:22">
      <c r="A1701" s="1289"/>
      <c r="B1701" s="1123"/>
      <c r="C1701" s="1123"/>
      <c r="D1701" s="1123"/>
      <c r="E1701" s="1123"/>
      <c r="G1701" s="1123"/>
      <c r="H1701" s="1123"/>
      <c r="I1701" s="1123"/>
      <c r="J1701" s="1123"/>
      <c r="K1701" s="1123"/>
      <c r="L1701" s="1123"/>
      <c r="M1701" s="1123"/>
      <c r="N1701" s="1123"/>
      <c r="V1701" s="1224"/>
    </row>
    <row r="1702" spans="1:22">
      <c r="A1702" s="1289"/>
      <c r="B1702" s="1123"/>
      <c r="C1702" s="1123"/>
      <c r="D1702" s="1123"/>
      <c r="E1702" s="1123"/>
      <c r="G1702" s="1123"/>
      <c r="H1702" s="1123"/>
      <c r="I1702" s="1123"/>
      <c r="J1702" s="1123"/>
      <c r="K1702" s="1123"/>
      <c r="L1702" s="1123"/>
      <c r="M1702" s="1123"/>
      <c r="N1702" s="1123"/>
      <c r="V1702" s="1224"/>
    </row>
    <row r="1703" spans="1:22">
      <c r="A1703" s="1289"/>
      <c r="B1703" s="1123"/>
      <c r="C1703" s="1123"/>
      <c r="D1703" s="1123"/>
      <c r="E1703" s="1123"/>
      <c r="G1703" s="1123"/>
      <c r="H1703" s="1123"/>
      <c r="I1703" s="1123"/>
      <c r="J1703" s="1123"/>
      <c r="K1703" s="1123"/>
      <c r="L1703" s="1123"/>
      <c r="M1703" s="1123"/>
      <c r="N1703" s="1123"/>
      <c r="V1703" s="1224"/>
    </row>
    <row r="1704" spans="1:22">
      <c r="A1704" s="1289"/>
      <c r="B1704" s="1123"/>
      <c r="C1704" s="1123"/>
      <c r="D1704" s="1123"/>
      <c r="E1704" s="1123"/>
      <c r="G1704" s="1123"/>
      <c r="H1704" s="1123"/>
      <c r="I1704" s="1123"/>
      <c r="J1704" s="1123"/>
      <c r="K1704" s="1123"/>
      <c r="L1704" s="1123"/>
      <c r="M1704" s="1123"/>
      <c r="N1704" s="1123"/>
      <c r="V1704" s="1224"/>
    </row>
    <row r="1705" spans="1:22">
      <c r="A1705" s="1289"/>
      <c r="B1705" s="1123"/>
      <c r="C1705" s="1123"/>
      <c r="D1705" s="1123"/>
      <c r="E1705" s="1123"/>
      <c r="G1705" s="1123"/>
      <c r="H1705" s="1123"/>
      <c r="I1705" s="1123"/>
      <c r="J1705" s="1123"/>
      <c r="K1705" s="1123"/>
      <c r="L1705" s="1123"/>
      <c r="M1705" s="1123"/>
      <c r="N1705" s="1123"/>
      <c r="V1705" s="1224"/>
    </row>
    <row r="1706" spans="1:22">
      <c r="A1706" s="1289"/>
      <c r="B1706" s="1123"/>
      <c r="C1706" s="1123"/>
      <c r="D1706" s="1123"/>
      <c r="E1706" s="1123"/>
      <c r="G1706" s="1123"/>
      <c r="H1706" s="1123"/>
      <c r="I1706" s="1123"/>
      <c r="J1706" s="1123"/>
      <c r="K1706" s="1123"/>
      <c r="L1706" s="1123"/>
      <c r="M1706" s="1123"/>
      <c r="N1706" s="1123"/>
      <c r="V1706" s="1224"/>
    </row>
    <row r="1707" spans="1:22">
      <c r="A1707" s="1289"/>
      <c r="B1707" s="1123"/>
      <c r="C1707" s="1123"/>
      <c r="D1707" s="1123"/>
      <c r="E1707" s="1123"/>
      <c r="G1707" s="1123"/>
      <c r="H1707" s="1123"/>
      <c r="I1707" s="1123"/>
      <c r="J1707" s="1123"/>
      <c r="K1707" s="1123"/>
      <c r="L1707" s="1123"/>
      <c r="M1707" s="1123"/>
      <c r="N1707" s="1123"/>
      <c r="V1707" s="1224"/>
    </row>
    <row r="1708" spans="1:22">
      <c r="A1708" s="1289"/>
      <c r="B1708" s="1123"/>
      <c r="C1708" s="1123"/>
      <c r="D1708" s="1123"/>
      <c r="E1708" s="1123"/>
      <c r="G1708" s="1123"/>
      <c r="H1708" s="1123"/>
      <c r="I1708" s="1123"/>
      <c r="J1708" s="1123"/>
      <c r="K1708" s="1123"/>
      <c r="L1708" s="1123"/>
      <c r="M1708" s="1123"/>
      <c r="N1708" s="1123"/>
      <c r="V1708" s="1224"/>
    </row>
    <row r="1709" spans="1:22">
      <c r="A1709" s="1289"/>
      <c r="B1709" s="1123"/>
      <c r="C1709" s="1123"/>
      <c r="D1709" s="1123"/>
      <c r="E1709" s="1123"/>
      <c r="G1709" s="1123"/>
      <c r="H1709" s="1123"/>
      <c r="I1709" s="1123"/>
      <c r="J1709" s="1123"/>
      <c r="K1709" s="1123"/>
      <c r="L1709" s="1123"/>
      <c r="M1709" s="1123"/>
      <c r="N1709" s="1123"/>
      <c r="V1709" s="1224"/>
    </row>
    <row r="1710" spans="1:22">
      <c r="A1710" s="1289"/>
      <c r="B1710" s="1123"/>
      <c r="C1710" s="1123"/>
      <c r="D1710" s="1123"/>
      <c r="E1710" s="1123"/>
      <c r="G1710" s="1123"/>
      <c r="H1710" s="1123"/>
      <c r="I1710" s="1123"/>
      <c r="J1710" s="1123"/>
      <c r="K1710" s="1123"/>
      <c r="L1710" s="1123"/>
      <c r="M1710" s="1123"/>
      <c r="N1710" s="1123"/>
      <c r="V1710" s="1224"/>
    </row>
    <row r="1711" spans="1:22">
      <c r="A1711" s="1289"/>
      <c r="B1711" s="1123"/>
      <c r="C1711" s="1123"/>
      <c r="D1711" s="1123"/>
      <c r="E1711" s="1123"/>
      <c r="G1711" s="1123"/>
      <c r="H1711" s="1123"/>
      <c r="I1711" s="1123"/>
      <c r="J1711" s="1123"/>
      <c r="K1711" s="1123"/>
      <c r="L1711" s="1123"/>
      <c r="M1711" s="1123"/>
      <c r="N1711" s="1123"/>
      <c r="V1711" s="1224"/>
    </row>
    <row r="1712" spans="1:22">
      <c r="A1712" s="1289"/>
      <c r="B1712" s="1123"/>
      <c r="C1712" s="1123"/>
      <c r="D1712" s="1123"/>
      <c r="E1712" s="1123"/>
      <c r="G1712" s="1123"/>
      <c r="H1712" s="1123"/>
      <c r="I1712" s="1123"/>
      <c r="J1712" s="1123"/>
      <c r="K1712" s="1123"/>
      <c r="L1712" s="1123"/>
      <c r="M1712" s="1123"/>
      <c r="N1712" s="1123"/>
      <c r="V1712" s="1224"/>
    </row>
    <row r="1713" spans="1:22">
      <c r="A1713" s="1289"/>
      <c r="B1713" s="1123"/>
      <c r="C1713" s="1123"/>
      <c r="D1713" s="1123"/>
      <c r="E1713" s="1123"/>
      <c r="G1713" s="1123"/>
      <c r="H1713" s="1123"/>
      <c r="I1713" s="1123"/>
      <c r="J1713" s="1123"/>
      <c r="K1713" s="1123"/>
      <c r="L1713" s="1123"/>
      <c r="M1713" s="1123"/>
      <c r="N1713" s="1123"/>
      <c r="V1713" s="1224"/>
    </row>
    <row r="1714" spans="1:22">
      <c r="A1714" s="1289"/>
      <c r="B1714" s="1123"/>
      <c r="C1714" s="1123"/>
      <c r="D1714" s="1123"/>
      <c r="E1714" s="1123"/>
      <c r="G1714" s="1123"/>
      <c r="H1714" s="1123"/>
      <c r="I1714" s="1123"/>
      <c r="J1714" s="1123"/>
      <c r="K1714" s="1123"/>
      <c r="L1714" s="1123"/>
      <c r="M1714" s="1123"/>
      <c r="N1714" s="1123"/>
      <c r="V1714" s="1224"/>
    </row>
    <row r="1715" spans="1:22">
      <c r="A1715" s="1289"/>
      <c r="B1715" s="1123"/>
      <c r="C1715" s="1123"/>
      <c r="D1715" s="1123"/>
      <c r="E1715" s="1123"/>
      <c r="G1715" s="1123"/>
      <c r="H1715" s="1123"/>
      <c r="I1715" s="1123"/>
      <c r="J1715" s="1123"/>
      <c r="K1715" s="1123"/>
      <c r="L1715" s="1123"/>
      <c r="M1715" s="1123"/>
      <c r="N1715" s="1123"/>
      <c r="V1715" s="1224"/>
    </row>
    <row r="1716" spans="1:22">
      <c r="A1716" s="1289"/>
      <c r="B1716" s="1123"/>
      <c r="C1716" s="1123"/>
      <c r="D1716" s="1123"/>
      <c r="E1716" s="1123"/>
      <c r="G1716" s="1123"/>
      <c r="H1716" s="1123"/>
      <c r="I1716" s="1123"/>
      <c r="J1716" s="1123"/>
      <c r="K1716" s="1123"/>
      <c r="L1716" s="1123"/>
      <c r="M1716" s="1123"/>
      <c r="N1716" s="1123"/>
      <c r="V1716" s="1224"/>
    </row>
    <row r="1717" spans="1:22">
      <c r="A1717" s="1289"/>
      <c r="B1717" s="1123"/>
      <c r="C1717" s="1123"/>
      <c r="D1717" s="1123"/>
      <c r="E1717" s="1123"/>
      <c r="G1717" s="1123"/>
      <c r="H1717" s="1123"/>
      <c r="I1717" s="1123"/>
      <c r="J1717" s="1123"/>
      <c r="K1717" s="1123"/>
      <c r="L1717" s="1123"/>
      <c r="M1717" s="1123"/>
      <c r="N1717" s="1123"/>
      <c r="V1717" s="1224"/>
    </row>
    <row r="1718" spans="1:22">
      <c r="A1718" s="1289"/>
      <c r="B1718" s="1123"/>
      <c r="C1718" s="1123"/>
      <c r="D1718" s="1123"/>
      <c r="E1718" s="1123"/>
      <c r="G1718" s="1123"/>
      <c r="H1718" s="1123"/>
      <c r="I1718" s="1123"/>
      <c r="J1718" s="1123"/>
      <c r="K1718" s="1123"/>
      <c r="L1718" s="1123"/>
      <c r="M1718" s="1123"/>
      <c r="N1718" s="1123"/>
      <c r="V1718" s="1224"/>
    </row>
    <row r="1719" spans="1:22">
      <c r="A1719" s="1289"/>
      <c r="B1719" s="1123"/>
      <c r="C1719" s="1123"/>
      <c r="D1719" s="1123"/>
      <c r="E1719" s="1123"/>
      <c r="G1719" s="1123"/>
      <c r="H1719" s="1123"/>
      <c r="I1719" s="1123"/>
      <c r="J1719" s="1123"/>
      <c r="K1719" s="1123"/>
      <c r="L1719" s="1123"/>
      <c r="M1719" s="1123"/>
      <c r="N1719" s="1123"/>
      <c r="V1719" s="1224"/>
    </row>
    <row r="1720" spans="1:22">
      <c r="A1720" s="1289"/>
      <c r="B1720" s="1123"/>
      <c r="C1720" s="1123"/>
      <c r="D1720" s="1123"/>
      <c r="E1720" s="1123"/>
      <c r="G1720" s="1123"/>
      <c r="H1720" s="1123"/>
      <c r="I1720" s="1123"/>
      <c r="J1720" s="1123"/>
      <c r="K1720" s="1123"/>
      <c r="L1720" s="1123"/>
      <c r="M1720" s="1123"/>
      <c r="N1720" s="1123"/>
      <c r="V1720" s="1224"/>
    </row>
    <row r="1721" spans="1:22">
      <c r="A1721" s="1289"/>
      <c r="B1721" s="1123"/>
      <c r="C1721" s="1123"/>
      <c r="D1721" s="1123"/>
      <c r="E1721" s="1123"/>
      <c r="G1721" s="1123"/>
      <c r="H1721" s="1123"/>
      <c r="I1721" s="1123"/>
      <c r="J1721" s="1123"/>
      <c r="K1721" s="1123"/>
      <c r="L1721" s="1123"/>
      <c r="M1721" s="1123"/>
      <c r="N1721" s="1123"/>
      <c r="V1721" s="1224"/>
    </row>
    <row r="1722" spans="1:22">
      <c r="A1722" s="1289"/>
      <c r="B1722" s="1123"/>
      <c r="C1722" s="1123"/>
      <c r="D1722" s="1123"/>
      <c r="E1722" s="1123"/>
      <c r="G1722" s="1123"/>
      <c r="H1722" s="1123"/>
      <c r="I1722" s="1123"/>
      <c r="J1722" s="1123"/>
      <c r="K1722" s="1123"/>
      <c r="L1722" s="1123"/>
      <c r="M1722" s="1123"/>
      <c r="N1722" s="1123"/>
      <c r="V1722" s="1224"/>
    </row>
    <row r="1723" spans="1:22">
      <c r="A1723" s="1289"/>
      <c r="B1723" s="1123"/>
      <c r="C1723" s="1123"/>
      <c r="D1723" s="1123"/>
      <c r="E1723" s="1123"/>
      <c r="G1723" s="1123"/>
      <c r="H1723" s="1123"/>
      <c r="I1723" s="1123"/>
      <c r="J1723" s="1123"/>
      <c r="K1723" s="1123"/>
      <c r="L1723" s="1123"/>
      <c r="M1723" s="1123"/>
      <c r="N1723" s="1123"/>
      <c r="V1723" s="1224"/>
    </row>
    <row r="1724" spans="1:22">
      <c r="A1724" s="1289"/>
      <c r="B1724" s="1123"/>
      <c r="C1724" s="1123"/>
      <c r="D1724" s="1123"/>
      <c r="E1724" s="1123"/>
      <c r="G1724" s="1123"/>
      <c r="H1724" s="1123"/>
      <c r="I1724" s="1123"/>
      <c r="J1724" s="1123"/>
      <c r="K1724" s="1123"/>
      <c r="L1724" s="1123"/>
      <c r="M1724" s="1123"/>
      <c r="N1724" s="1123"/>
      <c r="V1724" s="1224"/>
    </row>
    <row r="1725" spans="1:22">
      <c r="A1725" s="1289"/>
      <c r="B1725" s="1123"/>
      <c r="C1725" s="1123"/>
      <c r="D1725" s="1123"/>
      <c r="E1725" s="1123"/>
      <c r="G1725" s="1123"/>
      <c r="H1725" s="1123"/>
      <c r="I1725" s="1123"/>
      <c r="J1725" s="1123"/>
      <c r="K1725" s="1123"/>
      <c r="L1725" s="1123"/>
      <c r="M1725" s="1123"/>
      <c r="N1725" s="1123"/>
      <c r="V1725" s="1224"/>
    </row>
    <row r="1726" spans="1:22">
      <c r="A1726" s="1289"/>
      <c r="B1726" s="1123"/>
      <c r="C1726" s="1123"/>
      <c r="D1726" s="1123"/>
      <c r="E1726" s="1123"/>
      <c r="G1726" s="1123"/>
      <c r="H1726" s="1123"/>
      <c r="I1726" s="1123"/>
      <c r="J1726" s="1123"/>
      <c r="K1726" s="1123"/>
      <c r="L1726" s="1123"/>
      <c r="M1726" s="1123"/>
      <c r="N1726" s="1123"/>
      <c r="V1726" s="1224"/>
    </row>
    <row r="1727" spans="1:22">
      <c r="A1727" s="1289"/>
      <c r="B1727" s="1123"/>
      <c r="C1727" s="1123"/>
      <c r="D1727" s="1123"/>
      <c r="E1727" s="1123"/>
      <c r="G1727" s="1123"/>
      <c r="H1727" s="1123"/>
      <c r="I1727" s="1123"/>
      <c r="J1727" s="1123"/>
      <c r="K1727" s="1123"/>
      <c r="L1727" s="1123"/>
      <c r="M1727" s="1123"/>
      <c r="N1727" s="1123"/>
      <c r="V1727" s="1224"/>
    </row>
    <row r="1728" spans="1:22">
      <c r="A1728" s="1289"/>
      <c r="B1728" s="1123"/>
      <c r="C1728" s="1123"/>
      <c r="D1728" s="1123"/>
      <c r="E1728" s="1123"/>
      <c r="G1728" s="1123"/>
      <c r="H1728" s="1123"/>
      <c r="I1728" s="1123"/>
      <c r="J1728" s="1123"/>
      <c r="K1728" s="1123"/>
      <c r="L1728" s="1123"/>
      <c r="M1728" s="1123"/>
      <c r="N1728" s="1123"/>
      <c r="V1728" s="1224"/>
    </row>
    <row r="1729" spans="1:22">
      <c r="A1729" s="1289"/>
      <c r="B1729" s="1123"/>
      <c r="C1729" s="1123"/>
      <c r="D1729" s="1123"/>
      <c r="E1729" s="1123"/>
      <c r="G1729" s="1123"/>
      <c r="H1729" s="1123"/>
      <c r="I1729" s="1123"/>
      <c r="J1729" s="1123"/>
      <c r="K1729" s="1123"/>
      <c r="L1729" s="1123"/>
      <c r="M1729" s="1123"/>
      <c r="N1729" s="1123"/>
      <c r="V1729" s="1224"/>
    </row>
    <row r="1730" spans="1:22">
      <c r="A1730" s="1289"/>
      <c r="B1730" s="1123"/>
      <c r="C1730" s="1123"/>
      <c r="D1730" s="1123"/>
      <c r="E1730" s="1123"/>
      <c r="G1730" s="1123"/>
      <c r="H1730" s="1123"/>
      <c r="I1730" s="1123"/>
      <c r="J1730" s="1123"/>
      <c r="K1730" s="1123"/>
      <c r="L1730" s="1123"/>
      <c r="M1730" s="1123"/>
      <c r="N1730" s="1123"/>
      <c r="V1730" s="1224"/>
    </row>
    <row r="1731" spans="1:22">
      <c r="A1731" s="1289"/>
      <c r="B1731" s="1123"/>
      <c r="C1731" s="1123"/>
      <c r="D1731" s="1123"/>
      <c r="E1731" s="1123"/>
      <c r="G1731" s="1123"/>
      <c r="H1731" s="1123"/>
      <c r="I1731" s="1123"/>
      <c r="J1731" s="1123"/>
      <c r="K1731" s="1123"/>
      <c r="L1731" s="1123"/>
      <c r="M1731" s="1123"/>
      <c r="N1731" s="1123"/>
      <c r="V1731" s="1224"/>
    </row>
    <row r="1732" spans="1:22">
      <c r="A1732" s="1289"/>
      <c r="B1732" s="1123"/>
      <c r="C1732" s="1123"/>
      <c r="D1732" s="1123"/>
      <c r="E1732" s="1123"/>
      <c r="G1732" s="1123"/>
      <c r="H1732" s="1123"/>
      <c r="I1732" s="1123"/>
      <c r="J1732" s="1123"/>
      <c r="K1732" s="1123"/>
      <c r="L1732" s="1123"/>
      <c r="M1732" s="1123"/>
      <c r="N1732" s="1123"/>
      <c r="V1732" s="1224"/>
    </row>
    <row r="1733" spans="1:22">
      <c r="A1733" s="1289"/>
      <c r="B1733" s="1123"/>
      <c r="C1733" s="1123"/>
      <c r="D1733" s="1123"/>
      <c r="E1733" s="1123"/>
      <c r="G1733" s="1123"/>
      <c r="H1733" s="1123"/>
      <c r="I1733" s="1123"/>
      <c r="J1733" s="1123"/>
      <c r="K1733" s="1123"/>
      <c r="L1733" s="1123"/>
      <c r="M1733" s="1123"/>
      <c r="N1733" s="1123"/>
      <c r="V1733" s="1224"/>
    </row>
    <row r="1734" spans="1:22">
      <c r="A1734" s="1289"/>
      <c r="B1734" s="1123"/>
      <c r="C1734" s="1123"/>
      <c r="D1734" s="1123"/>
      <c r="E1734" s="1123"/>
      <c r="G1734" s="1123"/>
      <c r="H1734" s="1123"/>
      <c r="I1734" s="1123"/>
      <c r="J1734" s="1123"/>
      <c r="K1734" s="1123"/>
      <c r="L1734" s="1123"/>
      <c r="M1734" s="1123"/>
      <c r="N1734" s="1123"/>
      <c r="V1734" s="1224"/>
    </row>
    <row r="1735" spans="1:22">
      <c r="A1735" s="1289"/>
      <c r="B1735" s="1123"/>
      <c r="C1735" s="1123"/>
      <c r="D1735" s="1123"/>
      <c r="E1735" s="1123"/>
      <c r="G1735" s="1123"/>
      <c r="H1735" s="1123"/>
      <c r="I1735" s="1123"/>
      <c r="J1735" s="1123"/>
      <c r="K1735" s="1123"/>
      <c r="L1735" s="1123"/>
      <c r="M1735" s="1123"/>
      <c r="N1735" s="1123"/>
      <c r="V1735" s="1224"/>
    </row>
    <row r="1736" spans="1:22">
      <c r="A1736" s="1289"/>
      <c r="B1736" s="1123"/>
      <c r="C1736" s="1123"/>
      <c r="D1736" s="1123"/>
      <c r="E1736" s="1123"/>
      <c r="G1736" s="1123"/>
      <c r="H1736" s="1123"/>
      <c r="I1736" s="1123"/>
      <c r="J1736" s="1123"/>
      <c r="K1736" s="1123"/>
      <c r="L1736" s="1123"/>
      <c r="M1736" s="1123"/>
      <c r="N1736" s="1123"/>
      <c r="V1736" s="1224"/>
    </row>
    <row r="1737" spans="1:22">
      <c r="A1737" s="1289"/>
      <c r="B1737" s="1123"/>
      <c r="C1737" s="1123"/>
      <c r="D1737" s="1123"/>
      <c r="E1737" s="1123"/>
      <c r="G1737" s="1123"/>
      <c r="H1737" s="1123"/>
      <c r="I1737" s="1123"/>
      <c r="J1737" s="1123"/>
      <c r="K1737" s="1123"/>
      <c r="L1737" s="1123"/>
      <c r="M1737" s="1123"/>
      <c r="N1737" s="1123"/>
      <c r="V1737" s="1224"/>
    </row>
    <row r="1738" spans="1:22">
      <c r="A1738" s="1289"/>
      <c r="B1738" s="1123"/>
      <c r="C1738" s="1123"/>
      <c r="D1738" s="1123"/>
      <c r="E1738" s="1123"/>
      <c r="G1738" s="1123"/>
      <c r="H1738" s="1123"/>
      <c r="I1738" s="1123"/>
      <c r="J1738" s="1123"/>
      <c r="K1738" s="1123"/>
      <c r="L1738" s="1123"/>
      <c r="M1738" s="1123"/>
      <c r="N1738" s="1123"/>
      <c r="V1738" s="1224"/>
    </row>
    <row r="1739" spans="1:22">
      <c r="A1739" s="1289"/>
      <c r="B1739" s="1123"/>
      <c r="C1739" s="1123"/>
      <c r="D1739" s="1123"/>
      <c r="E1739" s="1123"/>
      <c r="G1739" s="1123"/>
      <c r="H1739" s="1123"/>
      <c r="I1739" s="1123"/>
      <c r="J1739" s="1123"/>
      <c r="K1739" s="1123"/>
      <c r="L1739" s="1123"/>
      <c r="M1739" s="1123"/>
      <c r="N1739" s="1123"/>
      <c r="V1739" s="1224"/>
    </row>
    <row r="1740" spans="1:22">
      <c r="A1740" s="1289"/>
      <c r="B1740" s="1123"/>
      <c r="C1740" s="1123"/>
      <c r="D1740" s="1123"/>
      <c r="E1740" s="1123"/>
      <c r="G1740" s="1123"/>
      <c r="H1740" s="1123"/>
      <c r="I1740" s="1123"/>
      <c r="J1740" s="1123"/>
      <c r="K1740" s="1123"/>
      <c r="L1740" s="1123"/>
      <c r="M1740" s="1123"/>
      <c r="N1740" s="1123"/>
      <c r="V1740" s="1224"/>
    </row>
    <row r="1741" spans="1:22">
      <c r="A1741" s="1289"/>
      <c r="B1741" s="1123"/>
      <c r="C1741" s="1123"/>
      <c r="D1741" s="1123"/>
      <c r="E1741" s="1123"/>
      <c r="G1741" s="1123"/>
      <c r="H1741" s="1123"/>
      <c r="I1741" s="1123"/>
      <c r="J1741" s="1123"/>
      <c r="K1741" s="1123"/>
      <c r="L1741" s="1123"/>
      <c r="M1741" s="1123"/>
      <c r="N1741" s="1123"/>
      <c r="V1741" s="1224"/>
    </row>
    <row r="1742" spans="1:22">
      <c r="A1742" s="1289"/>
      <c r="B1742" s="1123"/>
      <c r="C1742" s="1123"/>
      <c r="D1742" s="1123"/>
      <c r="E1742" s="1123"/>
      <c r="G1742" s="1123"/>
      <c r="H1742" s="1123"/>
      <c r="I1742" s="1123"/>
      <c r="J1742" s="1123"/>
      <c r="K1742" s="1123"/>
      <c r="L1742" s="1123"/>
      <c r="M1742" s="1123"/>
      <c r="N1742" s="1123"/>
      <c r="V1742" s="1224"/>
    </row>
    <row r="1743" spans="1:22">
      <c r="A1743" s="1289"/>
      <c r="B1743" s="1123"/>
      <c r="C1743" s="1123"/>
      <c r="D1743" s="1123"/>
      <c r="E1743" s="1123"/>
      <c r="G1743" s="1123"/>
      <c r="H1743" s="1123"/>
      <c r="I1743" s="1123"/>
      <c r="J1743" s="1123"/>
      <c r="K1743" s="1123"/>
      <c r="L1743" s="1123"/>
      <c r="M1743" s="1123"/>
      <c r="N1743" s="1123"/>
      <c r="V1743" s="1224"/>
    </row>
    <row r="1744" spans="1:22">
      <c r="A1744" s="1289"/>
      <c r="B1744" s="1123"/>
      <c r="C1744" s="1123"/>
      <c r="D1744" s="1123"/>
      <c r="E1744" s="1123"/>
      <c r="G1744" s="1123"/>
      <c r="H1744" s="1123"/>
      <c r="I1744" s="1123"/>
      <c r="J1744" s="1123"/>
      <c r="K1744" s="1123"/>
      <c r="L1744" s="1123"/>
      <c r="M1744" s="1123"/>
      <c r="N1744" s="1123"/>
      <c r="V1744" s="1224"/>
    </row>
    <row r="1745" spans="1:22">
      <c r="A1745" s="1289"/>
      <c r="B1745" s="1123"/>
      <c r="C1745" s="1123"/>
      <c r="D1745" s="1123"/>
      <c r="E1745" s="1123"/>
      <c r="G1745" s="1123"/>
      <c r="H1745" s="1123"/>
      <c r="I1745" s="1123"/>
      <c r="J1745" s="1123"/>
      <c r="K1745" s="1123"/>
      <c r="L1745" s="1123"/>
      <c r="M1745" s="1123"/>
      <c r="N1745" s="1123"/>
      <c r="V1745" s="1224"/>
    </row>
    <row r="1746" spans="1:22">
      <c r="A1746" s="1289"/>
      <c r="B1746" s="1123"/>
      <c r="C1746" s="1123"/>
      <c r="D1746" s="1123"/>
      <c r="E1746" s="1123"/>
      <c r="G1746" s="1123"/>
      <c r="H1746" s="1123"/>
      <c r="I1746" s="1123"/>
      <c r="J1746" s="1123"/>
      <c r="K1746" s="1123"/>
      <c r="L1746" s="1123"/>
      <c r="M1746" s="1123"/>
      <c r="N1746" s="1123"/>
      <c r="V1746" s="1224"/>
    </row>
    <row r="1747" spans="1:22">
      <c r="A1747" s="1289"/>
      <c r="B1747" s="1123"/>
      <c r="C1747" s="1123"/>
      <c r="D1747" s="1123"/>
      <c r="E1747" s="1123"/>
      <c r="G1747" s="1123"/>
      <c r="H1747" s="1123"/>
      <c r="I1747" s="1123"/>
      <c r="J1747" s="1123"/>
      <c r="K1747" s="1123"/>
      <c r="L1747" s="1123"/>
      <c r="M1747" s="1123"/>
      <c r="N1747" s="1123"/>
      <c r="V1747" s="1224"/>
    </row>
    <row r="1748" spans="1:22">
      <c r="A1748" s="1289"/>
      <c r="B1748" s="1123"/>
      <c r="C1748" s="1123"/>
      <c r="D1748" s="1123"/>
      <c r="E1748" s="1123"/>
      <c r="G1748" s="1123"/>
      <c r="H1748" s="1123"/>
      <c r="I1748" s="1123"/>
      <c r="J1748" s="1123"/>
      <c r="K1748" s="1123"/>
      <c r="L1748" s="1123"/>
      <c r="M1748" s="1123"/>
      <c r="N1748" s="1123"/>
      <c r="V1748" s="1224"/>
    </row>
    <row r="1749" spans="1:22">
      <c r="A1749" s="1289"/>
      <c r="B1749" s="1123"/>
      <c r="C1749" s="1123"/>
      <c r="D1749" s="1123"/>
      <c r="E1749" s="1123"/>
      <c r="G1749" s="1123"/>
      <c r="H1749" s="1123"/>
      <c r="I1749" s="1123"/>
      <c r="J1749" s="1123"/>
      <c r="K1749" s="1123"/>
      <c r="L1749" s="1123"/>
      <c r="M1749" s="1123"/>
      <c r="N1749" s="1123"/>
      <c r="V1749" s="1224"/>
    </row>
    <row r="1750" spans="1:22">
      <c r="A1750" s="1289"/>
      <c r="B1750" s="1123"/>
      <c r="C1750" s="1123"/>
      <c r="D1750" s="1123"/>
      <c r="E1750" s="1123"/>
      <c r="G1750" s="1123"/>
      <c r="H1750" s="1123"/>
      <c r="I1750" s="1123"/>
      <c r="J1750" s="1123"/>
      <c r="K1750" s="1123"/>
      <c r="L1750" s="1123"/>
      <c r="M1750" s="1123"/>
      <c r="N1750" s="1123"/>
      <c r="V1750" s="1224"/>
    </row>
    <row r="1751" spans="1:22">
      <c r="A1751" s="1289"/>
      <c r="B1751" s="1123"/>
      <c r="C1751" s="1123"/>
      <c r="D1751" s="1123"/>
      <c r="E1751" s="1123"/>
      <c r="G1751" s="1123"/>
      <c r="H1751" s="1123"/>
      <c r="I1751" s="1123"/>
      <c r="J1751" s="1123"/>
      <c r="K1751" s="1123"/>
      <c r="L1751" s="1123"/>
      <c r="M1751" s="1123"/>
      <c r="N1751" s="1123"/>
      <c r="V1751" s="1224"/>
    </row>
    <row r="1752" spans="1:22">
      <c r="A1752" s="1289"/>
      <c r="B1752" s="1123"/>
      <c r="C1752" s="1123"/>
      <c r="D1752" s="1123"/>
      <c r="E1752" s="1123"/>
      <c r="G1752" s="1123"/>
      <c r="H1752" s="1123"/>
      <c r="I1752" s="1123"/>
      <c r="J1752" s="1123"/>
      <c r="K1752" s="1123"/>
      <c r="L1752" s="1123"/>
      <c r="M1752" s="1123"/>
      <c r="N1752" s="1123"/>
      <c r="V1752" s="1224"/>
    </row>
    <row r="1753" spans="1:22">
      <c r="A1753" s="1289"/>
      <c r="B1753" s="1123"/>
      <c r="C1753" s="1123"/>
      <c r="D1753" s="1123"/>
      <c r="E1753" s="1123"/>
      <c r="G1753" s="1123"/>
      <c r="H1753" s="1123"/>
      <c r="I1753" s="1123"/>
      <c r="J1753" s="1123"/>
      <c r="K1753" s="1123"/>
      <c r="L1753" s="1123"/>
      <c r="M1753" s="1123"/>
      <c r="N1753" s="1123"/>
      <c r="V1753" s="1224"/>
    </row>
    <row r="1754" spans="1:22">
      <c r="A1754" s="1289"/>
      <c r="B1754" s="1123"/>
      <c r="C1754" s="1123"/>
      <c r="D1754" s="1123"/>
      <c r="E1754" s="1123"/>
      <c r="G1754" s="1123"/>
      <c r="H1754" s="1123"/>
      <c r="I1754" s="1123"/>
      <c r="J1754" s="1123"/>
      <c r="K1754" s="1123"/>
      <c r="L1754" s="1123"/>
      <c r="M1754" s="1123"/>
      <c r="N1754" s="1123"/>
      <c r="V1754" s="1224"/>
    </row>
    <row r="1755" spans="1:22">
      <c r="A1755" s="1289"/>
      <c r="B1755" s="1123"/>
      <c r="C1755" s="1123"/>
      <c r="D1755" s="1123"/>
      <c r="E1755" s="1123"/>
      <c r="G1755" s="1123"/>
      <c r="H1755" s="1123"/>
      <c r="I1755" s="1123"/>
      <c r="J1755" s="1123"/>
      <c r="K1755" s="1123"/>
      <c r="L1755" s="1123"/>
      <c r="M1755" s="1123"/>
      <c r="N1755" s="1123"/>
      <c r="V1755" s="1224"/>
    </row>
    <row r="1756" spans="1:22">
      <c r="A1756" s="1289"/>
      <c r="B1756" s="1123"/>
      <c r="C1756" s="1123"/>
      <c r="D1756" s="1123"/>
      <c r="E1756" s="1123"/>
      <c r="G1756" s="1123"/>
      <c r="H1756" s="1123"/>
      <c r="I1756" s="1123"/>
      <c r="J1756" s="1123"/>
      <c r="K1756" s="1123"/>
      <c r="L1756" s="1123"/>
      <c r="M1756" s="1123"/>
      <c r="N1756" s="1123"/>
      <c r="V1756" s="1224"/>
    </row>
    <row r="1757" spans="1:22">
      <c r="A1757" s="1289"/>
      <c r="B1757" s="1123"/>
      <c r="C1757" s="1123"/>
      <c r="D1757" s="1123"/>
      <c r="E1757" s="1123"/>
      <c r="G1757" s="1123"/>
      <c r="H1757" s="1123"/>
      <c r="I1757" s="1123"/>
      <c r="J1757" s="1123"/>
      <c r="K1757" s="1123"/>
      <c r="L1757" s="1123"/>
      <c r="M1757" s="1123"/>
      <c r="N1757" s="1123"/>
      <c r="V1757" s="1224"/>
    </row>
    <row r="1758" spans="1:22">
      <c r="A1758" s="1289"/>
      <c r="B1758" s="1123"/>
      <c r="C1758" s="1123"/>
      <c r="D1758" s="1123"/>
      <c r="E1758" s="1123"/>
      <c r="G1758" s="1123"/>
      <c r="H1758" s="1123"/>
      <c r="I1758" s="1123"/>
      <c r="J1758" s="1123"/>
      <c r="K1758" s="1123"/>
      <c r="L1758" s="1123"/>
      <c r="M1758" s="1123"/>
      <c r="N1758" s="1123"/>
      <c r="V1758" s="1224"/>
    </row>
    <row r="1759" spans="1:22">
      <c r="A1759" s="1289"/>
      <c r="B1759" s="1123"/>
      <c r="C1759" s="1123"/>
      <c r="D1759" s="1123"/>
      <c r="E1759" s="1123"/>
      <c r="G1759" s="1123"/>
      <c r="H1759" s="1123"/>
      <c r="I1759" s="1123"/>
      <c r="J1759" s="1123"/>
      <c r="K1759" s="1123"/>
      <c r="L1759" s="1123"/>
      <c r="M1759" s="1123"/>
      <c r="N1759" s="1123"/>
      <c r="V1759" s="1224"/>
    </row>
    <row r="1760" spans="1:22">
      <c r="A1760" s="1289"/>
      <c r="B1760" s="1123"/>
      <c r="C1760" s="1123"/>
      <c r="D1760" s="1123"/>
      <c r="E1760" s="1123"/>
      <c r="G1760" s="1123"/>
      <c r="H1760" s="1123"/>
      <c r="I1760" s="1123"/>
      <c r="J1760" s="1123"/>
      <c r="K1760" s="1123"/>
      <c r="L1760" s="1123"/>
      <c r="M1760" s="1123"/>
      <c r="N1760" s="1123"/>
      <c r="V1760" s="1224"/>
    </row>
    <row r="1761" spans="1:22">
      <c r="A1761" s="1289"/>
      <c r="B1761" s="1123"/>
      <c r="C1761" s="1123"/>
      <c r="D1761" s="1123"/>
      <c r="E1761" s="1123"/>
      <c r="G1761" s="1123"/>
      <c r="H1761" s="1123"/>
      <c r="I1761" s="1123"/>
      <c r="J1761" s="1123"/>
      <c r="K1761" s="1123"/>
      <c r="L1761" s="1123"/>
      <c r="M1761" s="1123"/>
      <c r="N1761" s="1123"/>
      <c r="V1761" s="1224"/>
    </row>
    <row r="1762" spans="1:22">
      <c r="A1762" s="1289"/>
      <c r="B1762" s="1123"/>
      <c r="C1762" s="1123"/>
      <c r="D1762" s="1123"/>
      <c r="E1762" s="1123"/>
      <c r="G1762" s="1123"/>
      <c r="H1762" s="1123"/>
      <c r="I1762" s="1123"/>
      <c r="J1762" s="1123"/>
      <c r="K1762" s="1123"/>
      <c r="L1762" s="1123"/>
      <c r="M1762" s="1123"/>
      <c r="N1762" s="1123"/>
      <c r="V1762" s="1224"/>
    </row>
    <row r="1763" spans="1:22">
      <c r="A1763" s="1289"/>
      <c r="B1763" s="1123"/>
      <c r="C1763" s="1123"/>
      <c r="D1763" s="1123"/>
      <c r="E1763" s="1123"/>
      <c r="G1763" s="1123"/>
      <c r="H1763" s="1123"/>
      <c r="I1763" s="1123"/>
      <c r="J1763" s="1123"/>
      <c r="K1763" s="1123"/>
      <c r="L1763" s="1123"/>
      <c r="M1763" s="1123"/>
      <c r="N1763" s="1123"/>
      <c r="V1763" s="1224"/>
    </row>
    <row r="1764" spans="1:22">
      <c r="A1764" s="1289"/>
      <c r="B1764" s="1123"/>
      <c r="C1764" s="1123"/>
      <c r="D1764" s="1123"/>
      <c r="E1764" s="1123"/>
      <c r="G1764" s="1123"/>
      <c r="H1764" s="1123"/>
      <c r="I1764" s="1123"/>
      <c r="J1764" s="1123"/>
      <c r="K1764" s="1123"/>
      <c r="L1764" s="1123"/>
      <c r="M1764" s="1123"/>
      <c r="N1764" s="1123"/>
      <c r="V1764" s="1224"/>
    </row>
    <row r="1765" spans="1:22">
      <c r="A1765" s="1289"/>
      <c r="B1765" s="1123"/>
      <c r="C1765" s="1123"/>
      <c r="D1765" s="1123"/>
      <c r="E1765" s="1123"/>
      <c r="G1765" s="1123"/>
      <c r="H1765" s="1123"/>
      <c r="I1765" s="1123"/>
      <c r="J1765" s="1123"/>
      <c r="K1765" s="1123"/>
      <c r="L1765" s="1123"/>
      <c r="M1765" s="1123"/>
      <c r="N1765" s="1123"/>
      <c r="V1765" s="1224"/>
    </row>
    <row r="1766" spans="1:22">
      <c r="A1766" s="1289"/>
      <c r="B1766" s="1123"/>
      <c r="C1766" s="1123"/>
      <c r="D1766" s="1123"/>
      <c r="E1766" s="1123"/>
      <c r="G1766" s="1123"/>
      <c r="H1766" s="1123"/>
      <c r="I1766" s="1123"/>
      <c r="J1766" s="1123"/>
      <c r="K1766" s="1123"/>
      <c r="L1766" s="1123"/>
      <c r="M1766" s="1123"/>
      <c r="N1766" s="1123"/>
      <c r="V1766" s="1224"/>
    </row>
    <row r="1767" spans="1:22">
      <c r="A1767" s="1289"/>
      <c r="B1767" s="1123"/>
      <c r="C1767" s="1123"/>
      <c r="D1767" s="1123"/>
      <c r="E1767" s="1123"/>
      <c r="G1767" s="1123"/>
      <c r="H1767" s="1123"/>
      <c r="I1767" s="1123"/>
      <c r="J1767" s="1123"/>
      <c r="K1767" s="1123"/>
      <c r="L1767" s="1123"/>
      <c r="M1767" s="1123"/>
      <c r="N1767" s="1123"/>
      <c r="V1767" s="1224"/>
    </row>
    <row r="1768" spans="1:22">
      <c r="A1768" s="1289"/>
      <c r="B1768" s="1123"/>
      <c r="C1768" s="1123"/>
      <c r="D1768" s="1123"/>
      <c r="E1768" s="1123"/>
      <c r="G1768" s="1123"/>
      <c r="H1768" s="1123"/>
      <c r="I1768" s="1123"/>
      <c r="J1768" s="1123"/>
      <c r="K1768" s="1123"/>
      <c r="L1768" s="1123"/>
      <c r="M1768" s="1123"/>
      <c r="N1768" s="1123"/>
      <c r="V1768" s="1224"/>
    </row>
    <row r="1769" spans="1:22">
      <c r="A1769" s="1289"/>
      <c r="B1769" s="1123"/>
      <c r="C1769" s="1123"/>
      <c r="D1769" s="1123"/>
      <c r="E1769" s="1123"/>
      <c r="G1769" s="1123"/>
      <c r="H1769" s="1123"/>
      <c r="I1769" s="1123"/>
      <c r="J1769" s="1123"/>
      <c r="K1769" s="1123"/>
      <c r="L1769" s="1123"/>
      <c r="M1769" s="1123"/>
      <c r="N1769" s="1123"/>
      <c r="V1769" s="1224"/>
    </row>
    <row r="1770" spans="1:22">
      <c r="A1770" s="1289"/>
      <c r="B1770" s="1123"/>
      <c r="C1770" s="1123"/>
      <c r="D1770" s="1123"/>
      <c r="E1770" s="1123"/>
      <c r="G1770" s="1123"/>
      <c r="H1770" s="1123"/>
      <c r="I1770" s="1123"/>
      <c r="J1770" s="1123"/>
      <c r="K1770" s="1123"/>
      <c r="L1770" s="1123"/>
      <c r="M1770" s="1123"/>
      <c r="N1770" s="1123"/>
      <c r="V1770" s="1224"/>
    </row>
    <row r="1771" spans="1:22">
      <c r="A1771" s="1289"/>
      <c r="B1771" s="1123"/>
      <c r="C1771" s="1123"/>
      <c r="D1771" s="1123"/>
      <c r="E1771" s="1123"/>
      <c r="G1771" s="1123"/>
      <c r="H1771" s="1123"/>
      <c r="I1771" s="1123"/>
      <c r="J1771" s="1123"/>
      <c r="K1771" s="1123"/>
      <c r="L1771" s="1123"/>
      <c r="M1771" s="1123"/>
      <c r="N1771" s="1123"/>
      <c r="V1771" s="1224"/>
    </row>
    <row r="1772" spans="1:22">
      <c r="A1772" s="1289"/>
      <c r="B1772" s="1123"/>
      <c r="C1772" s="1123"/>
      <c r="D1772" s="1123"/>
      <c r="E1772" s="1123"/>
      <c r="G1772" s="1123"/>
      <c r="H1772" s="1123"/>
      <c r="I1772" s="1123"/>
      <c r="J1772" s="1123"/>
      <c r="K1772" s="1123"/>
      <c r="L1772" s="1123"/>
      <c r="M1772" s="1123"/>
      <c r="N1772" s="1123"/>
      <c r="V1772" s="1224"/>
    </row>
    <row r="1773" spans="1:22">
      <c r="A1773" s="1289"/>
      <c r="B1773" s="1123"/>
      <c r="C1773" s="1123"/>
      <c r="D1773" s="1123"/>
      <c r="E1773" s="1123"/>
      <c r="G1773" s="1123"/>
      <c r="H1773" s="1123"/>
      <c r="I1773" s="1123"/>
      <c r="J1773" s="1123"/>
      <c r="K1773" s="1123"/>
      <c r="L1773" s="1123"/>
      <c r="M1773" s="1123"/>
      <c r="N1773" s="1123"/>
      <c r="V1773" s="1224"/>
    </row>
    <row r="1774" spans="1:22">
      <c r="A1774" s="1289"/>
      <c r="B1774" s="1123"/>
      <c r="C1774" s="1123"/>
      <c r="D1774" s="1123"/>
      <c r="E1774" s="1123"/>
      <c r="G1774" s="1123"/>
      <c r="H1774" s="1123"/>
      <c r="I1774" s="1123"/>
      <c r="J1774" s="1123"/>
      <c r="K1774" s="1123"/>
      <c r="L1774" s="1123"/>
      <c r="M1774" s="1123"/>
      <c r="N1774" s="1123"/>
      <c r="V1774" s="1224"/>
    </row>
    <row r="1775" spans="1:22">
      <c r="A1775" s="1289"/>
      <c r="B1775" s="1123"/>
      <c r="C1775" s="1123"/>
      <c r="D1775" s="1123"/>
      <c r="E1775" s="1123"/>
      <c r="G1775" s="1123"/>
      <c r="H1775" s="1123"/>
      <c r="I1775" s="1123"/>
      <c r="J1775" s="1123"/>
      <c r="K1775" s="1123"/>
      <c r="L1775" s="1123"/>
      <c r="M1775" s="1123"/>
      <c r="N1775" s="1123"/>
      <c r="V1775" s="1224"/>
    </row>
    <row r="1776" spans="1:22">
      <c r="A1776" s="1289"/>
      <c r="B1776" s="1123"/>
      <c r="C1776" s="1123"/>
      <c r="D1776" s="1123"/>
      <c r="E1776" s="1123"/>
      <c r="G1776" s="1123"/>
      <c r="H1776" s="1123"/>
      <c r="I1776" s="1123"/>
      <c r="J1776" s="1123"/>
      <c r="K1776" s="1123"/>
      <c r="L1776" s="1123"/>
      <c r="M1776" s="1123"/>
      <c r="N1776" s="1123"/>
      <c r="V1776" s="1224"/>
    </row>
    <row r="1777" spans="1:22">
      <c r="A1777" s="1289"/>
      <c r="B1777" s="1123"/>
      <c r="C1777" s="1123"/>
      <c r="D1777" s="1123"/>
      <c r="E1777" s="1123"/>
      <c r="G1777" s="1123"/>
      <c r="H1777" s="1123"/>
      <c r="I1777" s="1123"/>
      <c r="J1777" s="1123"/>
      <c r="K1777" s="1123"/>
      <c r="L1777" s="1123"/>
      <c r="M1777" s="1123"/>
      <c r="N1777" s="1123"/>
      <c r="V1777" s="1224"/>
    </row>
    <row r="1778" spans="1:22">
      <c r="A1778" s="1289"/>
      <c r="B1778" s="1123"/>
      <c r="C1778" s="1123"/>
      <c r="D1778" s="1123"/>
      <c r="E1778" s="1123"/>
      <c r="G1778" s="1123"/>
      <c r="H1778" s="1123"/>
      <c r="I1778" s="1123"/>
      <c r="J1778" s="1123"/>
      <c r="K1778" s="1123"/>
      <c r="L1778" s="1123"/>
      <c r="M1778" s="1123"/>
      <c r="N1778" s="1123"/>
      <c r="V1778" s="1224"/>
    </row>
    <row r="1779" spans="1:22">
      <c r="A1779" s="1289"/>
      <c r="B1779" s="1123"/>
      <c r="C1779" s="1123"/>
      <c r="D1779" s="1123"/>
      <c r="E1779" s="1123"/>
      <c r="G1779" s="1123"/>
      <c r="H1779" s="1123"/>
      <c r="I1779" s="1123"/>
      <c r="J1779" s="1123"/>
      <c r="K1779" s="1123"/>
      <c r="L1779" s="1123"/>
      <c r="M1779" s="1123"/>
      <c r="N1779" s="1123"/>
      <c r="V1779" s="1224"/>
    </row>
    <row r="1780" spans="1:22">
      <c r="A1780" s="1289"/>
      <c r="B1780" s="1123"/>
      <c r="C1780" s="1123"/>
      <c r="D1780" s="1123"/>
      <c r="E1780" s="1123"/>
      <c r="G1780" s="1123"/>
      <c r="H1780" s="1123"/>
      <c r="I1780" s="1123"/>
      <c r="J1780" s="1123"/>
      <c r="K1780" s="1123"/>
      <c r="L1780" s="1123"/>
      <c r="M1780" s="1123"/>
      <c r="N1780" s="1123"/>
      <c r="V1780" s="1224"/>
    </row>
    <row r="1781" spans="1:22">
      <c r="A1781" s="1289"/>
      <c r="B1781" s="1123"/>
      <c r="C1781" s="1123"/>
      <c r="D1781" s="1123"/>
      <c r="E1781" s="1123"/>
      <c r="G1781" s="1123"/>
      <c r="H1781" s="1123"/>
      <c r="I1781" s="1123"/>
      <c r="J1781" s="1123"/>
      <c r="K1781" s="1123"/>
      <c r="L1781" s="1123"/>
      <c r="M1781" s="1123"/>
      <c r="N1781" s="1123"/>
      <c r="V1781" s="1224"/>
    </row>
    <row r="1782" spans="1:22">
      <c r="A1782" s="1289"/>
      <c r="B1782" s="1123"/>
      <c r="C1782" s="1123"/>
      <c r="D1782" s="1123"/>
      <c r="E1782" s="1123"/>
      <c r="G1782" s="1123"/>
      <c r="H1782" s="1123"/>
      <c r="I1782" s="1123"/>
      <c r="J1782" s="1123"/>
      <c r="K1782" s="1123"/>
      <c r="L1782" s="1123"/>
      <c r="M1782" s="1123"/>
      <c r="N1782" s="1123"/>
      <c r="V1782" s="1224"/>
    </row>
    <row r="1783" spans="1:22">
      <c r="A1783" s="1289"/>
      <c r="B1783" s="1123"/>
      <c r="C1783" s="1123"/>
      <c r="D1783" s="1123"/>
      <c r="E1783" s="1123"/>
      <c r="G1783" s="1123"/>
      <c r="H1783" s="1123"/>
      <c r="I1783" s="1123"/>
      <c r="J1783" s="1123"/>
      <c r="K1783" s="1123"/>
      <c r="L1783" s="1123"/>
      <c r="M1783" s="1123"/>
      <c r="N1783" s="1123"/>
      <c r="V1783" s="1224"/>
    </row>
    <row r="1784" spans="1:22">
      <c r="A1784" s="1289"/>
      <c r="B1784" s="1123"/>
      <c r="C1784" s="1123"/>
      <c r="D1784" s="1123"/>
      <c r="E1784" s="1123"/>
      <c r="G1784" s="1123"/>
      <c r="H1784" s="1123"/>
      <c r="I1784" s="1123"/>
      <c r="J1784" s="1123"/>
      <c r="K1784" s="1123"/>
      <c r="L1784" s="1123"/>
      <c r="M1784" s="1123"/>
      <c r="N1784" s="1123"/>
      <c r="V1784" s="1224"/>
    </row>
    <row r="1785" spans="1:22">
      <c r="A1785" s="1289"/>
      <c r="B1785" s="1123"/>
      <c r="C1785" s="1123"/>
      <c r="D1785" s="1123"/>
      <c r="E1785" s="1123"/>
      <c r="G1785" s="1123"/>
      <c r="H1785" s="1123"/>
      <c r="I1785" s="1123"/>
      <c r="J1785" s="1123"/>
      <c r="K1785" s="1123"/>
      <c r="L1785" s="1123"/>
      <c r="M1785" s="1123"/>
      <c r="N1785" s="1123"/>
      <c r="V1785" s="1224"/>
    </row>
    <row r="1786" spans="1:22">
      <c r="A1786" s="1289"/>
      <c r="B1786" s="1123"/>
      <c r="C1786" s="1123"/>
      <c r="D1786" s="1123"/>
      <c r="E1786" s="1123"/>
      <c r="G1786" s="1123"/>
      <c r="H1786" s="1123"/>
      <c r="I1786" s="1123"/>
      <c r="J1786" s="1123"/>
      <c r="K1786" s="1123"/>
      <c r="L1786" s="1123"/>
      <c r="M1786" s="1123"/>
      <c r="N1786" s="1123"/>
      <c r="V1786" s="1224"/>
    </row>
    <row r="1787" spans="1:22">
      <c r="A1787" s="1289"/>
      <c r="B1787" s="1123"/>
      <c r="C1787" s="1123"/>
      <c r="D1787" s="1123"/>
      <c r="E1787" s="1123"/>
      <c r="G1787" s="1123"/>
      <c r="H1787" s="1123"/>
      <c r="I1787" s="1123"/>
      <c r="J1787" s="1123"/>
      <c r="K1787" s="1123"/>
      <c r="L1787" s="1123"/>
      <c r="M1787" s="1123"/>
      <c r="N1787" s="1123"/>
      <c r="V1787" s="1224"/>
    </row>
    <row r="1788" spans="1:22">
      <c r="A1788" s="1289"/>
      <c r="B1788" s="1123"/>
      <c r="C1788" s="1123"/>
      <c r="D1788" s="1123"/>
      <c r="E1788" s="1123"/>
      <c r="G1788" s="1123"/>
      <c r="H1788" s="1123"/>
      <c r="I1788" s="1123"/>
      <c r="J1788" s="1123"/>
      <c r="K1788" s="1123"/>
      <c r="L1788" s="1123"/>
      <c r="M1788" s="1123"/>
      <c r="N1788" s="1123"/>
      <c r="V1788" s="1224"/>
    </row>
    <row r="1789" spans="1:22">
      <c r="A1789" s="1289"/>
      <c r="B1789" s="1123"/>
      <c r="C1789" s="1123"/>
      <c r="D1789" s="1123"/>
      <c r="E1789" s="1123"/>
      <c r="G1789" s="1123"/>
      <c r="H1789" s="1123"/>
      <c r="I1789" s="1123"/>
      <c r="J1789" s="1123"/>
      <c r="K1789" s="1123"/>
      <c r="L1789" s="1123"/>
      <c r="M1789" s="1123"/>
      <c r="N1789" s="1123"/>
      <c r="V1789" s="1224"/>
    </row>
    <row r="1790" spans="1:22">
      <c r="A1790" s="1289"/>
      <c r="B1790" s="1123"/>
      <c r="C1790" s="1123"/>
      <c r="D1790" s="1123"/>
      <c r="E1790" s="1123"/>
      <c r="G1790" s="1123"/>
      <c r="H1790" s="1123"/>
      <c r="I1790" s="1123"/>
      <c r="J1790" s="1123"/>
      <c r="K1790" s="1123"/>
      <c r="L1790" s="1123"/>
      <c r="M1790" s="1123"/>
      <c r="N1790" s="1123"/>
      <c r="V1790" s="1224"/>
    </row>
    <row r="1791" spans="1:22">
      <c r="A1791" s="1289"/>
      <c r="B1791" s="1123"/>
      <c r="C1791" s="1123"/>
      <c r="D1791" s="1123"/>
      <c r="E1791" s="1123"/>
      <c r="G1791" s="1123"/>
      <c r="H1791" s="1123"/>
      <c r="I1791" s="1123"/>
      <c r="J1791" s="1123"/>
      <c r="K1791" s="1123"/>
      <c r="L1791" s="1123"/>
      <c r="M1791" s="1123"/>
      <c r="N1791" s="1123"/>
      <c r="V1791" s="1224"/>
    </row>
    <row r="1792" spans="1:22">
      <c r="A1792" s="1289"/>
      <c r="B1792" s="1123"/>
      <c r="C1792" s="1123"/>
      <c r="D1792" s="1123"/>
      <c r="E1792" s="1123"/>
      <c r="G1792" s="1123"/>
      <c r="H1792" s="1123"/>
      <c r="I1792" s="1123"/>
      <c r="J1792" s="1123"/>
      <c r="K1792" s="1123"/>
      <c r="L1792" s="1123"/>
      <c r="M1792" s="1123"/>
      <c r="N1792" s="1123"/>
      <c r="V1792" s="1224"/>
    </row>
    <row r="1793" spans="1:22">
      <c r="A1793" s="1289"/>
      <c r="B1793" s="1123"/>
      <c r="C1793" s="1123"/>
      <c r="D1793" s="1123"/>
      <c r="E1793" s="1123"/>
      <c r="G1793" s="1123"/>
      <c r="H1793" s="1123"/>
      <c r="I1793" s="1123"/>
      <c r="J1793" s="1123"/>
      <c r="K1793" s="1123"/>
      <c r="L1793" s="1123"/>
      <c r="M1793" s="1123"/>
      <c r="N1793" s="1123"/>
      <c r="V1793" s="1224"/>
    </row>
    <row r="1794" spans="1:22">
      <c r="A1794" s="1289"/>
      <c r="B1794" s="1123"/>
      <c r="C1794" s="1123"/>
      <c r="D1794" s="1123"/>
      <c r="E1794" s="1123"/>
      <c r="G1794" s="1123"/>
      <c r="H1794" s="1123"/>
      <c r="I1794" s="1123"/>
      <c r="J1794" s="1123"/>
      <c r="K1794" s="1123"/>
      <c r="L1794" s="1123"/>
      <c r="M1794" s="1123"/>
      <c r="N1794" s="1123"/>
      <c r="V1794" s="1224"/>
    </row>
    <row r="1795" spans="1:22">
      <c r="A1795" s="1289"/>
      <c r="B1795" s="1123"/>
      <c r="C1795" s="1123"/>
      <c r="D1795" s="1123"/>
      <c r="E1795" s="1123"/>
      <c r="G1795" s="1123"/>
      <c r="H1795" s="1123"/>
      <c r="I1795" s="1123"/>
      <c r="J1795" s="1123"/>
      <c r="K1795" s="1123"/>
      <c r="L1795" s="1123"/>
      <c r="M1795" s="1123"/>
      <c r="N1795" s="1123"/>
      <c r="V1795" s="1224"/>
    </row>
    <row r="1796" spans="1:22">
      <c r="A1796" s="1289"/>
      <c r="B1796" s="1123"/>
      <c r="C1796" s="1123"/>
      <c r="D1796" s="1123"/>
      <c r="E1796" s="1123"/>
      <c r="G1796" s="1123"/>
      <c r="H1796" s="1123"/>
      <c r="I1796" s="1123"/>
      <c r="J1796" s="1123"/>
      <c r="K1796" s="1123"/>
      <c r="L1796" s="1123"/>
      <c r="M1796" s="1123"/>
      <c r="N1796" s="1123"/>
      <c r="V1796" s="1224"/>
    </row>
    <row r="1797" spans="1:22">
      <c r="A1797" s="1289"/>
      <c r="B1797" s="1123"/>
      <c r="C1797" s="1123"/>
      <c r="D1797" s="1123"/>
      <c r="E1797" s="1123"/>
      <c r="G1797" s="1123"/>
      <c r="H1797" s="1123"/>
      <c r="I1797" s="1123"/>
      <c r="J1797" s="1123"/>
      <c r="K1797" s="1123"/>
      <c r="L1797" s="1123"/>
      <c r="M1797" s="1123"/>
      <c r="N1797" s="1123"/>
      <c r="V1797" s="1224"/>
    </row>
    <row r="1798" spans="1:22">
      <c r="A1798" s="1289"/>
      <c r="B1798" s="1123"/>
      <c r="C1798" s="1123"/>
      <c r="D1798" s="1123"/>
      <c r="E1798" s="1123"/>
      <c r="G1798" s="1123"/>
      <c r="H1798" s="1123"/>
      <c r="I1798" s="1123"/>
      <c r="J1798" s="1123"/>
      <c r="K1798" s="1123"/>
      <c r="L1798" s="1123"/>
      <c r="M1798" s="1123"/>
      <c r="N1798" s="1123"/>
      <c r="V1798" s="1224"/>
    </row>
    <row r="1799" spans="1:22">
      <c r="A1799" s="1289"/>
      <c r="B1799" s="1123"/>
      <c r="C1799" s="1123"/>
      <c r="D1799" s="1123"/>
      <c r="E1799" s="1123"/>
      <c r="G1799" s="1123"/>
      <c r="H1799" s="1123"/>
      <c r="I1799" s="1123"/>
      <c r="J1799" s="1123"/>
      <c r="K1799" s="1123"/>
      <c r="L1799" s="1123"/>
      <c r="M1799" s="1123"/>
      <c r="N1799" s="1123"/>
      <c r="V1799" s="1224"/>
    </row>
    <row r="1800" spans="1:22">
      <c r="A1800" s="1289"/>
      <c r="B1800" s="1123"/>
      <c r="C1800" s="1123"/>
      <c r="D1800" s="1123"/>
      <c r="E1800" s="1123"/>
      <c r="G1800" s="1123"/>
      <c r="H1800" s="1123"/>
      <c r="I1800" s="1123"/>
      <c r="J1800" s="1123"/>
      <c r="K1800" s="1123"/>
      <c r="L1800" s="1123"/>
      <c r="M1800" s="1123"/>
      <c r="N1800" s="1123"/>
      <c r="V1800" s="1224"/>
    </row>
    <row r="1801" spans="1:22">
      <c r="A1801" s="1289"/>
      <c r="B1801" s="1123"/>
      <c r="C1801" s="1123"/>
      <c r="D1801" s="1123"/>
      <c r="E1801" s="1123"/>
      <c r="G1801" s="1123"/>
      <c r="H1801" s="1123"/>
      <c r="I1801" s="1123"/>
      <c r="J1801" s="1123"/>
      <c r="K1801" s="1123"/>
      <c r="L1801" s="1123"/>
      <c r="M1801" s="1123"/>
      <c r="N1801" s="1123"/>
      <c r="V1801" s="1224"/>
    </row>
    <row r="1802" spans="1:22">
      <c r="A1802" s="1289"/>
      <c r="B1802" s="1123"/>
      <c r="C1802" s="1123"/>
      <c r="D1802" s="1123"/>
      <c r="E1802" s="1123"/>
      <c r="G1802" s="1123"/>
      <c r="H1802" s="1123"/>
      <c r="I1802" s="1123"/>
      <c r="J1802" s="1123"/>
      <c r="K1802" s="1123"/>
      <c r="L1802" s="1123"/>
      <c r="M1802" s="1123"/>
      <c r="N1802" s="1123"/>
      <c r="V1802" s="1224"/>
    </row>
    <row r="1803" spans="1:22">
      <c r="A1803" s="1289"/>
      <c r="B1803" s="1123"/>
      <c r="C1803" s="1123"/>
      <c r="D1803" s="1123"/>
      <c r="E1803" s="1123"/>
      <c r="G1803" s="1123"/>
      <c r="H1803" s="1123"/>
      <c r="I1803" s="1123"/>
      <c r="J1803" s="1123"/>
      <c r="K1803" s="1123"/>
      <c r="L1803" s="1123"/>
      <c r="M1803" s="1123"/>
      <c r="N1803" s="1123"/>
      <c r="V1803" s="1224"/>
    </row>
    <row r="1804" spans="1:22">
      <c r="A1804" s="1289"/>
      <c r="B1804" s="1123"/>
      <c r="C1804" s="1123"/>
      <c r="D1804" s="1123"/>
      <c r="E1804" s="1123"/>
      <c r="G1804" s="1123"/>
      <c r="H1804" s="1123"/>
      <c r="I1804" s="1123"/>
      <c r="J1804" s="1123"/>
      <c r="K1804" s="1123"/>
      <c r="L1804" s="1123"/>
      <c r="M1804" s="1123"/>
      <c r="N1804" s="1123"/>
      <c r="V1804" s="1224"/>
    </row>
    <row r="1805" spans="1:22">
      <c r="A1805" s="1289"/>
      <c r="B1805" s="1123"/>
      <c r="C1805" s="1123"/>
      <c r="D1805" s="1123"/>
      <c r="E1805" s="1123"/>
      <c r="G1805" s="1123"/>
      <c r="H1805" s="1123"/>
      <c r="I1805" s="1123"/>
      <c r="J1805" s="1123"/>
      <c r="K1805" s="1123"/>
      <c r="L1805" s="1123"/>
      <c r="M1805" s="1123"/>
      <c r="N1805" s="1123"/>
      <c r="V1805" s="1224"/>
    </row>
    <row r="1806" spans="1:22">
      <c r="A1806" s="1289"/>
      <c r="B1806" s="1123"/>
      <c r="C1806" s="1123"/>
      <c r="D1806" s="1123"/>
      <c r="E1806" s="1123"/>
      <c r="G1806" s="1123"/>
      <c r="H1806" s="1123"/>
      <c r="I1806" s="1123"/>
      <c r="J1806" s="1123"/>
      <c r="K1806" s="1123"/>
      <c r="L1806" s="1123"/>
      <c r="M1806" s="1123"/>
      <c r="N1806" s="1123"/>
      <c r="V1806" s="1224"/>
    </row>
    <row r="1807" spans="1:22">
      <c r="A1807" s="1289"/>
      <c r="B1807" s="1123"/>
      <c r="C1807" s="1123"/>
      <c r="D1807" s="1123"/>
      <c r="E1807" s="1123"/>
      <c r="G1807" s="1123"/>
      <c r="H1807" s="1123"/>
      <c r="I1807" s="1123"/>
      <c r="J1807" s="1123"/>
      <c r="K1807" s="1123"/>
      <c r="L1807" s="1123"/>
      <c r="M1807" s="1123"/>
      <c r="N1807" s="1123"/>
      <c r="V1807" s="1224"/>
    </row>
    <row r="1808" spans="1:22">
      <c r="A1808" s="1289"/>
      <c r="B1808" s="1123"/>
      <c r="C1808" s="1123"/>
      <c r="D1808" s="1123"/>
      <c r="E1808" s="1123"/>
      <c r="G1808" s="1123"/>
      <c r="H1808" s="1123"/>
      <c r="I1808" s="1123"/>
      <c r="J1808" s="1123"/>
      <c r="K1808" s="1123"/>
      <c r="L1808" s="1123"/>
      <c r="M1808" s="1123"/>
      <c r="N1808" s="1123"/>
      <c r="V1808" s="1224"/>
    </row>
    <row r="1809" spans="1:22">
      <c r="A1809" s="1289"/>
      <c r="B1809" s="1123"/>
      <c r="C1809" s="1123"/>
      <c r="D1809" s="1123"/>
      <c r="E1809" s="1123"/>
      <c r="G1809" s="1123"/>
      <c r="H1809" s="1123"/>
      <c r="I1809" s="1123"/>
      <c r="J1809" s="1123"/>
      <c r="K1809" s="1123"/>
      <c r="L1809" s="1123"/>
      <c r="M1809" s="1123"/>
      <c r="N1809" s="1123"/>
      <c r="V1809" s="1224"/>
    </row>
    <row r="1810" spans="1:22">
      <c r="A1810" s="1289"/>
      <c r="B1810" s="1123"/>
      <c r="C1810" s="1123"/>
      <c r="D1810" s="1123"/>
      <c r="E1810" s="1123"/>
      <c r="G1810" s="1123"/>
      <c r="H1810" s="1123"/>
      <c r="I1810" s="1123"/>
      <c r="J1810" s="1123"/>
      <c r="K1810" s="1123"/>
      <c r="L1810" s="1123"/>
      <c r="M1810" s="1123"/>
      <c r="N1810" s="1123"/>
      <c r="V1810" s="1224"/>
    </row>
    <row r="1811" spans="1:22">
      <c r="A1811" s="1289"/>
      <c r="B1811" s="1123"/>
      <c r="C1811" s="1123"/>
      <c r="D1811" s="1123"/>
      <c r="E1811" s="1123"/>
      <c r="G1811" s="1123"/>
      <c r="H1811" s="1123"/>
      <c r="I1811" s="1123"/>
      <c r="J1811" s="1123"/>
      <c r="K1811" s="1123"/>
      <c r="L1811" s="1123"/>
      <c r="M1811" s="1123"/>
      <c r="N1811" s="1123"/>
      <c r="V1811" s="1224"/>
    </row>
    <row r="1812" spans="1:22">
      <c r="A1812" s="1289"/>
      <c r="B1812" s="1123"/>
      <c r="C1812" s="1123"/>
      <c r="D1812" s="1123"/>
      <c r="E1812" s="1123"/>
      <c r="G1812" s="1123"/>
      <c r="H1812" s="1123"/>
      <c r="I1812" s="1123"/>
      <c r="J1812" s="1123"/>
      <c r="K1812" s="1123"/>
      <c r="L1812" s="1123"/>
      <c r="M1812" s="1123"/>
      <c r="N1812" s="1123"/>
      <c r="V1812" s="1224"/>
    </row>
    <row r="1813" spans="1:22">
      <c r="A1813" s="1289"/>
      <c r="B1813" s="1123"/>
      <c r="C1813" s="1123"/>
      <c r="D1813" s="1123"/>
      <c r="E1813" s="1123"/>
      <c r="G1813" s="1123"/>
      <c r="H1813" s="1123"/>
      <c r="I1813" s="1123"/>
      <c r="J1813" s="1123"/>
      <c r="K1813" s="1123"/>
      <c r="L1813" s="1123"/>
      <c r="M1813" s="1123"/>
      <c r="N1813" s="1123"/>
      <c r="V1813" s="1224"/>
    </row>
    <row r="1814" spans="1:22">
      <c r="A1814" s="1289"/>
      <c r="B1814" s="1123"/>
      <c r="C1814" s="1123"/>
      <c r="D1814" s="1123"/>
      <c r="E1814" s="1123"/>
      <c r="G1814" s="1123"/>
      <c r="H1814" s="1123"/>
      <c r="I1814" s="1123"/>
      <c r="J1814" s="1123"/>
      <c r="K1814" s="1123"/>
      <c r="L1814" s="1123"/>
      <c r="M1814" s="1123"/>
      <c r="N1814" s="1123"/>
      <c r="V1814" s="1224"/>
    </row>
    <row r="1815" spans="1:22">
      <c r="A1815" s="1289"/>
      <c r="B1815" s="1123"/>
      <c r="C1815" s="1123"/>
      <c r="D1815" s="1123"/>
      <c r="E1815" s="1123"/>
      <c r="G1815" s="1123"/>
      <c r="H1815" s="1123"/>
      <c r="I1815" s="1123"/>
      <c r="J1815" s="1123"/>
      <c r="K1815" s="1123"/>
      <c r="L1815" s="1123"/>
      <c r="M1815" s="1123"/>
      <c r="N1815" s="1123"/>
      <c r="V1815" s="1224"/>
    </row>
    <row r="1816" spans="1:22">
      <c r="A1816" s="1289"/>
      <c r="B1816" s="1123"/>
      <c r="C1816" s="1123"/>
      <c r="D1816" s="1123"/>
      <c r="E1816" s="1123"/>
      <c r="G1816" s="1123"/>
      <c r="H1816" s="1123"/>
      <c r="I1816" s="1123"/>
      <c r="J1816" s="1123"/>
      <c r="K1816" s="1123"/>
      <c r="L1816" s="1123"/>
      <c r="M1816" s="1123"/>
      <c r="N1816" s="1123"/>
      <c r="V1816" s="1224"/>
    </row>
    <row r="1817" spans="1:22">
      <c r="A1817" s="1289"/>
      <c r="B1817" s="1123"/>
      <c r="C1817" s="1123"/>
      <c r="D1817" s="1123"/>
      <c r="E1817" s="1123"/>
      <c r="G1817" s="1123"/>
      <c r="H1817" s="1123"/>
      <c r="I1817" s="1123"/>
      <c r="J1817" s="1123"/>
      <c r="K1817" s="1123"/>
      <c r="L1817" s="1123"/>
      <c r="M1817" s="1123"/>
      <c r="N1817" s="1123"/>
      <c r="V1817" s="1224"/>
    </row>
    <row r="1818" spans="1:22">
      <c r="A1818" s="1289"/>
      <c r="B1818" s="1123"/>
      <c r="C1818" s="1123"/>
      <c r="D1818" s="1123"/>
      <c r="E1818" s="1123"/>
      <c r="G1818" s="1123"/>
      <c r="H1818" s="1123"/>
      <c r="I1818" s="1123"/>
      <c r="J1818" s="1123"/>
      <c r="K1818" s="1123"/>
      <c r="L1818" s="1123"/>
      <c r="M1818" s="1123"/>
      <c r="N1818" s="1123"/>
      <c r="V1818" s="1224"/>
    </row>
    <row r="1819" spans="1:22">
      <c r="A1819" s="1289"/>
      <c r="B1819" s="1123"/>
      <c r="C1819" s="1123"/>
      <c r="D1819" s="1123"/>
      <c r="E1819" s="1123"/>
      <c r="G1819" s="1123"/>
      <c r="H1819" s="1123"/>
      <c r="I1819" s="1123"/>
      <c r="J1819" s="1123"/>
      <c r="K1819" s="1123"/>
      <c r="L1819" s="1123"/>
      <c r="M1819" s="1123"/>
      <c r="N1819" s="1123"/>
      <c r="V1819" s="1224"/>
    </row>
    <row r="1820" spans="1:22">
      <c r="A1820" s="1289"/>
      <c r="B1820" s="1123"/>
      <c r="C1820" s="1123"/>
      <c r="D1820" s="1123"/>
      <c r="E1820" s="1123"/>
      <c r="G1820" s="1123"/>
      <c r="H1820" s="1123"/>
      <c r="I1820" s="1123"/>
      <c r="J1820" s="1123"/>
      <c r="K1820" s="1123"/>
      <c r="L1820" s="1123"/>
      <c r="M1820" s="1123"/>
      <c r="N1820" s="1123"/>
      <c r="V1820" s="1224"/>
    </row>
    <row r="1821" spans="1:22">
      <c r="A1821" s="1289"/>
      <c r="B1821" s="1123"/>
      <c r="C1821" s="1123"/>
      <c r="D1821" s="1123"/>
      <c r="E1821" s="1123"/>
      <c r="G1821" s="1123"/>
      <c r="H1821" s="1123"/>
      <c r="I1821" s="1123"/>
      <c r="J1821" s="1123"/>
      <c r="K1821" s="1123"/>
      <c r="L1821" s="1123"/>
      <c r="M1821" s="1123"/>
      <c r="N1821" s="1123"/>
      <c r="V1821" s="1224"/>
    </row>
    <row r="1822" spans="1:22">
      <c r="A1822" s="1289"/>
      <c r="B1822" s="1123"/>
      <c r="C1822" s="1123"/>
      <c r="D1822" s="1123"/>
      <c r="E1822" s="1123"/>
      <c r="G1822" s="1123"/>
      <c r="H1822" s="1123"/>
      <c r="I1822" s="1123"/>
      <c r="J1822" s="1123"/>
      <c r="K1822" s="1123"/>
      <c r="L1822" s="1123"/>
      <c r="M1822" s="1123"/>
      <c r="N1822" s="1123"/>
      <c r="V1822" s="1224"/>
    </row>
    <row r="1823" spans="1:22">
      <c r="A1823" s="1289"/>
      <c r="B1823" s="1123"/>
      <c r="C1823" s="1123"/>
      <c r="D1823" s="1123"/>
      <c r="E1823" s="1123"/>
      <c r="G1823" s="1123"/>
      <c r="H1823" s="1123"/>
      <c r="I1823" s="1123"/>
      <c r="J1823" s="1123"/>
      <c r="K1823" s="1123"/>
      <c r="L1823" s="1123"/>
      <c r="M1823" s="1123"/>
      <c r="N1823" s="1123"/>
      <c r="V1823" s="1224"/>
    </row>
    <row r="1824" spans="1:22">
      <c r="A1824" s="1289"/>
      <c r="B1824" s="1123"/>
      <c r="C1824" s="1123"/>
      <c r="D1824" s="1123"/>
      <c r="E1824" s="1123"/>
      <c r="G1824" s="1123"/>
      <c r="H1824" s="1123"/>
      <c r="I1824" s="1123"/>
      <c r="J1824" s="1123"/>
      <c r="K1824" s="1123"/>
      <c r="L1824" s="1123"/>
      <c r="M1824" s="1123"/>
      <c r="N1824" s="1123"/>
      <c r="V1824" s="1224"/>
    </row>
    <row r="1825" spans="1:22">
      <c r="A1825" s="1289"/>
      <c r="B1825" s="1123"/>
      <c r="C1825" s="1123"/>
      <c r="D1825" s="1123"/>
      <c r="E1825" s="1123"/>
      <c r="G1825" s="1123"/>
      <c r="H1825" s="1123"/>
      <c r="I1825" s="1123"/>
      <c r="J1825" s="1123"/>
      <c r="K1825" s="1123"/>
      <c r="L1825" s="1123"/>
      <c r="M1825" s="1123"/>
      <c r="N1825" s="1123"/>
      <c r="V1825" s="1224"/>
    </row>
    <row r="1826" spans="1:22">
      <c r="A1826" s="1289"/>
      <c r="B1826" s="1123"/>
      <c r="C1826" s="1123"/>
      <c r="D1826" s="1123"/>
      <c r="E1826" s="1123"/>
      <c r="G1826" s="1123"/>
      <c r="H1826" s="1123"/>
      <c r="I1826" s="1123"/>
      <c r="J1826" s="1123"/>
      <c r="K1826" s="1123"/>
      <c r="L1826" s="1123"/>
      <c r="M1826" s="1123"/>
      <c r="N1826" s="1123"/>
      <c r="V1826" s="1224"/>
    </row>
    <row r="1827" spans="1:22">
      <c r="A1827" s="1289"/>
      <c r="B1827" s="1123"/>
      <c r="C1827" s="1123"/>
      <c r="D1827" s="1123"/>
      <c r="E1827" s="1123"/>
      <c r="G1827" s="1123"/>
      <c r="H1827" s="1123"/>
      <c r="I1827" s="1123"/>
      <c r="J1827" s="1123"/>
      <c r="K1827" s="1123"/>
      <c r="L1827" s="1123"/>
      <c r="M1827" s="1123"/>
      <c r="N1827" s="1123"/>
      <c r="V1827" s="1224"/>
    </row>
    <row r="1828" spans="1:22">
      <c r="A1828" s="1289"/>
      <c r="B1828" s="1123"/>
      <c r="C1828" s="1123"/>
      <c r="D1828" s="1123"/>
      <c r="E1828" s="1123"/>
      <c r="G1828" s="1123"/>
      <c r="H1828" s="1123"/>
      <c r="I1828" s="1123"/>
      <c r="J1828" s="1123"/>
      <c r="K1828" s="1123"/>
      <c r="L1828" s="1123"/>
      <c r="M1828" s="1123"/>
      <c r="N1828" s="1123"/>
      <c r="V1828" s="1224"/>
    </row>
    <row r="1829" spans="1:22">
      <c r="A1829" s="1289"/>
      <c r="B1829" s="1123"/>
      <c r="C1829" s="1123"/>
      <c r="D1829" s="1123"/>
      <c r="E1829" s="1123"/>
      <c r="G1829" s="1123"/>
      <c r="H1829" s="1123"/>
      <c r="I1829" s="1123"/>
      <c r="J1829" s="1123"/>
      <c r="K1829" s="1123"/>
      <c r="L1829" s="1123"/>
      <c r="M1829" s="1123"/>
      <c r="N1829" s="1123"/>
      <c r="V1829" s="1224"/>
    </row>
    <row r="1830" spans="1:22">
      <c r="A1830" s="1289"/>
      <c r="B1830" s="1123"/>
      <c r="C1830" s="1123"/>
      <c r="D1830" s="1123"/>
      <c r="E1830" s="1123"/>
      <c r="G1830" s="1123"/>
      <c r="H1830" s="1123"/>
      <c r="I1830" s="1123"/>
      <c r="J1830" s="1123"/>
      <c r="K1830" s="1123"/>
      <c r="L1830" s="1123"/>
      <c r="M1830" s="1123"/>
      <c r="N1830" s="1123"/>
      <c r="V1830" s="1224"/>
    </row>
    <row r="1831" spans="1:22">
      <c r="A1831" s="1289"/>
      <c r="B1831" s="1123"/>
      <c r="C1831" s="1123"/>
      <c r="D1831" s="1123"/>
      <c r="E1831" s="1123"/>
      <c r="G1831" s="1123"/>
      <c r="H1831" s="1123"/>
      <c r="I1831" s="1123"/>
      <c r="J1831" s="1123"/>
      <c r="K1831" s="1123"/>
      <c r="L1831" s="1123"/>
      <c r="M1831" s="1123"/>
      <c r="N1831" s="1123"/>
      <c r="V1831" s="1224"/>
    </row>
    <row r="1832" spans="1:22">
      <c r="A1832" s="1289"/>
      <c r="B1832" s="1123"/>
      <c r="C1832" s="1123"/>
      <c r="D1832" s="1123"/>
      <c r="E1832" s="1123"/>
      <c r="G1832" s="1123"/>
      <c r="H1832" s="1123"/>
      <c r="I1832" s="1123"/>
      <c r="J1832" s="1123"/>
      <c r="K1832" s="1123"/>
      <c r="L1832" s="1123"/>
      <c r="M1832" s="1123"/>
      <c r="N1832" s="1123"/>
      <c r="V1832" s="1224"/>
    </row>
    <row r="1833" spans="1:22">
      <c r="A1833" s="1289"/>
      <c r="B1833" s="1123"/>
      <c r="C1833" s="1123"/>
      <c r="D1833" s="1123"/>
      <c r="E1833" s="1123"/>
      <c r="G1833" s="1123"/>
      <c r="H1833" s="1123"/>
      <c r="I1833" s="1123"/>
      <c r="J1833" s="1123"/>
      <c r="K1833" s="1123"/>
      <c r="L1833" s="1123"/>
      <c r="M1833" s="1123"/>
      <c r="N1833" s="1123"/>
      <c r="V1833" s="1224"/>
    </row>
    <row r="1834" spans="1:22">
      <c r="A1834" s="1289"/>
      <c r="B1834" s="1123"/>
      <c r="C1834" s="1123"/>
      <c r="D1834" s="1123"/>
      <c r="E1834" s="1123"/>
      <c r="G1834" s="1123"/>
      <c r="H1834" s="1123"/>
      <c r="I1834" s="1123"/>
      <c r="J1834" s="1123"/>
      <c r="K1834" s="1123"/>
      <c r="L1834" s="1123"/>
      <c r="M1834" s="1123"/>
      <c r="N1834" s="1123"/>
      <c r="V1834" s="1224"/>
    </row>
    <row r="1835" spans="1:22">
      <c r="A1835" s="1289"/>
      <c r="B1835" s="1123"/>
      <c r="C1835" s="1123"/>
      <c r="D1835" s="1123"/>
      <c r="E1835" s="1123"/>
      <c r="G1835" s="1123"/>
      <c r="H1835" s="1123"/>
      <c r="I1835" s="1123"/>
      <c r="J1835" s="1123"/>
      <c r="K1835" s="1123"/>
      <c r="L1835" s="1123"/>
      <c r="M1835" s="1123"/>
      <c r="N1835" s="1123"/>
      <c r="V1835" s="1224"/>
    </row>
    <row r="1836" spans="1:22">
      <c r="A1836" s="1289"/>
      <c r="B1836" s="1123"/>
      <c r="C1836" s="1123"/>
      <c r="D1836" s="1123"/>
      <c r="E1836" s="1123"/>
      <c r="G1836" s="1123"/>
      <c r="H1836" s="1123"/>
      <c r="I1836" s="1123"/>
      <c r="J1836" s="1123"/>
      <c r="K1836" s="1123"/>
      <c r="L1836" s="1123"/>
      <c r="M1836" s="1123"/>
      <c r="N1836" s="1123"/>
      <c r="V1836" s="1224"/>
    </row>
    <row r="1837" spans="1:22">
      <c r="A1837" s="1289"/>
      <c r="B1837" s="1123"/>
      <c r="C1837" s="1123"/>
      <c r="D1837" s="1123"/>
      <c r="E1837" s="1123"/>
      <c r="G1837" s="1123"/>
      <c r="H1837" s="1123"/>
      <c r="I1837" s="1123"/>
      <c r="J1837" s="1123"/>
      <c r="K1837" s="1123"/>
      <c r="L1837" s="1123"/>
      <c r="M1837" s="1123"/>
      <c r="N1837" s="1123"/>
      <c r="V1837" s="1224"/>
    </row>
    <row r="1838" spans="1:22">
      <c r="A1838" s="1289"/>
      <c r="B1838" s="1123"/>
      <c r="C1838" s="1123"/>
      <c r="D1838" s="1123"/>
      <c r="E1838" s="1123"/>
      <c r="G1838" s="1123"/>
      <c r="H1838" s="1123"/>
      <c r="I1838" s="1123"/>
      <c r="J1838" s="1123"/>
      <c r="K1838" s="1123"/>
      <c r="L1838" s="1123"/>
      <c r="M1838" s="1123"/>
      <c r="N1838" s="1123"/>
      <c r="V1838" s="1224"/>
    </row>
    <row r="1839" spans="1:22">
      <c r="A1839" s="1289"/>
      <c r="B1839" s="1123"/>
      <c r="C1839" s="1123"/>
      <c r="D1839" s="1123"/>
      <c r="E1839" s="1123"/>
      <c r="G1839" s="1123"/>
      <c r="H1839" s="1123"/>
      <c r="I1839" s="1123"/>
      <c r="J1839" s="1123"/>
      <c r="K1839" s="1123"/>
      <c r="L1839" s="1123"/>
      <c r="M1839" s="1123"/>
      <c r="N1839" s="1123"/>
      <c r="V1839" s="1224"/>
    </row>
    <row r="1840" spans="1:22">
      <c r="A1840" s="1289"/>
      <c r="B1840" s="1123"/>
      <c r="C1840" s="1123"/>
      <c r="D1840" s="1123"/>
      <c r="E1840" s="1123"/>
      <c r="G1840" s="1123"/>
      <c r="H1840" s="1123"/>
      <c r="I1840" s="1123"/>
      <c r="J1840" s="1123"/>
      <c r="K1840" s="1123"/>
      <c r="L1840" s="1123"/>
      <c r="M1840" s="1123"/>
      <c r="N1840" s="1123"/>
      <c r="V1840" s="1224"/>
    </row>
    <row r="1841" spans="1:22">
      <c r="A1841" s="1289"/>
      <c r="B1841" s="1123"/>
      <c r="C1841" s="1123"/>
      <c r="D1841" s="1123"/>
      <c r="E1841" s="1123"/>
      <c r="G1841" s="1123"/>
      <c r="H1841" s="1123"/>
      <c r="I1841" s="1123"/>
      <c r="J1841" s="1123"/>
      <c r="K1841" s="1123"/>
      <c r="L1841" s="1123"/>
      <c r="M1841" s="1123"/>
      <c r="N1841" s="1123"/>
      <c r="V1841" s="1224"/>
    </row>
    <row r="1842" spans="1:22">
      <c r="A1842" s="1289"/>
      <c r="B1842" s="1123"/>
      <c r="C1842" s="1123"/>
      <c r="D1842" s="1123"/>
      <c r="E1842" s="1123"/>
      <c r="G1842" s="1123"/>
      <c r="H1842" s="1123"/>
      <c r="I1842" s="1123"/>
      <c r="J1842" s="1123"/>
      <c r="K1842" s="1123"/>
      <c r="L1842" s="1123"/>
      <c r="M1842" s="1123"/>
      <c r="N1842" s="1123"/>
      <c r="V1842" s="1224"/>
    </row>
    <row r="1843" spans="1:22">
      <c r="A1843" s="1289"/>
      <c r="B1843" s="1123"/>
      <c r="C1843" s="1123"/>
      <c r="D1843" s="1123"/>
      <c r="E1843" s="1123"/>
      <c r="G1843" s="1123"/>
      <c r="H1843" s="1123"/>
      <c r="I1843" s="1123"/>
      <c r="J1843" s="1123"/>
      <c r="K1843" s="1123"/>
      <c r="L1843" s="1123"/>
      <c r="M1843" s="1123"/>
      <c r="N1843" s="1123"/>
      <c r="V1843" s="1224"/>
    </row>
    <row r="1844" spans="1:22">
      <c r="A1844" s="1289"/>
      <c r="B1844" s="1123"/>
      <c r="C1844" s="1123"/>
      <c r="D1844" s="1123"/>
      <c r="E1844" s="1123"/>
      <c r="G1844" s="1123"/>
      <c r="H1844" s="1123"/>
      <c r="I1844" s="1123"/>
      <c r="J1844" s="1123"/>
      <c r="K1844" s="1123"/>
      <c r="L1844" s="1123"/>
      <c r="M1844" s="1123"/>
      <c r="N1844" s="1123"/>
      <c r="V1844" s="1224"/>
    </row>
    <row r="1845" spans="1:22">
      <c r="A1845" s="1289"/>
      <c r="B1845" s="1123"/>
      <c r="C1845" s="1123"/>
      <c r="D1845" s="1123"/>
      <c r="E1845" s="1123"/>
      <c r="G1845" s="1123"/>
      <c r="H1845" s="1123"/>
      <c r="I1845" s="1123"/>
      <c r="J1845" s="1123"/>
      <c r="K1845" s="1123"/>
      <c r="L1845" s="1123"/>
      <c r="M1845" s="1123"/>
      <c r="N1845" s="1123"/>
      <c r="V1845" s="1224"/>
    </row>
    <row r="1846" spans="1:22">
      <c r="A1846" s="1289"/>
      <c r="B1846" s="1123"/>
      <c r="C1846" s="1123"/>
      <c r="D1846" s="1123"/>
      <c r="E1846" s="1123"/>
      <c r="G1846" s="1123"/>
      <c r="H1846" s="1123"/>
      <c r="I1846" s="1123"/>
      <c r="J1846" s="1123"/>
      <c r="K1846" s="1123"/>
      <c r="L1846" s="1123"/>
      <c r="M1846" s="1123"/>
      <c r="N1846" s="1123"/>
      <c r="V1846" s="1224"/>
    </row>
    <row r="1847" spans="1:22">
      <c r="A1847" s="1289"/>
      <c r="B1847" s="1123"/>
      <c r="C1847" s="1123"/>
      <c r="D1847" s="1123"/>
      <c r="E1847" s="1123"/>
      <c r="G1847" s="1123"/>
      <c r="H1847" s="1123"/>
      <c r="I1847" s="1123"/>
      <c r="J1847" s="1123"/>
      <c r="K1847" s="1123"/>
      <c r="L1847" s="1123"/>
      <c r="M1847" s="1123"/>
      <c r="N1847" s="1123"/>
      <c r="V1847" s="1224"/>
    </row>
    <row r="1848" spans="1:22">
      <c r="A1848" s="1289"/>
      <c r="B1848" s="1123"/>
      <c r="C1848" s="1123"/>
      <c r="D1848" s="1123"/>
      <c r="E1848" s="1123"/>
      <c r="G1848" s="1123"/>
      <c r="H1848" s="1123"/>
      <c r="I1848" s="1123"/>
      <c r="J1848" s="1123"/>
      <c r="K1848" s="1123"/>
      <c r="L1848" s="1123"/>
      <c r="M1848" s="1123"/>
      <c r="N1848" s="1123"/>
      <c r="V1848" s="1224"/>
    </row>
    <row r="1849" spans="1:22">
      <c r="A1849" s="1289"/>
      <c r="B1849" s="1123"/>
      <c r="C1849" s="1123"/>
      <c r="D1849" s="1123"/>
      <c r="E1849" s="1123"/>
      <c r="G1849" s="1123"/>
      <c r="H1849" s="1123"/>
      <c r="I1849" s="1123"/>
      <c r="J1849" s="1123"/>
      <c r="K1849" s="1123"/>
      <c r="L1849" s="1123"/>
      <c r="M1849" s="1123"/>
      <c r="N1849" s="1123"/>
      <c r="V1849" s="1224"/>
    </row>
    <row r="1850" spans="1:22">
      <c r="A1850" s="1289"/>
      <c r="B1850" s="1123"/>
      <c r="C1850" s="1123"/>
      <c r="D1850" s="1123"/>
      <c r="E1850" s="1123"/>
      <c r="G1850" s="1123"/>
      <c r="H1850" s="1123"/>
      <c r="I1850" s="1123"/>
      <c r="J1850" s="1123"/>
      <c r="K1850" s="1123"/>
      <c r="L1850" s="1123"/>
      <c r="M1850" s="1123"/>
      <c r="N1850" s="1123"/>
      <c r="V1850" s="1224"/>
    </row>
  </sheetData>
  <mergeCells count="67">
    <mergeCell ref="A5:N5"/>
    <mergeCell ref="A124:V124"/>
    <mergeCell ref="A92:A101"/>
    <mergeCell ref="V92:V101"/>
    <mergeCell ref="C94:C96"/>
    <mergeCell ref="C97:C98"/>
    <mergeCell ref="U99:U101"/>
    <mergeCell ref="C100:C101"/>
    <mergeCell ref="A123:V123"/>
    <mergeCell ref="A102:A111"/>
    <mergeCell ref="V102:V111"/>
    <mergeCell ref="C104:C106"/>
    <mergeCell ref="C107:C108"/>
    <mergeCell ref="U109:U111"/>
    <mergeCell ref="C110:C111"/>
    <mergeCell ref="A122:U122"/>
    <mergeCell ref="C114:C116"/>
    <mergeCell ref="C119:C121"/>
    <mergeCell ref="A112:A115"/>
    <mergeCell ref="A117:A121"/>
    <mergeCell ref="V112:V116"/>
    <mergeCell ref="V117:V121"/>
    <mergeCell ref="C84:C86"/>
    <mergeCell ref="A87:A91"/>
    <mergeCell ref="V87:V91"/>
    <mergeCell ref="C89:C91"/>
    <mergeCell ref="A77:A81"/>
    <mergeCell ref="V77:V81"/>
    <mergeCell ref="C79:C81"/>
    <mergeCell ref="A82:A86"/>
    <mergeCell ref="V82:V86"/>
    <mergeCell ref="A65:A74"/>
    <mergeCell ref="V65:V76"/>
    <mergeCell ref="C67:C69"/>
    <mergeCell ref="C70:C71"/>
    <mergeCell ref="U72:U76"/>
    <mergeCell ref="C73:C74"/>
    <mergeCell ref="C48:C49"/>
    <mergeCell ref="C54:C59"/>
    <mergeCell ref="C62:C64"/>
    <mergeCell ref="A52:A64"/>
    <mergeCell ref="V52:V64"/>
    <mergeCell ref="H38:H39"/>
    <mergeCell ref="I38:I39"/>
    <mergeCell ref="J38:J39"/>
    <mergeCell ref="K38:K39"/>
    <mergeCell ref="N38:N39"/>
    <mergeCell ref="A38:A51"/>
    <mergeCell ref="B38:B39"/>
    <mergeCell ref="C38:C39"/>
    <mergeCell ref="E38:E39"/>
    <mergeCell ref="F38:F39"/>
    <mergeCell ref="G38:G39"/>
    <mergeCell ref="V38:V51"/>
    <mergeCell ref="C41:C46"/>
    <mergeCell ref="U47:U51"/>
    <mergeCell ref="A28:A37"/>
    <mergeCell ref="V28:V37"/>
    <mergeCell ref="C30:C34"/>
    <mergeCell ref="C6:C8"/>
    <mergeCell ref="D6:D8"/>
    <mergeCell ref="E6:L7"/>
    <mergeCell ref="U6:U8"/>
    <mergeCell ref="V6:V8"/>
    <mergeCell ref="U22:U27"/>
    <mergeCell ref="M6:N7"/>
    <mergeCell ref="O6:T7"/>
  </mergeCells>
  <printOptions horizontalCentered="1"/>
  <pageMargins left="7.874015748031496E-2" right="0.15748031496062992" top="0.59055118110236227" bottom="0.51181102362204722" header="0.15748031496062992" footer="0.15748031496062992"/>
  <pageSetup paperSize="9" scale="70" firstPageNumber="40" orientation="landscape" useFirstPageNumber="1" r:id="rId1"/>
  <headerFooter alignWithMargins="0">
    <oddHeader>&amp;C&amp;"Arial,Kursywa"Wieloletnia prognoza finansowa Województwa Zachodniopomorskiego na lata 2015 - 2038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L521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/>
    </sheetView>
  </sheetViews>
  <sheetFormatPr defaultRowHeight="11.25"/>
  <cols>
    <col min="1" max="1" width="2.85546875" style="831" customWidth="1"/>
    <col min="2" max="2" width="57.85546875" style="832" customWidth="1"/>
    <col min="3" max="3" width="10" style="832" customWidth="1"/>
    <col min="4" max="4" width="14.140625" style="832" customWidth="1"/>
    <col min="5" max="6" width="10.42578125" style="832" hidden="1" customWidth="1"/>
    <col min="7" max="8" width="10.7109375" style="832" hidden="1" customWidth="1"/>
    <col min="9" max="9" width="10.28515625" style="832" hidden="1" customWidth="1"/>
    <col min="10" max="10" width="9.5703125" style="832" hidden="1" customWidth="1"/>
    <col min="11" max="11" width="9.85546875" style="832" hidden="1" customWidth="1"/>
    <col min="12" max="12" width="10.140625" style="832" hidden="1" customWidth="1"/>
    <col min="13" max="13" width="10.140625" style="832" customWidth="1"/>
    <col min="14" max="14" width="12.28515625" style="832" customWidth="1"/>
    <col min="15" max="15" width="8.5703125" style="832" customWidth="1"/>
    <col min="16" max="16" width="9.28515625" style="958" customWidth="1"/>
    <col min="17" max="17" width="9" style="956" customWidth="1"/>
    <col min="18" max="18" width="10.140625" style="956" customWidth="1"/>
    <col min="19" max="19" width="9.28515625" style="956" customWidth="1"/>
    <col min="20" max="20" width="9.5703125" style="956" customWidth="1"/>
    <col min="21" max="21" width="10" style="956" customWidth="1"/>
    <col min="22" max="22" width="15.7109375" style="955" customWidth="1"/>
    <col min="23" max="16384" width="9.140625" style="832"/>
  </cols>
  <sheetData>
    <row r="1" spans="1:22" ht="18" customHeight="1">
      <c r="O1" s="795"/>
      <c r="P1" s="956"/>
      <c r="R1" s="832"/>
      <c r="S1" s="375" t="s">
        <v>211</v>
      </c>
      <c r="T1" s="375"/>
      <c r="U1" s="377"/>
      <c r="V1" s="378"/>
    </row>
    <row r="2" spans="1:22" ht="10.5" customHeight="1">
      <c r="N2" s="379"/>
      <c r="O2" s="833"/>
      <c r="P2" s="832"/>
      <c r="Q2" s="832"/>
      <c r="R2" s="832"/>
      <c r="S2" s="832"/>
      <c r="T2" s="377"/>
      <c r="U2" s="377"/>
      <c r="V2" s="378"/>
    </row>
    <row r="3" spans="1:22" ht="15" customHeight="1">
      <c r="N3" s="379"/>
      <c r="O3" s="379"/>
      <c r="P3" s="379"/>
      <c r="Q3" s="379"/>
      <c r="R3" s="379"/>
      <c r="S3" s="379"/>
      <c r="T3" s="377"/>
      <c r="U3" s="377"/>
      <c r="V3" s="378"/>
    </row>
    <row r="4" spans="1:22" ht="15" customHeight="1">
      <c r="N4" s="379"/>
      <c r="O4" s="379"/>
      <c r="P4" s="379"/>
      <c r="Q4" s="379"/>
      <c r="R4" s="379"/>
      <c r="S4" s="379"/>
      <c r="T4" s="377"/>
      <c r="U4" s="377"/>
      <c r="V4" s="378"/>
    </row>
    <row r="5" spans="1:22" ht="38.25" customHeight="1" thickBot="1">
      <c r="A5" s="2668" t="s">
        <v>212</v>
      </c>
      <c r="B5" s="2668"/>
      <c r="C5" s="2668"/>
      <c r="D5" s="2668"/>
      <c r="E5" s="2668"/>
      <c r="F5" s="2668"/>
      <c r="G5" s="2668"/>
      <c r="H5" s="2668"/>
      <c r="I5" s="2668"/>
      <c r="J5" s="2668"/>
      <c r="K5" s="2668"/>
      <c r="L5" s="2668"/>
      <c r="M5" s="2668"/>
      <c r="N5" s="2668"/>
      <c r="O5" s="2668"/>
      <c r="P5" s="2668"/>
      <c r="Q5" s="2668"/>
      <c r="R5" s="2668"/>
      <c r="S5" s="2668"/>
      <c r="T5" s="2668"/>
      <c r="U5" s="2668"/>
      <c r="V5" s="2668"/>
    </row>
    <row r="6" spans="1:22" s="1898" customFormat="1" ht="33.75" customHeight="1">
      <c r="A6" s="834"/>
      <c r="B6" s="2669" t="s">
        <v>96</v>
      </c>
      <c r="C6" s="2445" t="s">
        <v>91</v>
      </c>
      <c r="D6" s="2370" t="s">
        <v>213</v>
      </c>
      <c r="E6" s="2463"/>
      <c r="F6" s="2464"/>
      <c r="G6" s="2464"/>
      <c r="H6" s="2464"/>
      <c r="I6" s="2464"/>
      <c r="J6" s="2464"/>
      <c r="K6" s="2464"/>
      <c r="L6" s="2465"/>
      <c r="M6" s="2463" t="s">
        <v>320</v>
      </c>
      <c r="N6" s="2464"/>
      <c r="O6" s="2457" t="s">
        <v>317</v>
      </c>
      <c r="P6" s="2458"/>
      <c r="Q6" s="2458"/>
      <c r="R6" s="2458"/>
      <c r="S6" s="2458"/>
      <c r="T6" s="2459"/>
      <c r="U6" s="2590" t="s">
        <v>318</v>
      </c>
      <c r="V6" s="2375" t="s">
        <v>94</v>
      </c>
    </row>
    <row r="7" spans="1:22" s="1898" customFormat="1" ht="25.5" customHeight="1">
      <c r="A7" s="835" t="s">
        <v>95</v>
      </c>
      <c r="B7" s="2670"/>
      <c r="C7" s="2672"/>
      <c r="D7" s="2674"/>
      <c r="E7" s="2466"/>
      <c r="F7" s="2467"/>
      <c r="G7" s="2467"/>
      <c r="H7" s="2467"/>
      <c r="I7" s="2467"/>
      <c r="J7" s="2467"/>
      <c r="K7" s="2467"/>
      <c r="L7" s="2468"/>
      <c r="M7" s="2466"/>
      <c r="N7" s="2467"/>
      <c r="O7" s="2460"/>
      <c r="P7" s="2461"/>
      <c r="Q7" s="2461"/>
      <c r="R7" s="2461"/>
      <c r="S7" s="2461"/>
      <c r="T7" s="2462"/>
      <c r="U7" s="2591"/>
      <c r="V7" s="2376"/>
    </row>
    <row r="8" spans="1:22" s="1898" customFormat="1" ht="32.25" customHeight="1" thickBot="1">
      <c r="A8" s="835"/>
      <c r="B8" s="2671"/>
      <c r="C8" s="2673"/>
      <c r="D8" s="2675"/>
      <c r="E8" s="2092" t="s">
        <v>6</v>
      </c>
      <c r="F8" s="384" t="s">
        <v>7</v>
      </c>
      <c r="G8" s="384" t="s">
        <v>8</v>
      </c>
      <c r="H8" s="384" t="s">
        <v>9</v>
      </c>
      <c r="I8" s="2098" t="s">
        <v>10</v>
      </c>
      <c r="J8" s="2098" t="s">
        <v>11</v>
      </c>
      <c r="K8" s="2098" t="s">
        <v>12</v>
      </c>
      <c r="L8" s="2098" t="s">
        <v>13</v>
      </c>
      <c r="M8" s="2098" t="s">
        <v>321</v>
      </c>
      <c r="N8" s="2098" t="s">
        <v>14</v>
      </c>
      <c r="O8" s="2098" t="s">
        <v>15</v>
      </c>
      <c r="P8" s="2098" t="s">
        <v>16</v>
      </c>
      <c r="Q8" s="2098" t="s">
        <v>17</v>
      </c>
      <c r="R8" s="2098" t="s">
        <v>18</v>
      </c>
      <c r="S8" s="1791" t="s">
        <v>315</v>
      </c>
      <c r="T8" s="1791" t="s">
        <v>322</v>
      </c>
      <c r="U8" s="2592"/>
      <c r="V8" s="2377"/>
    </row>
    <row r="9" spans="1:22" s="1898" customFormat="1" ht="13.5" customHeight="1" thickBot="1">
      <c r="A9" s="836">
        <v>1</v>
      </c>
      <c r="B9" s="837">
        <v>2</v>
      </c>
      <c r="C9" s="838" t="s">
        <v>159</v>
      </c>
      <c r="D9" s="838" t="s">
        <v>160</v>
      </c>
      <c r="E9" s="838" t="s">
        <v>161</v>
      </c>
      <c r="F9" s="839">
        <v>8</v>
      </c>
      <c r="G9" s="839">
        <v>9</v>
      </c>
      <c r="H9" s="839">
        <v>10</v>
      </c>
      <c r="I9" s="840" t="s">
        <v>162</v>
      </c>
      <c r="J9" s="841" t="s">
        <v>163</v>
      </c>
      <c r="K9" s="840" t="s">
        <v>164</v>
      </c>
      <c r="L9" s="840" t="s">
        <v>165</v>
      </c>
      <c r="M9" s="392">
        <v>5</v>
      </c>
      <c r="N9" s="392">
        <v>6</v>
      </c>
      <c r="O9" s="392">
        <v>7</v>
      </c>
      <c r="P9" s="392">
        <v>8</v>
      </c>
      <c r="Q9" s="392">
        <v>9</v>
      </c>
      <c r="R9" s="393">
        <v>10</v>
      </c>
      <c r="S9" s="393">
        <v>11</v>
      </c>
      <c r="T9" s="393">
        <v>12</v>
      </c>
      <c r="U9" s="394">
        <v>13</v>
      </c>
      <c r="V9" s="395">
        <v>14</v>
      </c>
    </row>
    <row r="10" spans="1:22" s="1898" customFormat="1" ht="17.25" customHeight="1">
      <c r="A10" s="842"/>
      <c r="B10" s="1109" t="s">
        <v>97</v>
      </c>
      <c r="C10" s="1110"/>
      <c r="D10" s="1111">
        <f>+D11+D12</f>
        <v>897836</v>
      </c>
      <c r="E10" s="1111">
        <f t="shared" ref="E10:T10" si="0">+E11+E12</f>
        <v>0</v>
      </c>
      <c r="F10" s="1111">
        <f t="shared" si="0"/>
        <v>0</v>
      </c>
      <c r="G10" s="1111">
        <f t="shared" si="0"/>
        <v>0</v>
      </c>
      <c r="H10" s="1111">
        <f t="shared" si="0"/>
        <v>0</v>
      </c>
      <c r="I10" s="1111">
        <f t="shared" si="0"/>
        <v>0</v>
      </c>
      <c r="J10" s="1111">
        <f t="shared" si="0"/>
        <v>0</v>
      </c>
      <c r="K10" s="1111">
        <f t="shared" si="0"/>
        <v>0</v>
      </c>
      <c r="L10" s="1111">
        <f t="shared" si="0"/>
        <v>222002</v>
      </c>
      <c r="M10" s="1111">
        <f t="shared" si="0"/>
        <v>205502</v>
      </c>
      <c r="N10" s="1111">
        <f t="shared" si="0"/>
        <v>186783</v>
      </c>
      <c r="O10" s="1111">
        <f t="shared" si="0"/>
        <v>190871</v>
      </c>
      <c r="P10" s="1111">
        <f t="shared" si="0"/>
        <v>165090</v>
      </c>
      <c r="Q10" s="1111">
        <f t="shared" si="0"/>
        <v>149590</v>
      </c>
      <c r="R10" s="1111">
        <f t="shared" si="0"/>
        <v>0</v>
      </c>
      <c r="S10" s="1111">
        <f t="shared" si="0"/>
        <v>0</v>
      </c>
      <c r="T10" s="1111">
        <f t="shared" si="0"/>
        <v>0</v>
      </c>
      <c r="U10" s="396">
        <f>+U11+U12</f>
        <v>505551</v>
      </c>
      <c r="V10" s="844"/>
    </row>
    <row r="11" spans="1:22" s="1898" customFormat="1" ht="13.5" customHeight="1">
      <c r="A11" s="842"/>
      <c r="B11" s="1093" t="s">
        <v>98</v>
      </c>
      <c r="C11" s="1094"/>
      <c r="D11" s="1095">
        <f>+D22+D33+D44+D51</f>
        <v>897836</v>
      </c>
      <c r="E11" s="1095">
        <f t="shared" ref="E11:T11" si="1">+E22+E33+E44+E51</f>
        <v>0</v>
      </c>
      <c r="F11" s="1095">
        <f t="shared" si="1"/>
        <v>0</v>
      </c>
      <c r="G11" s="1095">
        <f t="shared" si="1"/>
        <v>0</v>
      </c>
      <c r="H11" s="1095">
        <f t="shared" si="1"/>
        <v>0</v>
      </c>
      <c r="I11" s="1095">
        <f t="shared" si="1"/>
        <v>0</v>
      </c>
      <c r="J11" s="1095">
        <f t="shared" si="1"/>
        <v>0</v>
      </c>
      <c r="K11" s="1095">
        <f t="shared" si="1"/>
        <v>0</v>
      </c>
      <c r="L11" s="1095">
        <f t="shared" si="1"/>
        <v>222002</v>
      </c>
      <c r="M11" s="1095">
        <f t="shared" si="1"/>
        <v>205502</v>
      </c>
      <c r="N11" s="1095">
        <f t="shared" si="1"/>
        <v>186783</v>
      </c>
      <c r="O11" s="1095">
        <f t="shared" si="1"/>
        <v>190871</v>
      </c>
      <c r="P11" s="1095">
        <f t="shared" si="1"/>
        <v>165090</v>
      </c>
      <c r="Q11" s="1095">
        <f t="shared" si="1"/>
        <v>149590</v>
      </c>
      <c r="R11" s="1095">
        <f t="shared" si="1"/>
        <v>0</v>
      </c>
      <c r="S11" s="1095">
        <f t="shared" si="1"/>
        <v>0</v>
      </c>
      <c r="T11" s="1095">
        <f t="shared" si="1"/>
        <v>0</v>
      </c>
      <c r="U11" s="734">
        <f>SUM(O11:R11)</f>
        <v>505551</v>
      </c>
      <c r="V11" s="844"/>
    </row>
    <row r="12" spans="1:22" s="1898" customFormat="1" ht="13.5" customHeight="1" thickBot="1">
      <c r="A12" s="842"/>
      <c r="B12" s="1112" t="s">
        <v>21</v>
      </c>
      <c r="C12" s="1094"/>
      <c r="D12" s="1095">
        <v>0</v>
      </c>
      <c r="E12" s="1095">
        <v>0</v>
      </c>
      <c r="F12" s="1095">
        <v>0</v>
      </c>
      <c r="G12" s="1095">
        <v>0</v>
      </c>
      <c r="H12" s="1095">
        <v>0</v>
      </c>
      <c r="I12" s="1095">
        <v>0</v>
      </c>
      <c r="J12" s="1095">
        <v>0</v>
      </c>
      <c r="K12" s="1095">
        <v>0</v>
      </c>
      <c r="L12" s="1095">
        <v>0</v>
      </c>
      <c r="M12" s="1095">
        <v>0</v>
      </c>
      <c r="N12" s="1095">
        <v>0</v>
      </c>
      <c r="O12" s="1095">
        <v>0</v>
      </c>
      <c r="P12" s="1095">
        <v>0</v>
      </c>
      <c r="Q12" s="1095">
        <v>0</v>
      </c>
      <c r="R12" s="1113">
        <v>0</v>
      </c>
      <c r="S12" s="1113">
        <v>0</v>
      </c>
      <c r="T12" s="1113">
        <v>0</v>
      </c>
      <c r="U12" s="734">
        <f>SUM(O12:T12)</f>
        <v>0</v>
      </c>
      <c r="V12" s="844"/>
    </row>
    <row r="13" spans="1:22" ht="14.25" customHeight="1">
      <c r="A13" s="846"/>
      <c r="B13" s="847" t="s">
        <v>22</v>
      </c>
      <c r="C13" s="848"/>
      <c r="D13" s="849">
        <f>+D14+D16</f>
        <v>897836</v>
      </c>
      <c r="E13" s="849">
        <f t="shared" ref="E13:Q13" si="2">+E14+E16</f>
        <v>0</v>
      </c>
      <c r="F13" s="849">
        <f t="shared" si="2"/>
        <v>0</v>
      </c>
      <c r="G13" s="849">
        <f t="shared" si="2"/>
        <v>0</v>
      </c>
      <c r="H13" s="849">
        <f t="shared" si="2"/>
        <v>0</v>
      </c>
      <c r="I13" s="849">
        <f t="shared" si="2"/>
        <v>0</v>
      </c>
      <c r="J13" s="849">
        <f t="shared" si="2"/>
        <v>0</v>
      </c>
      <c r="K13" s="849">
        <f t="shared" si="2"/>
        <v>0</v>
      </c>
      <c r="L13" s="849">
        <f t="shared" si="2"/>
        <v>222002</v>
      </c>
      <c r="M13" s="849">
        <f t="shared" si="2"/>
        <v>205502</v>
      </c>
      <c r="N13" s="849">
        <f t="shared" si="2"/>
        <v>186783</v>
      </c>
      <c r="O13" s="849">
        <f t="shared" si="2"/>
        <v>190871</v>
      </c>
      <c r="P13" s="849">
        <f t="shared" si="2"/>
        <v>165090</v>
      </c>
      <c r="Q13" s="849">
        <f t="shared" si="2"/>
        <v>149590</v>
      </c>
      <c r="R13" s="849">
        <f>+R14+R16</f>
        <v>0</v>
      </c>
      <c r="S13" s="849">
        <f t="shared" ref="S13:T13" si="3">+S14+S16</f>
        <v>0</v>
      </c>
      <c r="T13" s="849">
        <f t="shared" si="3"/>
        <v>0</v>
      </c>
      <c r="U13" s="851">
        <f>+U14+U16</f>
        <v>505551</v>
      </c>
      <c r="V13" s="844"/>
    </row>
    <row r="14" spans="1:22" ht="14.25" customHeight="1">
      <c r="A14" s="842"/>
      <c r="B14" s="852" t="s">
        <v>23</v>
      </c>
      <c r="C14" s="853"/>
      <c r="D14" s="854">
        <f>+D15</f>
        <v>366829</v>
      </c>
      <c r="E14" s="854">
        <f t="shared" ref="E14:T14" si="4">+E15</f>
        <v>0</v>
      </c>
      <c r="F14" s="854">
        <f t="shared" si="4"/>
        <v>0</v>
      </c>
      <c r="G14" s="854">
        <f t="shared" si="4"/>
        <v>0</v>
      </c>
      <c r="H14" s="854">
        <f t="shared" si="4"/>
        <v>0</v>
      </c>
      <c r="I14" s="854">
        <f t="shared" si="4"/>
        <v>0</v>
      </c>
      <c r="J14" s="854">
        <f t="shared" si="4"/>
        <v>0</v>
      </c>
      <c r="K14" s="854">
        <f t="shared" si="4"/>
        <v>0</v>
      </c>
      <c r="L14" s="854">
        <f t="shared" si="4"/>
        <v>79388</v>
      </c>
      <c r="M14" s="854">
        <f t="shared" si="4"/>
        <v>79388</v>
      </c>
      <c r="N14" s="854">
        <f t="shared" si="4"/>
        <v>73303</v>
      </c>
      <c r="O14" s="854">
        <f t="shared" si="4"/>
        <v>74372</v>
      </c>
      <c r="P14" s="854">
        <f t="shared" si="4"/>
        <v>69883</v>
      </c>
      <c r="Q14" s="854">
        <f t="shared" si="4"/>
        <v>69883</v>
      </c>
      <c r="R14" s="854">
        <f t="shared" si="4"/>
        <v>0</v>
      </c>
      <c r="S14" s="854">
        <f t="shared" si="4"/>
        <v>0</v>
      </c>
      <c r="T14" s="854">
        <f t="shared" si="4"/>
        <v>0</v>
      </c>
      <c r="U14" s="856">
        <f>+U15</f>
        <v>214138</v>
      </c>
      <c r="V14" s="857"/>
    </row>
    <row r="15" spans="1:22" ht="14.25" customHeight="1">
      <c r="A15" s="858"/>
      <c r="B15" s="859" t="s">
        <v>24</v>
      </c>
      <c r="C15" s="860"/>
      <c r="D15" s="861">
        <f>+D24+D35</f>
        <v>366829</v>
      </c>
      <c r="E15" s="861">
        <f t="shared" ref="E15:Q15" si="5">+E24+E35</f>
        <v>0</v>
      </c>
      <c r="F15" s="861">
        <f t="shared" si="5"/>
        <v>0</v>
      </c>
      <c r="G15" s="861">
        <f t="shared" si="5"/>
        <v>0</v>
      </c>
      <c r="H15" s="861">
        <f t="shared" si="5"/>
        <v>0</v>
      </c>
      <c r="I15" s="861">
        <f t="shared" si="5"/>
        <v>0</v>
      </c>
      <c r="J15" s="861">
        <f t="shared" si="5"/>
        <v>0</v>
      </c>
      <c r="K15" s="861">
        <f t="shared" si="5"/>
        <v>0</v>
      </c>
      <c r="L15" s="861">
        <f>+L24+L35</f>
        <v>79388</v>
      </c>
      <c r="M15" s="861">
        <f>+M24+M35</f>
        <v>79388</v>
      </c>
      <c r="N15" s="861">
        <f t="shared" si="5"/>
        <v>73303</v>
      </c>
      <c r="O15" s="861">
        <f t="shared" si="5"/>
        <v>74372</v>
      </c>
      <c r="P15" s="861">
        <f t="shared" si="5"/>
        <v>69883</v>
      </c>
      <c r="Q15" s="861">
        <f t="shared" si="5"/>
        <v>69883</v>
      </c>
      <c r="R15" s="861">
        <f>+R24+R35</f>
        <v>0</v>
      </c>
      <c r="S15" s="861">
        <f t="shared" ref="S15:T15" si="6">+S24+S35</f>
        <v>0</v>
      </c>
      <c r="T15" s="861">
        <f t="shared" si="6"/>
        <v>0</v>
      </c>
      <c r="U15" s="862">
        <f>+T15+S15+R15+Q15+P15+O15</f>
        <v>214138</v>
      </c>
      <c r="V15" s="844"/>
    </row>
    <row r="16" spans="1:22" ht="14.25" customHeight="1">
      <c r="A16" s="842"/>
      <c r="B16" s="863" t="s">
        <v>30</v>
      </c>
      <c r="C16" s="864"/>
      <c r="D16" s="865">
        <f>SUM(D17)</f>
        <v>531007</v>
      </c>
      <c r="E16" s="865">
        <f t="shared" ref="E16:O16" si="7">SUM(E17)</f>
        <v>0</v>
      </c>
      <c r="F16" s="865">
        <f t="shared" si="7"/>
        <v>0</v>
      </c>
      <c r="G16" s="865">
        <f t="shared" si="7"/>
        <v>0</v>
      </c>
      <c r="H16" s="865">
        <f t="shared" si="7"/>
        <v>0</v>
      </c>
      <c r="I16" s="865">
        <f t="shared" si="7"/>
        <v>0</v>
      </c>
      <c r="J16" s="865">
        <f t="shared" si="7"/>
        <v>0</v>
      </c>
      <c r="K16" s="865">
        <f t="shared" si="7"/>
        <v>0</v>
      </c>
      <c r="L16" s="865">
        <f t="shared" si="7"/>
        <v>142614</v>
      </c>
      <c r="M16" s="865">
        <f t="shared" si="7"/>
        <v>126114</v>
      </c>
      <c r="N16" s="865">
        <f t="shared" si="7"/>
        <v>113480</v>
      </c>
      <c r="O16" s="865">
        <f t="shared" si="7"/>
        <v>116499</v>
      </c>
      <c r="P16" s="865">
        <f>SUM(P17)</f>
        <v>95207</v>
      </c>
      <c r="Q16" s="865">
        <f>SUM(Q17)</f>
        <v>79707</v>
      </c>
      <c r="R16" s="854">
        <f>SUM(R17)</f>
        <v>0</v>
      </c>
      <c r="S16" s="854">
        <f t="shared" ref="S16:T16" si="8">SUM(S17)</f>
        <v>0</v>
      </c>
      <c r="T16" s="854">
        <f t="shared" si="8"/>
        <v>0</v>
      </c>
      <c r="U16" s="856">
        <f>SUM(U17)</f>
        <v>291413</v>
      </c>
      <c r="V16" s="857"/>
    </row>
    <row r="17" spans="1:22" ht="14.25" customHeight="1">
      <c r="A17" s="866"/>
      <c r="B17" s="867" t="s">
        <v>32</v>
      </c>
      <c r="C17" s="868"/>
      <c r="D17" s="861">
        <f>+D26+D37+D46+D53</f>
        <v>531007</v>
      </c>
      <c r="E17" s="861">
        <f t="shared" ref="E17:T17" si="9">+E26+E37+E46+E53</f>
        <v>0</v>
      </c>
      <c r="F17" s="861">
        <f t="shared" si="9"/>
        <v>0</v>
      </c>
      <c r="G17" s="861">
        <f t="shared" si="9"/>
        <v>0</v>
      </c>
      <c r="H17" s="861">
        <f t="shared" si="9"/>
        <v>0</v>
      </c>
      <c r="I17" s="861">
        <f t="shared" si="9"/>
        <v>0</v>
      </c>
      <c r="J17" s="861">
        <f t="shared" si="9"/>
        <v>0</v>
      </c>
      <c r="K17" s="861">
        <f t="shared" si="9"/>
        <v>0</v>
      </c>
      <c r="L17" s="861">
        <f t="shared" si="9"/>
        <v>142614</v>
      </c>
      <c r="M17" s="861">
        <f t="shared" si="9"/>
        <v>126114</v>
      </c>
      <c r="N17" s="861">
        <f t="shared" si="9"/>
        <v>113480</v>
      </c>
      <c r="O17" s="861">
        <f t="shared" si="9"/>
        <v>116499</v>
      </c>
      <c r="P17" s="861">
        <f t="shared" si="9"/>
        <v>95207</v>
      </c>
      <c r="Q17" s="861">
        <f t="shared" si="9"/>
        <v>79707</v>
      </c>
      <c r="R17" s="861">
        <f t="shared" si="9"/>
        <v>0</v>
      </c>
      <c r="S17" s="861">
        <f t="shared" si="9"/>
        <v>0</v>
      </c>
      <c r="T17" s="861">
        <f t="shared" si="9"/>
        <v>0</v>
      </c>
      <c r="U17" s="869">
        <f>+T17+S17+R17+Q17+P17+O17</f>
        <v>291413</v>
      </c>
      <c r="V17" s="870"/>
    </row>
    <row r="18" spans="1:22" ht="14.25" customHeight="1">
      <c r="A18" s="866"/>
      <c r="B18" s="561" t="s">
        <v>34</v>
      </c>
      <c r="C18" s="871"/>
      <c r="D18" s="872">
        <f>+D19</f>
        <v>531007</v>
      </c>
      <c r="E18" s="872">
        <f t="shared" ref="E18:T19" si="10">+E19</f>
        <v>0</v>
      </c>
      <c r="F18" s="872">
        <f t="shared" si="10"/>
        <v>0</v>
      </c>
      <c r="G18" s="872">
        <f t="shared" si="10"/>
        <v>0</v>
      </c>
      <c r="H18" s="872">
        <f t="shared" si="10"/>
        <v>0</v>
      </c>
      <c r="I18" s="872">
        <f t="shared" si="10"/>
        <v>0</v>
      </c>
      <c r="J18" s="872">
        <f t="shared" si="10"/>
        <v>0</v>
      </c>
      <c r="K18" s="872">
        <f t="shared" si="10"/>
        <v>0</v>
      </c>
      <c r="L18" s="872">
        <f t="shared" si="10"/>
        <v>212117</v>
      </c>
      <c r="M18" s="872">
        <f t="shared" si="10"/>
        <v>158034</v>
      </c>
      <c r="N18" s="872">
        <f t="shared" si="10"/>
        <v>76449</v>
      </c>
      <c r="O18" s="872">
        <f>+O19</f>
        <v>96011</v>
      </c>
      <c r="P18" s="872">
        <f t="shared" si="10"/>
        <v>96701</v>
      </c>
      <c r="Q18" s="872">
        <f t="shared" si="10"/>
        <v>79707</v>
      </c>
      <c r="R18" s="873">
        <f t="shared" si="10"/>
        <v>24105</v>
      </c>
      <c r="S18" s="873">
        <f t="shared" si="10"/>
        <v>0</v>
      </c>
      <c r="T18" s="873">
        <f t="shared" si="10"/>
        <v>0</v>
      </c>
      <c r="U18" s="2676" t="s">
        <v>77</v>
      </c>
      <c r="V18" s="844"/>
    </row>
    <row r="19" spans="1:22" ht="14.25" customHeight="1">
      <c r="A19" s="842"/>
      <c r="B19" s="863" t="s">
        <v>30</v>
      </c>
      <c r="C19" s="864"/>
      <c r="D19" s="865">
        <f>+D20</f>
        <v>531007</v>
      </c>
      <c r="E19" s="865">
        <f t="shared" si="10"/>
        <v>0</v>
      </c>
      <c r="F19" s="865">
        <f t="shared" si="10"/>
        <v>0</v>
      </c>
      <c r="G19" s="865">
        <f t="shared" si="10"/>
        <v>0</v>
      </c>
      <c r="H19" s="865">
        <f t="shared" si="10"/>
        <v>0</v>
      </c>
      <c r="I19" s="865">
        <f t="shared" si="10"/>
        <v>0</v>
      </c>
      <c r="J19" s="865">
        <f t="shared" si="10"/>
        <v>0</v>
      </c>
      <c r="K19" s="865">
        <f t="shared" si="10"/>
        <v>0</v>
      </c>
      <c r="L19" s="865">
        <f t="shared" si="10"/>
        <v>212117</v>
      </c>
      <c r="M19" s="865">
        <f t="shared" si="10"/>
        <v>158034</v>
      </c>
      <c r="N19" s="865">
        <f t="shared" si="10"/>
        <v>76449</v>
      </c>
      <c r="O19" s="865">
        <f t="shared" si="10"/>
        <v>96011</v>
      </c>
      <c r="P19" s="865">
        <f t="shared" si="10"/>
        <v>96701</v>
      </c>
      <c r="Q19" s="865">
        <f t="shared" si="10"/>
        <v>79707</v>
      </c>
      <c r="R19" s="854">
        <f t="shared" si="10"/>
        <v>24105</v>
      </c>
      <c r="S19" s="854">
        <f t="shared" si="10"/>
        <v>0</v>
      </c>
      <c r="T19" s="854">
        <f t="shared" si="10"/>
        <v>0</v>
      </c>
      <c r="U19" s="2677"/>
      <c r="V19" s="857"/>
    </row>
    <row r="20" spans="1:22" ht="14.25" customHeight="1" thickBot="1">
      <c r="A20" s="874"/>
      <c r="B20" s="867" t="s">
        <v>32</v>
      </c>
      <c r="C20" s="875"/>
      <c r="D20" s="876">
        <f>+D31+D42+D49+D56</f>
        <v>531007</v>
      </c>
      <c r="E20" s="876">
        <f t="shared" ref="E20:T20" si="11">+E31+E42+E49+E56</f>
        <v>0</v>
      </c>
      <c r="F20" s="876">
        <f t="shared" si="11"/>
        <v>0</v>
      </c>
      <c r="G20" s="876">
        <f t="shared" si="11"/>
        <v>0</v>
      </c>
      <c r="H20" s="876">
        <f t="shared" si="11"/>
        <v>0</v>
      </c>
      <c r="I20" s="876">
        <f t="shared" si="11"/>
        <v>0</v>
      </c>
      <c r="J20" s="876">
        <f t="shared" si="11"/>
        <v>0</v>
      </c>
      <c r="K20" s="876">
        <f t="shared" si="11"/>
        <v>0</v>
      </c>
      <c r="L20" s="876">
        <f t="shared" si="11"/>
        <v>212117</v>
      </c>
      <c r="M20" s="876">
        <f t="shared" si="11"/>
        <v>158034</v>
      </c>
      <c r="N20" s="876">
        <f t="shared" si="11"/>
        <v>76449</v>
      </c>
      <c r="O20" s="876">
        <f t="shared" si="11"/>
        <v>96011</v>
      </c>
      <c r="P20" s="876">
        <f t="shared" si="11"/>
        <v>96701</v>
      </c>
      <c r="Q20" s="876">
        <f t="shared" si="11"/>
        <v>79707</v>
      </c>
      <c r="R20" s="876">
        <f t="shared" si="11"/>
        <v>24105</v>
      </c>
      <c r="S20" s="876">
        <f t="shared" si="11"/>
        <v>0</v>
      </c>
      <c r="T20" s="876">
        <f t="shared" si="11"/>
        <v>0</v>
      </c>
      <c r="U20" s="2678"/>
      <c r="V20" s="877"/>
    </row>
    <row r="21" spans="1:22" ht="39" customHeight="1">
      <c r="A21" s="2553" t="s">
        <v>82</v>
      </c>
      <c r="B21" s="878" t="s">
        <v>394</v>
      </c>
      <c r="C21" s="879" t="s">
        <v>138</v>
      </c>
      <c r="D21" s="880"/>
      <c r="E21" s="881"/>
      <c r="F21" s="882"/>
      <c r="G21" s="882"/>
      <c r="H21" s="881"/>
      <c r="I21" s="881"/>
      <c r="J21" s="881"/>
      <c r="K21" s="882"/>
      <c r="L21" s="882"/>
      <c r="M21" s="883"/>
      <c r="N21" s="883"/>
      <c r="O21" s="883"/>
      <c r="P21" s="882"/>
      <c r="Q21" s="883"/>
      <c r="R21" s="883"/>
      <c r="S21" s="883"/>
      <c r="T21" s="883"/>
      <c r="U21" s="1299"/>
      <c r="V21" s="2618" t="s">
        <v>214</v>
      </c>
    </row>
    <row r="22" spans="1:22" ht="15" customHeight="1">
      <c r="A22" s="2679"/>
      <c r="B22" s="427" t="s">
        <v>22</v>
      </c>
      <c r="C22" s="1300"/>
      <c r="D22" s="884">
        <f>+D23+D25</f>
        <v>68886</v>
      </c>
      <c r="E22" s="884">
        <f t="shared" ref="E22:P22" si="12">+E23+E25</f>
        <v>0</v>
      </c>
      <c r="F22" s="884">
        <f t="shared" si="12"/>
        <v>0</v>
      </c>
      <c r="G22" s="884">
        <f t="shared" si="12"/>
        <v>0</v>
      </c>
      <c r="H22" s="884">
        <f t="shared" si="12"/>
        <v>0</v>
      </c>
      <c r="I22" s="884">
        <f t="shared" si="12"/>
        <v>0</v>
      </c>
      <c r="J22" s="884">
        <f t="shared" si="12"/>
        <v>0</v>
      </c>
      <c r="K22" s="884">
        <f t="shared" si="12"/>
        <v>0</v>
      </c>
      <c r="L22" s="884">
        <f t="shared" si="12"/>
        <v>57560</v>
      </c>
      <c r="M22" s="884">
        <f t="shared" si="12"/>
        <v>57560</v>
      </c>
      <c r="N22" s="884">
        <f t="shared" si="12"/>
        <v>11326</v>
      </c>
      <c r="O22" s="884">
        <f t="shared" si="12"/>
        <v>0</v>
      </c>
      <c r="P22" s="884">
        <f t="shared" si="12"/>
        <v>0</v>
      </c>
      <c r="Q22" s="884">
        <f>+Q23+Q25</f>
        <v>0</v>
      </c>
      <c r="R22" s="884">
        <f>+R23+R25</f>
        <v>0</v>
      </c>
      <c r="S22" s="884">
        <f t="shared" ref="S22:T22" si="13">+S23+S25</f>
        <v>0</v>
      </c>
      <c r="T22" s="884">
        <f t="shared" si="13"/>
        <v>0</v>
      </c>
      <c r="U22" s="1301">
        <f>U23+U25</f>
        <v>0</v>
      </c>
      <c r="V22" s="2620"/>
    </row>
    <row r="23" spans="1:22" ht="12.75" customHeight="1">
      <c r="A23" s="2679"/>
      <c r="B23" s="886" t="s">
        <v>36</v>
      </c>
      <c r="C23" s="2680" t="s">
        <v>215</v>
      </c>
      <c r="D23" s="887">
        <f>+D24</f>
        <v>17414</v>
      </c>
      <c r="E23" s="887">
        <f t="shared" ref="E23:T23" si="14">+E24</f>
        <v>0</v>
      </c>
      <c r="F23" s="887">
        <f t="shared" si="14"/>
        <v>0</v>
      </c>
      <c r="G23" s="887">
        <f t="shared" si="14"/>
        <v>0</v>
      </c>
      <c r="H23" s="887">
        <f t="shared" si="14"/>
        <v>0</v>
      </c>
      <c r="I23" s="887">
        <f t="shared" si="14"/>
        <v>0</v>
      </c>
      <c r="J23" s="887">
        <f t="shared" si="14"/>
        <v>0</v>
      </c>
      <c r="K23" s="887">
        <f t="shared" si="14"/>
        <v>0</v>
      </c>
      <c r="L23" s="887">
        <f t="shared" si="14"/>
        <v>14583</v>
      </c>
      <c r="M23" s="887">
        <f t="shared" si="14"/>
        <v>14583</v>
      </c>
      <c r="N23" s="887">
        <f t="shared" si="14"/>
        <v>2831</v>
      </c>
      <c r="O23" s="887">
        <f t="shared" si="14"/>
        <v>0</v>
      </c>
      <c r="P23" s="887">
        <f t="shared" si="14"/>
        <v>0</v>
      </c>
      <c r="Q23" s="887">
        <f t="shared" si="14"/>
        <v>0</v>
      </c>
      <c r="R23" s="887">
        <f t="shared" si="14"/>
        <v>0</v>
      </c>
      <c r="S23" s="887">
        <f t="shared" si="14"/>
        <v>0</v>
      </c>
      <c r="T23" s="887">
        <f t="shared" si="14"/>
        <v>0</v>
      </c>
      <c r="U23" s="1302">
        <f>+U24</f>
        <v>0</v>
      </c>
      <c r="V23" s="2620"/>
    </row>
    <row r="24" spans="1:22" ht="12.75" customHeight="1">
      <c r="A24" s="2679"/>
      <c r="B24" s="889" t="s">
        <v>24</v>
      </c>
      <c r="C24" s="2623"/>
      <c r="D24" s="890">
        <f>+M24+N24+O24+P24+Q24+R24+S24+T24</f>
        <v>17414</v>
      </c>
      <c r="E24" s="890">
        <f>+F24+G24+H24</f>
        <v>0</v>
      </c>
      <c r="F24" s="890"/>
      <c r="G24" s="890"/>
      <c r="H24" s="890">
        <v>0</v>
      </c>
      <c r="I24" s="890">
        <v>0</v>
      </c>
      <c r="J24" s="890">
        <v>0</v>
      </c>
      <c r="K24" s="890">
        <v>0</v>
      </c>
      <c r="L24" s="890">
        <v>14583</v>
      </c>
      <c r="M24" s="890">
        <f>+L24</f>
        <v>14583</v>
      </c>
      <c r="N24" s="890">
        <v>2831</v>
      </c>
      <c r="O24" s="890">
        <v>0</v>
      </c>
      <c r="P24" s="891">
        <v>0</v>
      </c>
      <c r="Q24" s="891">
        <v>0</v>
      </c>
      <c r="R24" s="891">
        <v>0</v>
      </c>
      <c r="S24" s="891">
        <v>0</v>
      </c>
      <c r="T24" s="891">
        <v>0</v>
      </c>
      <c r="U24" s="1303">
        <f>+T24+S24+R24+Q24+P24+O24</f>
        <v>0</v>
      </c>
      <c r="V24" s="2620"/>
    </row>
    <row r="25" spans="1:22" ht="12.75" customHeight="1">
      <c r="A25" s="2679"/>
      <c r="B25" s="574" t="s">
        <v>30</v>
      </c>
      <c r="C25" s="2623"/>
      <c r="D25" s="892">
        <f>E25+I25+J25+K25+L25+N25+O25+P25</f>
        <v>51472</v>
      </c>
      <c r="E25" s="892">
        <f>+F25+G25+H25</f>
        <v>0</v>
      </c>
      <c r="F25" s="892">
        <f t="shared" ref="F25:T25" si="15">F26</f>
        <v>0</v>
      </c>
      <c r="G25" s="892">
        <f t="shared" si="15"/>
        <v>0</v>
      </c>
      <c r="H25" s="892">
        <f t="shared" si="15"/>
        <v>0</v>
      </c>
      <c r="I25" s="892">
        <f t="shared" si="15"/>
        <v>0</v>
      </c>
      <c r="J25" s="892">
        <f t="shared" si="15"/>
        <v>0</v>
      </c>
      <c r="K25" s="892">
        <f t="shared" si="15"/>
        <v>0</v>
      </c>
      <c r="L25" s="892">
        <f t="shared" si="15"/>
        <v>42977</v>
      </c>
      <c r="M25" s="892">
        <f t="shared" si="15"/>
        <v>42977</v>
      </c>
      <c r="N25" s="892">
        <f t="shared" si="15"/>
        <v>8495</v>
      </c>
      <c r="O25" s="892">
        <f t="shared" si="15"/>
        <v>0</v>
      </c>
      <c r="P25" s="892">
        <f t="shared" si="15"/>
        <v>0</v>
      </c>
      <c r="Q25" s="892">
        <f t="shared" si="15"/>
        <v>0</v>
      </c>
      <c r="R25" s="892">
        <f t="shared" si="15"/>
        <v>0</v>
      </c>
      <c r="S25" s="892">
        <f t="shared" si="15"/>
        <v>0</v>
      </c>
      <c r="T25" s="892">
        <f t="shared" si="15"/>
        <v>0</v>
      </c>
      <c r="U25" s="1302">
        <f>+U26</f>
        <v>0</v>
      </c>
      <c r="V25" s="2620"/>
    </row>
    <row r="26" spans="1:22" ht="12">
      <c r="A26" s="2679"/>
      <c r="B26" s="893" t="s">
        <v>32</v>
      </c>
      <c r="C26" s="2651"/>
      <c r="D26" s="894">
        <f>+M26+N26+O26+P26+Q26+R26+S26+T26</f>
        <v>51472</v>
      </c>
      <c r="E26" s="895">
        <f>+F26+G26+H26</f>
        <v>0</v>
      </c>
      <c r="F26" s="895"/>
      <c r="G26" s="895"/>
      <c r="H26" s="895">
        <v>0</v>
      </c>
      <c r="I26" s="895">
        <v>0</v>
      </c>
      <c r="J26" s="895">
        <v>0</v>
      </c>
      <c r="K26" s="895">
        <v>0</v>
      </c>
      <c r="L26" s="895">
        <v>42977</v>
      </c>
      <c r="M26" s="895">
        <f>+L26</f>
        <v>42977</v>
      </c>
      <c r="N26" s="895">
        <v>8495</v>
      </c>
      <c r="O26" s="895">
        <v>0</v>
      </c>
      <c r="P26" s="717">
        <v>0</v>
      </c>
      <c r="Q26" s="717">
        <v>0</v>
      </c>
      <c r="R26" s="717">
        <v>0</v>
      </c>
      <c r="S26" s="717">
        <v>0</v>
      </c>
      <c r="T26" s="717">
        <v>0</v>
      </c>
      <c r="U26" s="1303">
        <f>+T26+S26+R26+Q26+P26+O26</f>
        <v>0</v>
      </c>
      <c r="V26" s="2620"/>
    </row>
    <row r="27" spans="1:22" ht="12.75" customHeight="1">
      <c r="A27" s="2430"/>
      <c r="B27" s="427" t="s">
        <v>34</v>
      </c>
      <c r="C27" s="896"/>
      <c r="D27" s="884">
        <f>E27+I27+J27+K27+L27+N27+O27+P27</f>
        <v>51472</v>
      </c>
      <c r="E27" s="884">
        <f t="shared" ref="E27:P27" si="16">E28+E30</f>
        <v>0</v>
      </c>
      <c r="F27" s="884">
        <f t="shared" si="16"/>
        <v>0</v>
      </c>
      <c r="G27" s="884">
        <f t="shared" si="16"/>
        <v>0</v>
      </c>
      <c r="H27" s="884">
        <f t="shared" si="16"/>
        <v>0</v>
      </c>
      <c r="I27" s="884">
        <f t="shared" si="16"/>
        <v>0</v>
      </c>
      <c r="J27" s="884">
        <f t="shared" si="16"/>
        <v>0</v>
      </c>
      <c r="K27" s="884">
        <f t="shared" si="16"/>
        <v>0</v>
      </c>
      <c r="L27" s="884">
        <f t="shared" si="16"/>
        <v>50885</v>
      </c>
      <c r="M27" s="884">
        <f t="shared" si="16"/>
        <v>50885</v>
      </c>
      <c r="N27" s="884">
        <f t="shared" si="16"/>
        <v>587</v>
      </c>
      <c r="O27" s="884">
        <f t="shared" si="16"/>
        <v>0</v>
      </c>
      <c r="P27" s="884">
        <f t="shared" si="16"/>
        <v>0</v>
      </c>
      <c r="Q27" s="884">
        <f>Q28+Q30</f>
        <v>0</v>
      </c>
      <c r="R27" s="897">
        <f>R28+R30</f>
        <v>0</v>
      </c>
      <c r="S27" s="897">
        <f t="shared" ref="S27:T27" si="17">S28+S30</f>
        <v>0</v>
      </c>
      <c r="T27" s="897">
        <f t="shared" si="17"/>
        <v>0</v>
      </c>
      <c r="U27" s="2681" t="s">
        <v>77</v>
      </c>
      <c r="V27" s="2620"/>
    </row>
    <row r="28" spans="1:22" ht="12" hidden="1" customHeight="1">
      <c r="A28" s="2430"/>
      <c r="B28" s="898" t="s">
        <v>36</v>
      </c>
      <c r="C28" s="2680" t="s">
        <v>215</v>
      </c>
      <c r="D28" s="887">
        <f>E28+I28+J28+K28+L28+N28+O28+P28</f>
        <v>0</v>
      </c>
      <c r="E28" s="887">
        <f t="shared" ref="E28:T28" si="18">E29</f>
        <v>0</v>
      </c>
      <c r="F28" s="887">
        <f t="shared" si="18"/>
        <v>0</v>
      </c>
      <c r="G28" s="887">
        <f t="shared" si="18"/>
        <v>0</v>
      </c>
      <c r="H28" s="887">
        <f t="shared" si="18"/>
        <v>0</v>
      </c>
      <c r="I28" s="887">
        <f t="shared" si="18"/>
        <v>0</v>
      </c>
      <c r="J28" s="887">
        <f t="shared" si="18"/>
        <v>0</v>
      </c>
      <c r="K28" s="887">
        <f t="shared" si="18"/>
        <v>0</v>
      </c>
      <c r="L28" s="887">
        <f t="shared" si="18"/>
        <v>0</v>
      </c>
      <c r="M28" s="887"/>
      <c r="N28" s="887">
        <f t="shared" si="18"/>
        <v>0</v>
      </c>
      <c r="O28" s="887">
        <f t="shared" si="18"/>
        <v>0</v>
      </c>
      <c r="P28" s="887">
        <f t="shared" si="18"/>
        <v>0</v>
      </c>
      <c r="Q28" s="887">
        <f t="shared" si="18"/>
        <v>0</v>
      </c>
      <c r="R28" s="1304">
        <f t="shared" si="18"/>
        <v>0</v>
      </c>
      <c r="S28" s="1304">
        <f t="shared" si="18"/>
        <v>0</v>
      </c>
      <c r="T28" s="1304">
        <f t="shared" si="18"/>
        <v>0</v>
      </c>
      <c r="U28" s="2682"/>
      <c r="V28" s="2620"/>
    </row>
    <row r="29" spans="1:22" ht="12" hidden="1" customHeight="1">
      <c r="A29" s="2430"/>
      <c r="B29" s="899" t="s">
        <v>25</v>
      </c>
      <c r="C29" s="2623"/>
      <c r="D29" s="890">
        <f>E29+I29+J29+K29+L29+N29+O29+P29</f>
        <v>0</v>
      </c>
      <c r="E29" s="900">
        <f>+F29+G29+H29</f>
        <v>0</v>
      </c>
      <c r="F29" s="900"/>
      <c r="G29" s="900"/>
      <c r="H29" s="900">
        <v>0</v>
      </c>
      <c r="I29" s="900">
        <v>0</v>
      </c>
      <c r="J29" s="900">
        <v>0</v>
      </c>
      <c r="K29" s="900">
        <v>0</v>
      </c>
      <c r="L29" s="900">
        <v>0</v>
      </c>
      <c r="M29" s="900"/>
      <c r="N29" s="900">
        <v>0</v>
      </c>
      <c r="O29" s="900">
        <v>0</v>
      </c>
      <c r="P29" s="900">
        <v>0</v>
      </c>
      <c r="Q29" s="900">
        <v>0</v>
      </c>
      <c r="R29" s="900">
        <v>0</v>
      </c>
      <c r="S29" s="900">
        <v>0</v>
      </c>
      <c r="T29" s="900">
        <v>0</v>
      </c>
      <c r="U29" s="2682"/>
      <c r="V29" s="2620"/>
    </row>
    <row r="30" spans="1:22" ht="13.5" customHeight="1">
      <c r="A30" s="2430"/>
      <c r="B30" s="901" t="s">
        <v>30</v>
      </c>
      <c r="C30" s="2623"/>
      <c r="D30" s="892">
        <f>E30+I30+J30+K30+L30+N30+O30+P30</f>
        <v>51472</v>
      </c>
      <c r="E30" s="892">
        <f t="shared" ref="E30:T30" si="19">E31</f>
        <v>0</v>
      </c>
      <c r="F30" s="892">
        <f t="shared" si="19"/>
        <v>0</v>
      </c>
      <c r="G30" s="892">
        <f t="shared" si="19"/>
        <v>0</v>
      </c>
      <c r="H30" s="892">
        <f t="shared" si="19"/>
        <v>0</v>
      </c>
      <c r="I30" s="892">
        <f t="shared" si="19"/>
        <v>0</v>
      </c>
      <c r="J30" s="892">
        <f t="shared" si="19"/>
        <v>0</v>
      </c>
      <c r="K30" s="892">
        <f t="shared" si="19"/>
        <v>0</v>
      </c>
      <c r="L30" s="892">
        <f t="shared" si="19"/>
        <v>50885</v>
      </c>
      <c r="M30" s="892">
        <f t="shared" si="19"/>
        <v>50885</v>
      </c>
      <c r="N30" s="892">
        <f t="shared" si="19"/>
        <v>587</v>
      </c>
      <c r="O30" s="892">
        <f t="shared" si="19"/>
        <v>0</v>
      </c>
      <c r="P30" s="892">
        <f t="shared" si="19"/>
        <v>0</v>
      </c>
      <c r="Q30" s="892">
        <f t="shared" si="19"/>
        <v>0</v>
      </c>
      <c r="R30" s="902">
        <f t="shared" si="19"/>
        <v>0</v>
      </c>
      <c r="S30" s="902">
        <f t="shared" si="19"/>
        <v>0</v>
      </c>
      <c r="T30" s="902">
        <f t="shared" si="19"/>
        <v>0</v>
      </c>
      <c r="U30" s="2682"/>
      <c r="V30" s="2620"/>
    </row>
    <row r="31" spans="1:22" s="2061" customFormat="1" ht="13.5" customHeight="1" thickBot="1">
      <c r="A31" s="2431"/>
      <c r="B31" s="2121" t="s">
        <v>32</v>
      </c>
      <c r="C31" s="2665"/>
      <c r="D31" s="903">
        <f>+M31+N31+O31+P31+Q31+R31+S31+T31</f>
        <v>51472</v>
      </c>
      <c r="E31" s="904">
        <f>+F31+G31+H31</f>
        <v>0</v>
      </c>
      <c r="F31" s="904"/>
      <c r="G31" s="904"/>
      <c r="H31" s="904">
        <v>0</v>
      </c>
      <c r="I31" s="904">
        <v>0</v>
      </c>
      <c r="J31" s="904">
        <v>0</v>
      </c>
      <c r="K31" s="904">
        <v>0</v>
      </c>
      <c r="L31" s="904">
        <v>50885</v>
      </c>
      <c r="M31" s="904">
        <f>+L31</f>
        <v>50885</v>
      </c>
      <c r="N31" s="904">
        <v>587</v>
      </c>
      <c r="O31" s="904">
        <v>0</v>
      </c>
      <c r="P31" s="904">
        <v>0</v>
      </c>
      <c r="Q31" s="904">
        <v>0</v>
      </c>
      <c r="R31" s="904">
        <v>0</v>
      </c>
      <c r="S31" s="904">
        <v>0</v>
      </c>
      <c r="T31" s="904">
        <v>0</v>
      </c>
      <c r="U31" s="2683"/>
      <c r="V31" s="2621"/>
    </row>
    <row r="32" spans="1:22" s="2061" customFormat="1" ht="28.5" customHeight="1">
      <c r="A32" s="2553" t="s">
        <v>83</v>
      </c>
      <c r="B32" s="878" t="s">
        <v>398</v>
      </c>
      <c r="C32" s="879" t="s">
        <v>138</v>
      </c>
      <c r="D32" s="880"/>
      <c r="E32" s="881"/>
      <c r="F32" s="882"/>
      <c r="G32" s="882"/>
      <c r="H32" s="881"/>
      <c r="I32" s="881"/>
      <c r="J32" s="881"/>
      <c r="K32" s="882"/>
      <c r="L32" s="882"/>
      <c r="M32" s="883"/>
      <c r="N32" s="883"/>
      <c r="O32" s="883"/>
      <c r="P32" s="882"/>
      <c r="Q32" s="883"/>
      <c r="R32" s="883"/>
      <c r="S32" s="883"/>
      <c r="T32" s="883"/>
      <c r="U32" s="1299"/>
      <c r="V32" s="2618" t="s">
        <v>214</v>
      </c>
    </row>
    <row r="33" spans="1:22" s="2061" customFormat="1" ht="13.5" customHeight="1">
      <c r="A33" s="2679"/>
      <c r="B33" s="427" t="s">
        <v>22</v>
      </c>
      <c r="C33" s="905"/>
      <c r="D33" s="884">
        <f>+D34+D36</f>
        <v>732930</v>
      </c>
      <c r="E33" s="884">
        <f t="shared" ref="E33:Q33" si="20">+E34+E36</f>
        <v>0</v>
      </c>
      <c r="F33" s="884">
        <f t="shared" si="20"/>
        <v>0</v>
      </c>
      <c r="G33" s="884">
        <f t="shared" si="20"/>
        <v>0</v>
      </c>
      <c r="H33" s="884">
        <f t="shared" si="20"/>
        <v>0</v>
      </c>
      <c r="I33" s="884">
        <f t="shared" si="20"/>
        <v>0</v>
      </c>
      <c r="J33" s="884">
        <f t="shared" si="20"/>
        <v>0</v>
      </c>
      <c r="K33" s="884">
        <f t="shared" si="20"/>
        <v>0</v>
      </c>
      <c r="L33" s="884">
        <f t="shared" si="20"/>
        <v>131442</v>
      </c>
      <c r="M33" s="884">
        <f t="shared" si="20"/>
        <v>131442</v>
      </c>
      <c r="N33" s="884">
        <f t="shared" si="20"/>
        <v>155130</v>
      </c>
      <c r="O33" s="884">
        <f t="shared" si="20"/>
        <v>155178</v>
      </c>
      <c r="P33" s="884">
        <f t="shared" si="20"/>
        <v>145590</v>
      </c>
      <c r="Q33" s="884">
        <f t="shared" si="20"/>
        <v>145590</v>
      </c>
      <c r="R33" s="884">
        <f>+R34+R36</f>
        <v>0</v>
      </c>
      <c r="S33" s="884">
        <f t="shared" ref="S33:T33" si="21">+S34+S36</f>
        <v>0</v>
      </c>
      <c r="T33" s="884">
        <f t="shared" si="21"/>
        <v>0</v>
      </c>
      <c r="U33" s="1301">
        <f>U34+U36</f>
        <v>446358</v>
      </c>
      <c r="V33" s="2620"/>
    </row>
    <row r="34" spans="1:22" s="2061" customFormat="1" ht="11.25" customHeight="1">
      <c r="A34" s="2679"/>
      <c r="B34" s="886" t="s">
        <v>36</v>
      </c>
      <c r="C34" s="2680" t="s">
        <v>215</v>
      </c>
      <c r="D34" s="887">
        <f>+D35</f>
        <v>349415</v>
      </c>
      <c r="E34" s="887">
        <f t="shared" ref="E34:T34" si="22">+E35</f>
        <v>0</v>
      </c>
      <c r="F34" s="887">
        <f t="shared" si="22"/>
        <v>0</v>
      </c>
      <c r="G34" s="887">
        <f t="shared" si="22"/>
        <v>0</v>
      </c>
      <c r="H34" s="887">
        <f t="shared" si="22"/>
        <v>0</v>
      </c>
      <c r="I34" s="887">
        <f t="shared" si="22"/>
        <v>0</v>
      </c>
      <c r="J34" s="887">
        <f t="shared" si="22"/>
        <v>0</v>
      </c>
      <c r="K34" s="887">
        <f t="shared" si="22"/>
        <v>0</v>
      </c>
      <c r="L34" s="887">
        <f t="shared" si="22"/>
        <v>64805</v>
      </c>
      <c r="M34" s="887">
        <f t="shared" si="22"/>
        <v>64805</v>
      </c>
      <c r="N34" s="887">
        <f t="shared" si="22"/>
        <v>70472</v>
      </c>
      <c r="O34" s="887">
        <f t="shared" si="22"/>
        <v>74372</v>
      </c>
      <c r="P34" s="887">
        <f t="shared" si="22"/>
        <v>69883</v>
      </c>
      <c r="Q34" s="887">
        <f t="shared" si="22"/>
        <v>69883</v>
      </c>
      <c r="R34" s="887">
        <f t="shared" si="22"/>
        <v>0</v>
      </c>
      <c r="S34" s="887">
        <f t="shared" si="22"/>
        <v>0</v>
      </c>
      <c r="T34" s="887">
        <f t="shared" si="22"/>
        <v>0</v>
      </c>
      <c r="U34" s="1302">
        <f>+U35</f>
        <v>214138</v>
      </c>
      <c r="V34" s="2620"/>
    </row>
    <row r="35" spans="1:22" s="2061" customFormat="1" ht="13.5" customHeight="1">
      <c r="A35" s="2679"/>
      <c r="B35" s="889" t="s">
        <v>24</v>
      </c>
      <c r="C35" s="2623"/>
      <c r="D35" s="890">
        <f>+M35+N35+O35+P35+Q35+R35+S35+T35</f>
        <v>349415</v>
      </c>
      <c r="E35" s="890">
        <f>+F35+G35+H35</f>
        <v>0</v>
      </c>
      <c r="F35" s="890"/>
      <c r="G35" s="890"/>
      <c r="H35" s="890">
        <v>0</v>
      </c>
      <c r="I35" s="890">
        <v>0</v>
      </c>
      <c r="J35" s="890">
        <v>0</v>
      </c>
      <c r="K35" s="890">
        <v>0</v>
      </c>
      <c r="L35" s="890">
        <f>69883-5078</f>
        <v>64805</v>
      </c>
      <c r="M35" s="890">
        <f>+L35</f>
        <v>64805</v>
      </c>
      <c r="N35" s="890">
        <v>70472</v>
      </c>
      <c r="O35" s="890">
        <v>74372</v>
      </c>
      <c r="P35" s="891">
        <v>69883</v>
      </c>
      <c r="Q35" s="891">
        <v>69883</v>
      </c>
      <c r="R35" s="891">
        <v>0</v>
      </c>
      <c r="S35" s="891">
        <v>0</v>
      </c>
      <c r="T35" s="891">
        <v>0</v>
      </c>
      <c r="U35" s="1303">
        <f>+O35+P35+Q35+R35</f>
        <v>214138</v>
      </c>
      <c r="V35" s="2620"/>
    </row>
    <row r="36" spans="1:22" s="2061" customFormat="1" ht="13.5" customHeight="1">
      <c r="A36" s="2679"/>
      <c r="B36" s="574" t="s">
        <v>30</v>
      </c>
      <c r="C36" s="2623"/>
      <c r="D36" s="892">
        <f>+D37</f>
        <v>383515</v>
      </c>
      <c r="E36" s="892">
        <f>+F36+G36+H36</f>
        <v>0</v>
      </c>
      <c r="F36" s="892">
        <f t="shared" ref="F36:T36" si="23">F37</f>
        <v>0</v>
      </c>
      <c r="G36" s="892">
        <f t="shared" si="23"/>
        <v>0</v>
      </c>
      <c r="H36" s="892">
        <f t="shared" si="23"/>
        <v>0</v>
      </c>
      <c r="I36" s="892">
        <f t="shared" si="23"/>
        <v>0</v>
      </c>
      <c r="J36" s="892">
        <f t="shared" si="23"/>
        <v>0</v>
      </c>
      <c r="K36" s="892">
        <f t="shared" si="23"/>
        <v>0</v>
      </c>
      <c r="L36" s="892">
        <f t="shared" si="23"/>
        <v>66637</v>
      </c>
      <c r="M36" s="892">
        <f t="shared" si="23"/>
        <v>66637</v>
      </c>
      <c r="N36" s="892">
        <f t="shared" si="23"/>
        <v>84658</v>
      </c>
      <c r="O36" s="892">
        <f t="shared" si="23"/>
        <v>80806</v>
      </c>
      <c r="P36" s="892">
        <f t="shared" si="23"/>
        <v>75707</v>
      </c>
      <c r="Q36" s="892">
        <f t="shared" si="23"/>
        <v>75707</v>
      </c>
      <c r="R36" s="892">
        <f t="shared" si="23"/>
        <v>0</v>
      </c>
      <c r="S36" s="892">
        <f t="shared" si="23"/>
        <v>0</v>
      </c>
      <c r="T36" s="892">
        <f t="shared" si="23"/>
        <v>0</v>
      </c>
      <c r="U36" s="1302">
        <f>+U37</f>
        <v>232220</v>
      </c>
      <c r="V36" s="2620"/>
    </row>
    <row r="37" spans="1:22" s="2061" customFormat="1" ht="13.5" customHeight="1">
      <c r="A37" s="2679"/>
      <c r="B37" s="893" t="s">
        <v>32</v>
      </c>
      <c r="C37" s="2651"/>
      <c r="D37" s="894">
        <f>+M37+N37+O37+P37+Q37+R37+S37+T37</f>
        <v>383515</v>
      </c>
      <c r="E37" s="895">
        <f>+F37+G37+H37</f>
        <v>0</v>
      </c>
      <c r="F37" s="895"/>
      <c r="G37" s="895"/>
      <c r="H37" s="895">
        <v>0</v>
      </c>
      <c r="I37" s="895">
        <v>0</v>
      </c>
      <c r="J37" s="895">
        <v>0</v>
      </c>
      <c r="K37" s="895">
        <v>0</v>
      </c>
      <c r="L37" s="895">
        <f>75707-9070</f>
        <v>66637</v>
      </c>
      <c r="M37" s="895">
        <f>+L37</f>
        <v>66637</v>
      </c>
      <c r="N37" s="895">
        <v>84658</v>
      </c>
      <c r="O37" s="895">
        <f>75826+4980</f>
        <v>80806</v>
      </c>
      <c r="P37" s="717">
        <v>75707</v>
      </c>
      <c r="Q37" s="717">
        <v>75707</v>
      </c>
      <c r="R37" s="717">
        <v>0</v>
      </c>
      <c r="S37" s="717">
        <v>0</v>
      </c>
      <c r="T37" s="717">
        <v>0</v>
      </c>
      <c r="U37" s="1303">
        <f>+T37+S37+R37+Q37+P37+O37</f>
        <v>232220</v>
      </c>
      <c r="V37" s="2620"/>
    </row>
    <row r="38" spans="1:22" s="2061" customFormat="1" ht="13.5" customHeight="1">
      <c r="A38" s="2430"/>
      <c r="B38" s="427" t="s">
        <v>34</v>
      </c>
      <c r="C38" s="896"/>
      <c r="D38" s="884">
        <f>+D41</f>
        <v>383515</v>
      </c>
      <c r="E38" s="884">
        <f t="shared" ref="E38:T38" si="24">E39+E41</f>
        <v>0</v>
      </c>
      <c r="F38" s="884">
        <f t="shared" si="24"/>
        <v>0</v>
      </c>
      <c r="G38" s="884">
        <f t="shared" si="24"/>
        <v>0</v>
      </c>
      <c r="H38" s="884">
        <f t="shared" si="24"/>
        <v>0</v>
      </c>
      <c r="I38" s="884">
        <f t="shared" si="24"/>
        <v>0</v>
      </c>
      <c r="J38" s="884">
        <f t="shared" si="24"/>
        <v>0</v>
      </c>
      <c r="K38" s="884">
        <f t="shared" si="24"/>
        <v>0</v>
      </c>
      <c r="L38" s="884">
        <f t="shared" si="24"/>
        <v>53066</v>
      </c>
      <c r="M38" s="884">
        <f t="shared" si="24"/>
        <v>53066</v>
      </c>
      <c r="N38" s="884">
        <f t="shared" si="24"/>
        <v>75862</v>
      </c>
      <c r="O38" s="884">
        <f t="shared" si="24"/>
        <v>77574</v>
      </c>
      <c r="P38" s="884">
        <f t="shared" si="24"/>
        <v>77201</v>
      </c>
      <c r="Q38" s="884">
        <f t="shared" si="24"/>
        <v>75707</v>
      </c>
      <c r="R38" s="884">
        <f t="shared" si="24"/>
        <v>24105</v>
      </c>
      <c r="S38" s="884">
        <f t="shared" si="24"/>
        <v>0</v>
      </c>
      <c r="T38" s="884">
        <f t="shared" si="24"/>
        <v>0</v>
      </c>
      <c r="U38" s="2681" t="s">
        <v>77</v>
      </c>
      <c r="V38" s="2620"/>
    </row>
    <row r="39" spans="1:22" s="2061" customFormat="1" ht="12" hidden="1" customHeight="1">
      <c r="A39" s="2430"/>
      <c r="B39" s="898" t="s">
        <v>36</v>
      </c>
      <c r="C39" s="2680" t="s">
        <v>215</v>
      </c>
      <c r="D39" s="887">
        <f>E39+I39+J39+K39+L39+N39+O39+P39</f>
        <v>0</v>
      </c>
      <c r="E39" s="887">
        <f t="shared" ref="E39:R39" si="25">E40</f>
        <v>0</v>
      </c>
      <c r="F39" s="887">
        <f t="shared" si="25"/>
        <v>0</v>
      </c>
      <c r="G39" s="887">
        <f t="shared" si="25"/>
        <v>0</v>
      </c>
      <c r="H39" s="887">
        <f t="shared" si="25"/>
        <v>0</v>
      </c>
      <c r="I39" s="887">
        <f t="shared" si="25"/>
        <v>0</v>
      </c>
      <c r="J39" s="887">
        <f t="shared" si="25"/>
        <v>0</v>
      </c>
      <c r="K39" s="887">
        <f t="shared" si="25"/>
        <v>0</v>
      </c>
      <c r="L39" s="887">
        <f t="shared" si="25"/>
        <v>0</v>
      </c>
      <c r="M39" s="887"/>
      <c r="N39" s="887">
        <f t="shared" si="25"/>
        <v>0</v>
      </c>
      <c r="O39" s="887">
        <f t="shared" si="25"/>
        <v>0</v>
      </c>
      <c r="P39" s="887">
        <f t="shared" si="25"/>
        <v>0</v>
      </c>
      <c r="Q39" s="887">
        <f t="shared" si="25"/>
        <v>0</v>
      </c>
      <c r="R39" s="887">
        <f t="shared" si="25"/>
        <v>0</v>
      </c>
      <c r="S39" s="887"/>
      <c r="T39" s="887"/>
      <c r="U39" s="2682"/>
      <c r="V39" s="2620"/>
    </row>
    <row r="40" spans="1:22" s="2061" customFormat="1" ht="12" hidden="1" customHeight="1">
      <c r="A40" s="2430"/>
      <c r="B40" s="899" t="s">
        <v>25</v>
      </c>
      <c r="C40" s="2623"/>
      <c r="D40" s="890">
        <f>E40+I40+J40+K40+L40+N40+O40+P40</f>
        <v>0</v>
      </c>
      <c r="E40" s="900">
        <f>+F40+G40+H40</f>
        <v>0</v>
      </c>
      <c r="F40" s="900"/>
      <c r="G40" s="900"/>
      <c r="H40" s="900">
        <v>0</v>
      </c>
      <c r="I40" s="900">
        <v>0</v>
      </c>
      <c r="J40" s="900">
        <v>0</v>
      </c>
      <c r="K40" s="900">
        <v>0</v>
      </c>
      <c r="L40" s="900">
        <v>0</v>
      </c>
      <c r="M40" s="900"/>
      <c r="N40" s="900">
        <v>0</v>
      </c>
      <c r="O40" s="900">
        <v>0</v>
      </c>
      <c r="P40" s="900">
        <v>0</v>
      </c>
      <c r="Q40" s="900">
        <v>0</v>
      </c>
      <c r="R40" s="891">
        <v>0</v>
      </c>
      <c r="S40" s="891"/>
      <c r="T40" s="891"/>
      <c r="U40" s="2682"/>
      <c r="V40" s="2620"/>
    </row>
    <row r="41" spans="1:22" s="2061" customFormat="1" ht="13.5" customHeight="1">
      <c r="A41" s="2430"/>
      <c r="B41" s="901" t="s">
        <v>30</v>
      </c>
      <c r="C41" s="2623"/>
      <c r="D41" s="892">
        <f>+D42</f>
        <v>383515</v>
      </c>
      <c r="E41" s="892">
        <f t="shared" ref="E41:T41" si="26">E42</f>
        <v>0</v>
      </c>
      <c r="F41" s="892">
        <f t="shared" si="26"/>
        <v>0</v>
      </c>
      <c r="G41" s="892">
        <f t="shared" si="26"/>
        <v>0</v>
      </c>
      <c r="H41" s="892">
        <f t="shared" si="26"/>
        <v>0</v>
      </c>
      <c r="I41" s="892">
        <f t="shared" si="26"/>
        <v>0</v>
      </c>
      <c r="J41" s="892">
        <f t="shared" si="26"/>
        <v>0</v>
      </c>
      <c r="K41" s="892">
        <f t="shared" si="26"/>
        <v>0</v>
      </c>
      <c r="L41" s="892">
        <f t="shared" si="26"/>
        <v>53066</v>
      </c>
      <c r="M41" s="892">
        <f t="shared" si="26"/>
        <v>53066</v>
      </c>
      <c r="N41" s="892">
        <f t="shared" si="26"/>
        <v>75862</v>
      </c>
      <c r="O41" s="892">
        <f t="shared" si="26"/>
        <v>77574</v>
      </c>
      <c r="P41" s="892">
        <f t="shared" si="26"/>
        <v>77201</v>
      </c>
      <c r="Q41" s="892">
        <f t="shared" si="26"/>
        <v>75707</v>
      </c>
      <c r="R41" s="892">
        <f t="shared" si="26"/>
        <v>24105</v>
      </c>
      <c r="S41" s="892">
        <f t="shared" si="26"/>
        <v>0</v>
      </c>
      <c r="T41" s="892">
        <f t="shared" si="26"/>
        <v>0</v>
      </c>
      <c r="U41" s="2682"/>
      <c r="V41" s="2620"/>
    </row>
    <row r="42" spans="1:22" s="2061" customFormat="1" ht="15" customHeight="1" thickBot="1">
      <c r="A42" s="2431"/>
      <c r="B42" s="2121" t="s">
        <v>32</v>
      </c>
      <c r="C42" s="2665"/>
      <c r="D42" s="903">
        <f>+M42+N42+O42+P42+Q42+R42+S42+T42</f>
        <v>383515</v>
      </c>
      <c r="E42" s="904">
        <f>+F42+G42+H42</f>
        <v>0</v>
      </c>
      <c r="F42" s="904"/>
      <c r="G42" s="904"/>
      <c r="H42" s="904">
        <v>0</v>
      </c>
      <c r="I42" s="904">
        <v>0</v>
      </c>
      <c r="J42" s="904">
        <v>0</v>
      </c>
      <c r="K42" s="904">
        <v>0</v>
      </c>
      <c r="L42" s="904">
        <f>52995+71</f>
        <v>53066</v>
      </c>
      <c r="M42" s="904">
        <f>+L42</f>
        <v>53066</v>
      </c>
      <c r="N42" s="904">
        <v>75862</v>
      </c>
      <c r="O42" s="904">
        <f>74088+3486</f>
        <v>77574</v>
      </c>
      <c r="P42" s="904">
        <f>75707+1494</f>
        <v>77201</v>
      </c>
      <c r="Q42" s="904">
        <v>75707</v>
      </c>
      <c r="R42" s="904">
        <v>24105</v>
      </c>
      <c r="S42" s="904">
        <v>0</v>
      </c>
      <c r="T42" s="904">
        <v>0</v>
      </c>
      <c r="U42" s="2683"/>
      <c r="V42" s="2621"/>
    </row>
    <row r="43" spans="1:22" ht="39.75" customHeight="1">
      <c r="A43" s="2553" t="s">
        <v>84</v>
      </c>
      <c r="B43" s="878" t="s">
        <v>397</v>
      </c>
      <c r="C43" s="879" t="s">
        <v>138</v>
      </c>
      <c r="D43" s="880"/>
      <c r="E43" s="881"/>
      <c r="F43" s="882"/>
      <c r="G43" s="882"/>
      <c r="H43" s="881"/>
      <c r="I43" s="881"/>
      <c r="J43" s="881"/>
      <c r="K43" s="882"/>
      <c r="L43" s="882"/>
      <c r="M43" s="883"/>
      <c r="N43" s="883"/>
      <c r="O43" s="883"/>
      <c r="P43" s="882"/>
      <c r="Q43" s="883"/>
      <c r="R43" s="883"/>
      <c r="S43" s="883"/>
      <c r="T43" s="883"/>
      <c r="U43" s="1299"/>
      <c r="V43" s="2684" t="s">
        <v>216</v>
      </c>
    </row>
    <row r="44" spans="1:22" ht="15" customHeight="1">
      <c r="A44" s="2679"/>
      <c r="B44" s="427" t="s">
        <v>22</v>
      </c>
      <c r="C44" s="905"/>
      <c r="D44" s="884">
        <f>D45</f>
        <v>67520</v>
      </c>
      <c r="E44" s="884">
        <f t="shared" ref="E44:T45" si="27">E45</f>
        <v>0</v>
      </c>
      <c r="F44" s="884">
        <f t="shared" si="27"/>
        <v>0</v>
      </c>
      <c r="G44" s="884">
        <f t="shared" si="27"/>
        <v>0</v>
      </c>
      <c r="H44" s="884">
        <f t="shared" si="27"/>
        <v>0</v>
      </c>
      <c r="I44" s="884">
        <f t="shared" si="27"/>
        <v>0</v>
      </c>
      <c r="J44" s="884">
        <f t="shared" si="27"/>
        <v>0</v>
      </c>
      <c r="K44" s="884">
        <f t="shared" si="27"/>
        <v>0</v>
      </c>
      <c r="L44" s="884">
        <f t="shared" si="27"/>
        <v>16500</v>
      </c>
      <c r="M44" s="884">
        <f t="shared" si="27"/>
        <v>16500</v>
      </c>
      <c r="N44" s="884">
        <f t="shared" si="27"/>
        <v>20327</v>
      </c>
      <c r="O44" s="884">
        <f t="shared" si="27"/>
        <v>30693</v>
      </c>
      <c r="P44" s="884">
        <f t="shared" si="27"/>
        <v>0</v>
      </c>
      <c r="Q44" s="884">
        <f t="shared" si="27"/>
        <v>0</v>
      </c>
      <c r="R44" s="884">
        <f>+R45+R47</f>
        <v>0</v>
      </c>
      <c r="S44" s="884">
        <f t="shared" ref="S44:T44" si="28">+S45+S47</f>
        <v>0</v>
      </c>
      <c r="T44" s="884">
        <f t="shared" si="28"/>
        <v>0</v>
      </c>
      <c r="U44" s="1301">
        <f>U45</f>
        <v>30693</v>
      </c>
      <c r="V44" s="2441"/>
    </row>
    <row r="45" spans="1:22" ht="12">
      <c r="A45" s="2679"/>
      <c r="B45" s="1305" t="s">
        <v>30</v>
      </c>
      <c r="C45" s="2650" t="s">
        <v>217</v>
      </c>
      <c r="D45" s="892">
        <f>+D46</f>
        <v>67520</v>
      </c>
      <c r="E45" s="892">
        <f>+F45+G45+H45</f>
        <v>0</v>
      </c>
      <c r="F45" s="892">
        <f t="shared" si="27"/>
        <v>0</v>
      </c>
      <c r="G45" s="892">
        <f t="shared" si="27"/>
        <v>0</v>
      </c>
      <c r="H45" s="892">
        <f t="shared" si="27"/>
        <v>0</v>
      </c>
      <c r="I45" s="892">
        <f t="shared" si="27"/>
        <v>0</v>
      </c>
      <c r="J45" s="892">
        <f t="shared" si="27"/>
        <v>0</v>
      </c>
      <c r="K45" s="892">
        <f t="shared" si="27"/>
        <v>0</v>
      </c>
      <c r="L45" s="892">
        <f t="shared" si="27"/>
        <v>16500</v>
      </c>
      <c r="M45" s="892">
        <f t="shared" si="27"/>
        <v>16500</v>
      </c>
      <c r="N45" s="892">
        <f t="shared" si="27"/>
        <v>20327</v>
      </c>
      <c r="O45" s="892">
        <f t="shared" si="27"/>
        <v>30693</v>
      </c>
      <c r="P45" s="892">
        <f t="shared" si="27"/>
        <v>0</v>
      </c>
      <c r="Q45" s="892">
        <f t="shared" si="27"/>
        <v>0</v>
      </c>
      <c r="R45" s="892">
        <f t="shared" si="27"/>
        <v>0</v>
      </c>
      <c r="S45" s="892">
        <f t="shared" si="27"/>
        <v>0</v>
      </c>
      <c r="T45" s="892">
        <f t="shared" si="27"/>
        <v>0</v>
      </c>
      <c r="U45" s="1302">
        <f>+U46</f>
        <v>30693</v>
      </c>
      <c r="V45" s="2441"/>
    </row>
    <row r="46" spans="1:22" ht="12">
      <c r="A46" s="2679"/>
      <c r="B46" s="1306" t="s">
        <v>32</v>
      </c>
      <c r="C46" s="2651"/>
      <c r="D46" s="894">
        <f>+M46+N46+O46+P46+Q46+R46+S46+T46</f>
        <v>67520</v>
      </c>
      <c r="E46" s="895">
        <f>+F46+G46+H46</f>
        <v>0</v>
      </c>
      <c r="F46" s="895"/>
      <c r="G46" s="895"/>
      <c r="H46" s="895">
        <v>0</v>
      </c>
      <c r="I46" s="895">
        <v>0</v>
      </c>
      <c r="J46" s="895">
        <v>0</v>
      </c>
      <c r="K46" s="895">
        <v>0</v>
      </c>
      <c r="L46" s="895">
        <v>16500</v>
      </c>
      <c r="M46" s="895">
        <f>+L46</f>
        <v>16500</v>
      </c>
      <c r="N46" s="895">
        <f>32000-11673</f>
        <v>20327</v>
      </c>
      <c r="O46" s="895">
        <f>19020+11673</f>
        <v>30693</v>
      </c>
      <c r="P46" s="717">
        <v>0</v>
      </c>
      <c r="Q46" s="717">
        <v>0</v>
      </c>
      <c r="R46" s="717">
        <v>0</v>
      </c>
      <c r="S46" s="717">
        <v>0</v>
      </c>
      <c r="T46" s="717">
        <v>0</v>
      </c>
      <c r="U46" s="1303">
        <f>+T46+S46+R46+Q46+P46+O46</f>
        <v>30693</v>
      </c>
      <c r="V46" s="2441"/>
    </row>
    <row r="47" spans="1:22" ht="15" customHeight="1">
      <c r="A47" s="2679"/>
      <c r="B47" s="724" t="s">
        <v>34</v>
      </c>
      <c r="C47" s="906"/>
      <c r="D47" s="884">
        <f>+D48</f>
        <v>67520</v>
      </c>
      <c r="E47" s="884">
        <f t="shared" ref="E47:T47" si="29">E48+E58</f>
        <v>0</v>
      </c>
      <c r="F47" s="884">
        <f t="shared" si="29"/>
        <v>0</v>
      </c>
      <c r="G47" s="884">
        <f t="shared" si="29"/>
        <v>0</v>
      </c>
      <c r="H47" s="884">
        <f t="shared" si="29"/>
        <v>0</v>
      </c>
      <c r="I47" s="884">
        <f t="shared" si="29"/>
        <v>0</v>
      </c>
      <c r="J47" s="884">
        <f t="shared" si="29"/>
        <v>0</v>
      </c>
      <c r="K47" s="884">
        <f t="shared" si="29"/>
        <v>0</v>
      </c>
      <c r="L47" s="884">
        <f t="shared" si="29"/>
        <v>54083</v>
      </c>
      <c r="M47" s="884">
        <f t="shared" si="29"/>
        <v>54083</v>
      </c>
      <c r="N47" s="884">
        <f t="shared" si="29"/>
        <v>0</v>
      </c>
      <c r="O47" s="884">
        <f t="shared" si="29"/>
        <v>13437</v>
      </c>
      <c r="P47" s="884">
        <f t="shared" si="29"/>
        <v>0</v>
      </c>
      <c r="Q47" s="884">
        <f t="shared" si="29"/>
        <v>0</v>
      </c>
      <c r="R47" s="884">
        <f t="shared" si="29"/>
        <v>0</v>
      </c>
      <c r="S47" s="884">
        <f t="shared" si="29"/>
        <v>0</v>
      </c>
      <c r="T47" s="884">
        <f t="shared" si="29"/>
        <v>0</v>
      </c>
      <c r="U47" s="2681" t="s">
        <v>77</v>
      </c>
      <c r="V47" s="2441"/>
    </row>
    <row r="48" spans="1:22" ht="12">
      <c r="A48" s="2679"/>
      <c r="B48" s="1305" t="s">
        <v>30</v>
      </c>
      <c r="C48" s="2650" t="s">
        <v>217</v>
      </c>
      <c r="D48" s="892">
        <f>+D49</f>
        <v>67520</v>
      </c>
      <c r="E48" s="892">
        <f t="shared" ref="E48:T48" si="30">E49</f>
        <v>0</v>
      </c>
      <c r="F48" s="892">
        <f t="shared" si="30"/>
        <v>0</v>
      </c>
      <c r="G48" s="892">
        <f t="shared" si="30"/>
        <v>0</v>
      </c>
      <c r="H48" s="892">
        <f t="shared" si="30"/>
        <v>0</v>
      </c>
      <c r="I48" s="892">
        <f t="shared" si="30"/>
        <v>0</v>
      </c>
      <c r="J48" s="892">
        <f t="shared" si="30"/>
        <v>0</v>
      </c>
      <c r="K48" s="892">
        <f t="shared" si="30"/>
        <v>0</v>
      </c>
      <c r="L48" s="892">
        <f t="shared" si="30"/>
        <v>54083</v>
      </c>
      <c r="M48" s="892">
        <f t="shared" si="30"/>
        <v>54083</v>
      </c>
      <c r="N48" s="892">
        <f t="shared" si="30"/>
        <v>0</v>
      </c>
      <c r="O48" s="892">
        <f t="shared" si="30"/>
        <v>13437</v>
      </c>
      <c r="P48" s="892">
        <f t="shared" si="30"/>
        <v>0</v>
      </c>
      <c r="Q48" s="892">
        <f t="shared" si="30"/>
        <v>0</v>
      </c>
      <c r="R48" s="892">
        <f t="shared" si="30"/>
        <v>0</v>
      </c>
      <c r="S48" s="892">
        <f t="shared" si="30"/>
        <v>0</v>
      </c>
      <c r="T48" s="892">
        <f t="shared" si="30"/>
        <v>0</v>
      </c>
      <c r="U48" s="2682"/>
      <c r="V48" s="2441"/>
    </row>
    <row r="49" spans="1:116" ht="12.75" thickBot="1">
      <c r="A49" s="2431"/>
      <c r="B49" s="1307" t="s">
        <v>32</v>
      </c>
      <c r="C49" s="2665"/>
      <c r="D49" s="907">
        <f>+M49+N49+O49+P49+Q49+R49+S49+T49</f>
        <v>67520</v>
      </c>
      <c r="E49" s="904">
        <f>+F49+G49+H49</f>
        <v>0</v>
      </c>
      <c r="F49" s="904"/>
      <c r="G49" s="904"/>
      <c r="H49" s="904">
        <v>0</v>
      </c>
      <c r="I49" s="904">
        <v>0</v>
      </c>
      <c r="J49" s="904">
        <v>0</v>
      </c>
      <c r="K49" s="904">
        <v>0</v>
      </c>
      <c r="L49" s="904">
        <v>54083</v>
      </c>
      <c r="M49" s="904">
        <f>+L49</f>
        <v>54083</v>
      </c>
      <c r="N49" s="904"/>
      <c r="O49" s="904">
        <v>13437</v>
      </c>
      <c r="P49" s="904">
        <v>0</v>
      </c>
      <c r="Q49" s="904">
        <v>0</v>
      </c>
      <c r="R49" s="904">
        <v>0</v>
      </c>
      <c r="S49" s="904">
        <v>0</v>
      </c>
      <c r="T49" s="904">
        <v>0</v>
      </c>
      <c r="U49" s="2683"/>
      <c r="V49" s="2442"/>
    </row>
    <row r="50" spans="1:116" ht="38.25" customHeight="1">
      <c r="A50" s="2553" t="s">
        <v>85</v>
      </c>
      <c r="B50" s="878" t="s">
        <v>395</v>
      </c>
      <c r="C50" s="879" t="s">
        <v>138</v>
      </c>
      <c r="D50" s="880"/>
      <c r="E50" s="881"/>
      <c r="F50" s="882"/>
      <c r="G50" s="882"/>
      <c r="H50" s="881"/>
      <c r="I50" s="881"/>
      <c r="J50" s="881"/>
      <c r="K50" s="882"/>
      <c r="L50" s="882"/>
      <c r="M50" s="883"/>
      <c r="N50" s="883"/>
      <c r="O50" s="883"/>
      <c r="P50" s="882"/>
      <c r="Q50" s="883"/>
      <c r="R50" s="883"/>
      <c r="S50" s="883"/>
      <c r="T50" s="883"/>
      <c r="U50" s="1299"/>
      <c r="V50" s="2684" t="s">
        <v>216</v>
      </c>
    </row>
    <row r="51" spans="1:116" ht="15" customHeight="1">
      <c r="A51" s="2679"/>
      <c r="B51" s="427" t="s">
        <v>22</v>
      </c>
      <c r="C51" s="905"/>
      <c r="D51" s="884">
        <f>D52</f>
        <v>28500</v>
      </c>
      <c r="E51" s="884">
        <f t="shared" ref="E51:T52" si="31">E52</f>
        <v>0</v>
      </c>
      <c r="F51" s="884">
        <f t="shared" si="31"/>
        <v>0</v>
      </c>
      <c r="G51" s="884">
        <f t="shared" si="31"/>
        <v>0</v>
      </c>
      <c r="H51" s="884">
        <f t="shared" si="31"/>
        <v>0</v>
      </c>
      <c r="I51" s="884">
        <f t="shared" si="31"/>
        <v>0</v>
      </c>
      <c r="J51" s="884">
        <f t="shared" si="31"/>
        <v>0</v>
      </c>
      <c r="K51" s="884">
        <f t="shared" si="31"/>
        <v>0</v>
      </c>
      <c r="L51" s="884">
        <f t="shared" si="31"/>
        <v>16500</v>
      </c>
      <c r="M51" s="884">
        <f t="shared" si="31"/>
        <v>0</v>
      </c>
      <c r="N51" s="884">
        <f t="shared" si="31"/>
        <v>0</v>
      </c>
      <c r="O51" s="884">
        <f t="shared" si="31"/>
        <v>5000</v>
      </c>
      <c r="P51" s="884">
        <f t="shared" si="31"/>
        <v>19500</v>
      </c>
      <c r="Q51" s="884">
        <f t="shared" si="31"/>
        <v>4000</v>
      </c>
      <c r="R51" s="884">
        <f>+R52+R54</f>
        <v>0</v>
      </c>
      <c r="S51" s="884">
        <f t="shared" ref="S51:T51" si="32">+S52+S54</f>
        <v>0</v>
      </c>
      <c r="T51" s="884">
        <f t="shared" si="32"/>
        <v>0</v>
      </c>
      <c r="U51" s="1301">
        <f>U52</f>
        <v>28500</v>
      </c>
      <c r="V51" s="2441"/>
    </row>
    <row r="52" spans="1:116" ht="12">
      <c r="A52" s="2679"/>
      <c r="B52" s="1305" t="s">
        <v>30</v>
      </c>
      <c r="C52" s="2650" t="s">
        <v>217</v>
      </c>
      <c r="D52" s="892">
        <f>+D53</f>
        <v>28500</v>
      </c>
      <c r="E52" s="892">
        <f>+F52+G52+H52</f>
        <v>0</v>
      </c>
      <c r="F52" s="892">
        <f t="shared" si="31"/>
        <v>0</v>
      </c>
      <c r="G52" s="892">
        <f t="shared" si="31"/>
        <v>0</v>
      </c>
      <c r="H52" s="892">
        <f t="shared" si="31"/>
        <v>0</v>
      </c>
      <c r="I52" s="892">
        <f t="shared" si="31"/>
        <v>0</v>
      </c>
      <c r="J52" s="892">
        <f t="shared" si="31"/>
        <v>0</v>
      </c>
      <c r="K52" s="892">
        <f t="shared" si="31"/>
        <v>0</v>
      </c>
      <c r="L52" s="892">
        <f t="shared" si="31"/>
        <v>16500</v>
      </c>
      <c r="M52" s="892">
        <f t="shared" si="31"/>
        <v>0</v>
      </c>
      <c r="N52" s="892">
        <f t="shared" si="31"/>
        <v>0</v>
      </c>
      <c r="O52" s="892">
        <f t="shared" si="31"/>
        <v>5000</v>
      </c>
      <c r="P52" s="892">
        <f t="shared" si="31"/>
        <v>19500</v>
      </c>
      <c r="Q52" s="892">
        <f t="shared" si="31"/>
        <v>4000</v>
      </c>
      <c r="R52" s="892">
        <f t="shared" si="31"/>
        <v>0</v>
      </c>
      <c r="S52" s="892">
        <f t="shared" si="31"/>
        <v>0</v>
      </c>
      <c r="T52" s="892">
        <f t="shared" si="31"/>
        <v>0</v>
      </c>
      <c r="U52" s="1302">
        <f>+U53</f>
        <v>28500</v>
      </c>
      <c r="V52" s="2441"/>
    </row>
    <row r="53" spans="1:116" ht="12">
      <c r="A53" s="2679"/>
      <c r="B53" s="1306" t="s">
        <v>32</v>
      </c>
      <c r="C53" s="2651"/>
      <c r="D53" s="894">
        <f>+M53+N53+O53+P53+Q53+R53+S53+T53</f>
        <v>28500</v>
      </c>
      <c r="E53" s="895">
        <f>+F53+G53+H53</f>
        <v>0</v>
      </c>
      <c r="F53" s="895"/>
      <c r="G53" s="895"/>
      <c r="H53" s="895">
        <v>0</v>
      </c>
      <c r="I53" s="895">
        <v>0</v>
      </c>
      <c r="J53" s="895">
        <v>0</v>
      </c>
      <c r="K53" s="895">
        <v>0</v>
      </c>
      <c r="L53" s="895">
        <v>16500</v>
      </c>
      <c r="M53" s="895">
        <v>0</v>
      </c>
      <c r="N53" s="895">
        <v>0</v>
      </c>
      <c r="O53" s="895">
        <v>5000</v>
      </c>
      <c r="P53" s="717">
        <v>19500</v>
      </c>
      <c r="Q53" s="717">
        <v>4000</v>
      </c>
      <c r="R53" s="717">
        <v>0</v>
      </c>
      <c r="S53" s="717">
        <v>0</v>
      </c>
      <c r="T53" s="717">
        <v>0</v>
      </c>
      <c r="U53" s="1303">
        <f>+T53+S53+R53+Q53+P53+O53</f>
        <v>28500</v>
      </c>
      <c r="V53" s="2441"/>
    </row>
    <row r="54" spans="1:116" ht="15" customHeight="1">
      <c r="A54" s="2679"/>
      <c r="B54" s="724" t="s">
        <v>34</v>
      </c>
      <c r="C54" s="906"/>
      <c r="D54" s="884">
        <f>+D55</f>
        <v>28500</v>
      </c>
      <c r="E54" s="884">
        <f t="shared" ref="E54:L54" si="33">E55+E61</f>
        <v>0</v>
      </c>
      <c r="F54" s="884">
        <f t="shared" si="33"/>
        <v>0</v>
      </c>
      <c r="G54" s="884">
        <f t="shared" si="33"/>
        <v>0</v>
      </c>
      <c r="H54" s="884">
        <f t="shared" si="33"/>
        <v>0</v>
      </c>
      <c r="I54" s="884">
        <f t="shared" si="33"/>
        <v>0</v>
      </c>
      <c r="J54" s="884">
        <f t="shared" si="33"/>
        <v>0</v>
      </c>
      <c r="K54" s="884">
        <f t="shared" si="33"/>
        <v>0</v>
      </c>
      <c r="L54" s="884">
        <f t="shared" si="33"/>
        <v>1841923</v>
      </c>
      <c r="M54" s="884">
        <f>M55</f>
        <v>0</v>
      </c>
      <c r="N54" s="884">
        <f t="shared" ref="N54:T54" si="34">N55</f>
        <v>0</v>
      </c>
      <c r="O54" s="884">
        <f t="shared" si="34"/>
        <v>5000</v>
      </c>
      <c r="P54" s="884">
        <f t="shared" si="34"/>
        <v>19500</v>
      </c>
      <c r="Q54" s="884">
        <f t="shared" si="34"/>
        <v>4000</v>
      </c>
      <c r="R54" s="884">
        <f t="shared" si="34"/>
        <v>0</v>
      </c>
      <c r="S54" s="884">
        <f t="shared" si="34"/>
        <v>0</v>
      </c>
      <c r="T54" s="884">
        <f t="shared" si="34"/>
        <v>0</v>
      </c>
      <c r="U54" s="2681" t="s">
        <v>77</v>
      </c>
      <c r="V54" s="2441"/>
    </row>
    <row r="55" spans="1:116" ht="12">
      <c r="A55" s="2679"/>
      <c r="B55" s="1305" t="s">
        <v>30</v>
      </c>
      <c r="C55" s="2650" t="s">
        <v>217</v>
      </c>
      <c r="D55" s="892">
        <f>+D56</f>
        <v>28500</v>
      </c>
      <c r="E55" s="892">
        <f t="shared" ref="E55:T55" si="35">E56</f>
        <v>0</v>
      </c>
      <c r="F55" s="892">
        <f t="shared" si="35"/>
        <v>0</v>
      </c>
      <c r="G55" s="892">
        <f t="shared" si="35"/>
        <v>0</v>
      </c>
      <c r="H55" s="892">
        <f t="shared" si="35"/>
        <v>0</v>
      </c>
      <c r="I55" s="892">
        <f t="shared" si="35"/>
        <v>0</v>
      </c>
      <c r="J55" s="892">
        <f t="shared" si="35"/>
        <v>0</v>
      </c>
      <c r="K55" s="892">
        <f t="shared" si="35"/>
        <v>0</v>
      </c>
      <c r="L55" s="892">
        <f t="shared" si="35"/>
        <v>54083</v>
      </c>
      <c r="M55" s="892">
        <f t="shared" si="35"/>
        <v>0</v>
      </c>
      <c r="N55" s="892">
        <f t="shared" si="35"/>
        <v>0</v>
      </c>
      <c r="O55" s="892">
        <f t="shared" si="35"/>
        <v>5000</v>
      </c>
      <c r="P55" s="892">
        <f t="shared" si="35"/>
        <v>19500</v>
      </c>
      <c r="Q55" s="892">
        <f t="shared" si="35"/>
        <v>4000</v>
      </c>
      <c r="R55" s="892">
        <f t="shared" si="35"/>
        <v>0</v>
      </c>
      <c r="S55" s="892">
        <f t="shared" si="35"/>
        <v>0</v>
      </c>
      <c r="T55" s="892">
        <f t="shared" si="35"/>
        <v>0</v>
      </c>
      <c r="U55" s="2682"/>
      <c r="V55" s="2441"/>
    </row>
    <row r="56" spans="1:116" ht="12.75" thickBot="1">
      <c r="A56" s="2431"/>
      <c r="B56" s="1307" t="s">
        <v>32</v>
      </c>
      <c r="C56" s="2665"/>
      <c r="D56" s="907">
        <f>+M56+N56+O56+P56+Q56+R56+S56+T56</f>
        <v>28500</v>
      </c>
      <c r="E56" s="904">
        <f>+F56+G56+H56</f>
        <v>0</v>
      </c>
      <c r="F56" s="904"/>
      <c r="G56" s="904"/>
      <c r="H56" s="904">
        <v>0</v>
      </c>
      <c r="I56" s="904">
        <v>0</v>
      </c>
      <c r="J56" s="904">
        <v>0</v>
      </c>
      <c r="K56" s="904">
        <v>0</v>
      </c>
      <c r="L56" s="904">
        <v>54083</v>
      </c>
      <c r="M56" s="904">
        <v>0</v>
      </c>
      <c r="N56" s="904">
        <v>0</v>
      </c>
      <c r="O56" s="904">
        <v>5000</v>
      </c>
      <c r="P56" s="904">
        <v>19500</v>
      </c>
      <c r="Q56" s="904">
        <v>4000</v>
      </c>
      <c r="R56" s="904">
        <v>0</v>
      </c>
      <c r="S56" s="904">
        <v>0</v>
      </c>
      <c r="T56" s="904">
        <v>0</v>
      </c>
      <c r="U56" s="2683"/>
      <c r="V56" s="2442"/>
    </row>
    <row r="57" spans="1:116" ht="12.75">
      <c r="A57" s="1226"/>
      <c r="B57" s="908"/>
      <c r="C57" s="909"/>
      <c r="D57" s="910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2"/>
      <c r="U57" s="912"/>
      <c r="V57" s="909"/>
    </row>
    <row r="58" spans="1:116" s="915" customFormat="1" ht="26.25" customHeight="1" thickBot="1">
      <c r="A58" s="2668" t="s">
        <v>218</v>
      </c>
      <c r="B58" s="2668"/>
      <c r="C58" s="2668"/>
      <c r="D58" s="2668"/>
      <c r="E58" s="2668"/>
      <c r="F58" s="2668"/>
      <c r="G58" s="2668"/>
      <c r="H58" s="2668"/>
      <c r="I58" s="2668"/>
      <c r="J58" s="2668"/>
      <c r="K58" s="2668"/>
      <c r="L58" s="2668"/>
      <c r="M58" s="2668"/>
      <c r="N58" s="2668"/>
      <c r="O58" s="2668"/>
      <c r="P58" s="2668"/>
      <c r="Q58" s="2668"/>
      <c r="R58" s="2668"/>
      <c r="S58" s="2668"/>
      <c r="T58" s="2668"/>
      <c r="U58" s="2095"/>
      <c r="V58" s="913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4"/>
      <c r="AK58" s="914"/>
      <c r="AL58" s="914"/>
      <c r="AM58" s="914"/>
      <c r="AN58" s="914"/>
      <c r="AO58" s="914"/>
      <c r="AP58" s="914"/>
      <c r="AQ58" s="914"/>
      <c r="AR58" s="914"/>
      <c r="AS58" s="914"/>
      <c r="AT58" s="914"/>
      <c r="AU58" s="914"/>
      <c r="AV58" s="914"/>
      <c r="AW58" s="914"/>
      <c r="AX58" s="914"/>
      <c r="AY58" s="914"/>
      <c r="AZ58" s="914"/>
      <c r="BA58" s="914"/>
      <c r="BB58" s="914"/>
      <c r="BC58" s="914"/>
      <c r="BD58" s="914"/>
      <c r="BE58" s="914"/>
      <c r="BF58" s="914"/>
      <c r="BG58" s="914"/>
      <c r="BH58" s="914"/>
      <c r="BI58" s="914"/>
      <c r="BJ58" s="914"/>
      <c r="BK58" s="914"/>
      <c r="BL58" s="914"/>
      <c r="BM58" s="914"/>
      <c r="BN58" s="914"/>
      <c r="BO58" s="914"/>
      <c r="BP58" s="914"/>
      <c r="BQ58" s="914"/>
      <c r="BR58" s="914"/>
      <c r="BS58" s="914"/>
      <c r="BT58" s="914"/>
      <c r="BU58" s="914"/>
      <c r="BV58" s="914"/>
      <c r="BW58" s="914"/>
      <c r="BX58" s="914"/>
      <c r="BY58" s="914"/>
      <c r="BZ58" s="914"/>
      <c r="CA58" s="914"/>
      <c r="CB58" s="914"/>
      <c r="CC58" s="914"/>
      <c r="CD58" s="914"/>
      <c r="CE58" s="914"/>
      <c r="CF58" s="914"/>
      <c r="CG58" s="914"/>
      <c r="CH58" s="914"/>
      <c r="CI58" s="914"/>
      <c r="CJ58" s="914"/>
      <c r="CK58" s="914"/>
      <c r="CL58" s="914"/>
      <c r="CM58" s="914"/>
      <c r="CN58" s="914"/>
      <c r="CO58" s="914"/>
      <c r="CP58" s="914"/>
      <c r="CQ58" s="914"/>
      <c r="CR58" s="914"/>
      <c r="CS58" s="914"/>
      <c r="CT58" s="914"/>
      <c r="CU58" s="914"/>
      <c r="CV58" s="914"/>
      <c r="CW58" s="914"/>
      <c r="CX58" s="914"/>
      <c r="CY58" s="914"/>
      <c r="CZ58" s="914"/>
      <c r="DA58" s="914"/>
      <c r="DB58" s="914"/>
      <c r="DC58" s="914"/>
      <c r="DD58" s="914"/>
      <c r="DE58" s="914"/>
      <c r="DF58" s="914"/>
      <c r="DG58" s="914"/>
      <c r="DH58" s="914"/>
      <c r="DI58" s="914"/>
      <c r="DJ58" s="914"/>
      <c r="DK58" s="914"/>
      <c r="DL58" s="914"/>
    </row>
    <row r="59" spans="1:116" s="1898" customFormat="1" ht="14.25" customHeight="1">
      <c r="A59" s="866"/>
      <c r="B59" s="1099" t="s">
        <v>97</v>
      </c>
      <c r="C59" s="1091"/>
      <c r="D59" s="1100">
        <f>+D60+D61</f>
        <v>4905259</v>
      </c>
      <c r="E59" s="1100">
        <f t="shared" ref="E59:T59" si="36">+E60+E61</f>
        <v>0</v>
      </c>
      <c r="F59" s="1100">
        <f t="shared" si="36"/>
        <v>0</v>
      </c>
      <c r="G59" s="1100">
        <f t="shared" si="36"/>
        <v>0</v>
      </c>
      <c r="H59" s="1100">
        <f t="shared" si="36"/>
        <v>0</v>
      </c>
      <c r="I59" s="1100">
        <f t="shared" si="36"/>
        <v>0</v>
      </c>
      <c r="J59" s="1100">
        <f t="shared" si="36"/>
        <v>0</v>
      </c>
      <c r="K59" s="1100">
        <f t="shared" si="36"/>
        <v>0</v>
      </c>
      <c r="L59" s="1100">
        <f t="shared" si="36"/>
        <v>1787840</v>
      </c>
      <c r="M59" s="1100">
        <f t="shared" si="36"/>
        <v>1787840</v>
      </c>
      <c r="N59" s="1100">
        <f t="shared" si="36"/>
        <v>3091802</v>
      </c>
      <c r="O59" s="1100">
        <f t="shared" si="36"/>
        <v>25617</v>
      </c>
      <c r="P59" s="1100">
        <f t="shared" si="36"/>
        <v>0</v>
      </c>
      <c r="Q59" s="1100">
        <f t="shared" si="36"/>
        <v>0</v>
      </c>
      <c r="R59" s="1100">
        <f t="shared" si="36"/>
        <v>0</v>
      </c>
      <c r="S59" s="1100">
        <f t="shared" si="36"/>
        <v>0</v>
      </c>
      <c r="T59" s="1100">
        <f t="shared" si="36"/>
        <v>0</v>
      </c>
      <c r="U59" s="396">
        <f>+U60+U61</f>
        <v>25617</v>
      </c>
      <c r="V59" s="2685"/>
    </row>
    <row r="60" spans="1:116" s="1898" customFormat="1" ht="13.5" customHeight="1">
      <c r="A60" s="866"/>
      <c r="B60" s="1093" t="s">
        <v>98</v>
      </c>
      <c r="C60" s="1094"/>
      <c r="D60" s="1095">
        <v>0</v>
      </c>
      <c r="E60" s="1095">
        <v>0</v>
      </c>
      <c r="F60" s="1095">
        <v>0</v>
      </c>
      <c r="G60" s="1095">
        <v>0</v>
      </c>
      <c r="H60" s="1095">
        <v>0</v>
      </c>
      <c r="I60" s="1095">
        <v>0</v>
      </c>
      <c r="J60" s="1095">
        <v>0</v>
      </c>
      <c r="K60" s="1095">
        <v>0</v>
      </c>
      <c r="L60" s="1095">
        <v>0</v>
      </c>
      <c r="M60" s="1095">
        <v>0</v>
      </c>
      <c r="N60" s="1095">
        <v>0</v>
      </c>
      <c r="O60" s="1095">
        <v>0</v>
      </c>
      <c r="P60" s="1095">
        <v>0</v>
      </c>
      <c r="Q60" s="1095">
        <v>0</v>
      </c>
      <c r="R60" s="1095">
        <v>0</v>
      </c>
      <c r="S60" s="1095">
        <v>0</v>
      </c>
      <c r="T60" s="1095">
        <v>0</v>
      </c>
      <c r="U60" s="400">
        <f>SUM(N60:R60)</f>
        <v>0</v>
      </c>
      <c r="V60" s="2686"/>
    </row>
    <row r="61" spans="1:116" s="1898" customFormat="1" ht="13.5" customHeight="1" thickBot="1">
      <c r="A61" s="866"/>
      <c r="B61" s="1096" t="s">
        <v>21</v>
      </c>
      <c r="C61" s="1108"/>
      <c r="D61" s="1098">
        <f>+D78+D82+D87+D99</f>
        <v>4905259</v>
      </c>
      <c r="E61" s="1098">
        <f>+E78+E82+E87+E99</f>
        <v>0</v>
      </c>
      <c r="F61" s="1098">
        <f t="shared" ref="F61:Q61" si="37">+F78+F82+F87+F99</f>
        <v>0</v>
      </c>
      <c r="G61" s="1098">
        <f t="shared" si="37"/>
        <v>0</v>
      </c>
      <c r="H61" s="1098">
        <f t="shared" si="37"/>
        <v>0</v>
      </c>
      <c r="I61" s="1098">
        <f t="shared" si="37"/>
        <v>0</v>
      </c>
      <c r="J61" s="1098">
        <f t="shared" si="37"/>
        <v>0</v>
      </c>
      <c r="K61" s="1098">
        <f t="shared" si="37"/>
        <v>0</v>
      </c>
      <c r="L61" s="1098">
        <f t="shared" si="37"/>
        <v>1787840</v>
      </c>
      <c r="M61" s="1098">
        <f t="shared" si="37"/>
        <v>1787840</v>
      </c>
      <c r="N61" s="1098">
        <f t="shared" si="37"/>
        <v>3091802</v>
      </c>
      <c r="O61" s="1098">
        <f t="shared" si="37"/>
        <v>25617</v>
      </c>
      <c r="P61" s="1098">
        <f t="shared" si="37"/>
        <v>0</v>
      </c>
      <c r="Q61" s="1098">
        <f t="shared" si="37"/>
        <v>0</v>
      </c>
      <c r="R61" s="1098">
        <f>+R78+R82+R87+R99</f>
        <v>0</v>
      </c>
      <c r="S61" s="1098">
        <f t="shared" ref="S61:T61" si="38">+S78+S82+S87+S99</f>
        <v>0</v>
      </c>
      <c r="T61" s="1098">
        <f t="shared" si="38"/>
        <v>0</v>
      </c>
      <c r="U61" s="400">
        <f>SUM(O61:R61)</f>
        <v>25617</v>
      </c>
      <c r="V61" s="2686"/>
    </row>
    <row r="62" spans="1:116" s="915" customFormat="1" ht="13.5" customHeight="1">
      <c r="A62" s="866"/>
      <c r="B62" s="916" t="s">
        <v>22</v>
      </c>
      <c r="C62" s="917"/>
      <c r="D62" s="918">
        <f>D63+D67</f>
        <v>19306662</v>
      </c>
      <c r="E62" s="918">
        <f>+E63+E67</f>
        <v>0</v>
      </c>
      <c r="F62" s="918">
        <f t="shared" ref="F62:T62" si="39">+F63+F67</f>
        <v>0</v>
      </c>
      <c r="G62" s="918">
        <f t="shared" si="39"/>
        <v>0</v>
      </c>
      <c r="H62" s="918">
        <f t="shared" si="39"/>
        <v>0</v>
      </c>
      <c r="I62" s="918">
        <f t="shared" si="39"/>
        <v>0</v>
      </c>
      <c r="J62" s="918">
        <f t="shared" si="39"/>
        <v>0</v>
      </c>
      <c r="K62" s="918">
        <f t="shared" si="39"/>
        <v>0</v>
      </c>
      <c r="L62" s="918">
        <f t="shared" si="39"/>
        <v>7568779</v>
      </c>
      <c r="M62" s="918">
        <f>+M63+M67</f>
        <v>7568779</v>
      </c>
      <c r="N62" s="918">
        <f>+N63+N67</f>
        <v>11712266</v>
      </c>
      <c r="O62" s="918">
        <f>+O63+O67</f>
        <v>25617</v>
      </c>
      <c r="P62" s="918">
        <f t="shared" si="39"/>
        <v>0</v>
      </c>
      <c r="Q62" s="918">
        <f t="shared" si="39"/>
        <v>0</v>
      </c>
      <c r="R62" s="918">
        <f t="shared" si="39"/>
        <v>0</v>
      </c>
      <c r="S62" s="918">
        <f t="shared" si="39"/>
        <v>0</v>
      </c>
      <c r="T62" s="918">
        <f t="shared" si="39"/>
        <v>0</v>
      </c>
      <c r="U62" s="919">
        <f>+U63</f>
        <v>25617</v>
      </c>
      <c r="V62" s="2685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4"/>
      <c r="AK62" s="914"/>
      <c r="AL62" s="914"/>
      <c r="AM62" s="914"/>
      <c r="AN62" s="914"/>
      <c r="AO62" s="914"/>
      <c r="AP62" s="914"/>
      <c r="AQ62" s="914"/>
      <c r="AR62" s="914"/>
      <c r="AS62" s="914"/>
      <c r="AT62" s="914"/>
      <c r="AU62" s="914"/>
      <c r="AV62" s="914"/>
      <c r="AW62" s="914"/>
      <c r="AX62" s="914"/>
      <c r="AY62" s="914"/>
      <c r="AZ62" s="914"/>
      <c r="BA62" s="914"/>
      <c r="BB62" s="914"/>
      <c r="BC62" s="914"/>
      <c r="BD62" s="914"/>
      <c r="BE62" s="914"/>
      <c r="BF62" s="914"/>
      <c r="BG62" s="914"/>
      <c r="BH62" s="914"/>
      <c r="BI62" s="914"/>
      <c r="BJ62" s="914"/>
      <c r="BK62" s="914"/>
      <c r="BL62" s="914"/>
      <c r="BM62" s="914"/>
      <c r="BN62" s="914"/>
      <c r="BO62" s="914"/>
      <c r="BP62" s="914"/>
      <c r="BQ62" s="914"/>
      <c r="BR62" s="914"/>
      <c r="BS62" s="914"/>
      <c r="BT62" s="914"/>
      <c r="BU62" s="914"/>
      <c r="BV62" s="914"/>
      <c r="BW62" s="914"/>
      <c r="BX62" s="914"/>
      <c r="BY62" s="914"/>
      <c r="BZ62" s="914"/>
      <c r="CA62" s="914"/>
      <c r="CB62" s="914"/>
      <c r="CC62" s="914"/>
      <c r="CD62" s="914"/>
      <c r="CE62" s="914"/>
      <c r="CF62" s="914"/>
      <c r="CG62" s="914"/>
      <c r="CH62" s="914"/>
      <c r="CI62" s="914"/>
      <c r="CJ62" s="914"/>
      <c r="CK62" s="914"/>
      <c r="CL62" s="914"/>
      <c r="CM62" s="914"/>
      <c r="CN62" s="914"/>
      <c r="CO62" s="914"/>
      <c r="CP62" s="914"/>
      <c r="CQ62" s="914"/>
      <c r="CR62" s="914"/>
      <c r="CS62" s="914"/>
      <c r="CT62" s="914"/>
      <c r="CU62" s="914"/>
      <c r="CV62" s="914"/>
      <c r="CW62" s="914"/>
      <c r="CX62" s="914"/>
      <c r="CY62" s="914"/>
      <c r="CZ62" s="914"/>
      <c r="DA62" s="914"/>
      <c r="DB62" s="914"/>
      <c r="DC62" s="914"/>
      <c r="DD62" s="914"/>
      <c r="DE62" s="914"/>
      <c r="DF62" s="914"/>
      <c r="DG62" s="914"/>
      <c r="DH62" s="914"/>
      <c r="DI62" s="914"/>
      <c r="DJ62" s="914"/>
      <c r="DK62" s="914"/>
      <c r="DL62" s="914"/>
    </row>
    <row r="63" spans="1:116" s="915" customFormat="1" ht="13.5" customHeight="1">
      <c r="A63" s="866"/>
      <c r="B63" s="920" t="s">
        <v>23</v>
      </c>
      <c r="C63" s="921"/>
      <c r="D63" s="921">
        <f>+D64+D65+D66</f>
        <v>8505610</v>
      </c>
      <c r="E63" s="921">
        <f t="shared" ref="E63:T63" si="40">+E64+E65+E66</f>
        <v>0</v>
      </c>
      <c r="F63" s="921">
        <f t="shared" si="40"/>
        <v>0</v>
      </c>
      <c r="G63" s="921">
        <f t="shared" si="40"/>
        <v>0</v>
      </c>
      <c r="H63" s="921">
        <f t="shared" si="40"/>
        <v>0</v>
      </c>
      <c r="I63" s="921">
        <f t="shared" si="40"/>
        <v>0</v>
      </c>
      <c r="J63" s="921">
        <f t="shared" si="40"/>
        <v>0</v>
      </c>
      <c r="K63" s="921">
        <f t="shared" si="40"/>
        <v>0</v>
      </c>
      <c r="L63" s="921">
        <f t="shared" si="40"/>
        <v>3233075</v>
      </c>
      <c r="M63" s="921">
        <f t="shared" si="40"/>
        <v>3233075</v>
      </c>
      <c r="N63" s="921">
        <f>+N64+N65+N66</f>
        <v>5246918</v>
      </c>
      <c r="O63" s="921">
        <f t="shared" si="40"/>
        <v>25617</v>
      </c>
      <c r="P63" s="921">
        <f t="shared" si="40"/>
        <v>0</v>
      </c>
      <c r="Q63" s="921">
        <f t="shared" si="40"/>
        <v>0</v>
      </c>
      <c r="R63" s="921">
        <f t="shared" si="40"/>
        <v>0</v>
      </c>
      <c r="S63" s="921">
        <f t="shared" si="40"/>
        <v>0</v>
      </c>
      <c r="T63" s="921">
        <f t="shared" si="40"/>
        <v>0</v>
      </c>
      <c r="U63" s="922">
        <f>+U66+U65</f>
        <v>25617</v>
      </c>
      <c r="V63" s="2686"/>
      <c r="W63" s="923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4"/>
      <c r="AK63" s="914"/>
      <c r="AL63" s="914"/>
      <c r="AM63" s="914"/>
      <c r="AN63" s="914"/>
      <c r="AO63" s="914"/>
      <c r="AP63" s="914"/>
      <c r="AQ63" s="914"/>
      <c r="AR63" s="914"/>
      <c r="AS63" s="914"/>
      <c r="AT63" s="914"/>
      <c r="AU63" s="914"/>
      <c r="AV63" s="914"/>
      <c r="AW63" s="914"/>
      <c r="AX63" s="914"/>
      <c r="AY63" s="914"/>
      <c r="AZ63" s="914"/>
      <c r="BA63" s="914"/>
      <c r="BB63" s="914"/>
      <c r="BC63" s="914"/>
      <c r="BD63" s="914"/>
      <c r="BE63" s="914"/>
      <c r="BF63" s="914"/>
      <c r="BG63" s="914"/>
      <c r="BH63" s="914"/>
      <c r="BI63" s="914"/>
      <c r="BJ63" s="914"/>
      <c r="BK63" s="914"/>
      <c r="BL63" s="914"/>
      <c r="BM63" s="914"/>
      <c r="BN63" s="914"/>
      <c r="BO63" s="914"/>
      <c r="BP63" s="914"/>
      <c r="BQ63" s="914"/>
      <c r="BR63" s="914"/>
      <c r="BS63" s="914"/>
      <c r="BT63" s="914"/>
      <c r="BU63" s="914"/>
      <c r="BV63" s="914"/>
      <c r="BW63" s="914"/>
      <c r="BX63" s="914"/>
      <c r="BY63" s="914"/>
      <c r="BZ63" s="914"/>
      <c r="CA63" s="914"/>
      <c r="CB63" s="914"/>
      <c r="CC63" s="914"/>
      <c r="CD63" s="914"/>
      <c r="CE63" s="914"/>
      <c r="CF63" s="914"/>
      <c r="CG63" s="914"/>
      <c r="CH63" s="914"/>
      <c r="CI63" s="914"/>
      <c r="CJ63" s="914"/>
      <c r="CK63" s="914"/>
      <c r="CL63" s="914"/>
      <c r="CM63" s="914"/>
      <c r="CN63" s="914"/>
      <c r="CO63" s="914"/>
      <c r="CP63" s="914"/>
      <c r="CQ63" s="914"/>
      <c r="CR63" s="914"/>
      <c r="CS63" s="914"/>
      <c r="CT63" s="914"/>
      <c r="CU63" s="914"/>
      <c r="CV63" s="914"/>
      <c r="CW63" s="914"/>
      <c r="CX63" s="914"/>
      <c r="CY63" s="914"/>
      <c r="CZ63" s="914"/>
      <c r="DA63" s="914"/>
      <c r="DB63" s="914"/>
      <c r="DC63" s="914"/>
      <c r="DD63" s="914"/>
      <c r="DE63" s="914"/>
      <c r="DF63" s="914"/>
      <c r="DG63" s="914"/>
      <c r="DH63" s="914"/>
      <c r="DI63" s="914"/>
      <c r="DJ63" s="914"/>
      <c r="DK63" s="914"/>
      <c r="DL63" s="914"/>
    </row>
    <row r="64" spans="1:116" s="915" customFormat="1" ht="13.5" customHeight="1">
      <c r="A64" s="866"/>
      <c r="B64" s="924" t="s">
        <v>219</v>
      </c>
      <c r="C64" s="925"/>
      <c r="D64" s="925">
        <f>+D86</f>
        <v>3600351</v>
      </c>
      <c r="E64" s="925">
        <f t="shared" ref="E64:Q64" si="41">+E86</f>
        <v>0</v>
      </c>
      <c r="F64" s="925">
        <f t="shared" si="41"/>
        <v>0</v>
      </c>
      <c r="G64" s="925">
        <f t="shared" si="41"/>
        <v>0</v>
      </c>
      <c r="H64" s="925">
        <f t="shared" si="41"/>
        <v>0</v>
      </c>
      <c r="I64" s="925">
        <f t="shared" si="41"/>
        <v>0</v>
      </c>
      <c r="J64" s="925">
        <f t="shared" si="41"/>
        <v>0</v>
      </c>
      <c r="K64" s="925">
        <f t="shared" si="41"/>
        <v>0</v>
      </c>
      <c r="L64" s="925">
        <f t="shared" si="41"/>
        <v>1445235</v>
      </c>
      <c r="M64" s="925">
        <f t="shared" si="41"/>
        <v>1445235</v>
      </c>
      <c r="N64" s="925">
        <f t="shared" si="41"/>
        <v>2155116</v>
      </c>
      <c r="O64" s="925">
        <f t="shared" si="41"/>
        <v>0</v>
      </c>
      <c r="P64" s="925">
        <f t="shared" si="41"/>
        <v>0</v>
      </c>
      <c r="Q64" s="925">
        <f t="shared" si="41"/>
        <v>0</v>
      </c>
      <c r="R64" s="925">
        <v>0</v>
      </c>
      <c r="S64" s="925">
        <v>0</v>
      </c>
      <c r="T64" s="925">
        <v>0</v>
      </c>
      <c r="U64" s="926" t="s">
        <v>77</v>
      </c>
      <c r="V64" s="2686"/>
      <c r="W64" s="923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4"/>
      <c r="AK64" s="914"/>
      <c r="AL64" s="914"/>
      <c r="AM64" s="914"/>
      <c r="AN64" s="914"/>
      <c r="AO64" s="914"/>
      <c r="AP64" s="914"/>
      <c r="AQ64" s="914"/>
      <c r="AR64" s="914"/>
      <c r="AS64" s="914"/>
      <c r="AT64" s="914"/>
      <c r="AU64" s="914"/>
      <c r="AV64" s="914"/>
      <c r="AW64" s="914"/>
      <c r="AX64" s="914"/>
      <c r="AY64" s="914"/>
      <c r="AZ64" s="914"/>
      <c r="BA64" s="914"/>
      <c r="BB64" s="914"/>
      <c r="BC64" s="914"/>
      <c r="BD64" s="914"/>
      <c r="BE64" s="914"/>
      <c r="BF64" s="914"/>
      <c r="BG64" s="914"/>
      <c r="BH64" s="914"/>
      <c r="BI64" s="914"/>
      <c r="BJ64" s="914"/>
      <c r="BK64" s="914"/>
      <c r="BL64" s="914"/>
      <c r="BM64" s="914"/>
      <c r="BN64" s="914"/>
      <c r="BO64" s="914"/>
      <c r="BP64" s="914"/>
      <c r="BQ64" s="914"/>
      <c r="BR64" s="914"/>
      <c r="BS64" s="914"/>
      <c r="BT64" s="914"/>
      <c r="BU64" s="914"/>
      <c r="BV64" s="914"/>
      <c r="BW64" s="914"/>
      <c r="BX64" s="914"/>
      <c r="BY64" s="914"/>
      <c r="BZ64" s="914"/>
      <c r="CA64" s="914"/>
      <c r="CB64" s="914"/>
      <c r="CC64" s="914"/>
      <c r="CD64" s="914"/>
      <c r="CE64" s="914"/>
      <c r="CF64" s="914"/>
      <c r="CG64" s="914"/>
      <c r="CH64" s="914"/>
      <c r="CI64" s="914"/>
      <c r="CJ64" s="914"/>
      <c r="CK64" s="914"/>
      <c r="CL64" s="914"/>
      <c r="CM64" s="914"/>
      <c r="CN64" s="914"/>
      <c r="CO64" s="914"/>
      <c r="CP64" s="914"/>
      <c r="CQ64" s="914"/>
      <c r="CR64" s="914"/>
      <c r="CS64" s="914"/>
      <c r="CT64" s="914"/>
      <c r="CU64" s="914"/>
      <c r="CV64" s="914"/>
      <c r="CW64" s="914"/>
      <c r="CX64" s="914"/>
      <c r="CY64" s="914"/>
      <c r="CZ64" s="914"/>
      <c r="DA64" s="914"/>
      <c r="DB64" s="914"/>
      <c r="DC64" s="914"/>
      <c r="DD64" s="914"/>
      <c r="DE64" s="914"/>
      <c r="DF64" s="914"/>
      <c r="DG64" s="914"/>
      <c r="DH64" s="914"/>
      <c r="DI64" s="914"/>
      <c r="DJ64" s="914"/>
      <c r="DK64" s="914"/>
      <c r="DL64" s="914"/>
    </row>
    <row r="65" spans="1:116" s="915" customFormat="1" ht="13.5" customHeight="1">
      <c r="A65" s="866"/>
      <c r="B65" s="924" t="s">
        <v>220</v>
      </c>
      <c r="C65" s="925"/>
      <c r="D65" s="925">
        <f>+D87+D99</f>
        <v>4905259</v>
      </c>
      <c r="E65" s="925">
        <f t="shared" ref="E65:T65" si="42">+E87+E99</f>
        <v>0</v>
      </c>
      <c r="F65" s="925">
        <f t="shared" si="42"/>
        <v>0</v>
      </c>
      <c r="G65" s="925">
        <f t="shared" si="42"/>
        <v>0</v>
      </c>
      <c r="H65" s="925">
        <f t="shared" si="42"/>
        <v>0</v>
      </c>
      <c r="I65" s="925">
        <f t="shared" si="42"/>
        <v>0</v>
      </c>
      <c r="J65" s="925">
        <f t="shared" si="42"/>
        <v>0</v>
      </c>
      <c r="K65" s="925">
        <f>+K87+K99</f>
        <v>0</v>
      </c>
      <c r="L65" s="925">
        <f t="shared" si="42"/>
        <v>1787840</v>
      </c>
      <c r="M65" s="925">
        <f t="shared" si="42"/>
        <v>1787840</v>
      </c>
      <c r="N65" s="925">
        <f t="shared" si="42"/>
        <v>3091802</v>
      </c>
      <c r="O65" s="925">
        <f t="shared" si="42"/>
        <v>25617</v>
      </c>
      <c r="P65" s="925">
        <f t="shared" si="42"/>
        <v>0</v>
      </c>
      <c r="Q65" s="925">
        <f t="shared" si="42"/>
        <v>0</v>
      </c>
      <c r="R65" s="925">
        <f t="shared" si="42"/>
        <v>0</v>
      </c>
      <c r="S65" s="925">
        <f t="shared" si="42"/>
        <v>0</v>
      </c>
      <c r="T65" s="925">
        <f t="shared" si="42"/>
        <v>0</v>
      </c>
      <c r="U65" s="927">
        <f>+T65+S65+R65+Q65+P65+O65</f>
        <v>25617</v>
      </c>
      <c r="V65" s="2686"/>
      <c r="W65" s="923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4"/>
      <c r="AK65" s="914"/>
      <c r="AL65" s="914"/>
      <c r="AM65" s="914"/>
      <c r="AN65" s="914"/>
      <c r="AO65" s="914"/>
      <c r="AP65" s="914"/>
      <c r="AQ65" s="914"/>
      <c r="AR65" s="914"/>
      <c r="AS65" s="914"/>
      <c r="AT65" s="914"/>
      <c r="AU65" s="914"/>
      <c r="AV65" s="914"/>
      <c r="AW65" s="914"/>
      <c r="AX65" s="914"/>
      <c r="AY65" s="914"/>
      <c r="AZ65" s="914"/>
      <c r="BA65" s="914"/>
      <c r="BB65" s="914"/>
      <c r="BC65" s="914"/>
      <c r="BD65" s="914"/>
      <c r="BE65" s="914"/>
      <c r="BF65" s="914"/>
      <c r="BG65" s="914"/>
      <c r="BH65" s="914"/>
      <c r="BI65" s="914"/>
      <c r="BJ65" s="914"/>
      <c r="BK65" s="914"/>
      <c r="BL65" s="914"/>
      <c r="BM65" s="914"/>
      <c r="BN65" s="914"/>
      <c r="BO65" s="914"/>
      <c r="BP65" s="914"/>
      <c r="BQ65" s="914"/>
      <c r="BR65" s="914"/>
      <c r="BS65" s="914"/>
      <c r="BT65" s="914"/>
      <c r="BU65" s="914"/>
      <c r="BV65" s="914"/>
      <c r="BW65" s="914"/>
      <c r="BX65" s="914"/>
      <c r="BY65" s="914"/>
      <c r="BZ65" s="914"/>
      <c r="CA65" s="914"/>
      <c r="CB65" s="914"/>
      <c r="CC65" s="914"/>
      <c r="CD65" s="914"/>
      <c r="CE65" s="914"/>
      <c r="CF65" s="914"/>
      <c r="CG65" s="914"/>
      <c r="CH65" s="914"/>
      <c r="CI65" s="914"/>
      <c r="CJ65" s="914"/>
      <c r="CK65" s="914"/>
      <c r="CL65" s="914"/>
      <c r="CM65" s="914"/>
      <c r="CN65" s="914"/>
      <c r="CO65" s="914"/>
      <c r="CP65" s="914"/>
      <c r="CQ65" s="914"/>
      <c r="CR65" s="914"/>
      <c r="CS65" s="914"/>
      <c r="CT65" s="914"/>
      <c r="CU65" s="914"/>
      <c r="CV65" s="914"/>
      <c r="CW65" s="914"/>
      <c r="CX65" s="914"/>
      <c r="CY65" s="914"/>
      <c r="CZ65" s="914"/>
      <c r="DA65" s="914"/>
      <c r="DB65" s="914"/>
      <c r="DC65" s="914"/>
      <c r="DD65" s="914"/>
      <c r="DE65" s="914"/>
      <c r="DF65" s="914"/>
      <c r="DG65" s="914"/>
      <c r="DH65" s="914"/>
      <c r="DI65" s="914"/>
      <c r="DJ65" s="914"/>
      <c r="DK65" s="914"/>
      <c r="DL65" s="914"/>
    </row>
    <row r="66" spans="1:116" s="932" customFormat="1" ht="13.5" hidden="1" customHeight="1">
      <c r="A66" s="842"/>
      <c r="B66" s="928" t="s">
        <v>24</v>
      </c>
      <c r="C66" s="929"/>
      <c r="D66" s="929">
        <f>+D78+D82</f>
        <v>0</v>
      </c>
      <c r="E66" s="929">
        <f t="shared" ref="E66:Q66" si="43">+E78+E82</f>
        <v>0</v>
      </c>
      <c r="F66" s="929">
        <f t="shared" si="43"/>
        <v>0</v>
      </c>
      <c r="G66" s="929">
        <f t="shared" si="43"/>
        <v>0</v>
      </c>
      <c r="H66" s="929">
        <f t="shared" si="43"/>
        <v>0</v>
      </c>
      <c r="I66" s="929">
        <f t="shared" si="43"/>
        <v>0</v>
      </c>
      <c r="J66" s="929">
        <f t="shared" si="43"/>
        <v>0</v>
      </c>
      <c r="K66" s="929">
        <f t="shared" si="43"/>
        <v>0</v>
      </c>
      <c r="L66" s="929">
        <f t="shared" si="43"/>
        <v>0</v>
      </c>
      <c r="M66" s="929">
        <f t="shared" si="43"/>
        <v>0</v>
      </c>
      <c r="N66" s="929">
        <f t="shared" si="43"/>
        <v>0</v>
      </c>
      <c r="O66" s="929">
        <f t="shared" si="43"/>
        <v>0</v>
      </c>
      <c r="P66" s="929">
        <f t="shared" si="43"/>
        <v>0</v>
      </c>
      <c r="Q66" s="929">
        <f t="shared" si="43"/>
        <v>0</v>
      </c>
      <c r="R66" s="929">
        <v>0</v>
      </c>
      <c r="S66" s="929">
        <v>0</v>
      </c>
      <c r="T66" s="929">
        <v>0</v>
      </c>
      <c r="U66" s="930">
        <f>SUM(N66:Q66)</f>
        <v>0</v>
      </c>
      <c r="V66" s="2686"/>
      <c r="W66" s="931"/>
      <c r="X66" s="931"/>
      <c r="Y66" s="931"/>
      <c r="Z66" s="931"/>
      <c r="AA66" s="931"/>
      <c r="AB66" s="931"/>
      <c r="AC66" s="931"/>
      <c r="AD66" s="931"/>
      <c r="AE66" s="931"/>
      <c r="AF66" s="931"/>
      <c r="AG66" s="931"/>
      <c r="AH66" s="931"/>
      <c r="AI66" s="931"/>
      <c r="AJ66" s="931"/>
      <c r="AK66" s="931"/>
      <c r="AL66" s="931"/>
      <c r="AM66" s="931"/>
      <c r="AN66" s="931"/>
      <c r="AO66" s="931"/>
      <c r="AP66" s="931"/>
      <c r="AQ66" s="931"/>
      <c r="AR66" s="931"/>
      <c r="AS66" s="931"/>
      <c r="AT66" s="931"/>
      <c r="AU66" s="931"/>
      <c r="AV66" s="931"/>
      <c r="AW66" s="931"/>
      <c r="AX66" s="931"/>
      <c r="AY66" s="931"/>
      <c r="AZ66" s="931"/>
      <c r="BA66" s="931"/>
      <c r="BB66" s="931"/>
      <c r="BC66" s="931"/>
      <c r="BD66" s="931"/>
      <c r="BE66" s="931"/>
      <c r="BF66" s="931"/>
      <c r="BG66" s="931"/>
      <c r="BH66" s="931"/>
      <c r="BI66" s="931"/>
      <c r="BJ66" s="931"/>
      <c r="BK66" s="931"/>
      <c r="BL66" s="931"/>
      <c r="BM66" s="931"/>
      <c r="BN66" s="931"/>
      <c r="BO66" s="931"/>
      <c r="BP66" s="931"/>
      <c r="BQ66" s="931"/>
      <c r="BR66" s="931"/>
      <c r="BS66" s="931"/>
      <c r="BT66" s="931"/>
      <c r="BU66" s="931"/>
      <c r="BV66" s="931"/>
      <c r="BW66" s="931"/>
      <c r="BX66" s="931"/>
      <c r="BY66" s="931"/>
      <c r="BZ66" s="931"/>
      <c r="CA66" s="931"/>
      <c r="CB66" s="931"/>
      <c r="CC66" s="931"/>
      <c r="CD66" s="931"/>
      <c r="CE66" s="931"/>
      <c r="CF66" s="931"/>
      <c r="CG66" s="931"/>
      <c r="CH66" s="931"/>
      <c r="CI66" s="931"/>
      <c r="CJ66" s="931"/>
      <c r="CK66" s="931"/>
      <c r="CL66" s="931"/>
      <c r="CM66" s="931"/>
      <c r="CN66" s="931"/>
      <c r="CO66" s="931"/>
      <c r="CP66" s="931"/>
      <c r="CQ66" s="931"/>
      <c r="CR66" s="931"/>
      <c r="CS66" s="931"/>
      <c r="CT66" s="931"/>
      <c r="CU66" s="931"/>
      <c r="CV66" s="931"/>
      <c r="CW66" s="931"/>
      <c r="CX66" s="931"/>
      <c r="CY66" s="931"/>
      <c r="CZ66" s="931"/>
      <c r="DA66" s="931"/>
      <c r="DB66" s="931"/>
      <c r="DC66" s="931"/>
      <c r="DD66" s="931"/>
      <c r="DE66" s="931"/>
      <c r="DF66" s="931"/>
      <c r="DG66" s="931"/>
      <c r="DH66" s="931"/>
      <c r="DI66" s="931"/>
      <c r="DJ66" s="931"/>
      <c r="DK66" s="931"/>
      <c r="DL66" s="931"/>
    </row>
    <row r="67" spans="1:116" s="915" customFormat="1" ht="13.5" customHeight="1">
      <c r="A67" s="866"/>
      <c r="B67" s="920" t="s">
        <v>30</v>
      </c>
      <c r="C67" s="933"/>
      <c r="D67" s="933">
        <f>M67+N67+O67</f>
        <v>10801052</v>
      </c>
      <c r="E67" s="934"/>
      <c r="F67" s="934"/>
      <c r="G67" s="934"/>
      <c r="H67" s="934"/>
      <c r="I67" s="934"/>
      <c r="J67" s="934"/>
      <c r="K67" s="934">
        <f t="shared" ref="K67:T67" si="44">K68</f>
        <v>0</v>
      </c>
      <c r="L67" s="934">
        <f t="shared" si="44"/>
        <v>4335704</v>
      </c>
      <c r="M67" s="934">
        <f t="shared" si="44"/>
        <v>4335704</v>
      </c>
      <c r="N67" s="934">
        <f t="shared" si="44"/>
        <v>6465348</v>
      </c>
      <c r="O67" s="934">
        <f t="shared" si="44"/>
        <v>0</v>
      </c>
      <c r="P67" s="934">
        <f t="shared" si="44"/>
        <v>0</v>
      </c>
      <c r="Q67" s="934">
        <f t="shared" si="44"/>
        <v>0</v>
      </c>
      <c r="R67" s="933">
        <f t="shared" si="44"/>
        <v>0</v>
      </c>
      <c r="S67" s="933">
        <f t="shared" si="44"/>
        <v>0</v>
      </c>
      <c r="T67" s="933">
        <f t="shared" si="44"/>
        <v>0</v>
      </c>
      <c r="U67" s="935" t="s">
        <v>77</v>
      </c>
      <c r="V67" s="936"/>
      <c r="W67" s="914"/>
      <c r="X67" s="914"/>
      <c r="Y67" s="914"/>
      <c r="Z67" s="914"/>
      <c r="AA67" s="914"/>
      <c r="AB67" s="914"/>
      <c r="AC67" s="914"/>
      <c r="AD67" s="914"/>
      <c r="AE67" s="914"/>
      <c r="AF67" s="914"/>
      <c r="AG67" s="914"/>
      <c r="AH67" s="914"/>
      <c r="AI67" s="914"/>
      <c r="AJ67" s="914"/>
      <c r="AK67" s="914"/>
      <c r="AL67" s="914"/>
      <c r="AM67" s="914"/>
      <c r="AN67" s="914"/>
      <c r="AO67" s="914"/>
      <c r="AP67" s="914"/>
      <c r="AQ67" s="914"/>
      <c r="AR67" s="914"/>
      <c r="AS67" s="914"/>
      <c r="AT67" s="914"/>
      <c r="AU67" s="914"/>
      <c r="AV67" s="914"/>
      <c r="AW67" s="914"/>
      <c r="AX67" s="914"/>
      <c r="AY67" s="914"/>
      <c r="AZ67" s="914"/>
      <c r="BA67" s="914"/>
      <c r="BB67" s="914"/>
      <c r="BC67" s="914"/>
      <c r="BD67" s="914"/>
      <c r="BE67" s="914"/>
      <c r="BF67" s="914"/>
      <c r="BG67" s="914"/>
      <c r="BH67" s="914"/>
      <c r="BI67" s="914"/>
      <c r="BJ67" s="914"/>
      <c r="BK67" s="914"/>
      <c r="BL67" s="914"/>
      <c r="BM67" s="914"/>
      <c r="BN67" s="914"/>
      <c r="BO67" s="914"/>
      <c r="BP67" s="914"/>
      <c r="BQ67" s="914"/>
      <c r="BR67" s="914"/>
      <c r="BS67" s="914"/>
      <c r="BT67" s="914"/>
      <c r="BU67" s="914"/>
      <c r="BV67" s="914"/>
      <c r="BW67" s="914"/>
      <c r="BX67" s="914"/>
      <c r="BY67" s="914"/>
      <c r="BZ67" s="914"/>
      <c r="CA67" s="914"/>
      <c r="CB67" s="914"/>
      <c r="CC67" s="914"/>
      <c r="CD67" s="914"/>
      <c r="CE67" s="914"/>
      <c r="CF67" s="914"/>
      <c r="CG67" s="914"/>
      <c r="CH67" s="914"/>
      <c r="CI67" s="914"/>
      <c r="CJ67" s="914"/>
      <c r="CK67" s="914"/>
      <c r="CL67" s="914"/>
      <c r="CM67" s="914"/>
      <c r="CN67" s="914"/>
      <c r="CO67" s="914"/>
      <c r="CP67" s="914"/>
      <c r="CQ67" s="914"/>
      <c r="CR67" s="914"/>
      <c r="CS67" s="914"/>
      <c r="CT67" s="914"/>
      <c r="CU67" s="914"/>
      <c r="CV67" s="914"/>
      <c r="CW67" s="914"/>
      <c r="CX67" s="914"/>
      <c r="CY67" s="914"/>
      <c r="CZ67" s="914"/>
      <c r="DA67" s="914"/>
      <c r="DB67" s="914"/>
      <c r="DC67" s="914"/>
      <c r="DD67" s="914"/>
      <c r="DE67" s="914"/>
      <c r="DF67" s="914"/>
      <c r="DG67" s="914"/>
      <c r="DH67" s="914"/>
      <c r="DI67" s="914"/>
      <c r="DJ67" s="914"/>
      <c r="DK67" s="914"/>
      <c r="DL67" s="914"/>
    </row>
    <row r="68" spans="1:116" s="915" customFormat="1" ht="13.5" customHeight="1">
      <c r="A68" s="866"/>
      <c r="B68" s="924" t="s">
        <v>48</v>
      </c>
      <c r="C68" s="925"/>
      <c r="D68" s="925">
        <f>SUM(M68+N68+O68)</f>
        <v>10801052</v>
      </c>
      <c r="E68" s="937"/>
      <c r="F68" s="937"/>
      <c r="G68" s="937"/>
      <c r="H68" s="937"/>
      <c r="I68" s="937"/>
      <c r="J68" s="937"/>
      <c r="K68" s="937">
        <f t="shared" ref="K68:P68" si="45">K89</f>
        <v>0</v>
      </c>
      <c r="L68" s="937">
        <f t="shared" si="45"/>
        <v>4335704</v>
      </c>
      <c r="M68" s="937">
        <f>M89</f>
        <v>4335704</v>
      </c>
      <c r="N68" s="937">
        <f>N89</f>
        <v>6465348</v>
      </c>
      <c r="O68" s="937">
        <f t="shared" si="45"/>
        <v>0</v>
      </c>
      <c r="P68" s="937">
        <f t="shared" si="45"/>
        <v>0</v>
      </c>
      <c r="Q68" s="937">
        <v>0</v>
      </c>
      <c r="R68" s="925">
        <v>0</v>
      </c>
      <c r="S68" s="925">
        <v>0</v>
      </c>
      <c r="T68" s="925">
        <v>0</v>
      </c>
      <c r="U68" s="935" t="s">
        <v>77</v>
      </c>
      <c r="V68" s="936"/>
      <c r="W68" s="914"/>
      <c r="X68" s="914"/>
      <c r="Y68" s="914"/>
      <c r="Z68" s="914"/>
      <c r="AA68" s="914"/>
      <c r="AB68" s="914"/>
      <c r="AC68" s="914"/>
      <c r="AD68" s="914"/>
      <c r="AE68" s="914"/>
      <c r="AF68" s="914"/>
      <c r="AG68" s="914"/>
      <c r="AH68" s="914"/>
      <c r="AI68" s="914"/>
      <c r="AJ68" s="914"/>
      <c r="AK68" s="914"/>
      <c r="AL68" s="914"/>
      <c r="AM68" s="914"/>
      <c r="AN68" s="914"/>
      <c r="AO68" s="914"/>
      <c r="AP68" s="914"/>
      <c r="AQ68" s="914"/>
      <c r="AR68" s="914"/>
      <c r="AS68" s="914"/>
      <c r="AT68" s="914"/>
      <c r="AU68" s="914"/>
      <c r="AV68" s="914"/>
      <c r="AW68" s="914"/>
      <c r="AX68" s="914"/>
      <c r="AY68" s="914"/>
      <c r="AZ68" s="914"/>
      <c r="BA68" s="914"/>
      <c r="BB68" s="914"/>
      <c r="BC68" s="914"/>
      <c r="BD68" s="914"/>
      <c r="BE68" s="914"/>
      <c r="BF68" s="914"/>
      <c r="BG68" s="914"/>
      <c r="BH68" s="914"/>
      <c r="BI68" s="914"/>
      <c r="BJ68" s="914"/>
      <c r="BK68" s="914"/>
      <c r="BL68" s="914"/>
      <c r="BM68" s="914"/>
      <c r="BN68" s="914"/>
      <c r="BO68" s="914"/>
      <c r="BP68" s="914"/>
      <c r="BQ68" s="914"/>
      <c r="BR68" s="914"/>
      <c r="BS68" s="914"/>
      <c r="BT68" s="914"/>
      <c r="BU68" s="914"/>
      <c r="BV68" s="914"/>
      <c r="BW68" s="914"/>
      <c r="BX68" s="914"/>
      <c r="BY68" s="914"/>
      <c r="BZ68" s="914"/>
      <c r="CA68" s="914"/>
      <c r="CB68" s="914"/>
      <c r="CC68" s="914"/>
      <c r="CD68" s="914"/>
      <c r="CE68" s="914"/>
      <c r="CF68" s="914"/>
      <c r="CG68" s="914"/>
      <c r="CH68" s="914"/>
      <c r="CI68" s="914"/>
      <c r="CJ68" s="914"/>
      <c r="CK68" s="914"/>
      <c r="CL68" s="914"/>
      <c r="CM68" s="914"/>
      <c r="CN68" s="914"/>
      <c r="CO68" s="914"/>
      <c r="CP68" s="914"/>
      <c r="CQ68" s="914"/>
      <c r="CR68" s="914"/>
      <c r="CS68" s="914"/>
      <c r="CT68" s="914"/>
      <c r="CU68" s="914"/>
      <c r="CV68" s="914"/>
      <c r="CW68" s="914"/>
      <c r="CX68" s="914"/>
      <c r="CY68" s="914"/>
      <c r="CZ68" s="914"/>
      <c r="DA68" s="914"/>
      <c r="DB68" s="914"/>
      <c r="DC68" s="914"/>
      <c r="DD68" s="914"/>
      <c r="DE68" s="914"/>
      <c r="DF68" s="914"/>
      <c r="DG68" s="914"/>
      <c r="DH68" s="914"/>
      <c r="DI68" s="914"/>
      <c r="DJ68" s="914"/>
      <c r="DK68" s="914"/>
      <c r="DL68" s="914"/>
    </row>
    <row r="69" spans="1:116" s="915" customFormat="1" ht="13.5" customHeight="1">
      <c r="A69" s="866"/>
      <c r="B69" s="573" t="s">
        <v>34</v>
      </c>
      <c r="C69" s="603"/>
      <c r="D69" s="534">
        <f>D70+D73</f>
        <v>14401403</v>
      </c>
      <c r="E69" s="938"/>
      <c r="F69" s="938"/>
      <c r="G69" s="938"/>
      <c r="H69" s="938"/>
      <c r="I69" s="938"/>
      <c r="J69" s="938"/>
      <c r="K69" s="534">
        <f t="shared" ref="K69:T69" si="46">K70+K73</f>
        <v>0</v>
      </c>
      <c r="L69" s="534">
        <f t="shared" si="46"/>
        <v>5625160</v>
      </c>
      <c r="M69" s="534">
        <f t="shared" si="46"/>
        <v>5625160</v>
      </c>
      <c r="N69" s="534">
        <f t="shared" si="46"/>
        <v>8167539</v>
      </c>
      <c r="O69" s="534">
        <f t="shared" si="46"/>
        <v>608704</v>
      </c>
      <c r="P69" s="534">
        <f t="shared" si="46"/>
        <v>0</v>
      </c>
      <c r="Q69" s="534">
        <f t="shared" si="46"/>
        <v>0</v>
      </c>
      <c r="R69" s="534">
        <f t="shared" si="46"/>
        <v>0</v>
      </c>
      <c r="S69" s="534">
        <f t="shared" si="46"/>
        <v>0</v>
      </c>
      <c r="T69" s="534">
        <f t="shared" si="46"/>
        <v>0</v>
      </c>
      <c r="U69" s="938"/>
      <c r="V69" s="936"/>
      <c r="W69" s="914"/>
      <c r="X69" s="914"/>
      <c r="Y69" s="914"/>
      <c r="Z69" s="914"/>
      <c r="AA69" s="914"/>
      <c r="AB69" s="914"/>
      <c r="AC69" s="914"/>
      <c r="AD69" s="914"/>
      <c r="AE69" s="914"/>
      <c r="AF69" s="914"/>
      <c r="AG69" s="914"/>
      <c r="AH69" s="914"/>
      <c r="AI69" s="914"/>
      <c r="AJ69" s="914"/>
      <c r="AK69" s="914"/>
      <c r="AL69" s="914"/>
      <c r="AM69" s="914"/>
      <c r="AN69" s="914"/>
      <c r="AO69" s="914"/>
      <c r="AP69" s="914"/>
      <c r="AQ69" s="914"/>
      <c r="AR69" s="914"/>
      <c r="AS69" s="914"/>
      <c r="AT69" s="914"/>
      <c r="AU69" s="914"/>
      <c r="AV69" s="914"/>
      <c r="AW69" s="914"/>
      <c r="AX69" s="914"/>
      <c r="AY69" s="914"/>
      <c r="AZ69" s="914"/>
      <c r="BA69" s="914"/>
      <c r="BB69" s="914"/>
      <c r="BC69" s="914"/>
      <c r="BD69" s="914"/>
      <c r="BE69" s="914"/>
      <c r="BF69" s="914"/>
      <c r="BG69" s="914"/>
      <c r="BH69" s="914"/>
      <c r="BI69" s="914"/>
      <c r="BJ69" s="914"/>
      <c r="BK69" s="914"/>
      <c r="BL69" s="914"/>
      <c r="BM69" s="914"/>
      <c r="BN69" s="914"/>
      <c r="BO69" s="914"/>
      <c r="BP69" s="914"/>
      <c r="BQ69" s="914"/>
      <c r="BR69" s="914"/>
      <c r="BS69" s="914"/>
      <c r="BT69" s="914"/>
      <c r="BU69" s="914"/>
      <c r="BV69" s="914"/>
      <c r="BW69" s="914"/>
      <c r="BX69" s="914"/>
      <c r="BY69" s="914"/>
      <c r="BZ69" s="914"/>
      <c r="CA69" s="914"/>
      <c r="CB69" s="914"/>
      <c r="CC69" s="914"/>
      <c r="CD69" s="914"/>
      <c r="CE69" s="914"/>
      <c r="CF69" s="914"/>
      <c r="CG69" s="914"/>
      <c r="CH69" s="914"/>
      <c r="CI69" s="914"/>
      <c r="CJ69" s="914"/>
      <c r="CK69" s="914"/>
      <c r="CL69" s="914"/>
      <c r="CM69" s="914"/>
      <c r="CN69" s="914"/>
      <c r="CO69" s="914"/>
      <c r="CP69" s="914"/>
      <c r="CQ69" s="914"/>
      <c r="CR69" s="914"/>
      <c r="CS69" s="914"/>
      <c r="CT69" s="914"/>
      <c r="CU69" s="914"/>
      <c r="CV69" s="914"/>
      <c r="CW69" s="914"/>
      <c r="CX69" s="914"/>
      <c r="CY69" s="914"/>
      <c r="CZ69" s="914"/>
      <c r="DA69" s="914"/>
      <c r="DB69" s="914"/>
      <c r="DC69" s="914"/>
      <c r="DD69" s="914"/>
      <c r="DE69" s="914"/>
      <c r="DF69" s="914"/>
      <c r="DG69" s="914"/>
      <c r="DH69" s="914"/>
      <c r="DI69" s="914"/>
      <c r="DJ69" s="914"/>
      <c r="DK69" s="914"/>
      <c r="DL69" s="914"/>
    </row>
    <row r="70" spans="1:116" s="915" customFormat="1" ht="13.5" customHeight="1">
      <c r="A70" s="866"/>
      <c r="B70" s="939" t="s">
        <v>36</v>
      </c>
      <c r="C70" s="940"/>
      <c r="D70" s="2088">
        <f>+D71+D72</f>
        <v>3600351</v>
      </c>
      <c r="E70" s="2088">
        <f t="shared" ref="E70:T70" si="47">+E71+E72</f>
        <v>0</v>
      </c>
      <c r="F70" s="2088">
        <f t="shared" si="47"/>
        <v>0</v>
      </c>
      <c r="G70" s="2088">
        <f t="shared" si="47"/>
        <v>0</v>
      </c>
      <c r="H70" s="2088">
        <f t="shared" si="47"/>
        <v>0</v>
      </c>
      <c r="I70" s="2088">
        <f t="shared" si="47"/>
        <v>0</v>
      </c>
      <c r="J70" s="2088">
        <f t="shared" si="47"/>
        <v>0</v>
      </c>
      <c r="K70" s="2088">
        <f t="shared" si="47"/>
        <v>0</v>
      </c>
      <c r="L70" s="2088">
        <f t="shared" si="47"/>
        <v>1445235</v>
      </c>
      <c r="M70" s="2088">
        <f t="shared" si="47"/>
        <v>1445235</v>
      </c>
      <c r="N70" s="2088">
        <f t="shared" si="47"/>
        <v>2155116</v>
      </c>
      <c r="O70" s="2088">
        <f t="shared" si="47"/>
        <v>0</v>
      </c>
      <c r="P70" s="929">
        <f t="shared" si="47"/>
        <v>0</v>
      </c>
      <c r="Q70" s="929">
        <f t="shared" si="47"/>
        <v>0</v>
      </c>
      <c r="R70" s="929">
        <f t="shared" si="47"/>
        <v>0</v>
      </c>
      <c r="S70" s="929">
        <f t="shared" si="47"/>
        <v>0</v>
      </c>
      <c r="T70" s="929">
        <f t="shared" si="47"/>
        <v>0</v>
      </c>
      <c r="U70" s="2681" t="s">
        <v>77</v>
      </c>
      <c r="V70" s="936"/>
      <c r="W70" s="914"/>
      <c r="X70" s="914"/>
      <c r="Y70" s="914"/>
      <c r="Z70" s="914"/>
      <c r="AA70" s="914"/>
      <c r="AB70" s="914"/>
      <c r="AC70" s="914"/>
      <c r="AD70" s="914"/>
      <c r="AE70" s="914"/>
      <c r="AF70" s="914"/>
      <c r="AG70" s="914"/>
      <c r="AH70" s="914"/>
      <c r="AI70" s="914"/>
      <c r="AJ70" s="914"/>
      <c r="AK70" s="914"/>
      <c r="AL70" s="914"/>
      <c r="AM70" s="914"/>
      <c r="AN70" s="914"/>
      <c r="AO70" s="914"/>
      <c r="AP70" s="914"/>
      <c r="AQ70" s="914"/>
      <c r="AR70" s="914"/>
      <c r="AS70" s="914"/>
      <c r="AT70" s="914"/>
      <c r="AU70" s="914"/>
      <c r="AV70" s="914"/>
      <c r="AW70" s="914"/>
      <c r="AX70" s="914"/>
      <c r="AY70" s="914"/>
      <c r="AZ70" s="914"/>
      <c r="BA70" s="914"/>
      <c r="BB70" s="914"/>
      <c r="BC70" s="914"/>
      <c r="BD70" s="914"/>
      <c r="BE70" s="914"/>
      <c r="BF70" s="914"/>
      <c r="BG70" s="914"/>
      <c r="BH70" s="914"/>
      <c r="BI70" s="914"/>
      <c r="BJ70" s="914"/>
      <c r="BK70" s="914"/>
      <c r="BL70" s="914"/>
      <c r="BM70" s="914"/>
      <c r="BN70" s="914"/>
      <c r="BO70" s="914"/>
      <c r="BP70" s="914"/>
      <c r="BQ70" s="914"/>
      <c r="BR70" s="914"/>
      <c r="BS70" s="914"/>
      <c r="BT70" s="914"/>
      <c r="BU70" s="914"/>
      <c r="BV70" s="914"/>
      <c r="BW70" s="914"/>
      <c r="BX70" s="914"/>
      <c r="BY70" s="914"/>
      <c r="BZ70" s="914"/>
      <c r="CA70" s="914"/>
      <c r="CB70" s="914"/>
      <c r="CC70" s="914"/>
      <c r="CD70" s="914"/>
      <c r="CE70" s="914"/>
      <c r="CF70" s="914"/>
      <c r="CG70" s="914"/>
      <c r="CH70" s="914"/>
      <c r="CI70" s="914"/>
      <c r="CJ70" s="914"/>
      <c r="CK70" s="914"/>
      <c r="CL70" s="914"/>
      <c r="CM70" s="914"/>
      <c r="CN70" s="914"/>
      <c r="CO70" s="914"/>
      <c r="CP70" s="914"/>
      <c r="CQ70" s="914"/>
      <c r="CR70" s="914"/>
      <c r="CS70" s="914"/>
      <c r="CT70" s="914"/>
      <c r="CU70" s="914"/>
      <c r="CV70" s="914"/>
      <c r="CW70" s="914"/>
      <c r="CX70" s="914"/>
      <c r="CY70" s="914"/>
      <c r="CZ70" s="914"/>
      <c r="DA70" s="914"/>
      <c r="DB70" s="914"/>
      <c r="DC70" s="914"/>
      <c r="DD70" s="914"/>
      <c r="DE70" s="914"/>
      <c r="DF70" s="914"/>
      <c r="DG70" s="914"/>
      <c r="DH70" s="914"/>
      <c r="DI70" s="914"/>
      <c r="DJ70" s="914"/>
      <c r="DK70" s="914"/>
      <c r="DL70" s="914"/>
    </row>
    <row r="71" spans="1:116" s="915" customFormat="1" ht="13.5" customHeight="1">
      <c r="A71" s="866"/>
      <c r="B71" s="928" t="s">
        <v>219</v>
      </c>
      <c r="C71" s="929"/>
      <c r="D71" s="929">
        <f>+D92</f>
        <v>3600351</v>
      </c>
      <c r="E71" s="929">
        <f t="shared" ref="E71:Q72" si="48">+E92</f>
        <v>0</v>
      </c>
      <c r="F71" s="929">
        <f t="shared" si="48"/>
        <v>0</v>
      </c>
      <c r="G71" s="929">
        <f t="shared" si="48"/>
        <v>0</v>
      </c>
      <c r="H71" s="929">
        <f t="shared" si="48"/>
        <v>0</v>
      </c>
      <c r="I71" s="929">
        <f t="shared" si="48"/>
        <v>0</v>
      </c>
      <c r="J71" s="929">
        <f t="shared" si="48"/>
        <v>0</v>
      </c>
      <c r="K71" s="929">
        <f t="shared" si="48"/>
        <v>0</v>
      </c>
      <c r="L71" s="929">
        <f t="shared" si="48"/>
        <v>1445235</v>
      </c>
      <c r="M71" s="929">
        <f t="shared" si="48"/>
        <v>1445235</v>
      </c>
      <c r="N71" s="929">
        <f t="shared" si="48"/>
        <v>2155116</v>
      </c>
      <c r="O71" s="929">
        <f t="shared" si="48"/>
        <v>0</v>
      </c>
      <c r="P71" s="929">
        <f t="shared" si="48"/>
        <v>0</v>
      </c>
      <c r="Q71" s="929">
        <f t="shared" si="48"/>
        <v>0</v>
      </c>
      <c r="R71" s="929">
        <v>0</v>
      </c>
      <c r="S71" s="929">
        <v>0</v>
      </c>
      <c r="T71" s="929">
        <v>0</v>
      </c>
      <c r="U71" s="2682"/>
      <c r="V71" s="936"/>
      <c r="W71" s="914"/>
      <c r="X71" s="914"/>
      <c r="Y71" s="914"/>
      <c r="Z71" s="914"/>
      <c r="AA71" s="914"/>
      <c r="AB71" s="914"/>
      <c r="AC71" s="914"/>
      <c r="AD71" s="914"/>
      <c r="AE71" s="914"/>
      <c r="AF71" s="914"/>
      <c r="AG71" s="914"/>
      <c r="AH71" s="914"/>
      <c r="AI71" s="914"/>
      <c r="AJ71" s="914"/>
      <c r="AK71" s="914"/>
      <c r="AL71" s="914"/>
      <c r="AM71" s="914"/>
      <c r="AN71" s="914"/>
      <c r="AO71" s="914"/>
      <c r="AP71" s="914"/>
      <c r="AQ71" s="914"/>
      <c r="AR71" s="914"/>
      <c r="AS71" s="914"/>
      <c r="AT71" s="914"/>
      <c r="AU71" s="914"/>
      <c r="AV71" s="914"/>
      <c r="AW71" s="914"/>
      <c r="AX71" s="914"/>
      <c r="AY71" s="914"/>
      <c r="AZ71" s="914"/>
      <c r="BA71" s="914"/>
      <c r="BB71" s="914"/>
      <c r="BC71" s="914"/>
      <c r="BD71" s="914"/>
      <c r="BE71" s="914"/>
      <c r="BF71" s="914"/>
      <c r="BG71" s="914"/>
      <c r="BH71" s="914"/>
      <c r="BI71" s="914"/>
      <c r="BJ71" s="914"/>
      <c r="BK71" s="914"/>
      <c r="BL71" s="914"/>
      <c r="BM71" s="914"/>
      <c r="BN71" s="914"/>
      <c r="BO71" s="914"/>
      <c r="BP71" s="914"/>
      <c r="BQ71" s="914"/>
      <c r="BR71" s="914"/>
      <c r="BS71" s="914"/>
      <c r="BT71" s="914"/>
      <c r="BU71" s="914"/>
      <c r="BV71" s="914"/>
      <c r="BW71" s="914"/>
      <c r="BX71" s="914"/>
      <c r="BY71" s="914"/>
      <c r="BZ71" s="914"/>
      <c r="CA71" s="914"/>
      <c r="CB71" s="914"/>
      <c r="CC71" s="914"/>
      <c r="CD71" s="914"/>
      <c r="CE71" s="914"/>
      <c r="CF71" s="914"/>
      <c r="CG71" s="914"/>
      <c r="CH71" s="914"/>
      <c r="CI71" s="914"/>
      <c r="CJ71" s="914"/>
      <c r="CK71" s="914"/>
      <c r="CL71" s="914"/>
      <c r="CM71" s="914"/>
      <c r="CN71" s="914"/>
      <c r="CO71" s="914"/>
      <c r="CP71" s="914"/>
      <c r="CQ71" s="914"/>
      <c r="CR71" s="914"/>
      <c r="CS71" s="914"/>
      <c r="CT71" s="914"/>
      <c r="CU71" s="914"/>
      <c r="CV71" s="914"/>
      <c r="CW71" s="914"/>
      <c r="CX71" s="914"/>
      <c r="CY71" s="914"/>
      <c r="CZ71" s="914"/>
      <c r="DA71" s="914"/>
      <c r="DB71" s="914"/>
      <c r="DC71" s="914"/>
      <c r="DD71" s="914"/>
      <c r="DE71" s="914"/>
      <c r="DF71" s="914"/>
      <c r="DG71" s="914"/>
      <c r="DH71" s="914"/>
      <c r="DI71" s="914"/>
      <c r="DJ71" s="914"/>
      <c r="DK71" s="914"/>
      <c r="DL71" s="914"/>
    </row>
    <row r="72" spans="1:116" s="915" customFormat="1" ht="13.5" hidden="1" customHeight="1">
      <c r="A72" s="866"/>
      <c r="B72" s="928" t="s">
        <v>221</v>
      </c>
      <c r="C72" s="929"/>
      <c r="D72" s="929">
        <f>+D93</f>
        <v>0</v>
      </c>
      <c r="E72" s="929">
        <f t="shared" si="48"/>
        <v>0</v>
      </c>
      <c r="F72" s="929">
        <f t="shared" si="48"/>
        <v>0</v>
      </c>
      <c r="G72" s="929">
        <f t="shared" si="48"/>
        <v>0</v>
      </c>
      <c r="H72" s="929">
        <f t="shared" si="48"/>
        <v>0</v>
      </c>
      <c r="I72" s="929">
        <f t="shared" si="48"/>
        <v>0</v>
      </c>
      <c r="J72" s="929">
        <f t="shared" si="48"/>
        <v>0</v>
      </c>
      <c r="K72" s="929">
        <f t="shared" si="48"/>
        <v>0</v>
      </c>
      <c r="L72" s="929">
        <f t="shared" si="48"/>
        <v>0</v>
      </c>
      <c r="M72" s="929">
        <f t="shared" si="48"/>
        <v>0</v>
      </c>
      <c r="N72" s="929">
        <f t="shared" si="48"/>
        <v>0</v>
      </c>
      <c r="O72" s="929">
        <f t="shared" si="48"/>
        <v>0</v>
      </c>
      <c r="P72" s="929">
        <f t="shared" si="48"/>
        <v>0</v>
      </c>
      <c r="Q72" s="929">
        <f t="shared" si="48"/>
        <v>0</v>
      </c>
      <c r="R72" s="929">
        <v>0</v>
      </c>
      <c r="S72" s="929">
        <v>0</v>
      </c>
      <c r="T72" s="929">
        <v>0</v>
      </c>
      <c r="U72" s="2682"/>
      <c r="V72" s="936"/>
      <c r="W72" s="914"/>
      <c r="X72" s="914"/>
      <c r="Y72" s="914"/>
      <c r="Z72" s="914"/>
      <c r="AA72" s="914"/>
      <c r="AB72" s="914"/>
      <c r="AC72" s="914"/>
      <c r="AD72" s="914"/>
      <c r="AE72" s="914"/>
      <c r="AF72" s="914"/>
      <c r="AG72" s="914"/>
      <c r="AH72" s="914"/>
      <c r="AI72" s="914"/>
      <c r="AJ72" s="914"/>
      <c r="AK72" s="914"/>
      <c r="AL72" s="914"/>
      <c r="AM72" s="914"/>
      <c r="AN72" s="914"/>
      <c r="AO72" s="914"/>
      <c r="AP72" s="914"/>
      <c r="AQ72" s="914"/>
      <c r="AR72" s="914"/>
      <c r="AS72" s="914"/>
      <c r="AT72" s="914"/>
      <c r="AU72" s="914"/>
      <c r="AV72" s="914"/>
      <c r="AW72" s="914"/>
      <c r="AX72" s="914"/>
      <c r="AY72" s="914"/>
      <c r="AZ72" s="914"/>
      <c r="BA72" s="914"/>
      <c r="BB72" s="914"/>
      <c r="BC72" s="914"/>
      <c r="BD72" s="914"/>
      <c r="BE72" s="914"/>
      <c r="BF72" s="914"/>
      <c r="BG72" s="914"/>
      <c r="BH72" s="914"/>
      <c r="BI72" s="914"/>
      <c r="BJ72" s="914"/>
      <c r="BK72" s="914"/>
      <c r="BL72" s="914"/>
      <c r="BM72" s="914"/>
      <c r="BN72" s="914"/>
      <c r="BO72" s="914"/>
      <c r="BP72" s="914"/>
      <c r="BQ72" s="914"/>
      <c r="BR72" s="914"/>
      <c r="BS72" s="914"/>
      <c r="BT72" s="914"/>
      <c r="BU72" s="914"/>
      <c r="BV72" s="914"/>
      <c r="BW72" s="914"/>
      <c r="BX72" s="914"/>
      <c r="BY72" s="914"/>
      <c r="BZ72" s="914"/>
      <c r="CA72" s="914"/>
      <c r="CB72" s="914"/>
      <c r="CC72" s="914"/>
      <c r="CD72" s="914"/>
      <c r="CE72" s="914"/>
      <c r="CF72" s="914"/>
      <c r="CG72" s="914"/>
      <c r="CH72" s="914"/>
      <c r="CI72" s="914"/>
      <c r="CJ72" s="914"/>
      <c r="CK72" s="914"/>
      <c r="CL72" s="914"/>
      <c r="CM72" s="914"/>
      <c r="CN72" s="914"/>
      <c r="CO72" s="914"/>
      <c r="CP72" s="914"/>
      <c r="CQ72" s="914"/>
      <c r="CR72" s="914"/>
      <c r="CS72" s="914"/>
      <c r="CT72" s="914"/>
      <c r="CU72" s="914"/>
      <c r="CV72" s="914"/>
      <c r="CW72" s="914"/>
      <c r="CX72" s="914"/>
      <c r="CY72" s="914"/>
      <c r="CZ72" s="914"/>
      <c r="DA72" s="914"/>
      <c r="DB72" s="914"/>
      <c r="DC72" s="914"/>
      <c r="DD72" s="914"/>
      <c r="DE72" s="914"/>
      <c r="DF72" s="914"/>
      <c r="DG72" s="914"/>
      <c r="DH72" s="914"/>
      <c r="DI72" s="914"/>
      <c r="DJ72" s="914"/>
      <c r="DK72" s="914"/>
      <c r="DL72" s="914"/>
    </row>
    <row r="73" spans="1:116" s="1810" customFormat="1" ht="13.5" customHeight="1">
      <c r="A73" s="1806"/>
      <c r="B73" s="939" t="s">
        <v>30</v>
      </c>
      <c r="C73" s="1807"/>
      <c r="D73" s="1807">
        <f>+D74</f>
        <v>10801052</v>
      </c>
      <c r="E73" s="1807">
        <f t="shared" ref="E73:T73" si="49">+E74</f>
        <v>0</v>
      </c>
      <c r="F73" s="1807">
        <f t="shared" si="49"/>
        <v>0</v>
      </c>
      <c r="G73" s="1807">
        <f t="shared" si="49"/>
        <v>0</v>
      </c>
      <c r="H73" s="1807">
        <f t="shared" si="49"/>
        <v>0</v>
      </c>
      <c r="I73" s="1807">
        <f t="shared" si="49"/>
        <v>0</v>
      </c>
      <c r="J73" s="1807">
        <f t="shared" si="49"/>
        <v>0</v>
      </c>
      <c r="K73" s="1807">
        <f t="shared" si="49"/>
        <v>0</v>
      </c>
      <c r="L73" s="1807">
        <f t="shared" si="49"/>
        <v>4179925</v>
      </c>
      <c r="M73" s="1807">
        <f t="shared" si="49"/>
        <v>4179925</v>
      </c>
      <c r="N73" s="1807">
        <f t="shared" si="49"/>
        <v>6012423</v>
      </c>
      <c r="O73" s="1807">
        <f t="shared" si="49"/>
        <v>608704</v>
      </c>
      <c r="P73" s="1807">
        <f t="shared" si="49"/>
        <v>0</v>
      </c>
      <c r="Q73" s="1807">
        <f t="shared" si="49"/>
        <v>0</v>
      </c>
      <c r="R73" s="1807">
        <f t="shared" si="49"/>
        <v>0</v>
      </c>
      <c r="S73" s="1807">
        <f t="shared" si="49"/>
        <v>0</v>
      </c>
      <c r="T73" s="1807">
        <f t="shared" si="49"/>
        <v>0</v>
      </c>
      <c r="U73" s="2682"/>
      <c r="V73" s="1808"/>
      <c r="W73" s="1809"/>
      <c r="X73" s="1809"/>
      <c r="Y73" s="1809"/>
      <c r="Z73" s="1809"/>
      <c r="AA73" s="1809"/>
      <c r="AB73" s="1809"/>
      <c r="AC73" s="1809"/>
      <c r="AD73" s="1809"/>
      <c r="AE73" s="1809"/>
      <c r="AF73" s="1809"/>
      <c r="AG73" s="1809"/>
      <c r="AH73" s="1809"/>
      <c r="AI73" s="1809"/>
      <c r="AJ73" s="1809"/>
      <c r="AK73" s="1809"/>
      <c r="AL73" s="1809"/>
      <c r="AM73" s="1809"/>
      <c r="AN73" s="1809"/>
      <c r="AO73" s="1809"/>
      <c r="AP73" s="1809"/>
      <c r="AQ73" s="1809"/>
      <c r="AR73" s="1809"/>
      <c r="AS73" s="1809"/>
      <c r="AT73" s="1809"/>
      <c r="AU73" s="1809"/>
      <c r="AV73" s="1809"/>
      <c r="AW73" s="1809"/>
      <c r="AX73" s="1809"/>
      <c r="AY73" s="1809"/>
      <c r="AZ73" s="1809"/>
      <c r="BA73" s="1809"/>
      <c r="BB73" s="1809"/>
      <c r="BC73" s="1809"/>
      <c r="BD73" s="1809"/>
      <c r="BE73" s="1809"/>
      <c r="BF73" s="1809"/>
      <c r="BG73" s="1809"/>
      <c r="BH73" s="1809"/>
      <c r="BI73" s="1809"/>
      <c r="BJ73" s="1809"/>
      <c r="BK73" s="1809"/>
      <c r="BL73" s="1809"/>
      <c r="BM73" s="1809"/>
      <c r="BN73" s="1809"/>
      <c r="BO73" s="1809"/>
      <c r="BP73" s="1809"/>
      <c r="BQ73" s="1809"/>
      <c r="BR73" s="1809"/>
      <c r="BS73" s="1809"/>
      <c r="BT73" s="1809"/>
      <c r="BU73" s="1809"/>
      <c r="BV73" s="1809"/>
      <c r="BW73" s="1809"/>
      <c r="BX73" s="1809"/>
      <c r="BY73" s="1809"/>
      <c r="BZ73" s="1809"/>
      <c r="CA73" s="1809"/>
      <c r="CB73" s="1809"/>
      <c r="CC73" s="1809"/>
      <c r="CD73" s="1809"/>
      <c r="CE73" s="1809"/>
      <c r="CF73" s="1809"/>
      <c r="CG73" s="1809"/>
      <c r="CH73" s="1809"/>
      <c r="CI73" s="1809"/>
      <c r="CJ73" s="1809"/>
      <c r="CK73" s="1809"/>
      <c r="CL73" s="1809"/>
      <c r="CM73" s="1809"/>
      <c r="CN73" s="1809"/>
      <c r="CO73" s="1809"/>
      <c r="CP73" s="1809"/>
      <c r="CQ73" s="1809"/>
      <c r="CR73" s="1809"/>
      <c r="CS73" s="1809"/>
      <c r="CT73" s="1809"/>
      <c r="CU73" s="1809"/>
      <c r="CV73" s="1809"/>
      <c r="CW73" s="1809"/>
      <c r="CX73" s="1809"/>
      <c r="CY73" s="1809"/>
      <c r="CZ73" s="1809"/>
      <c r="DA73" s="1809"/>
      <c r="DB73" s="1809"/>
      <c r="DC73" s="1809"/>
      <c r="DD73" s="1809"/>
      <c r="DE73" s="1809"/>
      <c r="DF73" s="1809"/>
      <c r="DG73" s="1809"/>
      <c r="DH73" s="1809"/>
      <c r="DI73" s="1809"/>
      <c r="DJ73" s="1809"/>
      <c r="DK73" s="1809"/>
      <c r="DL73" s="1809"/>
    </row>
    <row r="74" spans="1:116" s="915" customFormat="1" ht="13.5" customHeight="1" thickBot="1">
      <c r="A74" s="866"/>
      <c r="B74" s="928" t="s">
        <v>48</v>
      </c>
      <c r="C74" s="929"/>
      <c r="D74" s="929">
        <f>+D95</f>
        <v>10801052</v>
      </c>
      <c r="E74" s="929">
        <f t="shared" ref="E74:Q74" si="50">+E95</f>
        <v>0</v>
      </c>
      <c r="F74" s="929">
        <f t="shared" si="50"/>
        <v>0</v>
      </c>
      <c r="G74" s="929">
        <f t="shared" si="50"/>
        <v>0</v>
      </c>
      <c r="H74" s="929">
        <f t="shared" si="50"/>
        <v>0</v>
      </c>
      <c r="I74" s="929">
        <f t="shared" si="50"/>
        <v>0</v>
      </c>
      <c r="J74" s="929">
        <f t="shared" si="50"/>
        <v>0</v>
      </c>
      <c r="K74" s="929">
        <f t="shared" si="50"/>
        <v>0</v>
      </c>
      <c r="L74" s="929">
        <f t="shared" si="50"/>
        <v>4179925</v>
      </c>
      <c r="M74" s="929">
        <f t="shared" si="50"/>
        <v>4179925</v>
      </c>
      <c r="N74" s="929">
        <f t="shared" si="50"/>
        <v>6012423</v>
      </c>
      <c r="O74" s="929">
        <f t="shared" si="50"/>
        <v>608704</v>
      </c>
      <c r="P74" s="929">
        <f t="shared" si="50"/>
        <v>0</v>
      </c>
      <c r="Q74" s="929">
        <f t="shared" si="50"/>
        <v>0</v>
      </c>
      <c r="R74" s="929">
        <v>0</v>
      </c>
      <c r="S74" s="929">
        <v>0</v>
      </c>
      <c r="T74" s="929">
        <v>0</v>
      </c>
      <c r="U74" s="2683"/>
      <c r="V74" s="936"/>
      <c r="W74" s="914"/>
      <c r="X74" s="914"/>
      <c r="Y74" s="914"/>
      <c r="Z74" s="914"/>
      <c r="AA74" s="914"/>
      <c r="AB74" s="914"/>
      <c r="AC74" s="914"/>
      <c r="AD74" s="914"/>
      <c r="AE74" s="914"/>
      <c r="AF74" s="914"/>
      <c r="AG74" s="914"/>
      <c r="AH74" s="914"/>
      <c r="AI74" s="914"/>
      <c r="AJ74" s="914"/>
      <c r="AK74" s="914"/>
      <c r="AL74" s="914"/>
      <c r="AM74" s="914"/>
      <c r="AN74" s="914"/>
      <c r="AO74" s="914"/>
      <c r="AP74" s="914"/>
      <c r="AQ74" s="914"/>
      <c r="AR74" s="914"/>
      <c r="AS74" s="914"/>
      <c r="AT74" s="914"/>
      <c r="AU74" s="914"/>
      <c r="AV74" s="914"/>
      <c r="AW74" s="914"/>
      <c r="AX74" s="914"/>
      <c r="AY74" s="914"/>
      <c r="AZ74" s="914"/>
      <c r="BA74" s="914"/>
      <c r="BB74" s="914"/>
      <c r="BC74" s="914"/>
      <c r="BD74" s="914"/>
      <c r="BE74" s="914"/>
      <c r="BF74" s="914"/>
      <c r="BG74" s="914"/>
      <c r="BH74" s="914"/>
      <c r="BI74" s="914"/>
      <c r="BJ74" s="914"/>
      <c r="BK74" s="914"/>
      <c r="BL74" s="914"/>
      <c r="BM74" s="914"/>
      <c r="BN74" s="914"/>
      <c r="BO74" s="914"/>
      <c r="BP74" s="914"/>
      <c r="BQ74" s="914"/>
      <c r="BR74" s="914"/>
      <c r="BS74" s="914"/>
      <c r="BT74" s="914"/>
      <c r="BU74" s="914"/>
      <c r="BV74" s="914"/>
      <c r="BW74" s="914"/>
      <c r="BX74" s="914"/>
      <c r="BY74" s="914"/>
      <c r="BZ74" s="914"/>
      <c r="CA74" s="914"/>
      <c r="CB74" s="914"/>
      <c r="CC74" s="914"/>
      <c r="CD74" s="914"/>
      <c r="CE74" s="914"/>
      <c r="CF74" s="914"/>
      <c r="CG74" s="914"/>
      <c r="CH74" s="914"/>
      <c r="CI74" s="914"/>
      <c r="CJ74" s="914"/>
      <c r="CK74" s="914"/>
      <c r="CL74" s="914"/>
      <c r="CM74" s="914"/>
      <c r="CN74" s="914"/>
      <c r="CO74" s="914"/>
      <c r="CP74" s="914"/>
      <c r="CQ74" s="914"/>
      <c r="CR74" s="914"/>
      <c r="CS74" s="914"/>
      <c r="CT74" s="914"/>
      <c r="CU74" s="914"/>
      <c r="CV74" s="914"/>
      <c r="CW74" s="914"/>
      <c r="CX74" s="914"/>
      <c r="CY74" s="914"/>
      <c r="CZ74" s="914"/>
      <c r="DA74" s="914"/>
      <c r="DB74" s="914"/>
      <c r="DC74" s="914"/>
      <c r="DD74" s="914"/>
      <c r="DE74" s="914"/>
      <c r="DF74" s="914"/>
      <c r="DG74" s="914"/>
      <c r="DH74" s="914"/>
      <c r="DI74" s="914"/>
      <c r="DJ74" s="914"/>
      <c r="DK74" s="914"/>
      <c r="DL74" s="914"/>
    </row>
    <row r="75" spans="1:116" s="915" customFormat="1" ht="39.75" hidden="1" customHeight="1">
      <c r="A75" s="2687" t="s">
        <v>82</v>
      </c>
      <c r="B75" s="941" t="s">
        <v>222</v>
      </c>
      <c r="C75" s="942" t="s">
        <v>102</v>
      </c>
      <c r="D75" s="943"/>
      <c r="E75" s="882"/>
      <c r="F75" s="882"/>
      <c r="G75" s="882"/>
      <c r="H75" s="882"/>
      <c r="I75" s="882"/>
      <c r="J75" s="882"/>
      <c r="K75" s="882"/>
      <c r="L75" s="944"/>
      <c r="M75" s="944"/>
      <c r="N75" s="944"/>
      <c r="O75" s="944"/>
      <c r="P75" s="945"/>
      <c r="Q75" s="945"/>
      <c r="R75" s="945"/>
      <c r="S75" s="945"/>
      <c r="T75" s="945"/>
      <c r="U75" s="946"/>
      <c r="V75" s="2690" t="s">
        <v>223</v>
      </c>
      <c r="W75" s="914"/>
      <c r="X75" s="914"/>
      <c r="Y75" s="914"/>
      <c r="Z75" s="914"/>
      <c r="AA75" s="914"/>
      <c r="AB75" s="914"/>
      <c r="AC75" s="914"/>
      <c r="AD75" s="914"/>
      <c r="AE75" s="914"/>
      <c r="AF75" s="914"/>
      <c r="AG75" s="914"/>
      <c r="AH75" s="914"/>
      <c r="AI75" s="914"/>
      <c r="AJ75" s="914"/>
      <c r="AK75" s="914"/>
      <c r="AL75" s="914"/>
      <c r="AM75" s="914"/>
      <c r="AN75" s="914"/>
      <c r="AO75" s="914"/>
      <c r="AP75" s="914"/>
      <c r="AQ75" s="914"/>
      <c r="AR75" s="914"/>
      <c r="AS75" s="914"/>
      <c r="AT75" s="914"/>
      <c r="AU75" s="914"/>
      <c r="AV75" s="914"/>
      <c r="AW75" s="914"/>
      <c r="AX75" s="914"/>
      <c r="AY75" s="914"/>
      <c r="AZ75" s="914"/>
      <c r="BA75" s="914"/>
      <c r="BB75" s="914"/>
      <c r="BC75" s="914"/>
      <c r="BD75" s="914"/>
      <c r="BE75" s="914"/>
      <c r="BF75" s="914"/>
      <c r="BG75" s="914"/>
      <c r="BH75" s="914"/>
      <c r="BI75" s="914"/>
      <c r="BJ75" s="914"/>
      <c r="BK75" s="914"/>
      <c r="BL75" s="914"/>
      <c r="BM75" s="914"/>
      <c r="BN75" s="914"/>
      <c r="BO75" s="914"/>
      <c r="BP75" s="914"/>
      <c r="BQ75" s="914"/>
      <c r="BR75" s="914"/>
      <c r="BS75" s="914"/>
      <c r="BT75" s="914"/>
      <c r="BU75" s="914"/>
      <c r="BV75" s="914"/>
      <c r="BW75" s="914"/>
      <c r="BX75" s="914"/>
      <c r="BY75" s="914"/>
      <c r="BZ75" s="914"/>
      <c r="CA75" s="914"/>
      <c r="CB75" s="914"/>
      <c r="CC75" s="914"/>
      <c r="CD75" s="914"/>
      <c r="CE75" s="914"/>
      <c r="CF75" s="914"/>
      <c r="CG75" s="914"/>
      <c r="CH75" s="914"/>
      <c r="CI75" s="914"/>
      <c r="CJ75" s="914"/>
      <c r="CK75" s="914"/>
      <c r="CL75" s="914"/>
      <c r="CM75" s="914"/>
      <c r="CN75" s="914"/>
      <c r="CO75" s="914"/>
      <c r="CP75" s="914"/>
      <c r="CQ75" s="914"/>
      <c r="CR75" s="914"/>
      <c r="CS75" s="914"/>
      <c r="CT75" s="914"/>
      <c r="CU75" s="914"/>
      <c r="CV75" s="914"/>
      <c r="CW75" s="914"/>
      <c r="CX75" s="914"/>
      <c r="CY75" s="914"/>
      <c r="CZ75" s="914"/>
      <c r="DA75" s="914"/>
      <c r="DB75" s="914"/>
      <c r="DC75" s="914"/>
      <c r="DD75" s="914"/>
      <c r="DE75" s="914"/>
      <c r="DF75" s="914"/>
      <c r="DG75" s="914"/>
      <c r="DH75" s="914"/>
      <c r="DI75" s="914"/>
      <c r="DJ75" s="914"/>
      <c r="DK75" s="914"/>
      <c r="DL75" s="914"/>
    </row>
    <row r="76" spans="1:116" s="915" customFormat="1" ht="18.75" hidden="1" customHeight="1">
      <c r="A76" s="2688"/>
      <c r="B76" s="947" t="s">
        <v>22</v>
      </c>
      <c r="C76" s="948"/>
      <c r="D76" s="949">
        <f>SUM(E76:P76)</f>
        <v>0</v>
      </c>
      <c r="E76" s="949">
        <f t="shared" ref="E76:R77" si="51">E77</f>
        <v>0</v>
      </c>
      <c r="F76" s="949">
        <f t="shared" si="51"/>
        <v>0</v>
      </c>
      <c r="G76" s="949">
        <f t="shared" si="51"/>
        <v>0</v>
      </c>
      <c r="H76" s="949">
        <f t="shared" si="51"/>
        <v>0</v>
      </c>
      <c r="I76" s="949">
        <f t="shared" si="51"/>
        <v>0</v>
      </c>
      <c r="J76" s="949">
        <f t="shared" si="51"/>
        <v>0</v>
      </c>
      <c r="K76" s="949">
        <f t="shared" si="51"/>
        <v>0</v>
      </c>
      <c r="L76" s="949">
        <f t="shared" si="51"/>
        <v>0</v>
      </c>
      <c r="M76" s="949"/>
      <c r="N76" s="949">
        <f t="shared" si="51"/>
        <v>0</v>
      </c>
      <c r="O76" s="949">
        <f t="shared" si="51"/>
        <v>0</v>
      </c>
      <c r="P76" s="949">
        <f t="shared" si="51"/>
        <v>0</v>
      </c>
      <c r="Q76" s="949">
        <f t="shared" si="51"/>
        <v>0</v>
      </c>
      <c r="R76" s="949">
        <f t="shared" si="51"/>
        <v>0</v>
      </c>
      <c r="S76" s="949"/>
      <c r="T76" s="949"/>
      <c r="U76" s="950">
        <f>+U77</f>
        <v>0</v>
      </c>
      <c r="V76" s="2691"/>
      <c r="W76" s="914"/>
      <c r="X76" s="914"/>
      <c r="Y76" s="914"/>
      <c r="Z76" s="914"/>
      <c r="AA76" s="914"/>
      <c r="AB76" s="914"/>
      <c r="AC76" s="914"/>
      <c r="AD76" s="914"/>
      <c r="AE76" s="914"/>
      <c r="AF76" s="914"/>
      <c r="AG76" s="914"/>
      <c r="AH76" s="914"/>
      <c r="AI76" s="914"/>
      <c r="AJ76" s="914"/>
      <c r="AK76" s="914"/>
      <c r="AL76" s="914"/>
      <c r="AM76" s="914"/>
      <c r="AN76" s="914"/>
      <c r="AO76" s="914"/>
      <c r="AP76" s="914"/>
      <c r="AQ76" s="914"/>
      <c r="AR76" s="914"/>
      <c r="AS76" s="914"/>
      <c r="AT76" s="914"/>
      <c r="AU76" s="914"/>
      <c r="AV76" s="914"/>
      <c r="AW76" s="914"/>
      <c r="AX76" s="914"/>
      <c r="AY76" s="914"/>
      <c r="AZ76" s="914"/>
      <c r="BA76" s="914"/>
      <c r="BB76" s="914"/>
      <c r="BC76" s="914"/>
      <c r="BD76" s="914"/>
      <c r="BE76" s="914"/>
      <c r="BF76" s="914"/>
      <c r="BG76" s="914"/>
      <c r="BH76" s="914"/>
      <c r="BI76" s="914"/>
      <c r="BJ76" s="914"/>
      <c r="BK76" s="914"/>
      <c r="BL76" s="914"/>
      <c r="BM76" s="914"/>
      <c r="BN76" s="914"/>
      <c r="BO76" s="914"/>
      <c r="BP76" s="914"/>
      <c r="BQ76" s="914"/>
      <c r="BR76" s="914"/>
      <c r="BS76" s="914"/>
      <c r="BT76" s="914"/>
      <c r="BU76" s="914"/>
      <c r="BV76" s="914"/>
      <c r="BW76" s="914"/>
      <c r="BX76" s="914"/>
      <c r="BY76" s="914"/>
      <c r="BZ76" s="914"/>
      <c r="CA76" s="914"/>
      <c r="CB76" s="914"/>
      <c r="CC76" s="914"/>
      <c r="CD76" s="914"/>
      <c r="CE76" s="914"/>
      <c r="CF76" s="914"/>
      <c r="CG76" s="914"/>
      <c r="CH76" s="914"/>
      <c r="CI76" s="914"/>
      <c r="CJ76" s="914"/>
      <c r="CK76" s="914"/>
      <c r="CL76" s="914"/>
      <c r="CM76" s="914"/>
      <c r="CN76" s="914"/>
      <c r="CO76" s="914"/>
      <c r="CP76" s="914"/>
      <c r="CQ76" s="914"/>
      <c r="CR76" s="914"/>
      <c r="CS76" s="914"/>
      <c r="CT76" s="914"/>
      <c r="CU76" s="914"/>
      <c r="CV76" s="914"/>
      <c r="CW76" s="914"/>
      <c r="CX76" s="914"/>
      <c r="CY76" s="914"/>
      <c r="CZ76" s="914"/>
      <c r="DA76" s="914"/>
      <c r="DB76" s="914"/>
      <c r="DC76" s="914"/>
      <c r="DD76" s="914"/>
      <c r="DE76" s="914"/>
      <c r="DF76" s="914"/>
      <c r="DG76" s="914"/>
      <c r="DH76" s="914"/>
      <c r="DI76" s="914"/>
      <c r="DJ76" s="914"/>
      <c r="DK76" s="914"/>
      <c r="DL76" s="914"/>
    </row>
    <row r="77" spans="1:116" s="931" customFormat="1" ht="18.75" hidden="1" customHeight="1">
      <c r="A77" s="2688"/>
      <c r="B77" s="1230" t="s">
        <v>36</v>
      </c>
      <c r="C77" s="2650" t="s">
        <v>224</v>
      </c>
      <c r="D77" s="1231">
        <f>SUM(E77:P77)</f>
        <v>0</v>
      </c>
      <c r="E77" s="1231">
        <f t="shared" si="51"/>
        <v>0</v>
      </c>
      <c r="F77" s="1231">
        <f t="shared" si="51"/>
        <v>0</v>
      </c>
      <c r="G77" s="1231">
        <f t="shared" si="51"/>
        <v>0</v>
      </c>
      <c r="H77" s="1231">
        <f t="shared" si="51"/>
        <v>0</v>
      </c>
      <c r="I77" s="1231">
        <f t="shared" si="51"/>
        <v>0</v>
      </c>
      <c r="J77" s="1231">
        <f t="shared" si="51"/>
        <v>0</v>
      </c>
      <c r="K77" s="1231">
        <f t="shared" si="51"/>
        <v>0</v>
      </c>
      <c r="L77" s="1231">
        <f t="shared" si="51"/>
        <v>0</v>
      </c>
      <c r="M77" s="1231"/>
      <c r="N77" s="1231">
        <f t="shared" si="51"/>
        <v>0</v>
      </c>
      <c r="O77" s="1231">
        <f t="shared" si="51"/>
        <v>0</v>
      </c>
      <c r="P77" s="1231">
        <f t="shared" si="51"/>
        <v>0</v>
      </c>
      <c r="Q77" s="1231">
        <f t="shared" si="51"/>
        <v>0</v>
      </c>
      <c r="R77" s="1231">
        <f t="shared" si="51"/>
        <v>0</v>
      </c>
      <c r="S77" s="1231"/>
      <c r="T77" s="1231"/>
      <c r="U77" s="1232">
        <f>+U78</f>
        <v>0</v>
      </c>
      <c r="V77" s="2691"/>
    </row>
    <row r="78" spans="1:116" s="915" customFormat="1" ht="18.75" hidden="1" customHeight="1" thickBot="1">
      <c r="A78" s="2689"/>
      <c r="B78" s="951" t="s">
        <v>24</v>
      </c>
      <c r="C78" s="2665"/>
      <c r="D78" s="952">
        <f>SUM(E78:P78)</f>
        <v>0</v>
      </c>
      <c r="E78" s="952">
        <f>256114-256114</f>
        <v>0</v>
      </c>
      <c r="F78" s="952"/>
      <c r="G78" s="952"/>
      <c r="H78" s="952"/>
      <c r="I78" s="952">
        <f>5990843-2500000-3490843</f>
        <v>0</v>
      </c>
      <c r="J78" s="952">
        <f>7154456-7154456</f>
        <v>0</v>
      </c>
      <c r="K78" s="952">
        <v>0</v>
      </c>
      <c r="L78" s="952">
        <v>0</v>
      </c>
      <c r="M78" s="952"/>
      <c r="N78" s="952">
        <v>0</v>
      </c>
      <c r="O78" s="952">
        <v>0</v>
      </c>
      <c r="P78" s="952">
        <v>0</v>
      </c>
      <c r="Q78" s="952">
        <v>0</v>
      </c>
      <c r="R78" s="952">
        <v>0</v>
      </c>
      <c r="S78" s="952"/>
      <c r="T78" s="952"/>
      <c r="U78" s="930">
        <f>SUM(O78:R78)</f>
        <v>0</v>
      </c>
      <c r="V78" s="2692"/>
      <c r="W78" s="914"/>
      <c r="X78" s="914"/>
      <c r="Y78" s="914"/>
      <c r="Z78" s="914"/>
      <c r="AA78" s="914"/>
      <c r="AB78" s="914"/>
      <c r="AC78" s="914"/>
      <c r="AD78" s="914"/>
      <c r="AE78" s="914"/>
      <c r="AF78" s="914"/>
      <c r="AG78" s="914"/>
      <c r="AH78" s="914"/>
      <c r="AI78" s="914"/>
      <c r="AJ78" s="914"/>
      <c r="AK78" s="914"/>
      <c r="AL78" s="914"/>
      <c r="AM78" s="914"/>
      <c r="AN78" s="914"/>
      <c r="AO78" s="914"/>
      <c r="AP78" s="914"/>
      <c r="AQ78" s="914"/>
      <c r="AR78" s="914"/>
      <c r="AS78" s="914"/>
      <c r="AT78" s="914"/>
      <c r="AU78" s="914"/>
      <c r="AV78" s="914"/>
      <c r="AW78" s="914"/>
      <c r="AX78" s="914"/>
      <c r="AY78" s="914"/>
      <c r="AZ78" s="914"/>
      <c r="BA78" s="914"/>
      <c r="BB78" s="914"/>
      <c r="BC78" s="914"/>
      <c r="BD78" s="914"/>
      <c r="BE78" s="914"/>
      <c r="BF78" s="914"/>
      <c r="BG78" s="914"/>
      <c r="BH78" s="914"/>
      <c r="BI78" s="914"/>
      <c r="BJ78" s="914"/>
      <c r="BK78" s="914"/>
      <c r="BL78" s="914"/>
      <c r="BM78" s="914"/>
      <c r="BN78" s="914"/>
      <c r="BO78" s="914"/>
      <c r="BP78" s="914"/>
      <c r="BQ78" s="914"/>
      <c r="BR78" s="914"/>
      <c r="BS78" s="914"/>
      <c r="BT78" s="914"/>
      <c r="BU78" s="914"/>
      <c r="BV78" s="914"/>
      <c r="BW78" s="914"/>
      <c r="BX78" s="914"/>
      <c r="BY78" s="914"/>
      <c r="BZ78" s="914"/>
      <c r="CA78" s="914"/>
      <c r="CB78" s="914"/>
      <c r="CC78" s="914"/>
      <c r="CD78" s="914"/>
      <c r="CE78" s="914"/>
      <c r="CF78" s="914"/>
      <c r="CG78" s="914"/>
      <c r="CH78" s="914"/>
      <c r="CI78" s="914"/>
      <c r="CJ78" s="914"/>
      <c r="CK78" s="914"/>
      <c r="CL78" s="914"/>
      <c r="CM78" s="914"/>
      <c r="CN78" s="914"/>
      <c r="CO78" s="914"/>
      <c r="CP78" s="914"/>
      <c r="CQ78" s="914"/>
      <c r="CR78" s="914"/>
      <c r="CS78" s="914"/>
      <c r="CT78" s="914"/>
      <c r="CU78" s="914"/>
      <c r="CV78" s="914"/>
      <c r="CW78" s="914"/>
      <c r="CX78" s="914"/>
      <c r="CY78" s="914"/>
      <c r="CZ78" s="914"/>
      <c r="DA78" s="914"/>
      <c r="DB78" s="914"/>
      <c r="DC78" s="914"/>
      <c r="DD78" s="914"/>
      <c r="DE78" s="914"/>
      <c r="DF78" s="914"/>
      <c r="DG78" s="914"/>
      <c r="DH78" s="914"/>
      <c r="DI78" s="914"/>
      <c r="DJ78" s="914"/>
      <c r="DK78" s="914"/>
      <c r="DL78" s="914"/>
    </row>
    <row r="79" spans="1:116" ht="12.75" hidden="1" customHeight="1">
      <c r="A79" s="2698" t="s">
        <v>83</v>
      </c>
      <c r="B79" s="2090" t="s">
        <v>225</v>
      </c>
      <c r="C79" s="2093" t="s">
        <v>102</v>
      </c>
      <c r="D79" s="2093"/>
      <c r="E79" s="2093"/>
      <c r="F79" s="2093"/>
      <c r="G79" s="2093"/>
      <c r="H79" s="2093"/>
      <c r="I79" s="2093"/>
      <c r="J79" s="2093"/>
      <c r="K79" s="2093"/>
      <c r="L79" s="2093"/>
      <c r="M79" s="2093"/>
      <c r="N79" s="2093"/>
      <c r="O79" s="2093"/>
      <c r="P79" s="2093"/>
      <c r="Q79" s="2093"/>
      <c r="R79" s="2093"/>
      <c r="S79" s="2093"/>
      <c r="T79" s="2093"/>
      <c r="U79" s="2093"/>
      <c r="V79" s="2557" t="s">
        <v>226</v>
      </c>
    </row>
    <row r="80" spans="1:116" ht="13.5" hidden="1" customHeight="1">
      <c r="A80" s="2694"/>
      <c r="B80" s="427" t="s">
        <v>22</v>
      </c>
      <c r="C80" s="953"/>
      <c r="D80" s="2093">
        <f>SUM(E80:P80)</f>
        <v>0</v>
      </c>
      <c r="E80" s="873">
        <v>0</v>
      </c>
      <c r="F80" s="873"/>
      <c r="G80" s="873"/>
      <c r="H80" s="873"/>
      <c r="I80" s="873">
        <v>0</v>
      </c>
      <c r="J80" s="873">
        <f>J81</f>
        <v>0</v>
      </c>
      <c r="K80" s="873">
        <f>K81</f>
        <v>0</v>
      </c>
      <c r="L80" s="2093">
        <v>0</v>
      </c>
      <c r="M80" s="2093"/>
      <c r="N80" s="2093">
        <v>0</v>
      </c>
      <c r="O80" s="2093">
        <v>0</v>
      </c>
      <c r="P80" s="2093">
        <v>0</v>
      </c>
      <c r="Q80" s="2093">
        <v>0</v>
      </c>
      <c r="R80" s="2093">
        <v>0</v>
      </c>
      <c r="S80" s="2093"/>
      <c r="T80" s="2093"/>
      <c r="U80" s="2093"/>
      <c r="V80" s="2557"/>
    </row>
    <row r="81" spans="1:22" ht="14.25" hidden="1" customHeight="1">
      <c r="A81" s="2694"/>
      <c r="B81" s="2090" t="s">
        <v>36</v>
      </c>
      <c r="C81" s="2699" t="s">
        <v>227</v>
      </c>
      <c r="D81" s="2093">
        <f>SUM(E81:P81)</f>
        <v>0</v>
      </c>
      <c r="E81" s="2093">
        <v>0</v>
      </c>
      <c r="F81" s="2093"/>
      <c r="G81" s="2093"/>
      <c r="H81" s="2093"/>
      <c r="I81" s="2093">
        <v>0</v>
      </c>
      <c r="J81" s="2093">
        <f>J82</f>
        <v>0</v>
      </c>
      <c r="K81" s="2093">
        <f>K82</f>
        <v>0</v>
      </c>
      <c r="L81" s="2093">
        <v>0</v>
      </c>
      <c r="M81" s="2093"/>
      <c r="N81" s="2093">
        <v>0</v>
      </c>
      <c r="O81" s="2093">
        <v>0</v>
      </c>
      <c r="P81" s="2093">
        <v>0</v>
      </c>
      <c r="Q81" s="2093">
        <v>0</v>
      </c>
      <c r="R81" s="2093">
        <v>0</v>
      </c>
      <c r="S81" s="2093"/>
      <c r="T81" s="2093"/>
      <c r="U81" s="2093"/>
      <c r="V81" s="2659"/>
    </row>
    <row r="82" spans="1:22" ht="15" hidden="1" customHeight="1" thickBot="1">
      <c r="A82" s="2694"/>
      <c r="B82" s="2090" t="s">
        <v>24</v>
      </c>
      <c r="C82" s="2699"/>
      <c r="D82" s="2093">
        <f>SUM(E82:P82)</f>
        <v>0</v>
      </c>
      <c r="E82" s="2093">
        <v>0</v>
      </c>
      <c r="F82" s="2093"/>
      <c r="G82" s="2093"/>
      <c r="H82" s="2093"/>
      <c r="I82" s="2093">
        <v>0</v>
      </c>
      <c r="J82" s="2093">
        <v>0</v>
      </c>
      <c r="K82" s="2093">
        <v>0</v>
      </c>
      <c r="L82" s="2093">
        <v>0</v>
      </c>
      <c r="M82" s="2093"/>
      <c r="N82" s="2093">
        <v>0</v>
      </c>
      <c r="O82" s="2093">
        <v>0</v>
      </c>
      <c r="P82" s="2093">
        <v>0</v>
      </c>
      <c r="Q82" s="2093">
        <v>0</v>
      </c>
      <c r="R82" s="2093">
        <v>0</v>
      </c>
      <c r="S82" s="2093"/>
      <c r="T82" s="2093"/>
      <c r="U82" s="2093"/>
      <c r="V82" s="2659"/>
    </row>
    <row r="83" spans="1:22" ht="27.75" customHeight="1">
      <c r="A83" s="2693" t="s">
        <v>82</v>
      </c>
      <c r="B83" s="941" t="s">
        <v>396</v>
      </c>
      <c r="C83" s="1922" t="s">
        <v>102</v>
      </c>
      <c r="D83" s="954"/>
      <c r="E83" s="882"/>
      <c r="F83" s="882"/>
      <c r="G83" s="882"/>
      <c r="H83" s="882"/>
      <c r="I83" s="882"/>
      <c r="J83" s="882"/>
      <c r="K83" s="882"/>
      <c r="L83" s="944"/>
      <c r="M83" s="944"/>
      <c r="N83" s="944"/>
      <c r="O83" s="944"/>
      <c r="P83" s="945"/>
      <c r="Q83" s="945"/>
      <c r="R83" s="945"/>
      <c r="S83" s="945"/>
      <c r="T83" s="945"/>
      <c r="U83" s="946"/>
      <c r="V83" s="2700" t="s">
        <v>295</v>
      </c>
    </row>
    <row r="84" spans="1:22" ht="14.25" customHeight="1">
      <c r="A84" s="2698"/>
      <c r="B84" s="561" t="s">
        <v>22</v>
      </c>
      <c r="C84" s="953"/>
      <c r="D84" s="1170">
        <f>+D85+D88</f>
        <v>19146944</v>
      </c>
      <c r="E84" s="1170">
        <f>+E85+E88</f>
        <v>0</v>
      </c>
      <c r="F84" s="1170"/>
      <c r="G84" s="1170"/>
      <c r="H84" s="1170"/>
      <c r="I84" s="1170">
        <f>I85</f>
        <v>0</v>
      </c>
      <c r="J84" s="1170">
        <f>+J85+J88</f>
        <v>0</v>
      </c>
      <c r="K84" s="1170">
        <f>+K85+K88</f>
        <v>0</v>
      </c>
      <c r="L84" s="1170">
        <f>+L85+L88</f>
        <v>7552174</v>
      </c>
      <c r="M84" s="1170">
        <f>+M85+M88</f>
        <v>7552174</v>
      </c>
      <c r="N84" s="1170">
        <f>+N85+N88</f>
        <v>11594770</v>
      </c>
      <c r="O84" s="1170">
        <v>0</v>
      </c>
      <c r="P84" s="1170">
        <v>0</v>
      </c>
      <c r="Q84" s="1170">
        <v>0</v>
      </c>
      <c r="R84" s="1170">
        <v>0</v>
      </c>
      <c r="S84" s="1170">
        <v>0</v>
      </c>
      <c r="T84" s="1170">
        <v>0</v>
      </c>
      <c r="U84" s="1923">
        <f>+U85</f>
        <v>0</v>
      </c>
      <c r="V84" s="2700"/>
    </row>
    <row r="85" spans="1:22" ht="15.75" customHeight="1">
      <c r="A85" s="2698"/>
      <c r="B85" s="1172" t="s">
        <v>36</v>
      </c>
      <c r="C85" s="2650" t="s">
        <v>228</v>
      </c>
      <c r="D85" s="1173">
        <f>D86+D87</f>
        <v>8345892</v>
      </c>
      <c r="E85" s="1173">
        <f t="shared" ref="E85:P85" si="52">E86+E87</f>
        <v>0</v>
      </c>
      <c r="F85" s="1173">
        <f t="shared" si="52"/>
        <v>0</v>
      </c>
      <c r="G85" s="1173">
        <f t="shared" si="52"/>
        <v>0</v>
      </c>
      <c r="H85" s="1173">
        <f t="shared" si="52"/>
        <v>0</v>
      </c>
      <c r="I85" s="1173">
        <f t="shared" si="52"/>
        <v>0</v>
      </c>
      <c r="J85" s="1173">
        <f t="shared" si="52"/>
        <v>0</v>
      </c>
      <c r="K85" s="1173">
        <f t="shared" si="52"/>
        <v>0</v>
      </c>
      <c r="L85" s="1173">
        <f t="shared" si="52"/>
        <v>3216470</v>
      </c>
      <c r="M85" s="1173">
        <f t="shared" si="52"/>
        <v>3216470</v>
      </c>
      <c r="N85" s="1173">
        <f t="shared" si="52"/>
        <v>5129422</v>
      </c>
      <c r="O85" s="1173">
        <f t="shared" si="52"/>
        <v>0</v>
      </c>
      <c r="P85" s="1173">
        <f t="shared" si="52"/>
        <v>0</v>
      </c>
      <c r="Q85" s="1173">
        <f>Q86+Q87</f>
        <v>0</v>
      </c>
      <c r="R85" s="1173">
        <f>R86+R87</f>
        <v>0</v>
      </c>
      <c r="S85" s="1173">
        <f t="shared" ref="S85:T85" si="53">S86+S87</f>
        <v>0</v>
      </c>
      <c r="T85" s="1173">
        <f t="shared" si="53"/>
        <v>0</v>
      </c>
      <c r="U85" s="1924">
        <f>+U87</f>
        <v>0</v>
      </c>
      <c r="V85" s="2700"/>
    </row>
    <row r="86" spans="1:22" ht="13.5" customHeight="1">
      <c r="A86" s="2698"/>
      <c r="B86" s="1175" t="s">
        <v>219</v>
      </c>
      <c r="C86" s="2623"/>
      <c r="D86" s="900">
        <f>+M86+N86+O86+P86+Q86+R86+S86+T85:T86</f>
        <v>3600351</v>
      </c>
      <c r="E86" s="900">
        <v>0</v>
      </c>
      <c r="F86" s="900"/>
      <c r="G86" s="900"/>
      <c r="H86" s="900"/>
      <c r="I86" s="900">
        <v>0</v>
      </c>
      <c r="J86" s="900">
        <v>0</v>
      </c>
      <c r="K86" s="900">
        <f>2079+2921-5000</f>
        <v>0</v>
      </c>
      <c r="L86" s="900">
        <f>2105866-1460-21942-637229</f>
        <v>1445235</v>
      </c>
      <c r="M86" s="900">
        <f>+L86</f>
        <v>1445235</v>
      </c>
      <c r="N86" s="900">
        <f>1587675-1461-19998+799433-210533</f>
        <v>2155116</v>
      </c>
      <c r="O86" s="900">
        <v>0</v>
      </c>
      <c r="P86" s="900">
        <v>0</v>
      </c>
      <c r="Q86" s="900">
        <v>0</v>
      </c>
      <c r="R86" s="900">
        <v>0</v>
      </c>
      <c r="S86" s="900">
        <v>0</v>
      </c>
      <c r="T86" s="900">
        <v>0</v>
      </c>
      <c r="U86" s="1925" t="s">
        <v>77</v>
      </c>
      <c r="V86" s="2700"/>
    </row>
    <row r="87" spans="1:22" ht="13.5" customHeight="1">
      <c r="A87" s="2698"/>
      <c r="B87" s="1177" t="s">
        <v>220</v>
      </c>
      <c r="C87" s="2623"/>
      <c r="D87" s="983">
        <f>+M87+N87+O87+P87+Q87+R87+S87+T87</f>
        <v>4745541</v>
      </c>
      <c r="E87" s="983">
        <v>0</v>
      </c>
      <c r="F87" s="983"/>
      <c r="G87" s="983"/>
      <c r="H87" s="983"/>
      <c r="I87" s="983">
        <v>0</v>
      </c>
      <c r="J87" s="983">
        <v>0</v>
      </c>
      <c r="K87" s="983">
        <v>0</v>
      </c>
      <c r="L87" s="983">
        <f>3085853-191202-1123416</f>
        <v>1771235</v>
      </c>
      <c r="M87" s="900">
        <f>+L87</f>
        <v>1771235</v>
      </c>
      <c r="N87" s="983">
        <f>1830617+29992+1118296-4599</f>
        <v>2974306</v>
      </c>
      <c r="O87" s="983">
        <v>0</v>
      </c>
      <c r="P87" s="983">
        <v>0</v>
      </c>
      <c r="Q87" s="983">
        <v>0</v>
      </c>
      <c r="R87" s="983">
        <v>0</v>
      </c>
      <c r="S87" s="983">
        <v>0</v>
      </c>
      <c r="T87" s="983">
        <v>0</v>
      </c>
      <c r="U87" s="1926">
        <f>+O87+P87+Q87</f>
        <v>0</v>
      </c>
      <c r="V87" s="2700"/>
    </row>
    <row r="88" spans="1:22" ht="12" customHeight="1">
      <c r="A88" s="2698"/>
      <c r="B88" s="1172" t="s">
        <v>30</v>
      </c>
      <c r="C88" s="2623"/>
      <c r="D88" s="1173">
        <f>+D89</f>
        <v>10801052</v>
      </c>
      <c r="E88" s="1173">
        <f>+E89</f>
        <v>0</v>
      </c>
      <c r="F88" s="1173"/>
      <c r="G88" s="1173"/>
      <c r="H88" s="1173"/>
      <c r="I88" s="1173">
        <f t="shared" ref="I88:U88" si="54">+I89</f>
        <v>0</v>
      </c>
      <c r="J88" s="1173">
        <f t="shared" si="54"/>
        <v>0</v>
      </c>
      <c r="K88" s="1173">
        <f t="shared" si="54"/>
        <v>0</v>
      </c>
      <c r="L88" s="1173">
        <f t="shared" si="54"/>
        <v>4335704</v>
      </c>
      <c r="M88" s="1173">
        <f t="shared" si="54"/>
        <v>4335704</v>
      </c>
      <c r="N88" s="1173">
        <f t="shared" si="54"/>
        <v>6465348</v>
      </c>
      <c r="O88" s="1173">
        <v>0</v>
      </c>
      <c r="P88" s="1173">
        <v>0</v>
      </c>
      <c r="Q88" s="1173">
        <v>0</v>
      </c>
      <c r="R88" s="1173">
        <v>0</v>
      </c>
      <c r="S88" s="1173">
        <v>0</v>
      </c>
      <c r="T88" s="1173">
        <v>0</v>
      </c>
      <c r="U88" s="1924" t="str">
        <f t="shared" si="54"/>
        <v>x</v>
      </c>
      <c r="V88" s="2700"/>
    </row>
    <row r="89" spans="1:22" ht="14.25" customHeight="1">
      <c r="A89" s="2698"/>
      <c r="B89" s="1927" t="s">
        <v>48</v>
      </c>
      <c r="C89" s="2651"/>
      <c r="D89" s="983">
        <f>+M89+N89+O89+P89+Q89+R89+S89+T89</f>
        <v>10801052</v>
      </c>
      <c r="E89" s="983">
        <v>0</v>
      </c>
      <c r="F89" s="983"/>
      <c r="G89" s="983"/>
      <c r="H89" s="983"/>
      <c r="I89" s="983">
        <v>0</v>
      </c>
      <c r="J89" s="983">
        <v>0</v>
      </c>
      <c r="K89" s="983">
        <f>6237+8763-15000</f>
        <v>0</v>
      </c>
      <c r="L89" s="983">
        <f>6317597-4381-65825-1911687</f>
        <v>4335704</v>
      </c>
      <c r="M89" s="983">
        <f>+L89</f>
        <v>4335704</v>
      </c>
      <c r="N89" s="983">
        <f>4763024-4382-59994+1774791-8091</f>
        <v>6465348</v>
      </c>
      <c r="O89" s="1217">
        <v>0</v>
      </c>
      <c r="P89" s="1217">
        <v>0</v>
      </c>
      <c r="Q89" s="1217">
        <v>0</v>
      </c>
      <c r="R89" s="1217">
        <v>0</v>
      </c>
      <c r="S89" s="1217">
        <v>0</v>
      </c>
      <c r="T89" s="1217">
        <v>0</v>
      </c>
      <c r="U89" s="1928" t="s">
        <v>77</v>
      </c>
      <c r="V89" s="2700"/>
    </row>
    <row r="90" spans="1:22" ht="13.5" customHeight="1">
      <c r="A90" s="2698"/>
      <c r="B90" s="427" t="s">
        <v>34</v>
      </c>
      <c r="C90" s="953"/>
      <c r="D90" s="1170">
        <f>D94+D91</f>
        <v>14401403</v>
      </c>
      <c r="E90" s="1170">
        <f t="shared" ref="E90:J90" si="55">E94</f>
        <v>0</v>
      </c>
      <c r="F90" s="1170"/>
      <c r="G90" s="1170"/>
      <c r="H90" s="1170"/>
      <c r="I90" s="1170">
        <f t="shared" si="55"/>
        <v>0</v>
      </c>
      <c r="J90" s="1170">
        <f t="shared" si="55"/>
        <v>0</v>
      </c>
      <c r="K90" s="1170">
        <f>K94+K91</f>
        <v>0</v>
      </c>
      <c r="L90" s="1170">
        <f>L94+L91</f>
        <v>5625160</v>
      </c>
      <c r="M90" s="1170">
        <f>M94+M91</f>
        <v>5625160</v>
      </c>
      <c r="N90" s="1170">
        <f>N94+N91</f>
        <v>8167539</v>
      </c>
      <c r="O90" s="1170">
        <f>O94+O91</f>
        <v>608704</v>
      </c>
      <c r="P90" s="1170">
        <v>0</v>
      </c>
      <c r="Q90" s="1170">
        <v>0</v>
      </c>
      <c r="R90" s="1170">
        <v>0</v>
      </c>
      <c r="S90" s="1170">
        <v>0</v>
      </c>
      <c r="T90" s="1170">
        <v>0</v>
      </c>
      <c r="U90" s="1923" t="s">
        <v>77</v>
      </c>
      <c r="V90" s="2700"/>
    </row>
    <row r="91" spans="1:22" ht="14.25" customHeight="1">
      <c r="A91" s="2698"/>
      <c r="B91" s="886" t="s">
        <v>36</v>
      </c>
      <c r="C91" s="2702" t="s">
        <v>35</v>
      </c>
      <c r="D91" s="1929">
        <f>+D93+D92</f>
        <v>3600351</v>
      </c>
      <c r="E91" s="1929">
        <f t="shared" ref="E91:P91" si="56">+E93+E92</f>
        <v>0</v>
      </c>
      <c r="F91" s="1929">
        <f t="shared" si="56"/>
        <v>0</v>
      </c>
      <c r="G91" s="1929">
        <f t="shared" si="56"/>
        <v>0</v>
      </c>
      <c r="H91" s="1929">
        <f t="shared" si="56"/>
        <v>0</v>
      </c>
      <c r="I91" s="1929">
        <f t="shared" si="56"/>
        <v>0</v>
      </c>
      <c r="J91" s="1929">
        <f t="shared" si="56"/>
        <v>0</v>
      </c>
      <c r="K91" s="1929">
        <f t="shared" si="56"/>
        <v>0</v>
      </c>
      <c r="L91" s="1929">
        <f t="shared" si="56"/>
        <v>1445235</v>
      </c>
      <c r="M91" s="1929">
        <f t="shared" si="56"/>
        <v>1445235</v>
      </c>
      <c r="N91" s="1929">
        <f t="shared" si="56"/>
        <v>2155116</v>
      </c>
      <c r="O91" s="1929">
        <f t="shared" si="56"/>
        <v>0</v>
      </c>
      <c r="P91" s="1173">
        <f t="shared" si="56"/>
        <v>0</v>
      </c>
      <c r="Q91" s="1173">
        <f>+Q93+Q92</f>
        <v>0</v>
      </c>
      <c r="R91" s="1173">
        <f>+R93+R92</f>
        <v>0</v>
      </c>
      <c r="S91" s="1173">
        <f t="shared" ref="S91:T91" si="57">+S93+S92</f>
        <v>0</v>
      </c>
      <c r="T91" s="1173">
        <f t="shared" si="57"/>
        <v>0</v>
      </c>
      <c r="U91" s="1924"/>
      <c r="V91" s="2700"/>
    </row>
    <row r="92" spans="1:22" ht="13.5" customHeight="1">
      <c r="A92" s="2698"/>
      <c r="B92" s="1175" t="s">
        <v>219</v>
      </c>
      <c r="C92" s="2575"/>
      <c r="D92" s="1930">
        <f>+M92+N92+O92+P92+Q92+R92+S92+T92</f>
        <v>3600351</v>
      </c>
      <c r="E92" s="1930">
        <v>0</v>
      </c>
      <c r="F92" s="1930"/>
      <c r="G92" s="1930"/>
      <c r="H92" s="1930"/>
      <c r="I92" s="1930">
        <v>0</v>
      </c>
      <c r="J92" s="1930">
        <v>0</v>
      </c>
      <c r="K92" s="1930">
        <f>2079+2921-5000</f>
        <v>0</v>
      </c>
      <c r="L92" s="1930">
        <f>2105866-1460-21942-637229</f>
        <v>1445235</v>
      </c>
      <c r="M92" s="1930">
        <f>+L92</f>
        <v>1445235</v>
      </c>
      <c r="N92" s="1930">
        <f>1587675-1461-19998+799433-210533</f>
        <v>2155116</v>
      </c>
      <c r="O92" s="1930">
        <v>0</v>
      </c>
      <c r="P92" s="1931">
        <v>0</v>
      </c>
      <c r="Q92" s="1931">
        <v>0</v>
      </c>
      <c r="R92" s="1931">
        <v>0</v>
      </c>
      <c r="S92" s="1931">
        <v>0</v>
      </c>
      <c r="T92" s="1931">
        <v>0</v>
      </c>
      <c r="U92" s="1932"/>
      <c r="V92" s="2700"/>
    </row>
    <row r="93" spans="1:22" ht="13.5" customHeight="1">
      <c r="A93" s="2698"/>
      <c r="B93" s="1177" t="s">
        <v>229</v>
      </c>
      <c r="C93" s="2575"/>
      <c r="D93" s="983">
        <f>+M93+N93+O93+P93+Q93+R93+S93+T93</f>
        <v>0</v>
      </c>
      <c r="E93" s="983">
        <v>0</v>
      </c>
      <c r="F93" s="983"/>
      <c r="G93" s="983"/>
      <c r="H93" s="983"/>
      <c r="I93" s="983">
        <v>0</v>
      </c>
      <c r="J93" s="983">
        <v>0</v>
      </c>
      <c r="K93" s="983">
        <v>0</v>
      </c>
      <c r="L93" s="983">
        <f>2111463-51216-2060247</f>
        <v>0</v>
      </c>
      <c r="M93" s="1930">
        <f>+L93</f>
        <v>0</v>
      </c>
      <c r="N93" s="983">
        <f>1489154-9350-1479804</f>
        <v>0</v>
      </c>
      <c r="O93" s="983">
        <v>0</v>
      </c>
      <c r="P93" s="983">
        <v>0</v>
      </c>
      <c r="Q93" s="983">
        <v>0</v>
      </c>
      <c r="R93" s="983">
        <v>0</v>
      </c>
      <c r="S93" s="983">
        <v>0</v>
      </c>
      <c r="T93" s="983">
        <v>0</v>
      </c>
      <c r="U93" s="1926"/>
      <c r="V93" s="2700"/>
    </row>
    <row r="94" spans="1:22" ht="12.75" customHeight="1">
      <c r="A94" s="2698"/>
      <c r="B94" s="1172" t="s">
        <v>30</v>
      </c>
      <c r="C94" s="2575"/>
      <c r="D94" s="1929">
        <f>+D95</f>
        <v>10801052</v>
      </c>
      <c r="E94" s="1929">
        <f>+E95</f>
        <v>0</v>
      </c>
      <c r="F94" s="1929"/>
      <c r="G94" s="1929"/>
      <c r="H94" s="1929"/>
      <c r="I94" s="1929">
        <f t="shared" ref="I94:O94" si="58">+I95</f>
        <v>0</v>
      </c>
      <c r="J94" s="1929">
        <f t="shared" si="58"/>
        <v>0</v>
      </c>
      <c r="K94" s="1929">
        <f t="shared" si="58"/>
        <v>0</v>
      </c>
      <c r="L94" s="1929">
        <f t="shared" si="58"/>
        <v>4179925</v>
      </c>
      <c r="M94" s="1929">
        <f t="shared" si="58"/>
        <v>4179925</v>
      </c>
      <c r="N94" s="1929">
        <f t="shared" si="58"/>
        <v>6012423</v>
      </c>
      <c r="O94" s="1929">
        <f t="shared" si="58"/>
        <v>608704</v>
      </c>
      <c r="P94" s="1173">
        <v>0</v>
      </c>
      <c r="Q94" s="1173">
        <v>0</v>
      </c>
      <c r="R94" s="1173">
        <v>0</v>
      </c>
      <c r="S94" s="1173">
        <v>0</v>
      </c>
      <c r="T94" s="1173">
        <v>0</v>
      </c>
      <c r="U94" s="1173"/>
      <c r="V94" s="2700"/>
    </row>
    <row r="95" spans="1:22" ht="13.5" customHeight="1" thickBot="1">
      <c r="A95" s="2698"/>
      <c r="B95" s="1933" t="s">
        <v>48</v>
      </c>
      <c r="C95" s="2559"/>
      <c r="D95" s="1930">
        <f>+M95+N95+O95+P95+Q95+R95+S95+T95</f>
        <v>10801052</v>
      </c>
      <c r="E95" s="1930">
        <v>0</v>
      </c>
      <c r="F95" s="1930"/>
      <c r="G95" s="1930"/>
      <c r="H95" s="1930"/>
      <c r="I95" s="1930">
        <v>0</v>
      </c>
      <c r="J95" s="1930">
        <v>0</v>
      </c>
      <c r="K95" s="1930">
        <f>6237+8763-15000</f>
        <v>0</v>
      </c>
      <c r="L95" s="1930">
        <f>6317597-4381-65825-2067466</f>
        <v>4179925</v>
      </c>
      <c r="M95" s="1930">
        <f>+L95</f>
        <v>4179925</v>
      </c>
      <c r="N95" s="1930">
        <f>4763024-4382-59994+1930571-1-616795</f>
        <v>6012423</v>
      </c>
      <c r="O95" s="1931">
        <f>0+608704</f>
        <v>608704</v>
      </c>
      <c r="P95" s="1931">
        <v>0</v>
      </c>
      <c r="Q95" s="1931">
        <v>0</v>
      </c>
      <c r="R95" s="1931">
        <v>0</v>
      </c>
      <c r="S95" s="1931">
        <v>0</v>
      </c>
      <c r="T95" s="1931">
        <v>0</v>
      </c>
      <c r="U95" s="1931"/>
      <c r="V95" s="2701"/>
    </row>
    <row r="96" spans="1:22" ht="26.25" customHeight="1">
      <c r="A96" s="2693" t="s">
        <v>83</v>
      </c>
      <c r="B96" s="1934" t="s">
        <v>305</v>
      </c>
      <c r="C96" s="1935" t="s">
        <v>102</v>
      </c>
      <c r="D96" s="1936"/>
      <c r="E96" s="882"/>
      <c r="F96" s="882"/>
      <c r="G96" s="882"/>
      <c r="H96" s="882"/>
      <c r="I96" s="882"/>
      <c r="J96" s="882"/>
      <c r="K96" s="882"/>
      <c r="L96" s="944"/>
      <c r="M96" s="944"/>
      <c r="N96" s="944"/>
      <c r="O96" s="944"/>
      <c r="P96" s="945"/>
      <c r="Q96" s="945"/>
      <c r="R96" s="945"/>
      <c r="S96" s="945"/>
      <c r="T96" s="945"/>
      <c r="U96" s="946"/>
      <c r="V96" s="2684" t="s">
        <v>326</v>
      </c>
    </row>
    <row r="97" spans="1:22" ht="17.25" customHeight="1">
      <c r="A97" s="2694"/>
      <c r="B97" s="1937" t="s">
        <v>22</v>
      </c>
      <c r="C97" s="953"/>
      <c r="D97" s="1170">
        <f>+D98</f>
        <v>159718</v>
      </c>
      <c r="E97" s="1170">
        <f t="shared" ref="E97:T98" si="59">E98</f>
        <v>0</v>
      </c>
      <c r="F97" s="1170">
        <f t="shared" si="59"/>
        <v>0</v>
      </c>
      <c r="G97" s="1170">
        <f t="shared" si="59"/>
        <v>0</v>
      </c>
      <c r="H97" s="1170">
        <f t="shared" si="59"/>
        <v>0</v>
      </c>
      <c r="I97" s="1170">
        <f t="shared" si="59"/>
        <v>0</v>
      </c>
      <c r="J97" s="1170">
        <f t="shared" si="59"/>
        <v>0</v>
      </c>
      <c r="K97" s="1170">
        <f t="shared" si="59"/>
        <v>0</v>
      </c>
      <c r="L97" s="1170">
        <f t="shared" si="59"/>
        <v>16605</v>
      </c>
      <c r="M97" s="1170">
        <f t="shared" si="59"/>
        <v>16605</v>
      </c>
      <c r="N97" s="1170">
        <f t="shared" si="59"/>
        <v>117496</v>
      </c>
      <c r="O97" s="1170">
        <f t="shared" si="59"/>
        <v>25617</v>
      </c>
      <c r="P97" s="1170">
        <f t="shared" si="59"/>
        <v>0</v>
      </c>
      <c r="Q97" s="1170">
        <f t="shared" si="59"/>
        <v>0</v>
      </c>
      <c r="R97" s="1170">
        <f t="shared" si="59"/>
        <v>0</v>
      </c>
      <c r="S97" s="1170">
        <f t="shared" si="59"/>
        <v>0</v>
      </c>
      <c r="T97" s="1170">
        <f t="shared" si="59"/>
        <v>0</v>
      </c>
      <c r="U97" s="1170">
        <f>+U98</f>
        <v>25617</v>
      </c>
      <c r="V97" s="2441"/>
    </row>
    <row r="98" spans="1:22" s="1811" customFormat="1" ht="15" customHeight="1">
      <c r="A98" s="2694"/>
      <c r="B98" s="1938" t="s">
        <v>36</v>
      </c>
      <c r="C98" s="2696" t="s">
        <v>228</v>
      </c>
      <c r="D98" s="1929">
        <f>+M98+N98+O98+P98+Q98+R98+S98+T98</f>
        <v>159718</v>
      </c>
      <c r="E98" s="1929">
        <f t="shared" si="59"/>
        <v>0</v>
      </c>
      <c r="F98" s="1929">
        <f t="shared" si="59"/>
        <v>0</v>
      </c>
      <c r="G98" s="1929">
        <f t="shared" si="59"/>
        <v>0</v>
      </c>
      <c r="H98" s="1929">
        <f t="shared" si="59"/>
        <v>0</v>
      </c>
      <c r="I98" s="1929">
        <f t="shared" si="59"/>
        <v>0</v>
      </c>
      <c r="J98" s="1929">
        <f t="shared" si="59"/>
        <v>0</v>
      </c>
      <c r="K98" s="1929">
        <f t="shared" si="59"/>
        <v>0</v>
      </c>
      <c r="L98" s="1929">
        <f t="shared" si="59"/>
        <v>16605</v>
      </c>
      <c r="M98" s="1929">
        <f t="shared" si="59"/>
        <v>16605</v>
      </c>
      <c r="N98" s="1929">
        <f t="shared" si="59"/>
        <v>117496</v>
      </c>
      <c r="O98" s="1929">
        <f t="shared" si="59"/>
        <v>25617</v>
      </c>
      <c r="P98" s="1929">
        <f t="shared" si="59"/>
        <v>0</v>
      </c>
      <c r="Q98" s="1929">
        <f t="shared" si="59"/>
        <v>0</v>
      </c>
      <c r="R98" s="1929">
        <f t="shared" si="59"/>
        <v>0</v>
      </c>
      <c r="S98" s="1929">
        <f t="shared" si="59"/>
        <v>0</v>
      </c>
      <c r="T98" s="1929">
        <f t="shared" si="59"/>
        <v>0</v>
      </c>
      <c r="U98" s="1929">
        <f>+U99</f>
        <v>25617</v>
      </c>
      <c r="V98" s="2441"/>
    </row>
    <row r="99" spans="1:22" ht="15" customHeight="1" thickBot="1">
      <c r="A99" s="2695"/>
      <c r="B99" s="1939" t="s">
        <v>220</v>
      </c>
      <c r="C99" s="2697"/>
      <c r="D99" s="1940">
        <f>+M99+N99+O99+P99+Q99+R99+S99+T99</f>
        <v>159718</v>
      </c>
      <c r="E99" s="1940">
        <v>0</v>
      </c>
      <c r="F99" s="1940"/>
      <c r="G99" s="1940"/>
      <c r="H99" s="1940"/>
      <c r="I99" s="1940">
        <v>0</v>
      </c>
      <c r="J99" s="1940">
        <v>0</v>
      </c>
      <c r="K99" s="1940">
        <v>0</v>
      </c>
      <c r="L99" s="1940">
        <f>100000-83395</f>
        <v>16605</v>
      </c>
      <c r="M99" s="1940">
        <f>+L99</f>
        <v>16605</v>
      </c>
      <c r="N99" s="1940">
        <f>60000+83395-25617-282</f>
        <v>117496</v>
      </c>
      <c r="O99" s="1940">
        <f>25617</f>
        <v>25617</v>
      </c>
      <c r="P99" s="1940">
        <v>0</v>
      </c>
      <c r="Q99" s="1940">
        <v>0</v>
      </c>
      <c r="R99" s="1940">
        <v>0</v>
      </c>
      <c r="S99" s="1940">
        <v>0</v>
      </c>
      <c r="T99" s="1940">
        <v>0</v>
      </c>
      <c r="U99" s="1940">
        <f>+T99+S99+R99+Q99+P99+O99</f>
        <v>25617</v>
      </c>
      <c r="V99" s="2442"/>
    </row>
    <row r="100" spans="1:22" ht="12.75">
      <c r="A100" s="2094"/>
      <c r="B100" s="2094"/>
      <c r="C100" s="2094"/>
      <c r="D100" s="2094"/>
      <c r="E100" s="2094"/>
      <c r="F100" s="2094"/>
      <c r="G100" s="2094"/>
      <c r="H100" s="2094"/>
      <c r="I100" s="2094"/>
      <c r="J100" s="2094"/>
      <c r="K100" s="2094"/>
      <c r="L100" s="2094"/>
      <c r="M100" s="2094"/>
      <c r="N100" s="2094"/>
      <c r="O100" s="2094"/>
      <c r="P100" s="2094"/>
      <c r="Q100" s="2094"/>
      <c r="R100" s="2094"/>
      <c r="S100" s="2094"/>
      <c r="T100" s="2094"/>
      <c r="U100" s="2094"/>
    </row>
    <row r="101" spans="1:22" ht="12.75">
      <c r="A101" s="2094"/>
      <c r="B101" s="2094"/>
      <c r="C101" s="2094"/>
      <c r="D101" s="2094"/>
      <c r="E101" s="2094"/>
      <c r="F101" s="2094"/>
      <c r="G101" s="2094"/>
      <c r="H101" s="2094"/>
      <c r="I101" s="2094"/>
      <c r="J101" s="2094"/>
      <c r="K101" s="2094"/>
      <c r="L101" s="2094"/>
      <c r="M101" s="2094"/>
      <c r="N101" s="2094"/>
      <c r="O101" s="2094"/>
      <c r="P101" s="2094"/>
      <c r="Q101" s="2094"/>
      <c r="R101" s="2094"/>
      <c r="S101" s="2094"/>
      <c r="T101" s="2094"/>
      <c r="U101" s="2094"/>
    </row>
    <row r="102" spans="1:22" ht="12.75">
      <c r="A102" s="2094"/>
      <c r="B102" s="2094"/>
      <c r="C102" s="2094"/>
      <c r="D102" s="2094"/>
      <c r="E102" s="2094"/>
      <c r="F102" s="2094"/>
      <c r="G102" s="2094"/>
      <c r="H102" s="2094"/>
      <c r="I102" s="2094"/>
      <c r="J102" s="2094"/>
      <c r="K102" s="2094"/>
      <c r="L102" s="2094"/>
      <c r="M102" s="2094"/>
      <c r="N102" s="2094"/>
      <c r="O102" s="2094"/>
      <c r="P102" s="2094"/>
      <c r="Q102" s="2094"/>
      <c r="R102" s="2094"/>
      <c r="S102" s="2094"/>
      <c r="T102" s="2094"/>
      <c r="U102" s="2094"/>
    </row>
    <row r="103" spans="1:22" ht="12.75">
      <c r="A103" s="2094"/>
      <c r="B103" s="2094"/>
      <c r="C103" s="2094"/>
      <c r="D103" s="2094"/>
      <c r="E103" s="2094"/>
      <c r="F103" s="2094"/>
      <c r="G103" s="2094"/>
      <c r="H103" s="2094"/>
      <c r="I103" s="2094"/>
      <c r="J103" s="2094"/>
      <c r="K103" s="2094"/>
      <c r="L103" s="2094"/>
      <c r="M103" s="2094"/>
      <c r="N103" s="2094"/>
      <c r="O103" s="2094"/>
      <c r="P103" s="2094"/>
      <c r="Q103" s="2094"/>
      <c r="R103" s="2094"/>
      <c r="S103" s="2094"/>
      <c r="T103" s="2094"/>
      <c r="U103" s="2094"/>
    </row>
    <row r="104" spans="1:22" ht="12.75">
      <c r="A104" s="2094"/>
      <c r="B104" s="2094"/>
      <c r="C104" s="2094"/>
      <c r="D104" s="2094"/>
      <c r="E104" s="2094"/>
      <c r="F104" s="2094"/>
      <c r="G104" s="2094"/>
      <c r="H104" s="2094"/>
      <c r="I104" s="2094"/>
      <c r="J104" s="2094"/>
      <c r="K104" s="2094"/>
      <c r="L104" s="2094"/>
      <c r="M104" s="2094"/>
      <c r="N104" s="2094"/>
      <c r="O104" s="2094"/>
      <c r="P104" s="2094"/>
      <c r="Q104" s="2094"/>
      <c r="R104" s="2094"/>
      <c r="S104" s="2094"/>
      <c r="T104" s="2094"/>
      <c r="U104" s="2094"/>
    </row>
    <row r="105" spans="1:22">
      <c r="E105" s="956"/>
      <c r="F105" s="956"/>
      <c r="G105" s="956"/>
      <c r="H105" s="956"/>
      <c r="I105" s="956"/>
      <c r="J105" s="956"/>
      <c r="K105" s="956"/>
      <c r="L105" s="956"/>
      <c r="M105" s="956"/>
      <c r="N105" s="956"/>
      <c r="O105" s="956"/>
      <c r="P105" s="956"/>
      <c r="V105" s="957"/>
    </row>
    <row r="106" spans="1:22">
      <c r="E106" s="956"/>
      <c r="F106" s="956"/>
      <c r="G106" s="956"/>
      <c r="H106" s="956"/>
      <c r="I106" s="956"/>
      <c r="J106" s="956"/>
      <c r="K106" s="956"/>
      <c r="L106" s="956"/>
      <c r="M106" s="956"/>
      <c r="N106" s="956"/>
      <c r="O106" s="956"/>
      <c r="P106" s="956"/>
      <c r="V106" s="957"/>
    </row>
    <row r="107" spans="1:22">
      <c r="E107" s="956"/>
      <c r="F107" s="956"/>
      <c r="G107" s="956"/>
      <c r="H107" s="956"/>
      <c r="I107" s="956"/>
      <c r="J107" s="956"/>
      <c r="K107" s="956"/>
      <c r="L107" s="956"/>
      <c r="M107" s="956"/>
      <c r="N107" s="956"/>
      <c r="O107" s="956"/>
      <c r="P107" s="956"/>
      <c r="V107" s="957"/>
    </row>
    <row r="108" spans="1:22">
      <c r="E108" s="956"/>
      <c r="F108" s="956"/>
      <c r="G108" s="956"/>
      <c r="H108" s="956"/>
      <c r="I108" s="956"/>
      <c r="J108" s="956"/>
      <c r="K108" s="956"/>
      <c r="L108" s="956"/>
      <c r="M108" s="956"/>
      <c r="N108" s="956"/>
      <c r="O108" s="956"/>
      <c r="P108" s="956"/>
      <c r="V108" s="957"/>
    </row>
    <row r="109" spans="1:22">
      <c r="E109" s="956"/>
      <c r="F109" s="956"/>
      <c r="G109" s="956"/>
      <c r="H109" s="956"/>
      <c r="I109" s="956"/>
      <c r="J109" s="956"/>
      <c r="K109" s="956"/>
      <c r="L109" s="956"/>
      <c r="M109" s="956"/>
      <c r="N109" s="956"/>
      <c r="O109" s="956"/>
      <c r="P109" s="956"/>
      <c r="V109" s="957"/>
    </row>
    <row r="110" spans="1:22">
      <c r="E110" s="956"/>
      <c r="F110" s="956"/>
      <c r="G110" s="956"/>
      <c r="H110" s="956"/>
      <c r="I110" s="956"/>
      <c r="J110" s="956"/>
      <c r="K110" s="956"/>
      <c r="L110" s="956"/>
      <c r="M110" s="956"/>
      <c r="N110" s="956"/>
      <c r="O110" s="956"/>
      <c r="P110" s="956"/>
      <c r="V110" s="957"/>
    </row>
    <row r="111" spans="1:22">
      <c r="E111" s="956"/>
      <c r="F111" s="956"/>
      <c r="G111" s="956"/>
      <c r="H111" s="956"/>
      <c r="I111" s="956"/>
      <c r="J111" s="956"/>
      <c r="K111" s="956"/>
      <c r="L111" s="956"/>
      <c r="M111" s="956"/>
      <c r="N111" s="956"/>
      <c r="O111" s="956"/>
      <c r="P111" s="956"/>
      <c r="V111" s="957"/>
    </row>
    <row r="112" spans="1:22">
      <c r="E112" s="956"/>
      <c r="F112" s="956"/>
      <c r="G112" s="956"/>
      <c r="H112" s="956"/>
      <c r="I112" s="956"/>
      <c r="J112" s="956"/>
      <c r="K112" s="956"/>
      <c r="L112" s="956"/>
      <c r="M112" s="956"/>
      <c r="N112" s="956"/>
      <c r="O112" s="956"/>
      <c r="P112" s="956"/>
      <c r="V112" s="957"/>
    </row>
    <row r="113" spans="5:22">
      <c r="E113" s="956"/>
      <c r="F113" s="956"/>
      <c r="G113" s="956"/>
      <c r="H113" s="956"/>
      <c r="I113" s="956"/>
      <c r="J113" s="956"/>
      <c r="K113" s="956"/>
      <c r="L113" s="956"/>
      <c r="M113" s="956"/>
      <c r="N113" s="956"/>
      <c r="O113" s="956"/>
      <c r="P113" s="956"/>
      <c r="V113" s="957"/>
    </row>
    <row r="114" spans="5:22">
      <c r="E114" s="956"/>
      <c r="F114" s="956"/>
      <c r="G114" s="956"/>
      <c r="H114" s="956"/>
      <c r="I114" s="956"/>
      <c r="J114" s="956"/>
      <c r="K114" s="956"/>
      <c r="L114" s="956"/>
      <c r="M114" s="956"/>
      <c r="N114" s="956"/>
      <c r="O114" s="956"/>
      <c r="P114" s="956"/>
      <c r="V114" s="957"/>
    </row>
    <row r="115" spans="5:22">
      <c r="E115" s="956"/>
      <c r="F115" s="956"/>
      <c r="G115" s="956"/>
      <c r="H115" s="956"/>
      <c r="I115" s="956"/>
      <c r="J115" s="956"/>
      <c r="K115" s="956"/>
      <c r="L115" s="956"/>
      <c r="M115" s="956"/>
      <c r="N115" s="956"/>
      <c r="O115" s="956"/>
      <c r="P115" s="956"/>
      <c r="V115" s="957"/>
    </row>
    <row r="116" spans="5:22">
      <c r="E116" s="956"/>
      <c r="F116" s="956"/>
      <c r="G116" s="956"/>
      <c r="H116" s="956"/>
      <c r="I116" s="956"/>
      <c r="J116" s="956"/>
      <c r="K116" s="956"/>
      <c r="L116" s="956"/>
      <c r="M116" s="956"/>
      <c r="N116" s="956"/>
      <c r="O116" s="956"/>
      <c r="P116" s="956"/>
      <c r="V116" s="957"/>
    </row>
    <row r="117" spans="5:22">
      <c r="E117" s="956"/>
      <c r="F117" s="956"/>
      <c r="G117" s="956"/>
      <c r="H117" s="956"/>
      <c r="I117" s="956"/>
      <c r="J117" s="956"/>
      <c r="K117" s="956"/>
      <c r="L117" s="956"/>
      <c r="M117" s="956"/>
      <c r="N117" s="956"/>
      <c r="O117" s="956"/>
      <c r="P117" s="956"/>
      <c r="V117" s="957"/>
    </row>
    <row r="118" spans="5:22">
      <c r="E118" s="956"/>
      <c r="F118" s="956"/>
      <c r="G118" s="956"/>
      <c r="H118" s="956"/>
      <c r="I118" s="956"/>
      <c r="J118" s="956"/>
      <c r="K118" s="956"/>
      <c r="L118" s="956"/>
      <c r="M118" s="956"/>
      <c r="N118" s="956"/>
      <c r="O118" s="956"/>
      <c r="P118" s="956"/>
      <c r="V118" s="957"/>
    </row>
    <row r="119" spans="5:22">
      <c r="E119" s="956"/>
      <c r="F119" s="956"/>
      <c r="G119" s="956"/>
      <c r="H119" s="956"/>
      <c r="I119" s="956"/>
      <c r="J119" s="956"/>
      <c r="K119" s="956"/>
      <c r="L119" s="956"/>
      <c r="M119" s="956"/>
      <c r="N119" s="956"/>
      <c r="O119" s="956"/>
      <c r="P119" s="956"/>
      <c r="V119" s="957"/>
    </row>
    <row r="120" spans="5:22">
      <c r="E120" s="956"/>
      <c r="F120" s="956"/>
      <c r="G120" s="956"/>
      <c r="H120" s="956"/>
      <c r="I120" s="956"/>
      <c r="J120" s="956"/>
      <c r="K120" s="956"/>
      <c r="L120" s="956"/>
      <c r="M120" s="956"/>
      <c r="N120" s="956"/>
      <c r="O120" s="956"/>
      <c r="P120" s="956"/>
      <c r="V120" s="957"/>
    </row>
    <row r="121" spans="5:22">
      <c r="E121" s="956"/>
      <c r="F121" s="956"/>
      <c r="G121" s="956"/>
      <c r="H121" s="956"/>
      <c r="I121" s="956"/>
      <c r="J121" s="956"/>
      <c r="K121" s="956"/>
      <c r="L121" s="956"/>
      <c r="M121" s="956"/>
      <c r="N121" s="956"/>
      <c r="O121" s="956"/>
      <c r="P121" s="956"/>
      <c r="V121" s="957"/>
    </row>
    <row r="122" spans="5:22">
      <c r="E122" s="956"/>
      <c r="F122" s="956"/>
      <c r="G122" s="956"/>
      <c r="H122" s="956"/>
      <c r="I122" s="956"/>
      <c r="J122" s="956"/>
      <c r="K122" s="956"/>
      <c r="L122" s="956"/>
      <c r="M122" s="956"/>
      <c r="N122" s="956"/>
      <c r="O122" s="956"/>
      <c r="P122" s="956"/>
      <c r="V122" s="957"/>
    </row>
    <row r="123" spans="5:22">
      <c r="E123" s="956"/>
      <c r="F123" s="956"/>
      <c r="G123" s="956"/>
      <c r="H123" s="956"/>
      <c r="I123" s="956"/>
      <c r="J123" s="956"/>
      <c r="K123" s="956"/>
      <c r="L123" s="956"/>
      <c r="M123" s="956"/>
      <c r="N123" s="956"/>
      <c r="O123" s="956"/>
      <c r="P123" s="956"/>
      <c r="V123" s="957"/>
    </row>
    <row r="124" spans="5:22">
      <c r="E124" s="956"/>
      <c r="F124" s="956"/>
      <c r="G124" s="956"/>
      <c r="H124" s="956"/>
      <c r="I124" s="956"/>
      <c r="J124" s="956"/>
      <c r="K124" s="956"/>
      <c r="L124" s="956"/>
      <c r="M124" s="956"/>
      <c r="N124" s="956"/>
      <c r="O124" s="956"/>
      <c r="P124" s="956"/>
      <c r="V124" s="957"/>
    </row>
    <row r="125" spans="5:22">
      <c r="E125" s="956"/>
      <c r="F125" s="956"/>
      <c r="G125" s="956"/>
      <c r="H125" s="956"/>
      <c r="I125" s="956"/>
      <c r="J125" s="956"/>
      <c r="K125" s="956"/>
      <c r="L125" s="956"/>
      <c r="M125" s="956"/>
      <c r="N125" s="956"/>
      <c r="O125" s="956"/>
      <c r="P125" s="956"/>
      <c r="V125" s="957"/>
    </row>
    <row r="126" spans="5:22">
      <c r="E126" s="956"/>
      <c r="F126" s="956"/>
      <c r="G126" s="956"/>
      <c r="H126" s="956"/>
      <c r="I126" s="956"/>
      <c r="J126" s="956"/>
      <c r="K126" s="956"/>
      <c r="L126" s="956"/>
      <c r="M126" s="956"/>
      <c r="N126" s="956"/>
      <c r="O126" s="956"/>
      <c r="P126" s="956"/>
      <c r="V126" s="957"/>
    </row>
    <row r="127" spans="5:22">
      <c r="E127" s="956"/>
      <c r="F127" s="956"/>
      <c r="G127" s="956"/>
      <c r="H127" s="956"/>
      <c r="I127" s="956"/>
      <c r="J127" s="956"/>
      <c r="K127" s="956"/>
      <c r="L127" s="956"/>
      <c r="M127" s="956"/>
      <c r="N127" s="956"/>
      <c r="O127" s="956"/>
      <c r="P127" s="956"/>
      <c r="V127" s="957"/>
    </row>
    <row r="128" spans="5:22">
      <c r="E128" s="956"/>
      <c r="F128" s="956"/>
      <c r="G128" s="956"/>
      <c r="H128" s="956"/>
      <c r="I128" s="956"/>
      <c r="J128" s="956"/>
      <c r="K128" s="956"/>
      <c r="L128" s="956"/>
      <c r="M128" s="956"/>
      <c r="N128" s="956"/>
      <c r="O128" s="956"/>
      <c r="P128" s="956"/>
      <c r="V128" s="957"/>
    </row>
    <row r="129" spans="5:22">
      <c r="E129" s="956"/>
      <c r="F129" s="956"/>
      <c r="G129" s="956"/>
      <c r="H129" s="956"/>
      <c r="I129" s="956"/>
      <c r="J129" s="956"/>
      <c r="K129" s="956"/>
      <c r="L129" s="956"/>
      <c r="M129" s="956"/>
      <c r="N129" s="956"/>
      <c r="O129" s="956"/>
      <c r="P129" s="956"/>
      <c r="V129" s="957"/>
    </row>
    <row r="130" spans="5:22">
      <c r="E130" s="956"/>
      <c r="F130" s="956"/>
      <c r="G130" s="956"/>
      <c r="H130" s="956"/>
      <c r="I130" s="956"/>
      <c r="J130" s="956"/>
      <c r="K130" s="956"/>
      <c r="L130" s="956"/>
      <c r="M130" s="956"/>
      <c r="N130" s="956"/>
      <c r="O130" s="956"/>
      <c r="P130" s="956"/>
      <c r="V130" s="957"/>
    </row>
    <row r="131" spans="5:22">
      <c r="E131" s="956"/>
      <c r="F131" s="956"/>
      <c r="G131" s="956"/>
      <c r="H131" s="956"/>
      <c r="I131" s="956"/>
      <c r="J131" s="956"/>
      <c r="K131" s="956"/>
      <c r="L131" s="956"/>
      <c r="M131" s="956"/>
      <c r="N131" s="956"/>
      <c r="O131" s="956"/>
      <c r="P131" s="956"/>
      <c r="V131" s="957"/>
    </row>
    <row r="132" spans="5:22">
      <c r="E132" s="956"/>
      <c r="F132" s="956"/>
      <c r="G132" s="956"/>
      <c r="H132" s="956"/>
      <c r="I132" s="956"/>
      <c r="J132" s="956"/>
      <c r="K132" s="956"/>
      <c r="L132" s="956"/>
      <c r="M132" s="956"/>
      <c r="N132" s="956"/>
      <c r="O132" s="956"/>
      <c r="P132" s="956"/>
      <c r="V132" s="957"/>
    </row>
    <row r="133" spans="5:22">
      <c r="E133" s="956"/>
      <c r="F133" s="956"/>
      <c r="G133" s="956"/>
      <c r="H133" s="956"/>
      <c r="I133" s="956"/>
      <c r="J133" s="956"/>
      <c r="K133" s="956"/>
      <c r="L133" s="956"/>
      <c r="M133" s="956"/>
      <c r="N133" s="956"/>
      <c r="O133" s="956"/>
      <c r="P133" s="956"/>
      <c r="V133" s="957"/>
    </row>
    <row r="134" spans="5:22">
      <c r="E134" s="956"/>
      <c r="F134" s="956"/>
      <c r="G134" s="956"/>
      <c r="H134" s="956"/>
      <c r="I134" s="956"/>
      <c r="J134" s="956"/>
      <c r="K134" s="956"/>
      <c r="L134" s="956"/>
      <c r="M134" s="956"/>
      <c r="N134" s="956"/>
      <c r="O134" s="956"/>
      <c r="P134" s="956"/>
      <c r="V134" s="957"/>
    </row>
    <row r="135" spans="5:22">
      <c r="E135" s="956"/>
      <c r="F135" s="956"/>
      <c r="G135" s="956"/>
      <c r="H135" s="956"/>
      <c r="I135" s="956"/>
      <c r="J135" s="956"/>
      <c r="K135" s="956"/>
      <c r="L135" s="956"/>
      <c r="M135" s="956"/>
      <c r="N135" s="956"/>
      <c r="O135" s="956"/>
      <c r="P135" s="956"/>
      <c r="V135" s="957"/>
    </row>
    <row r="136" spans="5:22">
      <c r="E136" s="956"/>
      <c r="F136" s="956"/>
      <c r="G136" s="956"/>
      <c r="H136" s="956"/>
      <c r="I136" s="956"/>
      <c r="J136" s="956"/>
      <c r="K136" s="956"/>
      <c r="L136" s="956"/>
      <c r="M136" s="956"/>
      <c r="N136" s="956"/>
      <c r="O136" s="956"/>
      <c r="P136" s="956"/>
      <c r="V136" s="957"/>
    </row>
    <row r="137" spans="5:22">
      <c r="E137" s="956"/>
      <c r="F137" s="956"/>
      <c r="G137" s="956"/>
      <c r="H137" s="956"/>
      <c r="I137" s="956"/>
      <c r="J137" s="956"/>
      <c r="K137" s="956"/>
      <c r="L137" s="956"/>
      <c r="M137" s="956"/>
      <c r="N137" s="956"/>
      <c r="O137" s="956"/>
      <c r="P137" s="956"/>
      <c r="V137" s="957"/>
    </row>
    <row r="138" spans="5:22">
      <c r="E138" s="956"/>
      <c r="F138" s="956"/>
      <c r="G138" s="956"/>
      <c r="H138" s="956"/>
      <c r="I138" s="956"/>
      <c r="J138" s="956"/>
      <c r="K138" s="956"/>
      <c r="L138" s="956"/>
      <c r="M138" s="956"/>
      <c r="N138" s="956"/>
      <c r="O138" s="956"/>
      <c r="P138" s="956"/>
      <c r="V138" s="957"/>
    </row>
    <row r="139" spans="5:22"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V139" s="957"/>
    </row>
    <row r="140" spans="5:22"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956"/>
      <c r="V140" s="957"/>
    </row>
    <row r="141" spans="5:22">
      <c r="E141" s="956"/>
      <c r="F141" s="956"/>
      <c r="G141" s="956"/>
      <c r="H141" s="956"/>
      <c r="I141" s="956"/>
      <c r="J141" s="956"/>
      <c r="K141" s="956"/>
      <c r="L141" s="956"/>
      <c r="M141" s="956"/>
      <c r="N141" s="956"/>
      <c r="O141" s="956"/>
      <c r="P141" s="956"/>
      <c r="V141" s="957"/>
    </row>
    <row r="142" spans="5:22">
      <c r="E142" s="956"/>
      <c r="F142" s="956"/>
      <c r="G142" s="956"/>
      <c r="H142" s="956"/>
      <c r="I142" s="956"/>
      <c r="J142" s="956"/>
      <c r="K142" s="956"/>
      <c r="L142" s="956"/>
      <c r="M142" s="956"/>
      <c r="N142" s="956"/>
      <c r="O142" s="956"/>
      <c r="P142" s="956"/>
      <c r="V142" s="957"/>
    </row>
    <row r="143" spans="5:22">
      <c r="E143" s="956"/>
      <c r="F143" s="956"/>
      <c r="G143" s="956"/>
      <c r="H143" s="956"/>
      <c r="I143" s="956"/>
      <c r="J143" s="956"/>
      <c r="K143" s="956"/>
      <c r="L143" s="956"/>
      <c r="M143" s="956"/>
      <c r="N143" s="956"/>
      <c r="O143" s="956"/>
      <c r="P143" s="956"/>
      <c r="V143" s="957"/>
    </row>
    <row r="144" spans="5:22">
      <c r="E144" s="956"/>
      <c r="F144" s="956"/>
      <c r="G144" s="956"/>
      <c r="H144" s="956"/>
      <c r="I144" s="956"/>
      <c r="J144" s="956"/>
      <c r="K144" s="956"/>
      <c r="L144" s="956"/>
      <c r="M144" s="956"/>
      <c r="N144" s="956"/>
      <c r="O144" s="956"/>
      <c r="P144" s="956"/>
      <c r="V144" s="957"/>
    </row>
    <row r="145" spans="5:22"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V145" s="957"/>
    </row>
    <row r="146" spans="5:22">
      <c r="E146" s="956"/>
      <c r="F146" s="956"/>
      <c r="G146" s="956"/>
      <c r="H146" s="956"/>
      <c r="I146" s="956"/>
      <c r="J146" s="956"/>
      <c r="K146" s="956"/>
      <c r="L146" s="956"/>
      <c r="M146" s="956"/>
      <c r="N146" s="956"/>
      <c r="O146" s="956"/>
      <c r="P146" s="956"/>
      <c r="V146" s="957"/>
    </row>
    <row r="147" spans="5:22"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6"/>
      <c r="P147" s="956"/>
      <c r="V147" s="957"/>
    </row>
    <row r="148" spans="5:22">
      <c r="E148" s="956"/>
      <c r="F148" s="956"/>
      <c r="G148" s="956"/>
      <c r="H148" s="956"/>
      <c r="I148" s="956"/>
      <c r="J148" s="956"/>
      <c r="K148" s="956"/>
      <c r="L148" s="956"/>
      <c r="M148" s="956"/>
      <c r="N148" s="956"/>
      <c r="O148" s="956"/>
      <c r="P148" s="956"/>
      <c r="V148" s="957"/>
    </row>
    <row r="149" spans="5:22"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V149" s="957"/>
    </row>
    <row r="150" spans="5:22">
      <c r="E150" s="956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V150" s="957"/>
    </row>
    <row r="151" spans="5:22">
      <c r="E151" s="956"/>
      <c r="F151" s="956"/>
      <c r="G151" s="956"/>
      <c r="H151" s="956"/>
      <c r="I151" s="956"/>
      <c r="J151" s="956"/>
      <c r="K151" s="956"/>
      <c r="L151" s="956"/>
      <c r="M151" s="956"/>
      <c r="N151" s="956"/>
      <c r="O151" s="956"/>
      <c r="P151" s="956"/>
      <c r="V151" s="957"/>
    </row>
    <row r="152" spans="5:22">
      <c r="E152" s="956"/>
      <c r="F152" s="956"/>
      <c r="G152" s="956"/>
      <c r="H152" s="956"/>
      <c r="I152" s="956"/>
      <c r="J152" s="956"/>
      <c r="K152" s="956"/>
      <c r="L152" s="956"/>
      <c r="M152" s="956"/>
      <c r="N152" s="956"/>
      <c r="O152" s="956"/>
      <c r="P152" s="956"/>
      <c r="V152" s="957"/>
    </row>
    <row r="153" spans="5:22">
      <c r="E153" s="956"/>
      <c r="F153" s="956"/>
      <c r="G153" s="956"/>
      <c r="H153" s="956"/>
      <c r="I153" s="956"/>
      <c r="J153" s="956"/>
      <c r="K153" s="956"/>
      <c r="L153" s="956"/>
      <c r="M153" s="956"/>
      <c r="N153" s="956"/>
      <c r="O153" s="956"/>
      <c r="P153" s="956"/>
      <c r="V153" s="957"/>
    </row>
    <row r="154" spans="5:22">
      <c r="E154" s="956"/>
      <c r="F154" s="956"/>
      <c r="G154" s="956"/>
      <c r="H154" s="956"/>
      <c r="I154" s="956"/>
      <c r="J154" s="956"/>
      <c r="K154" s="956"/>
      <c r="L154" s="956"/>
      <c r="M154" s="956"/>
      <c r="N154" s="956"/>
      <c r="O154" s="956"/>
      <c r="P154" s="956"/>
      <c r="V154" s="957"/>
    </row>
    <row r="155" spans="5:22">
      <c r="E155" s="956"/>
      <c r="F155" s="956"/>
      <c r="G155" s="956"/>
      <c r="H155" s="956"/>
      <c r="I155" s="956"/>
      <c r="J155" s="956"/>
      <c r="K155" s="956"/>
      <c r="L155" s="956"/>
      <c r="M155" s="956"/>
      <c r="N155" s="956"/>
      <c r="O155" s="956"/>
      <c r="P155" s="956"/>
      <c r="V155" s="957"/>
    </row>
    <row r="156" spans="5:22">
      <c r="E156" s="956"/>
      <c r="F156" s="956"/>
      <c r="G156" s="956"/>
      <c r="H156" s="956"/>
      <c r="I156" s="956"/>
      <c r="J156" s="956"/>
      <c r="K156" s="956"/>
      <c r="L156" s="956"/>
      <c r="M156" s="956"/>
      <c r="N156" s="956"/>
      <c r="O156" s="956"/>
      <c r="P156" s="956"/>
      <c r="V156" s="957"/>
    </row>
    <row r="157" spans="5:22">
      <c r="E157" s="956"/>
      <c r="F157" s="956"/>
      <c r="G157" s="956"/>
      <c r="H157" s="956"/>
      <c r="I157" s="956"/>
      <c r="J157" s="956"/>
      <c r="K157" s="956"/>
      <c r="L157" s="956"/>
      <c r="M157" s="956"/>
      <c r="N157" s="956"/>
      <c r="O157" s="956"/>
      <c r="P157" s="956"/>
      <c r="V157" s="957"/>
    </row>
    <row r="158" spans="5:22">
      <c r="E158" s="956"/>
      <c r="F158" s="956"/>
      <c r="G158" s="956"/>
      <c r="H158" s="956"/>
      <c r="I158" s="956"/>
      <c r="J158" s="956"/>
      <c r="K158" s="956"/>
      <c r="L158" s="956"/>
      <c r="M158" s="956"/>
      <c r="N158" s="956"/>
      <c r="O158" s="956"/>
      <c r="P158" s="956"/>
      <c r="V158" s="957"/>
    </row>
    <row r="159" spans="5:22">
      <c r="E159" s="956"/>
      <c r="F159" s="956"/>
      <c r="G159" s="956"/>
      <c r="H159" s="956"/>
      <c r="I159" s="956"/>
      <c r="J159" s="956"/>
      <c r="K159" s="956"/>
      <c r="L159" s="956"/>
      <c r="M159" s="956"/>
      <c r="N159" s="956"/>
      <c r="O159" s="956"/>
      <c r="P159" s="956"/>
      <c r="V159" s="957"/>
    </row>
    <row r="160" spans="5:22">
      <c r="E160" s="956"/>
      <c r="F160" s="956"/>
      <c r="G160" s="956"/>
      <c r="H160" s="956"/>
      <c r="I160" s="956"/>
      <c r="J160" s="956"/>
      <c r="K160" s="956"/>
      <c r="L160" s="956"/>
      <c r="M160" s="956"/>
      <c r="N160" s="956"/>
      <c r="O160" s="956"/>
      <c r="P160" s="956"/>
      <c r="V160" s="957"/>
    </row>
    <row r="161" spans="1:22">
      <c r="E161" s="956"/>
      <c r="F161" s="956"/>
      <c r="G161" s="956"/>
      <c r="H161" s="956"/>
      <c r="I161" s="956"/>
      <c r="J161" s="956"/>
      <c r="K161" s="956"/>
      <c r="L161" s="956"/>
      <c r="M161" s="956"/>
      <c r="N161" s="956"/>
      <c r="O161" s="956"/>
      <c r="P161" s="956"/>
      <c r="V161" s="957"/>
    </row>
    <row r="162" spans="1:22">
      <c r="E162" s="956"/>
      <c r="F162" s="956"/>
      <c r="G162" s="956"/>
      <c r="H162" s="956"/>
      <c r="I162" s="956"/>
      <c r="J162" s="956"/>
      <c r="K162" s="956"/>
      <c r="L162" s="956"/>
      <c r="M162" s="956"/>
      <c r="N162" s="956"/>
      <c r="O162" s="956"/>
      <c r="P162" s="956"/>
      <c r="V162" s="957"/>
    </row>
    <row r="163" spans="1:22">
      <c r="E163" s="956"/>
      <c r="F163" s="956"/>
      <c r="G163" s="956"/>
      <c r="H163" s="956"/>
      <c r="I163" s="956"/>
      <c r="J163" s="956"/>
      <c r="K163" s="956"/>
      <c r="L163" s="956"/>
      <c r="M163" s="956"/>
      <c r="N163" s="956"/>
      <c r="O163" s="956"/>
      <c r="P163" s="956"/>
      <c r="V163" s="957"/>
    </row>
    <row r="164" spans="1:22">
      <c r="E164" s="956"/>
      <c r="F164" s="956"/>
      <c r="G164" s="956"/>
      <c r="H164" s="956"/>
      <c r="I164" s="956"/>
      <c r="J164" s="956"/>
      <c r="K164" s="956"/>
      <c r="L164" s="956"/>
      <c r="M164" s="956"/>
      <c r="N164" s="956"/>
      <c r="O164" s="956"/>
      <c r="P164" s="956"/>
      <c r="V164" s="957"/>
    </row>
    <row r="165" spans="1:22"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V165" s="957"/>
    </row>
    <row r="166" spans="1:22"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V166" s="957"/>
    </row>
    <row r="167" spans="1:22">
      <c r="E167" s="956"/>
      <c r="F167" s="956"/>
      <c r="G167" s="956"/>
      <c r="H167" s="956"/>
      <c r="I167" s="956"/>
      <c r="J167" s="956"/>
      <c r="K167" s="956"/>
      <c r="L167" s="956"/>
      <c r="M167" s="956"/>
      <c r="N167" s="956"/>
      <c r="O167" s="956"/>
      <c r="P167" s="956"/>
      <c r="V167" s="957"/>
    </row>
    <row r="168" spans="1:22">
      <c r="E168" s="956"/>
      <c r="F168" s="956"/>
      <c r="G168" s="956"/>
      <c r="H168" s="956"/>
      <c r="I168" s="956"/>
      <c r="J168" s="956"/>
      <c r="K168" s="956"/>
      <c r="L168" s="956"/>
      <c r="M168" s="956"/>
      <c r="N168" s="956"/>
      <c r="O168" s="956"/>
      <c r="P168" s="956"/>
      <c r="V168" s="957"/>
    </row>
    <row r="169" spans="1:22" ht="12.75">
      <c r="A169" s="2094"/>
      <c r="B169" s="2094" t="s">
        <v>89</v>
      </c>
      <c r="C169" s="2094"/>
      <c r="D169" s="2094"/>
      <c r="E169" s="2094"/>
      <c r="F169" s="2094"/>
      <c r="G169" s="2094"/>
      <c r="H169" s="2094"/>
      <c r="I169" s="2094"/>
      <c r="J169" s="2094"/>
      <c r="K169" s="2094"/>
      <c r="L169" s="2094"/>
      <c r="M169" s="2094"/>
      <c r="N169" s="2094"/>
      <c r="O169" s="2094"/>
      <c r="P169" s="2094"/>
      <c r="Q169" s="2094"/>
      <c r="R169" s="2094"/>
      <c r="S169" s="2094"/>
      <c r="T169" s="2094"/>
      <c r="U169" s="2094"/>
      <c r="V169" s="2094"/>
    </row>
    <row r="170" spans="1:22" ht="12.75">
      <c r="A170" s="2094"/>
      <c r="B170" s="956"/>
      <c r="C170" s="956"/>
      <c r="D170" s="956"/>
      <c r="E170" s="956"/>
      <c r="F170" s="956"/>
      <c r="G170" s="956"/>
      <c r="H170" s="956"/>
      <c r="I170" s="956"/>
      <c r="J170" s="956"/>
      <c r="K170" s="956"/>
      <c r="L170" s="956"/>
      <c r="M170" s="956"/>
      <c r="N170" s="956"/>
      <c r="O170" s="956"/>
      <c r="P170" s="956"/>
      <c r="V170" s="2094"/>
    </row>
    <row r="171" spans="1:22" ht="12.75">
      <c r="A171" s="2094"/>
      <c r="B171" s="956"/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V171" s="2094"/>
    </row>
    <row r="172" spans="1:22" ht="12.75">
      <c r="A172" s="2094"/>
      <c r="B172" s="956"/>
      <c r="C172" s="956"/>
      <c r="D172" s="956"/>
      <c r="E172" s="956"/>
      <c r="F172" s="956"/>
      <c r="G172" s="956"/>
      <c r="H172" s="956"/>
      <c r="I172" s="956"/>
      <c r="J172" s="956"/>
      <c r="K172" s="956"/>
      <c r="L172" s="956"/>
      <c r="M172" s="956"/>
      <c r="N172" s="956"/>
      <c r="O172" s="956"/>
      <c r="P172" s="956"/>
      <c r="V172" s="2094"/>
    </row>
    <row r="173" spans="1:22" ht="12.75">
      <c r="A173" s="2094"/>
      <c r="B173" s="956"/>
      <c r="C173" s="956"/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V173" s="2094"/>
    </row>
    <row r="174" spans="1:22" ht="12.75">
      <c r="A174" s="2094"/>
      <c r="B174" s="956"/>
      <c r="C174" s="956"/>
      <c r="D174" s="956"/>
      <c r="E174" s="956"/>
      <c r="F174" s="956"/>
      <c r="G174" s="956"/>
      <c r="H174" s="956"/>
      <c r="I174" s="956"/>
      <c r="J174" s="956"/>
      <c r="K174" s="956"/>
      <c r="L174" s="956"/>
      <c r="M174" s="956"/>
      <c r="N174" s="956"/>
      <c r="O174" s="956"/>
      <c r="P174" s="956"/>
      <c r="V174" s="2094"/>
    </row>
    <row r="175" spans="1:22" ht="12.75">
      <c r="A175" s="2094"/>
      <c r="B175" s="956"/>
      <c r="C175" s="956"/>
      <c r="D175" s="956"/>
      <c r="E175" s="956"/>
      <c r="F175" s="956"/>
      <c r="G175" s="956"/>
      <c r="H175" s="956"/>
      <c r="I175" s="956"/>
      <c r="J175" s="956"/>
      <c r="K175" s="956"/>
      <c r="L175" s="956"/>
      <c r="M175" s="956"/>
      <c r="N175" s="956"/>
      <c r="O175" s="956"/>
      <c r="P175" s="956"/>
      <c r="V175" s="2094"/>
    </row>
    <row r="176" spans="1:22" ht="12.75">
      <c r="A176" s="2094"/>
      <c r="B176" s="956"/>
      <c r="C176" s="956"/>
      <c r="D176" s="956"/>
      <c r="E176" s="956"/>
      <c r="F176" s="956"/>
      <c r="G176" s="956"/>
      <c r="H176" s="956"/>
      <c r="I176" s="956"/>
      <c r="J176" s="956"/>
      <c r="K176" s="956"/>
      <c r="L176" s="956"/>
      <c r="M176" s="956"/>
      <c r="N176" s="956"/>
      <c r="O176" s="956"/>
      <c r="P176" s="956"/>
      <c r="V176" s="2094"/>
    </row>
    <row r="177" spans="1:22" ht="12.75">
      <c r="A177" s="2094"/>
      <c r="B177" s="956"/>
      <c r="C177" s="956"/>
      <c r="D177" s="956"/>
      <c r="E177" s="956"/>
      <c r="F177" s="956"/>
      <c r="G177" s="956"/>
      <c r="H177" s="956"/>
      <c r="I177" s="956"/>
      <c r="J177" s="956"/>
      <c r="K177" s="956"/>
      <c r="L177" s="956"/>
      <c r="M177" s="956"/>
      <c r="N177" s="956"/>
      <c r="O177" s="956"/>
      <c r="P177" s="956"/>
      <c r="V177" s="2094"/>
    </row>
    <row r="178" spans="1:22" ht="12.75">
      <c r="A178" s="2094"/>
      <c r="B178" s="956"/>
      <c r="C178" s="956"/>
      <c r="D178" s="956"/>
      <c r="E178" s="956"/>
      <c r="F178" s="956"/>
      <c r="G178" s="956"/>
      <c r="H178" s="956"/>
      <c r="I178" s="956"/>
      <c r="J178" s="956"/>
      <c r="K178" s="956"/>
      <c r="L178" s="956"/>
      <c r="M178" s="956"/>
      <c r="N178" s="956"/>
      <c r="O178" s="956"/>
      <c r="P178" s="956"/>
      <c r="V178" s="2094"/>
    </row>
    <row r="179" spans="1:22" ht="12.75">
      <c r="A179" s="2094"/>
      <c r="B179" s="956"/>
      <c r="C179" s="956"/>
      <c r="D179" s="956"/>
      <c r="E179" s="956"/>
      <c r="F179" s="956"/>
      <c r="G179" s="956"/>
      <c r="H179" s="956"/>
      <c r="I179" s="956"/>
      <c r="J179" s="956"/>
      <c r="K179" s="956"/>
      <c r="L179" s="956"/>
      <c r="M179" s="956"/>
      <c r="N179" s="956"/>
      <c r="O179" s="956"/>
      <c r="P179" s="956"/>
      <c r="V179" s="2094"/>
    </row>
    <row r="180" spans="1:22" ht="12.75">
      <c r="A180" s="2094"/>
      <c r="B180" s="2094"/>
      <c r="C180" s="2094"/>
      <c r="D180" s="2094"/>
      <c r="E180" s="2094"/>
      <c r="F180" s="2094"/>
      <c r="G180" s="2094"/>
      <c r="H180" s="2094"/>
      <c r="I180" s="2094"/>
      <c r="J180" s="2094"/>
      <c r="K180" s="2094"/>
      <c r="L180" s="2094"/>
      <c r="M180" s="2094"/>
      <c r="N180" s="2094"/>
      <c r="O180" s="2094"/>
      <c r="P180" s="2094"/>
      <c r="Q180" s="2094"/>
      <c r="R180" s="2094"/>
      <c r="S180" s="2094"/>
      <c r="T180" s="2094"/>
      <c r="U180" s="2094"/>
      <c r="V180" s="2094"/>
    </row>
    <row r="181" spans="1:22"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V181" s="957"/>
    </row>
    <row r="182" spans="1:22">
      <c r="E182" s="956"/>
      <c r="F182" s="956"/>
      <c r="G182" s="956"/>
      <c r="H182" s="956"/>
      <c r="I182" s="956"/>
      <c r="J182" s="956"/>
      <c r="K182" s="956"/>
      <c r="L182" s="956"/>
      <c r="M182" s="956"/>
      <c r="N182" s="956"/>
      <c r="O182" s="956"/>
      <c r="P182" s="956"/>
      <c r="V182" s="957"/>
    </row>
    <row r="183" spans="1:22">
      <c r="E183" s="956"/>
      <c r="F183" s="956"/>
      <c r="G183" s="956"/>
      <c r="H183" s="956"/>
      <c r="I183" s="956"/>
      <c r="J183" s="956"/>
      <c r="K183" s="956"/>
      <c r="L183" s="956"/>
      <c r="M183" s="956"/>
      <c r="N183" s="956"/>
      <c r="O183" s="956"/>
      <c r="P183" s="956"/>
      <c r="V183" s="957"/>
    </row>
    <row r="184" spans="1:22">
      <c r="E184" s="956"/>
      <c r="F184" s="956"/>
      <c r="G184" s="956"/>
      <c r="H184" s="956"/>
      <c r="I184" s="956"/>
      <c r="J184" s="956"/>
      <c r="K184" s="956"/>
      <c r="L184" s="956"/>
      <c r="M184" s="956"/>
      <c r="N184" s="956"/>
      <c r="O184" s="956"/>
      <c r="P184" s="956"/>
      <c r="V184" s="957"/>
    </row>
    <row r="185" spans="1:22">
      <c r="E185" s="956"/>
      <c r="F185" s="956"/>
      <c r="G185" s="956"/>
      <c r="H185" s="956"/>
      <c r="I185" s="956"/>
      <c r="J185" s="956"/>
      <c r="K185" s="956"/>
      <c r="L185" s="956"/>
      <c r="M185" s="956"/>
      <c r="N185" s="956"/>
      <c r="O185" s="956"/>
      <c r="P185" s="956"/>
      <c r="V185" s="957"/>
    </row>
    <row r="186" spans="1:22">
      <c r="E186" s="956"/>
      <c r="F186" s="956"/>
      <c r="G186" s="956"/>
      <c r="H186" s="956"/>
      <c r="I186" s="956"/>
      <c r="J186" s="956"/>
      <c r="K186" s="956"/>
      <c r="L186" s="956"/>
      <c r="M186" s="956"/>
      <c r="N186" s="956"/>
      <c r="O186" s="956"/>
      <c r="P186" s="956"/>
      <c r="V186" s="957"/>
    </row>
    <row r="187" spans="1:22">
      <c r="E187" s="956"/>
      <c r="F187" s="956"/>
      <c r="G187" s="956"/>
      <c r="H187" s="956"/>
      <c r="I187" s="956"/>
      <c r="J187" s="956"/>
      <c r="K187" s="956"/>
      <c r="L187" s="956"/>
      <c r="M187" s="956"/>
      <c r="N187" s="956"/>
      <c r="O187" s="956"/>
      <c r="P187" s="956"/>
      <c r="V187" s="957"/>
    </row>
    <row r="188" spans="1:22">
      <c r="E188" s="956"/>
      <c r="F188" s="956"/>
      <c r="G188" s="956"/>
      <c r="H188" s="956"/>
      <c r="I188" s="956"/>
      <c r="J188" s="956"/>
      <c r="K188" s="956"/>
      <c r="L188" s="956"/>
      <c r="M188" s="956"/>
      <c r="N188" s="956"/>
      <c r="O188" s="956"/>
      <c r="P188" s="956"/>
      <c r="V188" s="957"/>
    </row>
    <row r="189" spans="1:22">
      <c r="E189" s="956"/>
      <c r="F189" s="956"/>
      <c r="G189" s="956"/>
      <c r="H189" s="956"/>
      <c r="I189" s="956"/>
      <c r="J189" s="956"/>
      <c r="K189" s="956"/>
      <c r="L189" s="956"/>
      <c r="M189" s="956"/>
      <c r="N189" s="956"/>
      <c r="O189" s="956"/>
      <c r="P189" s="956"/>
      <c r="V189" s="957"/>
    </row>
    <row r="190" spans="1:22">
      <c r="E190" s="956"/>
      <c r="F190" s="956"/>
      <c r="G190" s="956"/>
      <c r="H190" s="956"/>
      <c r="I190" s="956"/>
      <c r="J190" s="956"/>
      <c r="K190" s="956"/>
      <c r="L190" s="956"/>
      <c r="M190" s="956"/>
      <c r="N190" s="956"/>
      <c r="O190" s="956"/>
      <c r="P190" s="956"/>
      <c r="V190" s="957"/>
    </row>
    <row r="191" spans="1:22">
      <c r="E191" s="956"/>
      <c r="F191" s="956"/>
      <c r="G191" s="956"/>
      <c r="H191" s="956"/>
      <c r="I191" s="956"/>
      <c r="J191" s="956"/>
      <c r="K191" s="956"/>
      <c r="L191" s="956"/>
      <c r="M191" s="956"/>
      <c r="N191" s="956"/>
      <c r="O191" s="956"/>
      <c r="P191" s="956"/>
      <c r="V191" s="957"/>
    </row>
    <row r="192" spans="1:22">
      <c r="E192" s="956"/>
      <c r="F192" s="956"/>
      <c r="G192" s="956"/>
      <c r="H192" s="956"/>
      <c r="I192" s="956"/>
      <c r="J192" s="956"/>
      <c r="K192" s="956"/>
      <c r="L192" s="956"/>
      <c r="M192" s="956"/>
      <c r="N192" s="956"/>
      <c r="O192" s="956"/>
      <c r="P192" s="956"/>
      <c r="V192" s="957"/>
    </row>
    <row r="193" spans="5:22">
      <c r="E193" s="956"/>
      <c r="F193" s="956"/>
      <c r="G193" s="956"/>
      <c r="H193" s="956"/>
      <c r="I193" s="956"/>
      <c r="J193" s="956"/>
      <c r="K193" s="956"/>
      <c r="L193" s="956"/>
      <c r="M193" s="956"/>
      <c r="N193" s="956"/>
      <c r="O193" s="956"/>
      <c r="P193" s="956"/>
      <c r="V193" s="957"/>
    </row>
    <row r="194" spans="5:22">
      <c r="E194" s="956"/>
      <c r="F194" s="956"/>
      <c r="G194" s="956"/>
      <c r="H194" s="956"/>
      <c r="I194" s="956"/>
      <c r="J194" s="956"/>
      <c r="K194" s="956"/>
      <c r="L194" s="956"/>
      <c r="M194" s="956"/>
      <c r="N194" s="956"/>
      <c r="O194" s="956"/>
      <c r="P194" s="956"/>
      <c r="V194" s="957"/>
    </row>
    <row r="195" spans="5:22">
      <c r="E195" s="956"/>
      <c r="F195" s="956"/>
      <c r="G195" s="956"/>
      <c r="H195" s="956"/>
      <c r="I195" s="956"/>
      <c r="J195" s="956"/>
      <c r="K195" s="956"/>
      <c r="L195" s="956"/>
      <c r="M195" s="956"/>
      <c r="N195" s="956"/>
      <c r="O195" s="956"/>
      <c r="P195" s="956"/>
      <c r="V195" s="957"/>
    </row>
    <row r="196" spans="5:22">
      <c r="E196" s="956"/>
      <c r="F196" s="956"/>
      <c r="G196" s="956"/>
      <c r="H196" s="956"/>
      <c r="I196" s="956"/>
      <c r="J196" s="956"/>
      <c r="K196" s="956"/>
      <c r="L196" s="956"/>
      <c r="M196" s="956"/>
      <c r="N196" s="956"/>
      <c r="O196" s="956"/>
      <c r="P196" s="956"/>
      <c r="V196" s="957"/>
    </row>
    <row r="197" spans="5:22">
      <c r="E197" s="956"/>
      <c r="F197" s="956"/>
      <c r="G197" s="956"/>
      <c r="H197" s="956"/>
      <c r="I197" s="956"/>
      <c r="J197" s="956"/>
      <c r="K197" s="956"/>
      <c r="L197" s="956"/>
      <c r="M197" s="956"/>
      <c r="N197" s="956"/>
      <c r="O197" s="956"/>
      <c r="P197" s="956"/>
      <c r="V197" s="957"/>
    </row>
    <row r="198" spans="5:22">
      <c r="E198" s="956"/>
      <c r="F198" s="956"/>
      <c r="G198" s="956"/>
      <c r="H198" s="956"/>
      <c r="I198" s="956"/>
      <c r="J198" s="956"/>
      <c r="K198" s="956"/>
      <c r="L198" s="956"/>
      <c r="M198" s="956"/>
      <c r="N198" s="956"/>
      <c r="O198" s="956"/>
      <c r="P198" s="956"/>
      <c r="V198" s="957"/>
    </row>
    <row r="199" spans="5:22">
      <c r="E199" s="956"/>
      <c r="F199" s="956"/>
      <c r="G199" s="956"/>
      <c r="H199" s="956"/>
      <c r="I199" s="956"/>
      <c r="J199" s="956"/>
      <c r="K199" s="956"/>
      <c r="L199" s="956"/>
      <c r="M199" s="956"/>
      <c r="N199" s="956"/>
      <c r="O199" s="956"/>
      <c r="P199" s="956"/>
      <c r="V199" s="957"/>
    </row>
    <row r="200" spans="5:22">
      <c r="E200" s="956"/>
      <c r="F200" s="956"/>
      <c r="G200" s="956"/>
      <c r="H200" s="956"/>
      <c r="I200" s="956"/>
      <c r="J200" s="956"/>
      <c r="K200" s="956"/>
      <c r="L200" s="956"/>
      <c r="M200" s="956"/>
      <c r="N200" s="956"/>
      <c r="O200" s="956"/>
      <c r="P200" s="956"/>
      <c r="V200" s="957"/>
    </row>
    <row r="201" spans="5:22">
      <c r="E201" s="956"/>
      <c r="F201" s="956"/>
      <c r="G201" s="956"/>
      <c r="H201" s="956"/>
      <c r="I201" s="956"/>
      <c r="J201" s="956"/>
      <c r="K201" s="956"/>
      <c r="L201" s="956"/>
      <c r="M201" s="956"/>
      <c r="N201" s="956"/>
      <c r="O201" s="956"/>
      <c r="P201" s="956"/>
      <c r="V201" s="957"/>
    </row>
    <row r="202" spans="5:22">
      <c r="E202" s="956"/>
      <c r="F202" s="956"/>
      <c r="G202" s="956"/>
      <c r="H202" s="956"/>
      <c r="I202" s="956"/>
      <c r="J202" s="956"/>
      <c r="K202" s="956"/>
      <c r="L202" s="956"/>
      <c r="M202" s="956"/>
      <c r="N202" s="956"/>
      <c r="O202" s="956"/>
      <c r="P202" s="956"/>
      <c r="V202" s="957"/>
    </row>
    <row r="203" spans="5:22">
      <c r="E203" s="956"/>
      <c r="F203" s="956"/>
      <c r="G203" s="956"/>
      <c r="H203" s="956"/>
      <c r="I203" s="956"/>
      <c r="J203" s="956"/>
      <c r="K203" s="956"/>
      <c r="L203" s="956"/>
      <c r="M203" s="956"/>
      <c r="N203" s="956"/>
      <c r="O203" s="956"/>
      <c r="P203" s="956"/>
      <c r="V203" s="957"/>
    </row>
    <row r="204" spans="5:22">
      <c r="E204" s="956"/>
      <c r="F204" s="956"/>
      <c r="G204" s="956"/>
      <c r="H204" s="956"/>
      <c r="I204" s="956"/>
      <c r="J204" s="956"/>
      <c r="K204" s="956"/>
      <c r="L204" s="956"/>
      <c r="M204" s="956"/>
      <c r="N204" s="956"/>
      <c r="O204" s="956"/>
      <c r="P204" s="956"/>
      <c r="V204" s="957"/>
    </row>
    <row r="205" spans="5:22">
      <c r="E205" s="956"/>
      <c r="F205" s="956"/>
      <c r="G205" s="956"/>
      <c r="H205" s="956"/>
      <c r="I205" s="956"/>
      <c r="J205" s="956"/>
      <c r="K205" s="956"/>
      <c r="L205" s="956"/>
      <c r="M205" s="956"/>
      <c r="N205" s="956"/>
      <c r="O205" s="956"/>
      <c r="P205" s="956"/>
      <c r="V205" s="957"/>
    </row>
    <row r="206" spans="5:22">
      <c r="E206" s="956"/>
      <c r="F206" s="956"/>
      <c r="G206" s="956"/>
      <c r="H206" s="956"/>
      <c r="I206" s="956"/>
      <c r="J206" s="956"/>
      <c r="K206" s="956"/>
      <c r="L206" s="956"/>
      <c r="M206" s="956"/>
      <c r="N206" s="956"/>
      <c r="O206" s="956"/>
      <c r="P206" s="956"/>
      <c r="V206" s="957"/>
    </row>
    <row r="207" spans="5:22">
      <c r="E207" s="956"/>
      <c r="F207" s="956"/>
      <c r="G207" s="956"/>
      <c r="H207" s="956"/>
      <c r="I207" s="956"/>
      <c r="J207" s="956"/>
      <c r="K207" s="956"/>
      <c r="L207" s="956"/>
      <c r="M207" s="956"/>
      <c r="N207" s="956"/>
      <c r="O207" s="956"/>
      <c r="P207" s="956"/>
      <c r="V207" s="957"/>
    </row>
    <row r="208" spans="5:22">
      <c r="E208" s="956"/>
      <c r="F208" s="956"/>
      <c r="G208" s="956"/>
      <c r="H208" s="956"/>
      <c r="I208" s="956"/>
      <c r="J208" s="956"/>
      <c r="K208" s="956"/>
      <c r="L208" s="956"/>
      <c r="M208" s="956"/>
      <c r="N208" s="956"/>
      <c r="O208" s="956"/>
      <c r="P208" s="956"/>
      <c r="V208" s="957"/>
    </row>
    <row r="209" spans="5:22">
      <c r="E209" s="956"/>
      <c r="F209" s="956"/>
      <c r="G209" s="956"/>
      <c r="H209" s="956"/>
      <c r="I209" s="956"/>
      <c r="J209" s="956"/>
      <c r="K209" s="956"/>
      <c r="L209" s="956"/>
      <c r="M209" s="956"/>
      <c r="N209" s="956"/>
      <c r="O209" s="956"/>
      <c r="P209" s="956"/>
      <c r="V209" s="957"/>
    </row>
    <row r="210" spans="5:22">
      <c r="E210" s="956"/>
      <c r="F210" s="956"/>
      <c r="G210" s="956"/>
      <c r="H210" s="956"/>
      <c r="I210" s="956"/>
      <c r="J210" s="956"/>
      <c r="K210" s="956"/>
      <c r="L210" s="956"/>
      <c r="M210" s="956"/>
      <c r="N210" s="956"/>
      <c r="O210" s="956"/>
      <c r="P210" s="956"/>
      <c r="V210" s="957"/>
    </row>
    <row r="211" spans="5:22">
      <c r="E211" s="956"/>
      <c r="F211" s="956"/>
      <c r="G211" s="956"/>
      <c r="H211" s="956"/>
      <c r="I211" s="956"/>
      <c r="J211" s="956"/>
      <c r="K211" s="956"/>
      <c r="L211" s="956"/>
      <c r="M211" s="956"/>
      <c r="N211" s="956"/>
      <c r="O211" s="956"/>
      <c r="P211" s="956"/>
      <c r="V211" s="957"/>
    </row>
    <row r="212" spans="5:22">
      <c r="E212" s="956"/>
      <c r="F212" s="956"/>
      <c r="G212" s="956"/>
      <c r="H212" s="956"/>
      <c r="I212" s="956"/>
      <c r="J212" s="956"/>
      <c r="K212" s="956"/>
      <c r="L212" s="956"/>
      <c r="M212" s="956"/>
      <c r="N212" s="956"/>
      <c r="O212" s="956"/>
      <c r="P212" s="956"/>
      <c r="V212" s="957"/>
    </row>
    <row r="213" spans="5:22">
      <c r="E213" s="956"/>
      <c r="F213" s="956"/>
      <c r="G213" s="956"/>
      <c r="H213" s="956"/>
      <c r="I213" s="956"/>
      <c r="J213" s="956"/>
      <c r="K213" s="956"/>
      <c r="L213" s="956"/>
      <c r="M213" s="956"/>
      <c r="N213" s="956"/>
      <c r="O213" s="956"/>
      <c r="P213" s="956"/>
      <c r="V213" s="957"/>
    </row>
    <row r="214" spans="5:22">
      <c r="E214" s="956"/>
      <c r="F214" s="956"/>
      <c r="G214" s="956"/>
      <c r="H214" s="956"/>
      <c r="I214" s="956"/>
      <c r="J214" s="956"/>
      <c r="K214" s="956"/>
      <c r="L214" s="956"/>
      <c r="M214" s="956"/>
      <c r="N214" s="956"/>
      <c r="O214" s="956"/>
      <c r="P214" s="956"/>
      <c r="V214" s="957"/>
    </row>
    <row r="215" spans="5:22">
      <c r="E215" s="956"/>
      <c r="F215" s="956"/>
      <c r="G215" s="956"/>
      <c r="H215" s="956"/>
      <c r="I215" s="956"/>
      <c r="J215" s="956"/>
      <c r="K215" s="956"/>
      <c r="L215" s="956"/>
      <c r="M215" s="956"/>
      <c r="N215" s="956"/>
      <c r="O215" s="956"/>
      <c r="P215" s="956"/>
      <c r="V215" s="957"/>
    </row>
    <row r="216" spans="5:22">
      <c r="E216" s="956"/>
      <c r="F216" s="956"/>
      <c r="G216" s="956"/>
      <c r="H216" s="956"/>
      <c r="I216" s="956"/>
      <c r="J216" s="956"/>
      <c r="K216" s="956"/>
      <c r="L216" s="956"/>
      <c r="M216" s="956"/>
      <c r="N216" s="956"/>
      <c r="O216" s="956"/>
      <c r="P216" s="956"/>
      <c r="V216" s="957"/>
    </row>
    <row r="217" spans="5:22">
      <c r="E217" s="956"/>
      <c r="F217" s="956"/>
      <c r="G217" s="956"/>
      <c r="H217" s="956"/>
      <c r="I217" s="956"/>
      <c r="J217" s="956"/>
      <c r="K217" s="956"/>
      <c r="L217" s="956"/>
      <c r="M217" s="956"/>
      <c r="N217" s="956"/>
      <c r="O217" s="956"/>
      <c r="P217" s="956"/>
      <c r="V217" s="957"/>
    </row>
    <row r="218" spans="5:22">
      <c r="E218" s="956"/>
      <c r="F218" s="956"/>
      <c r="G218" s="956"/>
      <c r="H218" s="956"/>
      <c r="I218" s="956"/>
      <c r="J218" s="956"/>
      <c r="K218" s="956"/>
      <c r="L218" s="956"/>
      <c r="M218" s="956"/>
      <c r="N218" s="956"/>
      <c r="O218" s="956"/>
      <c r="P218" s="956"/>
      <c r="V218" s="957"/>
    </row>
    <row r="219" spans="5:22">
      <c r="E219" s="956"/>
      <c r="F219" s="956"/>
      <c r="G219" s="956"/>
      <c r="H219" s="956"/>
      <c r="I219" s="956"/>
      <c r="J219" s="956"/>
      <c r="K219" s="956"/>
      <c r="L219" s="956"/>
      <c r="M219" s="956"/>
      <c r="N219" s="956"/>
      <c r="O219" s="956"/>
      <c r="P219" s="956"/>
      <c r="V219" s="957"/>
    </row>
    <row r="220" spans="5:22">
      <c r="E220" s="956"/>
      <c r="F220" s="956"/>
      <c r="G220" s="956"/>
      <c r="H220" s="956"/>
      <c r="I220" s="956"/>
      <c r="J220" s="956"/>
      <c r="K220" s="956"/>
      <c r="L220" s="956"/>
      <c r="M220" s="956"/>
      <c r="N220" s="956"/>
      <c r="O220" s="956"/>
      <c r="P220" s="956"/>
      <c r="V220" s="957"/>
    </row>
    <row r="221" spans="5:22">
      <c r="E221" s="956"/>
      <c r="F221" s="956"/>
      <c r="G221" s="956"/>
      <c r="H221" s="956"/>
      <c r="I221" s="956"/>
      <c r="J221" s="956"/>
      <c r="K221" s="956"/>
      <c r="L221" s="956"/>
      <c r="M221" s="956"/>
      <c r="N221" s="956"/>
      <c r="O221" s="956"/>
      <c r="P221" s="956"/>
      <c r="V221" s="957"/>
    </row>
    <row r="222" spans="5:22">
      <c r="E222" s="956"/>
      <c r="F222" s="956"/>
      <c r="G222" s="956"/>
      <c r="H222" s="956"/>
      <c r="I222" s="956"/>
      <c r="J222" s="956"/>
      <c r="K222" s="956"/>
      <c r="L222" s="956"/>
      <c r="M222" s="956"/>
      <c r="N222" s="956"/>
      <c r="O222" s="956"/>
      <c r="P222" s="956"/>
      <c r="V222" s="957"/>
    </row>
    <row r="223" spans="5:22">
      <c r="E223" s="956"/>
      <c r="F223" s="956"/>
      <c r="G223" s="956"/>
      <c r="H223" s="956"/>
      <c r="I223" s="956"/>
      <c r="J223" s="956"/>
      <c r="K223" s="956"/>
      <c r="L223" s="956"/>
      <c r="M223" s="956"/>
      <c r="N223" s="956"/>
      <c r="O223" s="956"/>
      <c r="P223" s="956"/>
      <c r="V223" s="957"/>
    </row>
    <row r="224" spans="5:22">
      <c r="E224" s="956"/>
      <c r="F224" s="956"/>
      <c r="G224" s="956"/>
      <c r="H224" s="956"/>
      <c r="I224" s="956"/>
      <c r="J224" s="956"/>
      <c r="K224" s="956"/>
      <c r="L224" s="956"/>
      <c r="M224" s="956"/>
      <c r="N224" s="956"/>
      <c r="O224" s="956"/>
      <c r="P224" s="956"/>
      <c r="V224" s="957"/>
    </row>
    <row r="225" spans="5:22">
      <c r="E225" s="956"/>
      <c r="F225" s="956"/>
      <c r="G225" s="956"/>
      <c r="H225" s="956"/>
      <c r="I225" s="956"/>
      <c r="J225" s="956"/>
      <c r="K225" s="956"/>
      <c r="L225" s="956"/>
      <c r="M225" s="956"/>
      <c r="N225" s="956"/>
      <c r="O225" s="956"/>
      <c r="P225" s="956"/>
      <c r="V225" s="957"/>
    </row>
    <row r="226" spans="5:22">
      <c r="E226" s="956"/>
      <c r="F226" s="956"/>
      <c r="G226" s="956"/>
      <c r="H226" s="956"/>
      <c r="I226" s="956"/>
      <c r="J226" s="956"/>
      <c r="K226" s="956"/>
      <c r="L226" s="956"/>
      <c r="M226" s="956"/>
      <c r="N226" s="956"/>
      <c r="O226" s="956"/>
      <c r="P226" s="956"/>
      <c r="V226" s="957"/>
    </row>
    <row r="227" spans="5:22">
      <c r="E227" s="956"/>
      <c r="F227" s="956"/>
      <c r="G227" s="956"/>
      <c r="H227" s="956"/>
      <c r="I227" s="956"/>
      <c r="J227" s="956"/>
      <c r="K227" s="956"/>
      <c r="L227" s="956"/>
      <c r="M227" s="956"/>
      <c r="N227" s="956"/>
      <c r="O227" s="956"/>
      <c r="P227" s="956"/>
      <c r="V227" s="957"/>
    </row>
    <row r="228" spans="5:22">
      <c r="E228" s="956"/>
      <c r="F228" s="956"/>
      <c r="G228" s="956"/>
      <c r="H228" s="956"/>
      <c r="I228" s="956"/>
      <c r="J228" s="956"/>
      <c r="K228" s="956"/>
      <c r="L228" s="956"/>
      <c r="M228" s="956"/>
      <c r="N228" s="956"/>
      <c r="O228" s="956"/>
      <c r="P228" s="956"/>
      <c r="V228" s="957"/>
    </row>
    <row r="229" spans="5:22">
      <c r="E229" s="956"/>
      <c r="F229" s="956"/>
      <c r="G229" s="956"/>
      <c r="H229" s="956"/>
      <c r="I229" s="956"/>
      <c r="J229" s="956"/>
      <c r="K229" s="956"/>
      <c r="L229" s="956"/>
      <c r="M229" s="956"/>
      <c r="N229" s="956"/>
      <c r="O229" s="956"/>
      <c r="P229" s="956"/>
      <c r="V229" s="957"/>
    </row>
    <row r="230" spans="5:22">
      <c r="E230" s="956"/>
      <c r="F230" s="956"/>
      <c r="G230" s="956"/>
      <c r="H230" s="956"/>
      <c r="I230" s="956"/>
      <c r="J230" s="956"/>
      <c r="K230" s="956"/>
      <c r="L230" s="956"/>
      <c r="M230" s="956"/>
      <c r="N230" s="956"/>
      <c r="O230" s="956"/>
      <c r="P230" s="956"/>
      <c r="V230" s="957"/>
    </row>
    <row r="231" spans="5:22">
      <c r="E231" s="956"/>
      <c r="F231" s="956"/>
      <c r="G231" s="956"/>
      <c r="H231" s="956"/>
      <c r="I231" s="956"/>
      <c r="J231" s="956"/>
      <c r="K231" s="956"/>
      <c r="L231" s="956"/>
      <c r="M231" s="956"/>
      <c r="N231" s="956"/>
      <c r="O231" s="956"/>
      <c r="P231" s="956"/>
      <c r="V231" s="957"/>
    </row>
    <row r="232" spans="5:22">
      <c r="E232" s="956"/>
      <c r="F232" s="956"/>
      <c r="G232" s="956"/>
      <c r="H232" s="956"/>
      <c r="I232" s="956"/>
      <c r="J232" s="956"/>
      <c r="K232" s="956"/>
      <c r="L232" s="956"/>
      <c r="M232" s="956"/>
      <c r="N232" s="956"/>
      <c r="O232" s="956"/>
      <c r="P232" s="956"/>
      <c r="V232" s="957"/>
    </row>
    <row r="233" spans="5:22">
      <c r="E233" s="956"/>
      <c r="F233" s="956"/>
      <c r="G233" s="956"/>
      <c r="H233" s="956"/>
      <c r="I233" s="956"/>
      <c r="J233" s="956"/>
      <c r="K233" s="956"/>
      <c r="L233" s="956"/>
      <c r="M233" s="956"/>
      <c r="N233" s="956"/>
      <c r="O233" s="956"/>
      <c r="P233" s="956"/>
      <c r="V233" s="957"/>
    </row>
    <row r="234" spans="5:22">
      <c r="E234" s="956"/>
      <c r="F234" s="956"/>
      <c r="G234" s="956"/>
      <c r="H234" s="956"/>
      <c r="I234" s="956"/>
      <c r="J234" s="956"/>
      <c r="K234" s="956"/>
      <c r="L234" s="956"/>
      <c r="M234" s="956"/>
      <c r="N234" s="956"/>
      <c r="O234" s="956"/>
      <c r="P234" s="956"/>
      <c r="V234" s="957"/>
    </row>
    <row r="235" spans="5:22">
      <c r="E235" s="956"/>
      <c r="F235" s="956"/>
      <c r="G235" s="956"/>
      <c r="H235" s="956"/>
      <c r="I235" s="956"/>
      <c r="J235" s="956"/>
      <c r="K235" s="956"/>
      <c r="L235" s="956"/>
      <c r="M235" s="956"/>
      <c r="N235" s="956"/>
      <c r="O235" s="956"/>
      <c r="P235" s="956"/>
      <c r="V235" s="957"/>
    </row>
    <row r="236" spans="5:22">
      <c r="E236" s="956"/>
      <c r="F236" s="956"/>
      <c r="G236" s="956"/>
      <c r="H236" s="956"/>
      <c r="I236" s="956"/>
      <c r="J236" s="956"/>
      <c r="K236" s="956"/>
      <c r="L236" s="956"/>
      <c r="M236" s="956"/>
      <c r="N236" s="956"/>
      <c r="O236" s="956"/>
      <c r="P236" s="956"/>
      <c r="V236" s="957"/>
    </row>
    <row r="237" spans="5:22">
      <c r="E237" s="956"/>
      <c r="F237" s="956"/>
      <c r="G237" s="956"/>
      <c r="H237" s="956"/>
      <c r="I237" s="956"/>
      <c r="J237" s="956"/>
      <c r="K237" s="956"/>
      <c r="L237" s="956"/>
      <c r="M237" s="956"/>
      <c r="N237" s="956"/>
      <c r="O237" s="956"/>
      <c r="P237" s="956"/>
      <c r="V237" s="957"/>
    </row>
    <row r="238" spans="5:22">
      <c r="E238" s="956"/>
      <c r="F238" s="956"/>
      <c r="G238" s="956"/>
      <c r="H238" s="956"/>
      <c r="I238" s="956"/>
      <c r="J238" s="956"/>
      <c r="K238" s="956"/>
      <c r="L238" s="956"/>
      <c r="M238" s="956"/>
      <c r="N238" s="956"/>
      <c r="O238" s="956"/>
      <c r="P238" s="956"/>
      <c r="V238" s="957"/>
    </row>
    <row r="239" spans="5:22">
      <c r="E239" s="956"/>
      <c r="F239" s="956"/>
      <c r="G239" s="956"/>
      <c r="H239" s="956"/>
      <c r="I239" s="956"/>
      <c r="J239" s="956"/>
      <c r="K239" s="956"/>
      <c r="L239" s="956"/>
      <c r="M239" s="956"/>
      <c r="N239" s="956"/>
      <c r="O239" s="956"/>
      <c r="P239" s="956"/>
      <c r="V239" s="957"/>
    </row>
    <row r="240" spans="5:22">
      <c r="E240" s="956"/>
      <c r="F240" s="956"/>
      <c r="G240" s="956"/>
      <c r="H240" s="956"/>
      <c r="I240" s="956"/>
      <c r="J240" s="956"/>
      <c r="K240" s="956"/>
      <c r="L240" s="956"/>
      <c r="M240" s="956"/>
      <c r="N240" s="956"/>
      <c r="O240" s="956"/>
      <c r="P240" s="956"/>
      <c r="V240" s="957"/>
    </row>
    <row r="241" spans="5:22">
      <c r="E241" s="956"/>
      <c r="F241" s="956"/>
      <c r="G241" s="956"/>
      <c r="H241" s="956"/>
      <c r="I241" s="956"/>
      <c r="J241" s="956"/>
      <c r="K241" s="956"/>
      <c r="L241" s="956"/>
      <c r="M241" s="956"/>
      <c r="N241" s="956"/>
      <c r="O241" s="956"/>
      <c r="P241" s="956"/>
      <c r="V241" s="957"/>
    </row>
    <row r="242" spans="5:22">
      <c r="E242" s="956"/>
      <c r="F242" s="956"/>
      <c r="G242" s="956"/>
      <c r="H242" s="956"/>
      <c r="I242" s="956"/>
      <c r="J242" s="956"/>
      <c r="K242" s="956"/>
      <c r="L242" s="956"/>
      <c r="M242" s="956"/>
      <c r="N242" s="956"/>
      <c r="O242" s="956"/>
      <c r="P242" s="956"/>
      <c r="V242" s="957"/>
    </row>
    <row r="243" spans="5:22">
      <c r="E243" s="956"/>
      <c r="F243" s="956"/>
      <c r="G243" s="956"/>
      <c r="H243" s="956"/>
      <c r="I243" s="956"/>
      <c r="J243" s="956"/>
      <c r="K243" s="956"/>
      <c r="L243" s="956"/>
      <c r="M243" s="956"/>
      <c r="N243" s="956"/>
      <c r="O243" s="956"/>
      <c r="P243" s="956"/>
      <c r="V243" s="957"/>
    </row>
    <row r="244" spans="5:22">
      <c r="E244" s="956"/>
      <c r="F244" s="956"/>
      <c r="G244" s="956"/>
      <c r="H244" s="956"/>
      <c r="I244" s="956"/>
      <c r="J244" s="956"/>
      <c r="K244" s="956"/>
      <c r="L244" s="956"/>
      <c r="M244" s="956"/>
      <c r="N244" s="956"/>
      <c r="O244" s="956"/>
      <c r="P244" s="956"/>
      <c r="V244" s="957"/>
    </row>
    <row r="245" spans="5:22">
      <c r="E245" s="956"/>
      <c r="F245" s="956"/>
      <c r="G245" s="956"/>
      <c r="H245" s="956"/>
      <c r="I245" s="956"/>
      <c r="J245" s="956"/>
      <c r="K245" s="956"/>
      <c r="L245" s="956"/>
      <c r="M245" s="956"/>
      <c r="N245" s="956"/>
      <c r="O245" s="956"/>
      <c r="P245" s="956"/>
      <c r="V245" s="957"/>
    </row>
    <row r="246" spans="5:22">
      <c r="E246" s="956"/>
      <c r="F246" s="956"/>
      <c r="G246" s="956"/>
      <c r="H246" s="956"/>
      <c r="I246" s="956"/>
      <c r="J246" s="956"/>
      <c r="K246" s="956"/>
      <c r="L246" s="956"/>
      <c r="M246" s="956"/>
      <c r="N246" s="956"/>
      <c r="O246" s="956"/>
      <c r="P246" s="956"/>
      <c r="V246" s="957"/>
    </row>
    <row r="247" spans="5:22">
      <c r="E247" s="956"/>
      <c r="F247" s="956"/>
      <c r="G247" s="956"/>
      <c r="H247" s="956"/>
      <c r="I247" s="956"/>
      <c r="J247" s="956"/>
      <c r="K247" s="956"/>
      <c r="L247" s="956"/>
      <c r="M247" s="956"/>
      <c r="N247" s="956"/>
      <c r="O247" s="956"/>
      <c r="P247" s="956"/>
      <c r="V247" s="957"/>
    </row>
    <row r="248" spans="5:22">
      <c r="E248" s="956"/>
      <c r="F248" s="956"/>
      <c r="G248" s="956"/>
      <c r="H248" s="956"/>
      <c r="I248" s="956"/>
      <c r="J248" s="956"/>
      <c r="K248" s="956"/>
      <c r="L248" s="956"/>
      <c r="M248" s="956"/>
      <c r="N248" s="956"/>
      <c r="O248" s="956"/>
      <c r="P248" s="956"/>
      <c r="V248" s="957"/>
    </row>
    <row r="249" spans="5:22">
      <c r="E249" s="956"/>
      <c r="F249" s="956"/>
      <c r="G249" s="956"/>
      <c r="H249" s="956"/>
      <c r="I249" s="956"/>
      <c r="J249" s="956"/>
      <c r="K249" s="956"/>
      <c r="L249" s="956"/>
      <c r="M249" s="956"/>
      <c r="N249" s="956"/>
      <c r="O249" s="956"/>
      <c r="P249" s="956"/>
      <c r="V249" s="957"/>
    </row>
    <row r="250" spans="5:22">
      <c r="E250" s="956"/>
      <c r="F250" s="956"/>
      <c r="G250" s="956"/>
      <c r="H250" s="956"/>
      <c r="I250" s="956"/>
      <c r="J250" s="956"/>
      <c r="K250" s="956"/>
      <c r="L250" s="956"/>
      <c r="M250" s="956"/>
      <c r="N250" s="956"/>
      <c r="O250" s="956"/>
      <c r="P250" s="956"/>
      <c r="V250" s="957"/>
    </row>
    <row r="251" spans="5:22">
      <c r="E251" s="956"/>
      <c r="F251" s="956"/>
      <c r="G251" s="956"/>
      <c r="H251" s="956"/>
      <c r="I251" s="956"/>
      <c r="J251" s="956"/>
      <c r="K251" s="956"/>
      <c r="L251" s="956"/>
      <c r="M251" s="956"/>
      <c r="N251" s="956"/>
      <c r="O251" s="956"/>
      <c r="P251" s="956"/>
      <c r="V251" s="957"/>
    </row>
    <row r="252" spans="5:22">
      <c r="E252" s="956"/>
      <c r="F252" s="956"/>
      <c r="G252" s="956"/>
      <c r="H252" s="956"/>
      <c r="I252" s="956"/>
      <c r="J252" s="956"/>
      <c r="K252" s="956"/>
      <c r="L252" s="956"/>
      <c r="M252" s="956"/>
      <c r="N252" s="956"/>
      <c r="O252" s="956"/>
      <c r="P252" s="956"/>
      <c r="V252" s="957"/>
    </row>
    <row r="253" spans="5:22">
      <c r="E253" s="956"/>
      <c r="F253" s="956"/>
      <c r="G253" s="956"/>
      <c r="H253" s="956"/>
      <c r="I253" s="956"/>
      <c r="J253" s="956"/>
      <c r="K253" s="956"/>
      <c r="L253" s="956"/>
      <c r="M253" s="956"/>
      <c r="N253" s="956"/>
      <c r="O253" s="956"/>
      <c r="P253" s="956"/>
      <c r="V253" s="957"/>
    </row>
    <row r="254" spans="5:22">
      <c r="E254" s="956"/>
      <c r="F254" s="956"/>
      <c r="G254" s="956"/>
      <c r="H254" s="956"/>
      <c r="I254" s="956"/>
      <c r="J254" s="956"/>
      <c r="K254" s="956"/>
      <c r="L254" s="956"/>
      <c r="M254" s="956"/>
      <c r="N254" s="956"/>
      <c r="O254" s="956"/>
      <c r="P254" s="956"/>
      <c r="V254" s="957"/>
    </row>
    <row r="255" spans="5:22">
      <c r="E255" s="956"/>
      <c r="F255" s="956"/>
      <c r="G255" s="956"/>
      <c r="H255" s="956"/>
      <c r="I255" s="956"/>
      <c r="J255" s="956"/>
      <c r="K255" s="956"/>
      <c r="L255" s="956"/>
      <c r="M255" s="956"/>
      <c r="N255" s="956"/>
      <c r="O255" s="956"/>
      <c r="P255" s="956"/>
      <c r="V255" s="957"/>
    </row>
    <row r="256" spans="5:22">
      <c r="E256" s="956"/>
      <c r="F256" s="956"/>
      <c r="G256" s="956"/>
      <c r="H256" s="956"/>
      <c r="I256" s="956"/>
      <c r="J256" s="956"/>
      <c r="K256" s="956"/>
      <c r="L256" s="956"/>
      <c r="M256" s="956"/>
      <c r="N256" s="956"/>
      <c r="O256" s="956"/>
      <c r="P256" s="956"/>
      <c r="V256" s="957"/>
    </row>
    <row r="257" spans="5:22">
      <c r="E257" s="956"/>
      <c r="F257" s="956"/>
      <c r="G257" s="956"/>
      <c r="H257" s="956"/>
      <c r="I257" s="956"/>
      <c r="J257" s="956"/>
      <c r="K257" s="956"/>
      <c r="L257" s="956"/>
      <c r="M257" s="956"/>
      <c r="N257" s="956"/>
      <c r="O257" s="956"/>
      <c r="P257" s="956"/>
      <c r="V257" s="957"/>
    </row>
    <row r="258" spans="5:22">
      <c r="E258" s="956"/>
      <c r="F258" s="956"/>
      <c r="G258" s="956"/>
      <c r="H258" s="956"/>
      <c r="I258" s="956"/>
      <c r="J258" s="956"/>
      <c r="K258" s="956"/>
      <c r="L258" s="956"/>
      <c r="M258" s="956"/>
      <c r="N258" s="956"/>
      <c r="O258" s="956"/>
      <c r="P258" s="956"/>
      <c r="V258" s="957"/>
    </row>
    <row r="259" spans="5:22">
      <c r="E259" s="956"/>
      <c r="F259" s="956"/>
      <c r="G259" s="956"/>
      <c r="H259" s="956"/>
      <c r="I259" s="956"/>
      <c r="J259" s="956"/>
      <c r="K259" s="956"/>
      <c r="L259" s="956"/>
      <c r="M259" s="956"/>
      <c r="N259" s="956"/>
      <c r="O259" s="956"/>
      <c r="P259" s="956"/>
      <c r="V259" s="957"/>
    </row>
    <row r="260" spans="5:22">
      <c r="E260" s="956"/>
      <c r="F260" s="956"/>
      <c r="G260" s="956"/>
      <c r="H260" s="956"/>
      <c r="I260" s="956"/>
      <c r="J260" s="956"/>
      <c r="K260" s="956"/>
      <c r="L260" s="956"/>
      <c r="M260" s="956"/>
      <c r="N260" s="956"/>
      <c r="O260" s="956"/>
      <c r="P260" s="956"/>
      <c r="V260" s="957"/>
    </row>
    <row r="261" spans="5:22">
      <c r="E261" s="956"/>
      <c r="F261" s="956"/>
      <c r="G261" s="956"/>
      <c r="H261" s="956"/>
      <c r="I261" s="956"/>
      <c r="J261" s="956"/>
      <c r="K261" s="956"/>
      <c r="L261" s="956"/>
      <c r="M261" s="956"/>
      <c r="N261" s="956"/>
      <c r="O261" s="956"/>
      <c r="P261" s="956"/>
      <c r="V261" s="957"/>
    </row>
    <row r="262" spans="5:22">
      <c r="E262" s="956"/>
      <c r="F262" s="956"/>
      <c r="G262" s="956"/>
      <c r="H262" s="956"/>
      <c r="I262" s="956"/>
      <c r="J262" s="956"/>
      <c r="K262" s="956"/>
      <c r="L262" s="956"/>
      <c r="M262" s="956"/>
      <c r="N262" s="956"/>
      <c r="O262" s="956"/>
      <c r="P262" s="956"/>
      <c r="V262" s="957"/>
    </row>
    <row r="263" spans="5:22">
      <c r="E263" s="956"/>
      <c r="F263" s="956"/>
      <c r="G263" s="956"/>
      <c r="H263" s="956"/>
      <c r="I263" s="956"/>
      <c r="J263" s="956"/>
      <c r="K263" s="956"/>
      <c r="L263" s="956"/>
      <c r="M263" s="956"/>
      <c r="N263" s="956"/>
      <c r="O263" s="956"/>
      <c r="P263" s="956"/>
      <c r="V263" s="957"/>
    </row>
    <row r="264" spans="5:22">
      <c r="E264" s="956"/>
      <c r="F264" s="956"/>
      <c r="G264" s="956"/>
      <c r="H264" s="956"/>
      <c r="I264" s="956"/>
      <c r="J264" s="956"/>
      <c r="K264" s="956"/>
      <c r="L264" s="956"/>
      <c r="M264" s="956"/>
      <c r="N264" s="956"/>
      <c r="O264" s="956"/>
      <c r="P264" s="956"/>
      <c r="V264" s="957"/>
    </row>
    <row r="265" spans="5:22">
      <c r="E265" s="956"/>
      <c r="F265" s="956"/>
      <c r="G265" s="956"/>
      <c r="H265" s="956"/>
      <c r="I265" s="956"/>
      <c r="J265" s="956"/>
      <c r="K265" s="956"/>
      <c r="L265" s="956"/>
      <c r="M265" s="956"/>
      <c r="N265" s="956"/>
      <c r="O265" s="956"/>
      <c r="P265" s="956"/>
      <c r="V265" s="957"/>
    </row>
    <row r="266" spans="5:22">
      <c r="E266" s="956"/>
      <c r="F266" s="956"/>
      <c r="G266" s="956"/>
      <c r="H266" s="956"/>
      <c r="I266" s="956"/>
      <c r="J266" s="956"/>
      <c r="K266" s="956"/>
      <c r="L266" s="956"/>
      <c r="M266" s="956"/>
      <c r="N266" s="956"/>
      <c r="O266" s="956"/>
      <c r="P266" s="956"/>
      <c r="V266" s="957"/>
    </row>
    <row r="267" spans="5:22">
      <c r="E267" s="956"/>
      <c r="F267" s="956"/>
      <c r="G267" s="956"/>
      <c r="H267" s="956"/>
      <c r="I267" s="956"/>
      <c r="J267" s="956"/>
      <c r="K267" s="956"/>
      <c r="L267" s="956"/>
      <c r="M267" s="956"/>
      <c r="N267" s="956"/>
      <c r="O267" s="956"/>
      <c r="P267" s="956"/>
      <c r="V267" s="957"/>
    </row>
    <row r="268" spans="5:22">
      <c r="E268" s="956"/>
      <c r="F268" s="956"/>
      <c r="G268" s="956"/>
      <c r="H268" s="956"/>
      <c r="I268" s="956"/>
      <c r="J268" s="956"/>
      <c r="K268" s="956"/>
      <c r="L268" s="956"/>
      <c r="M268" s="956"/>
      <c r="N268" s="956"/>
      <c r="O268" s="956"/>
      <c r="P268" s="956"/>
      <c r="V268" s="957"/>
    </row>
    <row r="269" spans="5:22">
      <c r="E269" s="956"/>
      <c r="F269" s="956"/>
      <c r="G269" s="956"/>
      <c r="H269" s="956"/>
      <c r="I269" s="956"/>
      <c r="J269" s="956"/>
      <c r="K269" s="956"/>
      <c r="L269" s="956"/>
      <c r="M269" s="956"/>
      <c r="N269" s="956"/>
      <c r="O269" s="956"/>
      <c r="P269" s="956"/>
      <c r="V269" s="957"/>
    </row>
    <row r="270" spans="5:22">
      <c r="E270" s="956"/>
      <c r="F270" s="956"/>
      <c r="G270" s="956"/>
      <c r="H270" s="956"/>
      <c r="I270" s="956"/>
      <c r="J270" s="956"/>
      <c r="K270" s="956"/>
      <c r="L270" s="956"/>
      <c r="M270" s="956"/>
      <c r="N270" s="956"/>
      <c r="O270" s="956"/>
      <c r="P270" s="956"/>
      <c r="V270" s="957"/>
    </row>
    <row r="271" spans="5:22">
      <c r="E271" s="956"/>
      <c r="F271" s="956"/>
      <c r="G271" s="956"/>
      <c r="H271" s="956"/>
      <c r="I271" s="956"/>
      <c r="J271" s="956"/>
      <c r="K271" s="956"/>
      <c r="L271" s="956"/>
      <c r="M271" s="956"/>
      <c r="N271" s="956"/>
      <c r="O271" s="956"/>
      <c r="P271" s="956"/>
      <c r="V271" s="957"/>
    </row>
    <row r="272" spans="5:22">
      <c r="E272" s="956"/>
      <c r="F272" s="956"/>
      <c r="G272" s="956"/>
      <c r="H272" s="956"/>
      <c r="I272" s="956"/>
      <c r="J272" s="956"/>
      <c r="K272" s="956"/>
      <c r="L272" s="956"/>
      <c r="M272" s="956"/>
      <c r="N272" s="956"/>
      <c r="O272" s="956"/>
      <c r="P272" s="956"/>
      <c r="V272" s="957"/>
    </row>
    <row r="273" spans="5:22">
      <c r="E273" s="956"/>
      <c r="F273" s="956"/>
      <c r="G273" s="956"/>
      <c r="H273" s="956"/>
      <c r="I273" s="956"/>
      <c r="J273" s="956"/>
      <c r="K273" s="956"/>
      <c r="L273" s="956"/>
      <c r="M273" s="956"/>
      <c r="N273" s="956"/>
      <c r="O273" s="956"/>
      <c r="P273" s="956"/>
      <c r="V273" s="957"/>
    </row>
    <row r="274" spans="5:22">
      <c r="E274" s="956"/>
      <c r="F274" s="956"/>
      <c r="G274" s="956"/>
      <c r="H274" s="956"/>
      <c r="I274" s="956"/>
      <c r="J274" s="956"/>
      <c r="K274" s="956"/>
      <c r="L274" s="956"/>
      <c r="M274" s="956"/>
      <c r="N274" s="956"/>
      <c r="O274" s="956"/>
      <c r="P274" s="956"/>
      <c r="V274" s="957"/>
    </row>
    <row r="275" spans="5:22">
      <c r="E275" s="956"/>
      <c r="F275" s="956"/>
      <c r="G275" s="956"/>
      <c r="H275" s="956"/>
      <c r="I275" s="956"/>
      <c r="J275" s="956"/>
      <c r="K275" s="956"/>
      <c r="L275" s="956"/>
      <c r="M275" s="956"/>
      <c r="N275" s="956"/>
      <c r="O275" s="956"/>
      <c r="P275" s="956"/>
      <c r="V275" s="957"/>
    </row>
    <row r="276" spans="5:22">
      <c r="E276" s="956"/>
      <c r="F276" s="956"/>
      <c r="G276" s="956"/>
      <c r="H276" s="956"/>
      <c r="I276" s="956"/>
      <c r="J276" s="956"/>
      <c r="K276" s="956"/>
      <c r="L276" s="956"/>
      <c r="M276" s="956"/>
      <c r="N276" s="956"/>
      <c r="O276" s="956"/>
      <c r="P276" s="956"/>
      <c r="V276" s="957"/>
    </row>
    <row r="277" spans="5:22">
      <c r="E277" s="956"/>
      <c r="F277" s="956"/>
      <c r="G277" s="956"/>
      <c r="H277" s="956"/>
      <c r="I277" s="956"/>
      <c r="J277" s="956"/>
      <c r="K277" s="956"/>
      <c r="L277" s="956"/>
      <c r="M277" s="956"/>
      <c r="N277" s="956"/>
      <c r="O277" s="956"/>
      <c r="P277" s="956"/>
      <c r="V277" s="957"/>
    </row>
    <row r="278" spans="5:22">
      <c r="E278" s="956"/>
      <c r="F278" s="956"/>
      <c r="G278" s="956"/>
      <c r="H278" s="956"/>
      <c r="I278" s="956"/>
      <c r="J278" s="956"/>
      <c r="K278" s="956"/>
      <c r="L278" s="956"/>
      <c r="M278" s="956"/>
      <c r="N278" s="956"/>
      <c r="O278" s="956"/>
      <c r="P278" s="956"/>
      <c r="V278" s="957"/>
    </row>
    <row r="279" spans="5:22">
      <c r="E279" s="956"/>
      <c r="F279" s="956"/>
      <c r="G279" s="956"/>
      <c r="H279" s="956"/>
      <c r="I279" s="956"/>
      <c r="J279" s="956"/>
      <c r="K279" s="956"/>
      <c r="L279" s="956"/>
      <c r="M279" s="956"/>
      <c r="N279" s="956"/>
      <c r="O279" s="956"/>
      <c r="P279" s="956"/>
      <c r="V279" s="957"/>
    </row>
    <row r="280" spans="5:22">
      <c r="E280" s="956"/>
      <c r="F280" s="956"/>
      <c r="G280" s="956"/>
      <c r="H280" s="956"/>
      <c r="I280" s="956"/>
      <c r="J280" s="956"/>
      <c r="K280" s="956"/>
      <c r="L280" s="956"/>
      <c r="M280" s="956"/>
      <c r="N280" s="956"/>
      <c r="O280" s="956"/>
      <c r="P280" s="956"/>
      <c r="V280" s="957"/>
    </row>
    <row r="281" spans="5:22">
      <c r="E281" s="956"/>
      <c r="F281" s="956"/>
      <c r="G281" s="956"/>
      <c r="H281" s="956"/>
      <c r="I281" s="956"/>
      <c r="J281" s="956"/>
      <c r="K281" s="956"/>
      <c r="L281" s="956"/>
      <c r="M281" s="956"/>
      <c r="N281" s="956"/>
      <c r="O281" s="956"/>
      <c r="P281" s="956"/>
      <c r="V281" s="957"/>
    </row>
    <row r="282" spans="5:22">
      <c r="E282" s="956"/>
      <c r="F282" s="956"/>
      <c r="G282" s="956"/>
      <c r="H282" s="956"/>
      <c r="I282" s="956"/>
      <c r="J282" s="956"/>
      <c r="K282" s="956"/>
      <c r="L282" s="956"/>
      <c r="M282" s="956"/>
      <c r="N282" s="956"/>
      <c r="O282" s="956"/>
      <c r="P282" s="956"/>
      <c r="V282" s="957"/>
    </row>
    <row r="283" spans="5:22">
      <c r="E283" s="956"/>
      <c r="F283" s="956"/>
      <c r="G283" s="956"/>
      <c r="H283" s="956"/>
      <c r="I283" s="956"/>
      <c r="J283" s="956"/>
      <c r="K283" s="956"/>
      <c r="L283" s="956"/>
      <c r="M283" s="956"/>
      <c r="N283" s="956"/>
      <c r="O283" s="956"/>
      <c r="P283" s="956"/>
      <c r="V283" s="957"/>
    </row>
    <row r="284" spans="5:22">
      <c r="E284" s="956"/>
      <c r="F284" s="956"/>
      <c r="G284" s="956"/>
      <c r="H284" s="956"/>
      <c r="I284" s="956"/>
      <c r="J284" s="956"/>
      <c r="K284" s="956"/>
      <c r="L284" s="956"/>
      <c r="M284" s="956"/>
      <c r="N284" s="956"/>
      <c r="O284" s="956"/>
      <c r="P284" s="956"/>
      <c r="V284" s="957"/>
    </row>
    <row r="285" spans="5:22">
      <c r="E285" s="956"/>
      <c r="F285" s="956"/>
      <c r="G285" s="956"/>
      <c r="H285" s="956"/>
      <c r="I285" s="956"/>
      <c r="J285" s="956"/>
      <c r="K285" s="956"/>
      <c r="L285" s="956"/>
      <c r="M285" s="956"/>
      <c r="N285" s="956"/>
      <c r="O285" s="956"/>
      <c r="P285" s="956"/>
      <c r="V285" s="957"/>
    </row>
    <row r="286" spans="5:22">
      <c r="E286" s="956"/>
      <c r="F286" s="956"/>
      <c r="G286" s="956"/>
      <c r="H286" s="956"/>
      <c r="I286" s="956"/>
      <c r="J286" s="956"/>
      <c r="K286" s="956"/>
      <c r="L286" s="956"/>
      <c r="M286" s="956"/>
      <c r="N286" s="956"/>
      <c r="O286" s="956"/>
      <c r="P286" s="956"/>
      <c r="V286" s="957"/>
    </row>
    <row r="287" spans="5:22">
      <c r="E287" s="956"/>
      <c r="F287" s="956"/>
      <c r="G287" s="956"/>
      <c r="H287" s="956"/>
      <c r="I287" s="956"/>
      <c r="J287" s="956"/>
      <c r="K287" s="956"/>
      <c r="L287" s="956"/>
      <c r="M287" s="956"/>
      <c r="N287" s="956"/>
      <c r="O287" s="956"/>
      <c r="P287" s="956"/>
      <c r="V287" s="957"/>
    </row>
    <row r="288" spans="5:22">
      <c r="E288" s="956"/>
      <c r="F288" s="956"/>
      <c r="G288" s="956"/>
      <c r="H288" s="956"/>
      <c r="I288" s="956"/>
      <c r="J288" s="956"/>
      <c r="K288" s="956"/>
      <c r="L288" s="956"/>
      <c r="M288" s="956"/>
      <c r="N288" s="956"/>
      <c r="O288" s="956"/>
      <c r="P288" s="956"/>
      <c r="V288" s="957"/>
    </row>
    <row r="289" spans="5:22">
      <c r="E289" s="956"/>
      <c r="F289" s="956"/>
      <c r="G289" s="956"/>
      <c r="H289" s="956"/>
      <c r="I289" s="956"/>
      <c r="J289" s="956"/>
      <c r="K289" s="956"/>
      <c r="L289" s="956"/>
      <c r="M289" s="956"/>
      <c r="N289" s="956"/>
      <c r="O289" s="956"/>
      <c r="P289" s="956"/>
      <c r="V289" s="957"/>
    </row>
    <row r="290" spans="5:22">
      <c r="E290" s="956"/>
      <c r="F290" s="956"/>
      <c r="G290" s="956"/>
      <c r="H290" s="956"/>
      <c r="I290" s="956"/>
      <c r="J290" s="956"/>
      <c r="K290" s="956"/>
      <c r="L290" s="956"/>
      <c r="M290" s="956"/>
      <c r="N290" s="956"/>
      <c r="O290" s="956"/>
      <c r="P290" s="956"/>
      <c r="V290" s="957"/>
    </row>
    <row r="291" spans="5:22">
      <c r="E291" s="956"/>
      <c r="F291" s="956"/>
      <c r="G291" s="956"/>
      <c r="H291" s="956"/>
      <c r="I291" s="956"/>
      <c r="J291" s="956"/>
      <c r="K291" s="956"/>
      <c r="L291" s="956"/>
      <c r="M291" s="956"/>
      <c r="N291" s="956"/>
      <c r="O291" s="956"/>
      <c r="P291" s="956"/>
      <c r="V291" s="957"/>
    </row>
    <row r="292" spans="5:22">
      <c r="E292" s="956"/>
      <c r="F292" s="956"/>
      <c r="G292" s="956"/>
      <c r="H292" s="956"/>
      <c r="I292" s="956"/>
      <c r="J292" s="956"/>
      <c r="K292" s="956"/>
      <c r="L292" s="956"/>
      <c r="M292" s="956"/>
      <c r="N292" s="956"/>
      <c r="O292" s="956"/>
      <c r="P292" s="956"/>
      <c r="V292" s="957"/>
    </row>
    <row r="293" spans="5:22">
      <c r="E293" s="956"/>
      <c r="F293" s="956"/>
      <c r="G293" s="956"/>
      <c r="H293" s="956"/>
      <c r="I293" s="956"/>
      <c r="J293" s="956"/>
      <c r="K293" s="956"/>
      <c r="L293" s="956"/>
      <c r="M293" s="956"/>
      <c r="N293" s="956"/>
      <c r="O293" s="956"/>
      <c r="P293" s="956"/>
      <c r="V293" s="957"/>
    </row>
    <row r="294" spans="5:22">
      <c r="E294" s="956"/>
      <c r="F294" s="956"/>
      <c r="G294" s="956"/>
      <c r="H294" s="956"/>
      <c r="I294" s="956"/>
      <c r="J294" s="956"/>
      <c r="K294" s="956"/>
      <c r="L294" s="956"/>
      <c r="M294" s="956"/>
      <c r="N294" s="956"/>
      <c r="O294" s="956"/>
      <c r="P294" s="956"/>
      <c r="V294" s="957"/>
    </row>
    <row r="295" spans="5:22">
      <c r="E295" s="956"/>
      <c r="F295" s="956"/>
      <c r="G295" s="956"/>
      <c r="H295" s="956"/>
      <c r="I295" s="956"/>
      <c r="J295" s="956"/>
      <c r="K295" s="956"/>
      <c r="L295" s="956"/>
      <c r="M295" s="956"/>
      <c r="N295" s="956"/>
      <c r="O295" s="956"/>
      <c r="P295" s="956"/>
      <c r="V295" s="957"/>
    </row>
    <row r="296" spans="5:22">
      <c r="E296" s="956"/>
      <c r="F296" s="956"/>
      <c r="G296" s="956"/>
      <c r="H296" s="956"/>
      <c r="I296" s="956"/>
      <c r="J296" s="956"/>
      <c r="K296" s="956"/>
      <c r="L296" s="956"/>
      <c r="M296" s="956"/>
      <c r="N296" s="956"/>
      <c r="O296" s="956"/>
      <c r="P296" s="956"/>
      <c r="V296" s="957"/>
    </row>
    <row r="297" spans="5:22">
      <c r="E297" s="956"/>
      <c r="F297" s="956"/>
      <c r="G297" s="956"/>
      <c r="H297" s="956"/>
      <c r="I297" s="956"/>
      <c r="J297" s="956"/>
      <c r="K297" s="956"/>
      <c r="L297" s="956"/>
      <c r="M297" s="956"/>
      <c r="N297" s="956"/>
      <c r="O297" s="956"/>
      <c r="P297" s="956"/>
      <c r="V297" s="957"/>
    </row>
    <row r="298" spans="5:22">
      <c r="E298" s="956"/>
      <c r="F298" s="956"/>
      <c r="G298" s="956"/>
      <c r="H298" s="956"/>
      <c r="I298" s="956"/>
      <c r="J298" s="956"/>
      <c r="K298" s="956"/>
      <c r="L298" s="956"/>
      <c r="M298" s="956"/>
      <c r="N298" s="956"/>
      <c r="O298" s="956"/>
      <c r="P298" s="956"/>
      <c r="V298" s="957"/>
    </row>
    <row r="299" spans="5:22">
      <c r="E299" s="956"/>
      <c r="F299" s="956"/>
      <c r="G299" s="956"/>
      <c r="H299" s="956"/>
      <c r="I299" s="956"/>
      <c r="J299" s="956"/>
      <c r="K299" s="956"/>
      <c r="L299" s="956"/>
      <c r="M299" s="956"/>
      <c r="N299" s="956"/>
      <c r="O299" s="956"/>
      <c r="P299" s="956"/>
      <c r="V299" s="957"/>
    </row>
    <row r="300" spans="5:22">
      <c r="E300" s="956"/>
      <c r="F300" s="956"/>
      <c r="G300" s="956"/>
      <c r="H300" s="956"/>
      <c r="I300" s="956"/>
      <c r="J300" s="956"/>
      <c r="K300" s="956"/>
      <c r="L300" s="956"/>
      <c r="M300" s="956"/>
      <c r="N300" s="956"/>
      <c r="O300" s="956"/>
      <c r="P300" s="956"/>
      <c r="V300" s="957"/>
    </row>
    <row r="301" spans="5:22">
      <c r="E301" s="956"/>
      <c r="F301" s="956"/>
      <c r="G301" s="956"/>
      <c r="H301" s="956"/>
      <c r="I301" s="956"/>
      <c r="J301" s="956"/>
      <c r="K301" s="956"/>
      <c r="L301" s="956"/>
      <c r="M301" s="956"/>
      <c r="N301" s="956"/>
      <c r="O301" s="956"/>
      <c r="P301" s="956"/>
      <c r="V301" s="957"/>
    </row>
    <row r="302" spans="5:22">
      <c r="E302" s="956"/>
      <c r="F302" s="956"/>
      <c r="G302" s="956"/>
      <c r="H302" s="956"/>
      <c r="I302" s="956"/>
      <c r="J302" s="956"/>
      <c r="K302" s="956"/>
      <c r="L302" s="956"/>
      <c r="M302" s="956"/>
      <c r="N302" s="956"/>
      <c r="O302" s="956"/>
      <c r="P302" s="956"/>
      <c r="V302" s="957"/>
    </row>
    <row r="303" spans="5:22">
      <c r="E303" s="956"/>
      <c r="F303" s="956"/>
      <c r="G303" s="956"/>
      <c r="H303" s="956"/>
      <c r="I303" s="956"/>
      <c r="J303" s="956"/>
      <c r="K303" s="956"/>
      <c r="L303" s="956"/>
      <c r="M303" s="956"/>
      <c r="N303" s="956"/>
      <c r="O303" s="956"/>
      <c r="P303" s="956"/>
      <c r="V303" s="957"/>
    </row>
    <row r="304" spans="5:22">
      <c r="E304" s="956"/>
      <c r="F304" s="956"/>
      <c r="G304" s="956"/>
      <c r="H304" s="956"/>
      <c r="I304" s="956"/>
      <c r="J304" s="956"/>
      <c r="K304" s="956"/>
      <c r="L304" s="956"/>
      <c r="M304" s="956"/>
      <c r="N304" s="956"/>
      <c r="O304" s="956"/>
      <c r="P304" s="956"/>
      <c r="V304" s="957"/>
    </row>
    <row r="305" spans="5:22">
      <c r="E305" s="956"/>
      <c r="F305" s="956"/>
      <c r="G305" s="956"/>
      <c r="H305" s="956"/>
      <c r="I305" s="956"/>
      <c r="J305" s="956"/>
      <c r="K305" s="956"/>
      <c r="L305" s="956"/>
      <c r="M305" s="956"/>
      <c r="N305" s="956"/>
      <c r="O305" s="956"/>
      <c r="P305" s="956"/>
      <c r="V305" s="957"/>
    </row>
    <row r="306" spans="5:22">
      <c r="E306" s="956"/>
      <c r="F306" s="956"/>
      <c r="G306" s="956"/>
      <c r="H306" s="956"/>
      <c r="I306" s="956"/>
      <c r="J306" s="956"/>
      <c r="K306" s="956"/>
      <c r="L306" s="956"/>
      <c r="M306" s="956"/>
      <c r="N306" s="956"/>
      <c r="O306" s="956"/>
      <c r="P306" s="956"/>
      <c r="V306" s="957"/>
    </row>
    <row r="307" spans="5:22">
      <c r="E307" s="956"/>
      <c r="F307" s="956"/>
      <c r="G307" s="956"/>
      <c r="H307" s="956"/>
      <c r="I307" s="956"/>
      <c r="J307" s="956"/>
      <c r="K307" s="956"/>
      <c r="L307" s="956"/>
      <c r="M307" s="956"/>
      <c r="N307" s="956"/>
      <c r="O307" s="956"/>
      <c r="P307" s="956"/>
      <c r="V307" s="957"/>
    </row>
    <row r="308" spans="5:22">
      <c r="E308" s="956"/>
      <c r="F308" s="956"/>
      <c r="G308" s="956"/>
      <c r="H308" s="956"/>
      <c r="I308" s="956"/>
      <c r="J308" s="956"/>
      <c r="K308" s="956"/>
      <c r="L308" s="956"/>
      <c r="M308" s="956"/>
      <c r="N308" s="956"/>
      <c r="O308" s="956"/>
      <c r="P308" s="956"/>
      <c r="V308" s="957"/>
    </row>
    <row r="309" spans="5:22">
      <c r="E309" s="956"/>
      <c r="F309" s="956"/>
      <c r="G309" s="956"/>
      <c r="H309" s="956"/>
      <c r="I309" s="956"/>
      <c r="J309" s="956"/>
      <c r="K309" s="956"/>
      <c r="L309" s="956"/>
      <c r="M309" s="956"/>
      <c r="N309" s="956"/>
      <c r="O309" s="956"/>
      <c r="P309" s="956"/>
      <c r="V309" s="957"/>
    </row>
    <row r="310" spans="5:22">
      <c r="E310" s="956"/>
      <c r="F310" s="956"/>
      <c r="G310" s="956"/>
      <c r="H310" s="956"/>
      <c r="I310" s="956"/>
      <c r="J310" s="956"/>
      <c r="K310" s="956"/>
      <c r="L310" s="956"/>
      <c r="M310" s="956"/>
      <c r="N310" s="956"/>
      <c r="O310" s="956"/>
      <c r="P310" s="956"/>
      <c r="V310" s="957"/>
    </row>
    <row r="311" spans="5:22">
      <c r="E311" s="956"/>
      <c r="F311" s="956"/>
      <c r="G311" s="956"/>
      <c r="H311" s="956"/>
      <c r="I311" s="956"/>
      <c r="J311" s="956"/>
      <c r="K311" s="956"/>
      <c r="L311" s="956"/>
      <c r="M311" s="956"/>
      <c r="N311" s="956"/>
      <c r="O311" s="956"/>
      <c r="P311" s="956"/>
      <c r="V311" s="957"/>
    </row>
    <row r="312" spans="5:22">
      <c r="E312" s="956"/>
      <c r="F312" s="956"/>
      <c r="G312" s="956"/>
      <c r="H312" s="956"/>
      <c r="I312" s="956"/>
      <c r="J312" s="956"/>
      <c r="K312" s="956"/>
      <c r="L312" s="956"/>
      <c r="M312" s="956"/>
      <c r="N312" s="956"/>
      <c r="O312" s="956"/>
      <c r="P312" s="956"/>
      <c r="V312" s="957"/>
    </row>
    <row r="313" spans="5:22">
      <c r="E313" s="956"/>
      <c r="F313" s="956"/>
      <c r="G313" s="956"/>
      <c r="H313" s="956"/>
      <c r="I313" s="956"/>
      <c r="J313" s="956"/>
      <c r="K313" s="956"/>
      <c r="L313" s="956"/>
      <c r="M313" s="956"/>
      <c r="N313" s="956"/>
      <c r="O313" s="956"/>
      <c r="P313" s="956"/>
      <c r="V313" s="957"/>
    </row>
    <row r="314" spans="5:22">
      <c r="E314" s="956"/>
      <c r="F314" s="956"/>
      <c r="G314" s="956"/>
      <c r="H314" s="956"/>
      <c r="I314" s="956"/>
      <c r="J314" s="956"/>
      <c r="K314" s="956"/>
      <c r="L314" s="956"/>
      <c r="M314" s="956"/>
      <c r="N314" s="956"/>
      <c r="O314" s="956"/>
      <c r="P314" s="956"/>
      <c r="V314" s="957"/>
    </row>
    <row r="315" spans="5:22">
      <c r="E315" s="956"/>
      <c r="F315" s="956"/>
      <c r="G315" s="956"/>
      <c r="H315" s="956"/>
      <c r="I315" s="956"/>
      <c r="J315" s="956"/>
      <c r="K315" s="956"/>
      <c r="L315" s="956"/>
      <c r="M315" s="956"/>
      <c r="N315" s="956"/>
      <c r="O315" s="956"/>
      <c r="P315" s="956"/>
      <c r="V315" s="957"/>
    </row>
    <row r="316" spans="5:22">
      <c r="E316" s="956"/>
      <c r="F316" s="956"/>
      <c r="G316" s="956"/>
      <c r="H316" s="956"/>
      <c r="I316" s="956"/>
      <c r="J316" s="956"/>
      <c r="K316" s="956"/>
      <c r="L316" s="956"/>
      <c r="M316" s="956"/>
      <c r="N316" s="956"/>
      <c r="O316" s="956"/>
      <c r="P316" s="956"/>
      <c r="V316" s="957"/>
    </row>
    <row r="317" spans="5:22">
      <c r="E317" s="956"/>
      <c r="F317" s="956"/>
      <c r="G317" s="956"/>
      <c r="H317" s="956"/>
      <c r="I317" s="956"/>
      <c r="J317" s="956"/>
      <c r="K317" s="956"/>
      <c r="L317" s="956"/>
      <c r="M317" s="956"/>
      <c r="N317" s="956"/>
      <c r="O317" s="956"/>
      <c r="P317" s="956"/>
      <c r="V317" s="957"/>
    </row>
    <row r="318" spans="5:22">
      <c r="E318" s="956"/>
      <c r="F318" s="956"/>
      <c r="G318" s="956"/>
      <c r="H318" s="956"/>
      <c r="I318" s="956"/>
      <c r="J318" s="956"/>
      <c r="K318" s="956"/>
      <c r="L318" s="956"/>
      <c r="M318" s="956"/>
      <c r="N318" s="956"/>
      <c r="O318" s="956"/>
      <c r="P318" s="956"/>
      <c r="V318" s="957"/>
    </row>
    <row r="319" spans="5:22">
      <c r="E319" s="956"/>
      <c r="F319" s="956"/>
      <c r="G319" s="956"/>
      <c r="H319" s="956"/>
      <c r="I319" s="956"/>
      <c r="J319" s="956"/>
      <c r="K319" s="956"/>
      <c r="L319" s="956"/>
      <c r="M319" s="956"/>
      <c r="N319" s="956"/>
      <c r="O319" s="956"/>
      <c r="P319" s="956"/>
      <c r="V319" s="957"/>
    </row>
    <row r="320" spans="5:22">
      <c r="E320" s="956"/>
      <c r="F320" s="956"/>
      <c r="G320" s="956"/>
      <c r="H320" s="956"/>
      <c r="I320" s="956"/>
      <c r="J320" s="956"/>
      <c r="K320" s="956"/>
      <c r="L320" s="956"/>
      <c r="M320" s="956"/>
      <c r="N320" s="956"/>
      <c r="O320" s="956"/>
      <c r="P320" s="956"/>
      <c r="V320" s="957"/>
    </row>
    <row r="321" spans="5:22">
      <c r="E321" s="956"/>
      <c r="F321" s="956"/>
      <c r="G321" s="956"/>
      <c r="H321" s="956"/>
      <c r="I321" s="956"/>
      <c r="J321" s="956"/>
      <c r="K321" s="956"/>
      <c r="L321" s="956"/>
      <c r="M321" s="956"/>
      <c r="N321" s="956"/>
      <c r="O321" s="956"/>
      <c r="P321" s="956"/>
      <c r="V321" s="957"/>
    </row>
    <row r="322" spans="5:22">
      <c r="E322" s="956"/>
      <c r="F322" s="956"/>
      <c r="G322" s="956"/>
      <c r="H322" s="956"/>
      <c r="I322" s="956"/>
      <c r="J322" s="956"/>
      <c r="K322" s="956"/>
      <c r="L322" s="956"/>
      <c r="M322" s="956"/>
      <c r="N322" s="956"/>
      <c r="O322" s="956"/>
      <c r="P322" s="956"/>
      <c r="V322" s="957"/>
    </row>
    <row r="323" spans="5:22">
      <c r="E323" s="956"/>
      <c r="F323" s="956"/>
      <c r="G323" s="956"/>
      <c r="H323" s="956"/>
      <c r="I323" s="956"/>
      <c r="J323" s="956"/>
      <c r="K323" s="956"/>
      <c r="L323" s="956"/>
      <c r="M323" s="956"/>
      <c r="N323" s="956"/>
      <c r="O323" s="956"/>
      <c r="P323" s="956"/>
      <c r="V323" s="957"/>
    </row>
    <row r="324" spans="5:22">
      <c r="E324" s="956"/>
      <c r="F324" s="956"/>
      <c r="G324" s="956"/>
      <c r="H324" s="956"/>
      <c r="I324" s="956"/>
      <c r="J324" s="956"/>
      <c r="K324" s="956"/>
      <c r="L324" s="956"/>
      <c r="M324" s="956"/>
      <c r="N324" s="956"/>
      <c r="O324" s="956"/>
      <c r="P324" s="956"/>
      <c r="V324" s="957"/>
    </row>
    <row r="325" spans="5:22">
      <c r="E325" s="956"/>
      <c r="F325" s="956"/>
      <c r="G325" s="956"/>
      <c r="H325" s="956"/>
      <c r="I325" s="956"/>
      <c r="J325" s="956"/>
      <c r="K325" s="956"/>
      <c r="L325" s="956"/>
      <c r="M325" s="956"/>
      <c r="N325" s="956"/>
      <c r="O325" s="956"/>
      <c r="P325" s="956"/>
      <c r="V325" s="957"/>
    </row>
    <row r="326" spans="5:22">
      <c r="E326" s="956"/>
      <c r="F326" s="956"/>
      <c r="G326" s="956"/>
      <c r="H326" s="956"/>
      <c r="I326" s="956"/>
      <c r="J326" s="956"/>
      <c r="K326" s="956"/>
      <c r="L326" s="956"/>
      <c r="M326" s="956"/>
      <c r="N326" s="956"/>
      <c r="O326" s="956"/>
      <c r="P326" s="956"/>
      <c r="V326" s="957"/>
    </row>
    <row r="327" spans="5:22">
      <c r="E327" s="956"/>
      <c r="F327" s="956"/>
      <c r="G327" s="956"/>
      <c r="H327" s="956"/>
      <c r="I327" s="956"/>
      <c r="J327" s="956"/>
      <c r="K327" s="956"/>
      <c r="L327" s="956"/>
      <c r="M327" s="956"/>
      <c r="N327" s="956"/>
      <c r="O327" s="956"/>
      <c r="P327" s="956"/>
      <c r="V327" s="957"/>
    </row>
    <row r="328" spans="5:22">
      <c r="E328" s="956"/>
      <c r="F328" s="956"/>
      <c r="G328" s="956"/>
      <c r="H328" s="956"/>
      <c r="I328" s="956"/>
      <c r="J328" s="956"/>
      <c r="K328" s="956"/>
      <c r="L328" s="956"/>
      <c r="M328" s="956"/>
      <c r="N328" s="956"/>
      <c r="O328" s="956"/>
      <c r="P328" s="956"/>
      <c r="V328" s="957"/>
    </row>
    <row r="329" spans="5:22">
      <c r="E329" s="956"/>
      <c r="F329" s="956"/>
      <c r="G329" s="956"/>
      <c r="H329" s="956"/>
      <c r="I329" s="956"/>
      <c r="J329" s="956"/>
      <c r="K329" s="956"/>
      <c r="L329" s="956"/>
      <c r="M329" s="956"/>
      <c r="N329" s="956"/>
      <c r="O329" s="956"/>
      <c r="P329" s="956"/>
      <c r="V329" s="957"/>
    </row>
    <row r="330" spans="5:22">
      <c r="E330" s="956"/>
      <c r="F330" s="956"/>
      <c r="G330" s="956"/>
      <c r="H330" s="956"/>
      <c r="I330" s="956"/>
      <c r="J330" s="956"/>
      <c r="K330" s="956"/>
      <c r="L330" s="956"/>
      <c r="M330" s="956"/>
      <c r="N330" s="956"/>
      <c r="O330" s="956"/>
      <c r="P330" s="956"/>
      <c r="V330" s="957"/>
    </row>
    <row r="331" spans="5:22">
      <c r="E331" s="956"/>
      <c r="F331" s="956"/>
      <c r="G331" s="956"/>
      <c r="H331" s="956"/>
      <c r="I331" s="956"/>
      <c r="J331" s="956"/>
      <c r="K331" s="956"/>
      <c r="L331" s="956"/>
      <c r="M331" s="956"/>
      <c r="N331" s="956"/>
      <c r="O331" s="956"/>
      <c r="P331" s="956"/>
      <c r="V331" s="957"/>
    </row>
    <row r="332" spans="5:22">
      <c r="E332" s="956"/>
      <c r="F332" s="956"/>
      <c r="G332" s="956"/>
      <c r="H332" s="956"/>
      <c r="I332" s="956"/>
      <c r="J332" s="956"/>
      <c r="K332" s="956"/>
      <c r="L332" s="956"/>
      <c r="M332" s="956"/>
      <c r="N332" s="956"/>
      <c r="O332" s="956"/>
      <c r="P332" s="956"/>
      <c r="V332" s="957"/>
    </row>
    <row r="333" spans="5:22">
      <c r="E333" s="956"/>
      <c r="F333" s="956"/>
      <c r="G333" s="956"/>
      <c r="H333" s="956"/>
      <c r="I333" s="956"/>
      <c r="J333" s="956"/>
      <c r="K333" s="956"/>
      <c r="L333" s="956"/>
      <c r="M333" s="956"/>
      <c r="N333" s="956"/>
      <c r="O333" s="956"/>
      <c r="P333" s="956"/>
      <c r="V333" s="957"/>
    </row>
    <row r="334" spans="5:22">
      <c r="E334" s="956"/>
      <c r="F334" s="956"/>
      <c r="G334" s="956"/>
      <c r="H334" s="956"/>
      <c r="I334" s="956"/>
      <c r="J334" s="956"/>
      <c r="K334" s="956"/>
      <c r="L334" s="956"/>
      <c r="M334" s="956"/>
      <c r="N334" s="956"/>
      <c r="O334" s="956"/>
      <c r="P334" s="956"/>
      <c r="V334" s="957"/>
    </row>
    <row r="335" spans="5:22">
      <c r="E335" s="956"/>
      <c r="F335" s="956"/>
      <c r="G335" s="956"/>
      <c r="H335" s="956"/>
      <c r="I335" s="956"/>
      <c r="J335" s="956"/>
      <c r="K335" s="956"/>
      <c r="L335" s="956"/>
      <c r="M335" s="956"/>
      <c r="N335" s="956"/>
      <c r="O335" s="956"/>
      <c r="P335" s="956"/>
      <c r="V335" s="957"/>
    </row>
    <row r="336" spans="5:22">
      <c r="E336" s="956"/>
      <c r="F336" s="956"/>
      <c r="G336" s="956"/>
      <c r="H336" s="956"/>
      <c r="I336" s="956"/>
      <c r="J336" s="956"/>
      <c r="K336" s="956"/>
      <c r="L336" s="956"/>
      <c r="M336" s="956"/>
      <c r="N336" s="956"/>
      <c r="O336" s="956"/>
      <c r="P336" s="956"/>
      <c r="V336" s="957"/>
    </row>
    <row r="337" spans="5:22">
      <c r="E337" s="956"/>
      <c r="F337" s="956"/>
      <c r="G337" s="956"/>
      <c r="H337" s="956"/>
      <c r="I337" s="956"/>
      <c r="J337" s="956"/>
      <c r="K337" s="956"/>
      <c r="L337" s="956"/>
      <c r="M337" s="956"/>
      <c r="N337" s="956"/>
      <c r="O337" s="956"/>
      <c r="P337" s="956"/>
      <c r="V337" s="957"/>
    </row>
    <row r="338" spans="5:22">
      <c r="E338" s="956"/>
      <c r="F338" s="956"/>
      <c r="G338" s="956"/>
      <c r="H338" s="956"/>
      <c r="I338" s="956"/>
      <c r="J338" s="956"/>
      <c r="K338" s="956"/>
      <c r="L338" s="956"/>
      <c r="M338" s="956"/>
      <c r="N338" s="956"/>
      <c r="O338" s="956"/>
      <c r="P338" s="956"/>
      <c r="V338" s="957"/>
    </row>
    <row r="339" spans="5:22">
      <c r="E339" s="956"/>
      <c r="F339" s="956"/>
      <c r="G339" s="956"/>
      <c r="H339" s="956"/>
      <c r="I339" s="956"/>
      <c r="J339" s="956"/>
      <c r="K339" s="956"/>
      <c r="L339" s="956"/>
      <c r="M339" s="956"/>
      <c r="N339" s="956"/>
      <c r="O339" s="956"/>
      <c r="P339" s="956"/>
      <c r="V339" s="957"/>
    </row>
    <row r="340" spans="5:22">
      <c r="E340" s="956"/>
      <c r="F340" s="956"/>
      <c r="G340" s="956"/>
      <c r="H340" s="956"/>
      <c r="I340" s="956"/>
      <c r="J340" s="956"/>
      <c r="K340" s="956"/>
      <c r="L340" s="956"/>
      <c r="M340" s="956"/>
      <c r="N340" s="956"/>
      <c r="O340" s="956"/>
      <c r="P340" s="956"/>
      <c r="V340" s="957"/>
    </row>
    <row r="341" spans="5:22">
      <c r="E341" s="956"/>
      <c r="F341" s="956"/>
      <c r="G341" s="956"/>
      <c r="H341" s="956"/>
      <c r="I341" s="956"/>
      <c r="J341" s="956"/>
      <c r="K341" s="956"/>
      <c r="L341" s="956"/>
      <c r="M341" s="956"/>
      <c r="N341" s="956"/>
      <c r="O341" s="956"/>
      <c r="P341" s="956"/>
      <c r="V341" s="957"/>
    </row>
    <row r="342" spans="5:22">
      <c r="E342" s="956"/>
      <c r="F342" s="956"/>
      <c r="G342" s="956"/>
      <c r="H342" s="956"/>
      <c r="I342" s="956"/>
      <c r="J342" s="956"/>
      <c r="K342" s="956"/>
      <c r="L342" s="956"/>
      <c r="M342" s="956"/>
      <c r="N342" s="956"/>
      <c r="O342" s="956"/>
      <c r="P342" s="956"/>
      <c r="V342" s="957"/>
    </row>
    <row r="343" spans="5:22">
      <c r="E343" s="956"/>
      <c r="F343" s="956"/>
      <c r="G343" s="956"/>
      <c r="H343" s="956"/>
      <c r="I343" s="956"/>
      <c r="J343" s="956"/>
      <c r="K343" s="956"/>
      <c r="L343" s="956"/>
      <c r="M343" s="956"/>
      <c r="N343" s="956"/>
      <c r="O343" s="956"/>
      <c r="P343" s="956"/>
      <c r="V343" s="957"/>
    </row>
    <row r="344" spans="5:22">
      <c r="E344" s="956"/>
      <c r="F344" s="956"/>
      <c r="G344" s="956"/>
      <c r="H344" s="956"/>
      <c r="I344" s="956"/>
      <c r="J344" s="956"/>
      <c r="K344" s="956"/>
      <c r="L344" s="956"/>
      <c r="M344" s="956"/>
      <c r="N344" s="956"/>
      <c r="O344" s="956"/>
      <c r="P344" s="956"/>
      <c r="V344" s="957"/>
    </row>
    <row r="345" spans="5:22">
      <c r="E345" s="956"/>
      <c r="F345" s="956"/>
      <c r="G345" s="956"/>
      <c r="H345" s="956"/>
      <c r="I345" s="956"/>
      <c r="J345" s="956"/>
      <c r="K345" s="956"/>
      <c r="L345" s="956"/>
      <c r="M345" s="956"/>
      <c r="N345" s="956"/>
      <c r="O345" s="956"/>
      <c r="P345" s="956"/>
      <c r="V345" s="957"/>
    </row>
    <row r="346" spans="5:22">
      <c r="E346" s="956"/>
      <c r="F346" s="956"/>
      <c r="G346" s="956"/>
      <c r="H346" s="956"/>
      <c r="I346" s="956"/>
      <c r="J346" s="956"/>
      <c r="K346" s="956"/>
      <c r="L346" s="956"/>
      <c r="M346" s="956"/>
      <c r="N346" s="956"/>
      <c r="O346" s="956"/>
      <c r="P346" s="956"/>
      <c r="V346" s="957"/>
    </row>
    <row r="347" spans="5:22">
      <c r="E347" s="956"/>
      <c r="F347" s="956"/>
      <c r="G347" s="956"/>
      <c r="H347" s="956"/>
      <c r="I347" s="956"/>
      <c r="J347" s="956"/>
      <c r="K347" s="956"/>
      <c r="L347" s="956"/>
      <c r="M347" s="956"/>
      <c r="N347" s="956"/>
      <c r="O347" s="956"/>
      <c r="P347" s="956"/>
      <c r="V347" s="957"/>
    </row>
    <row r="348" spans="5:22">
      <c r="E348" s="956"/>
      <c r="F348" s="956"/>
      <c r="G348" s="956"/>
      <c r="H348" s="956"/>
      <c r="I348" s="956"/>
      <c r="J348" s="956"/>
      <c r="K348" s="956"/>
      <c r="L348" s="956"/>
      <c r="M348" s="956"/>
      <c r="N348" s="956"/>
      <c r="O348" s="956"/>
      <c r="P348" s="956"/>
      <c r="V348" s="957"/>
    </row>
    <row r="349" spans="5:22">
      <c r="E349" s="956"/>
      <c r="F349" s="956"/>
      <c r="G349" s="956"/>
      <c r="H349" s="956"/>
      <c r="I349" s="956"/>
      <c r="J349" s="956"/>
      <c r="K349" s="956"/>
      <c r="L349" s="956"/>
      <c r="M349" s="956"/>
      <c r="N349" s="956"/>
      <c r="O349" s="956"/>
      <c r="P349" s="956"/>
      <c r="V349" s="957"/>
    </row>
    <row r="350" spans="5:22">
      <c r="E350" s="956"/>
      <c r="F350" s="956"/>
      <c r="G350" s="956"/>
      <c r="H350" s="956"/>
      <c r="I350" s="956"/>
      <c r="J350" s="956"/>
      <c r="K350" s="956"/>
      <c r="L350" s="956"/>
      <c r="M350" s="956"/>
      <c r="N350" s="956"/>
      <c r="O350" s="956"/>
      <c r="P350" s="956"/>
      <c r="V350" s="957"/>
    </row>
    <row r="351" spans="5:22">
      <c r="E351" s="956"/>
      <c r="F351" s="956"/>
      <c r="G351" s="956"/>
      <c r="H351" s="956"/>
      <c r="I351" s="956"/>
      <c r="J351" s="956"/>
      <c r="K351" s="956"/>
      <c r="L351" s="956"/>
      <c r="M351" s="956"/>
      <c r="N351" s="956"/>
      <c r="O351" s="956"/>
      <c r="P351" s="956"/>
      <c r="V351" s="957"/>
    </row>
    <row r="352" spans="5:22">
      <c r="E352" s="956"/>
      <c r="F352" s="956"/>
      <c r="G352" s="956"/>
      <c r="H352" s="956"/>
      <c r="I352" s="956"/>
      <c r="J352" s="956"/>
      <c r="K352" s="956"/>
      <c r="L352" s="956"/>
      <c r="M352" s="956"/>
      <c r="N352" s="956"/>
      <c r="O352" s="956"/>
      <c r="P352" s="956"/>
      <c r="V352" s="957"/>
    </row>
    <row r="353" spans="5:22">
      <c r="E353" s="956"/>
      <c r="F353" s="956"/>
      <c r="G353" s="956"/>
      <c r="H353" s="956"/>
      <c r="I353" s="956"/>
      <c r="J353" s="956"/>
      <c r="K353" s="956"/>
      <c r="L353" s="956"/>
      <c r="M353" s="956"/>
      <c r="N353" s="956"/>
      <c r="O353" s="956"/>
      <c r="P353" s="956"/>
      <c r="V353" s="957"/>
    </row>
    <row r="354" spans="5:22">
      <c r="E354" s="956"/>
      <c r="F354" s="956"/>
      <c r="G354" s="956"/>
      <c r="H354" s="956"/>
      <c r="I354" s="956"/>
      <c r="J354" s="956"/>
      <c r="K354" s="956"/>
      <c r="L354" s="956"/>
      <c r="M354" s="956"/>
      <c r="N354" s="956"/>
      <c r="O354" s="956"/>
      <c r="P354" s="956"/>
      <c r="V354" s="957"/>
    </row>
    <row r="355" spans="5:22">
      <c r="E355" s="956"/>
      <c r="F355" s="956"/>
      <c r="G355" s="956"/>
      <c r="H355" s="956"/>
      <c r="I355" s="956"/>
      <c r="J355" s="956"/>
      <c r="K355" s="956"/>
      <c r="L355" s="956"/>
      <c r="M355" s="956"/>
      <c r="N355" s="956"/>
      <c r="O355" s="956"/>
      <c r="P355" s="956"/>
      <c r="V355" s="957"/>
    </row>
    <row r="356" spans="5:22">
      <c r="E356" s="956"/>
      <c r="F356" s="956"/>
      <c r="G356" s="956"/>
      <c r="H356" s="956"/>
      <c r="I356" s="956"/>
      <c r="J356" s="956"/>
      <c r="K356" s="956"/>
      <c r="L356" s="956"/>
      <c r="M356" s="956"/>
      <c r="N356" s="956"/>
      <c r="O356" s="956"/>
      <c r="P356" s="956"/>
      <c r="V356" s="957"/>
    </row>
    <row r="357" spans="5:22">
      <c r="E357" s="956"/>
      <c r="F357" s="956"/>
      <c r="G357" s="956"/>
      <c r="H357" s="956"/>
      <c r="I357" s="956"/>
      <c r="J357" s="956"/>
      <c r="K357" s="956"/>
      <c r="L357" s="956"/>
      <c r="M357" s="956"/>
      <c r="N357" s="956"/>
      <c r="O357" s="956"/>
      <c r="P357" s="956"/>
      <c r="V357" s="957"/>
    </row>
    <row r="358" spans="5:22">
      <c r="E358" s="956"/>
      <c r="F358" s="956"/>
      <c r="G358" s="956"/>
      <c r="H358" s="956"/>
      <c r="I358" s="956"/>
      <c r="J358" s="956"/>
      <c r="K358" s="956"/>
      <c r="L358" s="956"/>
      <c r="M358" s="956"/>
      <c r="N358" s="956"/>
      <c r="O358" s="956"/>
      <c r="P358" s="956"/>
      <c r="V358" s="957"/>
    </row>
    <row r="359" spans="5:22">
      <c r="E359" s="956"/>
      <c r="F359" s="956"/>
      <c r="G359" s="956"/>
      <c r="H359" s="956"/>
      <c r="I359" s="956"/>
      <c r="J359" s="956"/>
      <c r="K359" s="956"/>
      <c r="L359" s="956"/>
      <c r="M359" s="956"/>
      <c r="N359" s="956"/>
      <c r="O359" s="956"/>
      <c r="P359" s="956"/>
      <c r="V359" s="957"/>
    </row>
    <row r="360" spans="5:22">
      <c r="E360" s="956"/>
      <c r="F360" s="956"/>
      <c r="G360" s="956"/>
      <c r="H360" s="956"/>
      <c r="I360" s="956"/>
      <c r="J360" s="956"/>
      <c r="K360" s="956"/>
      <c r="L360" s="956"/>
      <c r="M360" s="956"/>
      <c r="N360" s="956"/>
      <c r="O360" s="956"/>
      <c r="P360" s="956"/>
      <c r="V360" s="957"/>
    </row>
    <row r="361" spans="5:22">
      <c r="E361" s="956"/>
      <c r="F361" s="956"/>
      <c r="G361" s="956"/>
      <c r="H361" s="956"/>
      <c r="I361" s="956"/>
      <c r="J361" s="956"/>
      <c r="K361" s="956"/>
      <c r="L361" s="956"/>
      <c r="M361" s="956"/>
      <c r="N361" s="956"/>
      <c r="O361" s="956"/>
      <c r="P361" s="956"/>
      <c r="V361" s="957"/>
    </row>
    <row r="362" spans="5:22">
      <c r="E362" s="956"/>
      <c r="F362" s="956"/>
      <c r="G362" s="956"/>
      <c r="H362" s="956"/>
      <c r="I362" s="956"/>
      <c r="J362" s="956"/>
      <c r="K362" s="956"/>
      <c r="L362" s="956"/>
      <c r="M362" s="956"/>
      <c r="N362" s="956"/>
      <c r="O362" s="956"/>
      <c r="P362" s="956"/>
      <c r="V362" s="957"/>
    </row>
    <row r="363" spans="5:22">
      <c r="E363" s="956"/>
      <c r="F363" s="956"/>
      <c r="G363" s="956"/>
      <c r="H363" s="956"/>
      <c r="I363" s="956"/>
      <c r="J363" s="956"/>
      <c r="K363" s="956"/>
      <c r="L363" s="956"/>
      <c r="M363" s="956"/>
      <c r="N363" s="956"/>
      <c r="O363" s="956"/>
      <c r="P363" s="956"/>
      <c r="V363" s="957"/>
    </row>
    <row r="364" spans="5:22">
      <c r="E364" s="956"/>
      <c r="F364" s="956"/>
      <c r="G364" s="956"/>
      <c r="H364" s="956"/>
      <c r="I364" s="956"/>
      <c r="J364" s="956"/>
      <c r="K364" s="956"/>
      <c r="L364" s="956"/>
      <c r="M364" s="956"/>
      <c r="N364" s="956"/>
      <c r="O364" s="956"/>
      <c r="P364" s="956"/>
      <c r="V364" s="957"/>
    </row>
    <row r="365" spans="5:22">
      <c r="E365" s="956"/>
      <c r="F365" s="956"/>
      <c r="G365" s="956"/>
      <c r="H365" s="956"/>
      <c r="I365" s="956"/>
      <c r="J365" s="956"/>
      <c r="K365" s="956"/>
      <c r="L365" s="956"/>
      <c r="M365" s="956"/>
      <c r="N365" s="956"/>
      <c r="O365" s="956"/>
      <c r="P365" s="956"/>
      <c r="V365" s="957"/>
    </row>
    <row r="366" spans="5:22">
      <c r="E366" s="956"/>
      <c r="F366" s="956"/>
      <c r="G366" s="956"/>
      <c r="H366" s="956"/>
      <c r="I366" s="956"/>
      <c r="J366" s="956"/>
      <c r="K366" s="956"/>
      <c r="L366" s="956"/>
      <c r="M366" s="956"/>
      <c r="N366" s="956"/>
      <c r="O366" s="956"/>
      <c r="P366" s="956"/>
      <c r="V366" s="957"/>
    </row>
    <row r="367" spans="5:22">
      <c r="E367" s="956"/>
      <c r="F367" s="956"/>
      <c r="G367" s="956"/>
      <c r="H367" s="956"/>
      <c r="I367" s="956"/>
      <c r="J367" s="956"/>
      <c r="K367" s="956"/>
      <c r="L367" s="956"/>
      <c r="M367" s="956"/>
      <c r="N367" s="956"/>
      <c r="O367" s="956"/>
      <c r="P367" s="956"/>
      <c r="V367" s="957"/>
    </row>
    <row r="368" spans="5:22">
      <c r="E368" s="956"/>
      <c r="F368" s="956"/>
      <c r="G368" s="956"/>
      <c r="H368" s="956"/>
      <c r="I368" s="956"/>
      <c r="J368" s="956"/>
      <c r="K368" s="956"/>
      <c r="L368" s="956"/>
      <c r="M368" s="956"/>
      <c r="N368" s="956"/>
      <c r="O368" s="956"/>
      <c r="P368" s="956"/>
      <c r="V368" s="957"/>
    </row>
    <row r="369" spans="5:22">
      <c r="E369" s="956"/>
      <c r="F369" s="956"/>
      <c r="G369" s="956"/>
      <c r="H369" s="956"/>
      <c r="I369" s="956"/>
      <c r="J369" s="956"/>
      <c r="K369" s="956"/>
      <c r="L369" s="956"/>
      <c r="M369" s="956"/>
      <c r="N369" s="956"/>
      <c r="O369" s="956"/>
      <c r="P369" s="956"/>
      <c r="V369" s="957"/>
    </row>
    <row r="370" spans="5:22">
      <c r="E370" s="956"/>
      <c r="F370" s="956"/>
      <c r="G370" s="956"/>
      <c r="H370" s="956"/>
      <c r="I370" s="956"/>
      <c r="J370" s="956"/>
      <c r="K370" s="956"/>
      <c r="L370" s="956"/>
      <c r="M370" s="956"/>
      <c r="N370" s="956"/>
      <c r="O370" s="956"/>
      <c r="P370" s="956"/>
      <c r="V370" s="957"/>
    </row>
    <row r="371" spans="5:22">
      <c r="E371" s="956"/>
      <c r="F371" s="956"/>
      <c r="G371" s="956"/>
      <c r="H371" s="956"/>
      <c r="I371" s="956"/>
      <c r="J371" s="956"/>
      <c r="K371" s="956"/>
      <c r="L371" s="956"/>
      <c r="M371" s="956"/>
      <c r="N371" s="956"/>
      <c r="O371" s="956"/>
      <c r="P371" s="956"/>
      <c r="V371" s="957"/>
    </row>
    <row r="372" spans="5:22">
      <c r="E372" s="956"/>
      <c r="F372" s="956"/>
      <c r="G372" s="956"/>
      <c r="H372" s="956"/>
      <c r="I372" s="956"/>
      <c r="J372" s="956"/>
      <c r="K372" s="956"/>
      <c r="L372" s="956"/>
      <c r="M372" s="956"/>
      <c r="N372" s="956"/>
      <c r="O372" s="956"/>
      <c r="P372" s="956"/>
      <c r="V372" s="957"/>
    </row>
    <row r="373" spans="5:22">
      <c r="E373" s="956"/>
      <c r="F373" s="956"/>
      <c r="G373" s="956"/>
      <c r="H373" s="956"/>
      <c r="I373" s="956"/>
      <c r="J373" s="956"/>
      <c r="K373" s="956"/>
      <c r="L373" s="956"/>
      <c r="M373" s="956"/>
      <c r="N373" s="956"/>
      <c r="O373" s="956"/>
      <c r="P373" s="956"/>
      <c r="V373" s="957"/>
    </row>
    <row r="374" spans="5:22">
      <c r="E374" s="956"/>
      <c r="F374" s="956"/>
      <c r="G374" s="956"/>
      <c r="H374" s="956"/>
      <c r="I374" s="956"/>
      <c r="J374" s="956"/>
      <c r="K374" s="956"/>
      <c r="L374" s="956"/>
      <c r="M374" s="956"/>
      <c r="N374" s="956"/>
      <c r="O374" s="956"/>
      <c r="P374" s="956"/>
      <c r="V374" s="957"/>
    </row>
    <row r="375" spans="5:22">
      <c r="E375" s="956"/>
      <c r="F375" s="956"/>
      <c r="G375" s="956"/>
      <c r="H375" s="956"/>
      <c r="I375" s="956"/>
      <c r="J375" s="956"/>
      <c r="K375" s="956"/>
      <c r="L375" s="956"/>
      <c r="M375" s="956"/>
      <c r="N375" s="956"/>
      <c r="O375" s="956"/>
      <c r="P375" s="956"/>
      <c r="V375" s="957"/>
    </row>
    <row r="376" spans="5:22">
      <c r="E376" s="956"/>
      <c r="F376" s="956"/>
      <c r="G376" s="956"/>
      <c r="H376" s="956"/>
      <c r="I376" s="956"/>
      <c r="J376" s="956"/>
      <c r="K376" s="956"/>
      <c r="L376" s="956"/>
      <c r="M376" s="956"/>
      <c r="N376" s="956"/>
      <c r="O376" s="956"/>
      <c r="P376" s="956"/>
      <c r="V376" s="957"/>
    </row>
    <row r="377" spans="5:22">
      <c r="E377" s="956"/>
      <c r="F377" s="956"/>
      <c r="G377" s="956"/>
      <c r="H377" s="956"/>
      <c r="I377" s="956"/>
      <c r="J377" s="956"/>
      <c r="K377" s="956"/>
      <c r="L377" s="956"/>
      <c r="M377" s="956"/>
      <c r="N377" s="956"/>
      <c r="O377" s="956"/>
      <c r="P377" s="956"/>
      <c r="V377" s="957"/>
    </row>
    <row r="378" spans="5:22">
      <c r="E378" s="956"/>
      <c r="F378" s="956"/>
      <c r="G378" s="956"/>
      <c r="H378" s="956"/>
      <c r="I378" s="956"/>
      <c r="J378" s="956"/>
      <c r="K378" s="956"/>
      <c r="L378" s="956"/>
      <c r="M378" s="956"/>
      <c r="N378" s="956"/>
      <c r="O378" s="956"/>
      <c r="P378" s="956"/>
      <c r="V378" s="957"/>
    </row>
    <row r="379" spans="5:22">
      <c r="E379" s="956"/>
      <c r="F379" s="956"/>
      <c r="G379" s="956"/>
      <c r="H379" s="956"/>
      <c r="I379" s="956"/>
      <c r="J379" s="956"/>
      <c r="K379" s="956"/>
      <c r="L379" s="956"/>
      <c r="M379" s="956"/>
      <c r="N379" s="956"/>
      <c r="O379" s="956"/>
      <c r="P379" s="956"/>
      <c r="V379" s="957"/>
    </row>
    <row r="380" spans="5:22">
      <c r="E380" s="956"/>
      <c r="F380" s="956"/>
      <c r="G380" s="956"/>
      <c r="H380" s="956"/>
      <c r="I380" s="956"/>
      <c r="J380" s="956"/>
      <c r="K380" s="956"/>
      <c r="L380" s="956"/>
      <c r="M380" s="956"/>
      <c r="N380" s="956"/>
      <c r="O380" s="956"/>
      <c r="P380" s="956"/>
      <c r="V380" s="957"/>
    </row>
    <row r="381" spans="5:22">
      <c r="E381" s="956"/>
      <c r="F381" s="956"/>
      <c r="G381" s="956"/>
      <c r="H381" s="956"/>
      <c r="I381" s="956"/>
      <c r="J381" s="956"/>
      <c r="K381" s="956"/>
      <c r="L381" s="956"/>
      <c r="M381" s="956"/>
      <c r="N381" s="956"/>
      <c r="O381" s="956"/>
      <c r="P381" s="956"/>
      <c r="V381" s="957"/>
    </row>
    <row r="382" spans="5:22">
      <c r="E382" s="956"/>
      <c r="F382" s="956"/>
      <c r="G382" s="956"/>
      <c r="H382" s="956"/>
      <c r="I382" s="956"/>
      <c r="J382" s="956"/>
      <c r="K382" s="956"/>
      <c r="L382" s="956"/>
      <c r="M382" s="956"/>
      <c r="N382" s="956"/>
      <c r="O382" s="956"/>
      <c r="P382" s="956"/>
      <c r="V382" s="957"/>
    </row>
    <row r="383" spans="5:22">
      <c r="E383" s="956"/>
      <c r="F383" s="956"/>
      <c r="G383" s="956"/>
      <c r="H383" s="956"/>
      <c r="I383" s="956"/>
      <c r="J383" s="956"/>
      <c r="K383" s="956"/>
      <c r="L383" s="956"/>
      <c r="M383" s="956"/>
      <c r="N383" s="956"/>
      <c r="O383" s="956"/>
      <c r="P383" s="956"/>
      <c r="V383" s="957"/>
    </row>
    <row r="384" spans="5:22">
      <c r="E384" s="956"/>
      <c r="F384" s="956"/>
      <c r="G384" s="956"/>
      <c r="H384" s="956"/>
      <c r="I384" s="956"/>
      <c r="J384" s="956"/>
      <c r="K384" s="956"/>
      <c r="L384" s="956"/>
      <c r="M384" s="956"/>
      <c r="N384" s="956"/>
      <c r="O384" s="956"/>
      <c r="P384" s="956"/>
      <c r="V384" s="957"/>
    </row>
    <row r="385" spans="5:22">
      <c r="E385" s="956"/>
      <c r="F385" s="956"/>
      <c r="G385" s="956"/>
      <c r="H385" s="956"/>
      <c r="I385" s="956"/>
      <c r="J385" s="956"/>
      <c r="K385" s="956"/>
      <c r="L385" s="956"/>
      <c r="M385" s="956"/>
      <c r="N385" s="956"/>
      <c r="O385" s="956"/>
      <c r="P385" s="956"/>
      <c r="V385" s="957"/>
    </row>
    <row r="386" spans="5:22">
      <c r="E386" s="956"/>
      <c r="F386" s="956"/>
      <c r="G386" s="956"/>
      <c r="H386" s="956"/>
      <c r="I386" s="956"/>
      <c r="J386" s="956"/>
      <c r="K386" s="956"/>
      <c r="L386" s="956"/>
      <c r="M386" s="956"/>
      <c r="N386" s="956"/>
      <c r="O386" s="956"/>
      <c r="P386" s="956"/>
      <c r="V386" s="957"/>
    </row>
    <row r="387" spans="5:22">
      <c r="E387" s="956"/>
      <c r="F387" s="956"/>
      <c r="G387" s="956"/>
      <c r="H387" s="956"/>
      <c r="I387" s="956"/>
      <c r="J387" s="956"/>
      <c r="K387" s="956"/>
      <c r="L387" s="956"/>
      <c r="M387" s="956"/>
      <c r="N387" s="956"/>
      <c r="O387" s="956"/>
      <c r="P387" s="956"/>
      <c r="V387" s="957"/>
    </row>
    <row r="388" spans="5:22">
      <c r="E388" s="956"/>
      <c r="F388" s="956"/>
      <c r="G388" s="956"/>
      <c r="H388" s="956"/>
      <c r="I388" s="956"/>
      <c r="J388" s="956"/>
      <c r="K388" s="956"/>
      <c r="L388" s="956"/>
      <c r="M388" s="956"/>
      <c r="N388" s="956"/>
      <c r="O388" s="956"/>
      <c r="P388" s="956"/>
      <c r="V388" s="957"/>
    </row>
    <row r="389" spans="5:22">
      <c r="E389" s="956"/>
      <c r="F389" s="956"/>
      <c r="G389" s="956"/>
      <c r="H389" s="956"/>
      <c r="I389" s="956"/>
      <c r="J389" s="956"/>
      <c r="K389" s="956"/>
      <c r="L389" s="956"/>
      <c r="M389" s="956"/>
      <c r="N389" s="956"/>
      <c r="O389" s="956"/>
      <c r="P389" s="956"/>
      <c r="V389" s="957"/>
    </row>
    <row r="390" spans="5:22">
      <c r="E390" s="956"/>
      <c r="F390" s="956"/>
      <c r="G390" s="956"/>
      <c r="H390" s="956"/>
      <c r="I390" s="956"/>
      <c r="J390" s="956"/>
      <c r="K390" s="956"/>
      <c r="L390" s="956"/>
      <c r="M390" s="956"/>
      <c r="N390" s="956"/>
      <c r="O390" s="956"/>
      <c r="P390" s="956"/>
      <c r="V390" s="957"/>
    </row>
    <row r="391" spans="5:22">
      <c r="E391" s="956"/>
      <c r="F391" s="956"/>
      <c r="G391" s="956"/>
      <c r="H391" s="956"/>
      <c r="I391" s="956"/>
      <c r="J391" s="956"/>
      <c r="K391" s="956"/>
      <c r="L391" s="956"/>
      <c r="M391" s="956"/>
      <c r="N391" s="956"/>
      <c r="O391" s="956"/>
      <c r="P391" s="956"/>
      <c r="V391" s="957"/>
    </row>
    <row r="392" spans="5:22">
      <c r="E392" s="956"/>
      <c r="F392" s="956"/>
      <c r="G392" s="956"/>
      <c r="H392" s="956"/>
      <c r="I392" s="956"/>
      <c r="J392" s="956"/>
      <c r="K392" s="956"/>
      <c r="L392" s="956"/>
      <c r="M392" s="956"/>
      <c r="N392" s="956"/>
      <c r="O392" s="956"/>
      <c r="P392" s="956"/>
      <c r="V392" s="957"/>
    </row>
    <row r="393" spans="5:22">
      <c r="E393" s="956"/>
      <c r="F393" s="956"/>
      <c r="G393" s="956"/>
      <c r="H393" s="956"/>
      <c r="I393" s="956"/>
      <c r="J393" s="956"/>
      <c r="K393" s="956"/>
      <c r="L393" s="956"/>
      <c r="M393" s="956"/>
      <c r="N393" s="956"/>
      <c r="O393" s="956"/>
      <c r="P393" s="956"/>
      <c r="V393" s="957"/>
    </row>
    <row r="394" spans="5:22">
      <c r="E394" s="956"/>
      <c r="F394" s="956"/>
      <c r="G394" s="956"/>
      <c r="H394" s="956"/>
      <c r="I394" s="956"/>
      <c r="J394" s="956"/>
      <c r="K394" s="956"/>
      <c r="L394" s="956"/>
      <c r="M394" s="956"/>
      <c r="N394" s="956"/>
      <c r="O394" s="956"/>
      <c r="P394" s="956"/>
      <c r="V394" s="957"/>
    </row>
    <row r="395" spans="5:22">
      <c r="E395" s="956"/>
      <c r="F395" s="956"/>
      <c r="G395" s="956"/>
      <c r="H395" s="956"/>
      <c r="I395" s="956"/>
      <c r="J395" s="956"/>
      <c r="K395" s="956"/>
      <c r="L395" s="956"/>
      <c r="M395" s="956"/>
      <c r="N395" s="956"/>
      <c r="O395" s="956"/>
      <c r="P395" s="956"/>
      <c r="V395" s="957"/>
    </row>
    <row r="396" spans="5:22">
      <c r="E396" s="956"/>
      <c r="F396" s="956"/>
      <c r="G396" s="956"/>
      <c r="H396" s="956"/>
      <c r="I396" s="956"/>
      <c r="J396" s="956"/>
      <c r="K396" s="956"/>
      <c r="L396" s="956"/>
      <c r="M396" s="956"/>
      <c r="N396" s="956"/>
      <c r="O396" s="956"/>
      <c r="P396" s="956"/>
      <c r="V396" s="957"/>
    </row>
    <row r="397" spans="5:22">
      <c r="E397" s="956"/>
      <c r="F397" s="956"/>
      <c r="G397" s="956"/>
      <c r="H397" s="956"/>
      <c r="I397" s="956"/>
      <c r="J397" s="956"/>
      <c r="K397" s="956"/>
      <c r="L397" s="956"/>
      <c r="M397" s="956"/>
      <c r="N397" s="956"/>
      <c r="O397" s="956"/>
      <c r="P397" s="956"/>
      <c r="V397" s="957"/>
    </row>
    <row r="398" spans="5:22">
      <c r="E398" s="956"/>
      <c r="F398" s="956"/>
      <c r="G398" s="956"/>
      <c r="H398" s="956"/>
      <c r="I398" s="956"/>
      <c r="J398" s="956"/>
      <c r="K398" s="956"/>
      <c r="L398" s="956"/>
      <c r="M398" s="956"/>
      <c r="N398" s="956"/>
      <c r="O398" s="956"/>
      <c r="P398" s="956"/>
      <c r="V398" s="957"/>
    </row>
    <row r="399" spans="5:22">
      <c r="E399" s="956"/>
      <c r="F399" s="956"/>
      <c r="G399" s="956"/>
      <c r="H399" s="956"/>
      <c r="I399" s="956"/>
      <c r="J399" s="956"/>
      <c r="K399" s="956"/>
      <c r="L399" s="956"/>
      <c r="M399" s="956"/>
      <c r="N399" s="956"/>
      <c r="O399" s="956"/>
      <c r="P399" s="956"/>
      <c r="V399" s="957"/>
    </row>
    <row r="400" spans="5:22">
      <c r="E400" s="956"/>
      <c r="F400" s="956"/>
      <c r="G400" s="956"/>
      <c r="H400" s="956"/>
      <c r="I400" s="956"/>
      <c r="J400" s="956"/>
      <c r="K400" s="956"/>
      <c r="L400" s="956"/>
      <c r="M400" s="956"/>
      <c r="N400" s="956"/>
      <c r="O400" s="956"/>
      <c r="P400" s="956"/>
      <c r="V400" s="957"/>
    </row>
    <row r="401" spans="5:22">
      <c r="E401" s="956"/>
      <c r="F401" s="956"/>
      <c r="G401" s="956"/>
      <c r="H401" s="956"/>
      <c r="I401" s="956"/>
      <c r="J401" s="956"/>
      <c r="K401" s="956"/>
      <c r="L401" s="956"/>
      <c r="M401" s="956"/>
      <c r="N401" s="956"/>
      <c r="O401" s="956"/>
      <c r="P401" s="956"/>
      <c r="V401" s="957"/>
    </row>
    <row r="402" spans="5:22">
      <c r="E402" s="956"/>
      <c r="F402" s="956"/>
      <c r="G402" s="956"/>
      <c r="H402" s="956"/>
      <c r="I402" s="956"/>
      <c r="J402" s="956"/>
      <c r="K402" s="956"/>
      <c r="L402" s="956"/>
      <c r="M402" s="956"/>
      <c r="N402" s="956"/>
      <c r="O402" s="956"/>
      <c r="P402" s="956"/>
      <c r="V402" s="957"/>
    </row>
    <row r="403" spans="5:22">
      <c r="E403" s="956"/>
      <c r="F403" s="956"/>
      <c r="G403" s="956"/>
      <c r="H403" s="956"/>
      <c r="I403" s="956"/>
      <c r="J403" s="956"/>
      <c r="K403" s="956"/>
      <c r="L403" s="956"/>
      <c r="M403" s="956"/>
      <c r="N403" s="956"/>
      <c r="O403" s="956"/>
      <c r="P403" s="956"/>
      <c r="V403" s="957"/>
    </row>
    <row r="404" spans="5:22">
      <c r="E404" s="956"/>
      <c r="F404" s="956"/>
      <c r="G404" s="956"/>
      <c r="H404" s="956"/>
      <c r="I404" s="956"/>
      <c r="J404" s="956"/>
      <c r="K404" s="956"/>
      <c r="L404" s="956"/>
      <c r="M404" s="956"/>
      <c r="N404" s="956"/>
      <c r="O404" s="956"/>
      <c r="P404" s="956"/>
      <c r="V404" s="957"/>
    </row>
    <row r="405" spans="5:22">
      <c r="E405" s="956"/>
      <c r="F405" s="956"/>
      <c r="G405" s="956"/>
      <c r="H405" s="956"/>
      <c r="I405" s="956"/>
      <c r="J405" s="956"/>
      <c r="K405" s="956"/>
      <c r="L405" s="956"/>
      <c r="M405" s="956"/>
      <c r="N405" s="956"/>
      <c r="O405" s="956"/>
      <c r="P405" s="956"/>
      <c r="V405" s="957"/>
    </row>
    <row r="406" spans="5:22">
      <c r="E406" s="956"/>
      <c r="F406" s="956"/>
      <c r="G406" s="956"/>
      <c r="H406" s="956"/>
      <c r="I406" s="956"/>
      <c r="J406" s="956"/>
      <c r="K406" s="956"/>
      <c r="L406" s="956"/>
      <c r="M406" s="956"/>
      <c r="N406" s="956"/>
      <c r="O406" s="956"/>
      <c r="P406" s="956"/>
      <c r="V406" s="957"/>
    </row>
    <row r="407" spans="5:22">
      <c r="E407" s="956"/>
      <c r="F407" s="956"/>
      <c r="G407" s="956"/>
      <c r="H407" s="956"/>
      <c r="I407" s="956"/>
      <c r="J407" s="956"/>
      <c r="K407" s="956"/>
      <c r="L407" s="956"/>
      <c r="M407" s="956"/>
      <c r="N407" s="956"/>
      <c r="O407" s="956"/>
      <c r="P407" s="956"/>
      <c r="V407" s="957"/>
    </row>
    <row r="408" spans="5:22">
      <c r="E408" s="956"/>
      <c r="F408" s="956"/>
      <c r="G408" s="956"/>
      <c r="H408" s="956"/>
      <c r="I408" s="956"/>
      <c r="J408" s="956"/>
      <c r="K408" s="956"/>
      <c r="L408" s="956"/>
      <c r="M408" s="956"/>
      <c r="N408" s="956"/>
      <c r="O408" s="956"/>
      <c r="P408" s="956"/>
      <c r="V408" s="957"/>
    </row>
    <row r="409" spans="5:22">
      <c r="E409" s="956"/>
      <c r="F409" s="956"/>
      <c r="G409" s="956"/>
      <c r="H409" s="956"/>
      <c r="I409" s="956"/>
      <c r="J409" s="956"/>
      <c r="K409" s="956"/>
      <c r="L409" s="956"/>
      <c r="M409" s="956"/>
      <c r="N409" s="956"/>
      <c r="O409" s="956"/>
      <c r="P409" s="956"/>
      <c r="V409" s="957"/>
    </row>
    <row r="410" spans="5:22">
      <c r="E410" s="956"/>
      <c r="F410" s="956"/>
      <c r="G410" s="956"/>
      <c r="H410" s="956"/>
      <c r="I410" s="956"/>
      <c r="J410" s="956"/>
      <c r="K410" s="956"/>
      <c r="L410" s="956"/>
      <c r="M410" s="956"/>
      <c r="N410" s="956"/>
      <c r="O410" s="956"/>
      <c r="P410" s="956"/>
      <c r="V410" s="957"/>
    </row>
    <row r="411" spans="5:22">
      <c r="E411" s="956"/>
      <c r="F411" s="956"/>
      <c r="G411" s="956"/>
      <c r="H411" s="956"/>
      <c r="I411" s="956"/>
      <c r="J411" s="956"/>
      <c r="K411" s="956"/>
      <c r="L411" s="956"/>
      <c r="M411" s="956"/>
      <c r="N411" s="956"/>
      <c r="O411" s="956"/>
      <c r="P411" s="956"/>
      <c r="V411" s="957"/>
    </row>
    <row r="412" spans="5:22">
      <c r="E412" s="956"/>
      <c r="F412" s="956"/>
      <c r="G412" s="956"/>
      <c r="H412" s="956"/>
      <c r="I412" s="956"/>
      <c r="J412" s="956"/>
      <c r="K412" s="956"/>
      <c r="L412" s="956"/>
      <c r="M412" s="956"/>
      <c r="N412" s="956"/>
      <c r="O412" s="956"/>
      <c r="P412" s="956"/>
      <c r="V412" s="957"/>
    </row>
    <row r="413" spans="5:22">
      <c r="E413" s="956"/>
      <c r="F413" s="956"/>
      <c r="G413" s="956"/>
      <c r="H413" s="956"/>
      <c r="I413" s="956"/>
      <c r="J413" s="956"/>
      <c r="K413" s="956"/>
      <c r="L413" s="956"/>
      <c r="M413" s="956"/>
      <c r="N413" s="956"/>
      <c r="O413" s="956"/>
      <c r="P413" s="956"/>
      <c r="V413" s="957"/>
    </row>
    <row r="414" spans="5:22">
      <c r="E414" s="956"/>
      <c r="F414" s="956"/>
      <c r="G414" s="956"/>
      <c r="H414" s="956"/>
      <c r="I414" s="956"/>
      <c r="J414" s="956"/>
      <c r="K414" s="956"/>
      <c r="L414" s="956"/>
      <c r="M414" s="956"/>
      <c r="N414" s="956"/>
      <c r="O414" s="956"/>
      <c r="P414" s="956"/>
      <c r="V414" s="957"/>
    </row>
    <row r="415" spans="5:22">
      <c r="E415" s="956"/>
      <c r="F415" s="956"/>
      <c r="G415" s="956"/>
      <c r="H415" s="956"/>
      <c r="I415" s="956"/>
      <c r="J415" s="956"/>
      <c r="K415" s="956"/>
      <c r="L415" s="956"/>
      <c r="M415" s="956"/>
      <c r="N415" s="956"/>
      <c r="O415" s="956"/>
      <c r="P415" s="956"/>
      <c r="V415" s="957"/>
    </row>
    <row r="416" spans="5:22">
      <c r="E416" s="956"/>
      <c r="F416" s="956"/>
      <c r="G416" s="956"/>
      <c r="H416" s="956"/>
      <c r="I416" s="956"/>
      <c r="J416" s="956"/>
      <c r="K416" s="956"/>
      <c r="L416" s="956"/>
      <c r="M416" s="956"/>
      <c r="N416" s="956"/>
      <c r="O416" s="956"/>
      <c r="P416" s="956"/>
      <c r="V416" s="957"/>
    </row>
    <row r="417" spans="5:22">
      <c r="E417" s="956"/>
      <c r="F417" s="956"/>
      <c r="G417" s="956"/>
      <c r="H417" s="956"/>
      <c r="I417" s="956"/>
      <c r="J417" s="956"/>
      <c r="K417" s="956"/>
      <c r="L417" s="956"/>
      <c r="M417" s="956"/>
      <c r="N417" s="956"/>
      <c r="O417" s="956"/>
      <c r="P417" s="956"/>
      <c r="V417" s="957"/>
    </row>
    <row r="418" spans="5:22">
      <c r="E418" s="956"/>
      <c r="F418" s="956"/>
      <c r="G418" s="956"/>
      <c r="H418" s="956"/>
      <c r="I418" s="956"/>
      <c r="J418" s="956"/>
      <c r="K418" s="956"/>
      <c r="L418" s="956"/>
      <c r="M418" s="956"/>
      <c r="N418" s="956"/>
      <c r="O418" s="956"/>
      <c r="P418" s="956"/>
      <c r="V418" s="957"/>
    </row>
    <row r="419" spans="5:22">
      <c r="E419" s="956"/>
      <c r="F419" s="956"/>
      <c r="G419" s="956"/>
      <c r="H419" s="956"/>
      <c r="I419" s="956"/>
      <c r="J419" s="956"/>
      <c r="K419" s="956"/>
      <c r="L419" s="956"/>
      <c r="M419" s="956"/>
      <c r="N419" s="956"/>
      <c r="O419" s="956"/>
      <c r="P419" s="956"/>
      <c r="V419" s="957"/>
    </row>
    <row r="420" spans="5:22">
      <c r="E420" s="956"/>
      <c r="F420" s="956"/>
      <c r="G420" s="956"/>
      <c r="H420" s="956"/>
      <c r="I420" s="956"/>
      <c r="J420" s="956"/>
      <c r="K420" s="956"/>
      <c r="L420" s="956"/>
      <c r="M420" s="956"/>
      <c r="N420" s="956"/>
      <c r="O420" s="956"/>
      <c r="P420" s="956"/>
      <c r="V420" s="957"/>
    </row>
    <row r="421" spans="5:22">
      <c r="E421" s="956"/>
      <c r="F421" s="956"/>
      <c r="G421" s="956"/>
      <c r="H421" s="956"/>
      <c r="I421" s="956"/>
      <c r="J421" s="956"/>
      <c r="K421" s="956"/>
      <c r="L421" s="956"/>
      <c r="M421" s="956"/>
      <c r="N421" s="956"/>
      <c r="O421" s="956"/>
      <c r="P421" s="956"/>
      <c r="V421" s="957"/>
    </row>
    <row r="422" spans="5:22">
      <c r="E422" s="956"/>
      <c r="F422" s="956"/>
      <c r="G422" s="956"/>
      <c r="H422" s="956"/>
      <c r="I422" s="956"/>
      <c r="J422" s="956"/>
      <c r="K422" s="956"/>
      <c r="L422" s="956"/>
      <c r="M422" s="956"/>
      <c r="N422" s="956"/>
      <c r="O422" s="956"/>
      <c r="P422" s="956"/>
      <c r="V422" s="957"/>
    </row>
    <row r="423" spans="5:22">
      <c r="E423" s="956"/>
      <c r="F423" s="956"/>
      <c r="G423" s="956"/>
      <c r="H423" s="956"/>
      <c r="I423" s="956"/>
      <c r="J423" s="956"/>
      <c r="K423" s="956"/>
      <c r="L423" s="956"/>
      <c r="M423" s="956"/>
      <c r="N423" s="956"/>
      <c r="O423" s="956"/>
      <c r="P423" s="956"/>
      <c r="V423" s="957"/>
    </row>
    <row r="424" spans="5:22">
      <c r="E424" s="956"/>
      <c r="F424" s="956"/>
      <c r="G424" s="956"/>
      <c r="H424" s="956"/>
      <c r="I424" s="956"/>
      <c r="J424" s="956"/>
      <c r="K424" s="956"/>
      <c r="L424" s="956"/>
      <c r="M424" s="956"/>
      <c r="N424" s="956"/>
      <c r="O424" s="956"/>
      <c r="P424" s="956"/>
      <c r="V424" s="957"/>
    </row>
    <row r="425" spans="5:22">
      <c r="E425" s="956"/>
      <c r="F425" s="956"/>
      <c r="G425" s="956"/>
      <c r="H425" s="956"/>
      <c r="I425" s="956"/>
      <c r="J425" s="956"/>
      <c r="K425" s="956"/>
      <c r="L425" s="956"/>
      <c r="M425" s="956"/>
      <c r="N425" s="956"/>
      <c r="O425" s="956"/>
      <c r="P425" s="956"/>
      <c r="V425" s="957"/>
    </row>
    <row r="426" spans="5:22">
      <c r="E426" s="956"/>
      <c r="F426" s="956"/>
      <c r="G426" s="956"/>
      <c r="H426" s="956"/>
      <c r="I426" s="956"/>
      <c r="J426" s="956"/>
      <c r="K426" s="956"/>
      <c r="L426" s="956"/>
      <c r="M426" s="956"/>
      <c r="N426" s="956"/>
      <c r="O426" s="956"/>
      <c r="P426" s="956"/>
      <c r="V426" s="957"/>
    </row>
    <row r="427" spans="5:22">
      <c r="E427" s="956"/>
      <c r="F427" s="956"/>
      <c r="G427" s="956"/>
      <c r="H427" s="956"/>
      <c r="I427" s="956"/>
      <c r="J427" s="956"/>
      <c r="K427" s="956"/>
      <c r="L427" s="956"/>
      <c r="M427" s="956"/>
      <c r="N427" s="956"/>
      <c r="O427" s="956"/>
      <c r="P427" s="956"/>
      <c r="V427" s="957"/>
    </row>
    <row r="428" spans="5:22">
      <c r="E428" s="956"/>
      <c r="F428" s="956"/>
      <c r="G428" s="956"/>
      <c r="H428" s="956"/>
      <c r="I428" s="956"/>
      <c r="J428" s="956"/>
      <c r="K428" s="956"/>
      <c r="L428" s="956"/>
      <c r="M428" s="956"/>
      <c r="N428" s="956"/>
      <c r="O428" s="956"/>
      <c r="P428" s="956"/>
      <c r="V428" s="957"/>
    </row>
    <row r="429" spans="5:22">
      <c r="E429" s="956"/>
      <c r="F429" s="956"/>
      <c r="G429" s="956"/>
      <c r="H429" s="956"/>
      <c r="I429" s="956"/>
      <c r="J429" s="956"/>
      <c r="K429" s="956"/>
      <c r="L429" s="956"/>
      <c r="M429" s="956"/>
      <c r="N429" s="956"/>
      <c r="O429" s="956"/>
      <c r="P429" s="956"/>
      <c r="V429" s="957"/>
    </row>
    <row r="430" spans="5:22">
      <c r="E430" s="956"/>
      <c r="F430" s="956"/>
      <c r="G430" s="956"/>
      <c r="H430" s="956"/>
      <c r="I430" s="956"/>
      <c r="J430" s="956"/>
      <c r="K430" s="956"/>
      <c r="L430" s="956"/>
      <c r="M430" s="956"/>
      <c r="N430" s="956"/>
      <c r="O430" s="956"/>
      <c r="P430" s="956"/>
      <c r="V430" s="957"/>
    </row>
    <row r="431" spans="5:22">
      <c r="E431" s="956"/>
      <c r="F431" s="956"/>
      <c r="G431" s="956"/>
      <c r="H431" s="956"/>
      <c r="I431" s="956"/>
      <c r="J431" s="956"/>
      <c r="K431" s="956"/>
      <c r="L431" s="956"/>
      <c r="M431" s="956"/>
      <c r="N431" s="956"/>
      <c r="O431" s="956"/>
      <c r="P431" s="956"/>
      <c r="V431" s="957"/>
    </row>
    <row r="432" spans="5:22">
      <c r="E432" s="956"/>
      <c r="F432" s="956"/>
      <c r="G432" s="956"/>
      <c r="H432" s="956"/>
      <c r="I432" s="956"/>
      <c r="J432" s="956"/>
      <c r="K432" s="956"/>
      <c r="L432" s="956"/>
      <c r="M432" s="956"/>
      <c r="N432" s="956"/>
      <c r="O432" s="956"/>
      <c r="P432" s="956"/>
      <c r="V432" s="957"/>
    </row>
    <row r="433" spans="5:22">
      <c r="E433" s="956"/>
      <c r="F433" s="956"/>
      <c r="G433" s="956"/>
      <c r="H433" s="956"/>
      <c r="I433" s="956"/>
      <c r="J433" s="956"/>
      <c r="K433" s="956"/>
      <c r="L433" s="956"/>
      <c r="M433" s="956"/>
      <c r="N433" s="956"/>
      <c r="O433" s="956"/>
      <c r="P433" s="956"/>
      <c r="V433" s="957"/>
    </row>
    <row r="434" spans="5:22">
      <c r="E434" s="956"/>
      <c r="F434" s="956"/>
      <c r="G434" s="956"/>
      <c r="H434" s="956"/>
      <c r="I434" s="956"/>
      <c r="J434" s="956"/>
      <c r="K434" s="956"/>
      <c r="L434" s="956"/>
      <c r="M434" s="956"/>
      <c r="N434" s="956"/>
      <c r="O434" s="956"/>
      <c r="P434" s="956"/>
      <c r="V434" s="957"/>
    </row>
    <row r="435" spans="5:22">
      <c r="E435" s="956"/>
      <c r="F435" s="956"/>
      <c r="G435" s="956"/>
      <c r="H435" s="956"/>
      <c r="I435" s="956"/>
      <c r="J435" s="956"/>
      <c r="K435" s="956"/>
      <c r="L435" s="956"/>
      <c r="M435" s="956"/>
      <c r="N435" s="956"/>
      <c r="O435" s="956"/>
      <c r="P435" s="956"/>
      <c r="V435" s="957"/>
    </row>
    <row r="436" spans="5:22">
      <c r="E436" s="956"/>
      <c r="F436" s="956"/>
      <c r="G436" s="956"/>
      <c r="H436" s="956"/>
      <c r="I436" s="956"/>
      <c r="J436" s="956"/>
      <c r="K436" s="956"/>
      <c r="L436" s="956"/>
      <c r="M436" s="956"/>
      <c r="N436" s="956"/>
      <c r="O436" s="956"/>
      <c r="P436" s="956"/>
      <c r="V436" s="957"/>
    </row>
    <row r="437" spans="5:22">
      <c r="E437" s="956"/>
      <c r="F437" s="956"/>
      <c r="G437" s="956"/>
      <c r="H437" s="956"/>
      <c r="I437" s="956"/>
      <c r="J437" s="956"/>
      <c r="K437" s="956"/>
      <c r="L437" s="956"/>
      <c r="M437" s="956"/>
      <c r="N437" s="956"/>
      <c r="O437" s="956"/>
      <c r="P437" s="956"/>
      <c r="V437" s="957"/>
    </row>
    <row r="438" spans="5:22">
      <c r="E438" s="956"/>
      <c r="F438" s="956"/>
      <c r="G438" s="956"/>
      <c r="H438" s="956"/>
      <c r="I438" s="956"/>
      <c r="J438" s="956"/>
      <c r="K438" s="956"/>
      <c r="L438" s="956"/>
      <c r="M438" s="956"/>
      <c r="N438" s="956"/>
      <c r="O438" s="956"/>
      <c r="P438" s="956"/>
      <c r="V438" s="957"/>
    </row>
    <row r="439" spans="5:22">
      <c r="E439" s="956"/>
      <c r="F439" s="956"/>
      <c r="G439" s="956"/>
      <c r="H439" s="956"/>
      <c r="I439" s="956"/>
      <c r="J439" s="956"/>
      <c r="K439" s="956"/>
      <c r="L439" s="956"/>
      <c r="M439" s="956"/>
      <c r="N439" s="956"/>
      <c r="O439" s="956"/>
      <c r="P439" s="956"/>
      <c r="V439" s="957"/>
    </row>
    <row r="440" spans="5:22">
      <c r="E440" s="956"/>
      <c r="F440" s="956"/>
      <c r="G440" s="956"/>
      <c r="H440" s="956"/>
      <c r="I440" s="956"/>
      <c r="J440" s="956"/>
      <c r="K440" s="956"/>
      <c r="L440" s="956"/>
      <c r="M440" s="956"/>
      <c r="N440" s="956"/>
      <c r="O440" s="956"/>
      <c r="P440" s="956"/>
      <c r="V440" s="957"/>
    </row>
    <row r="441" spans="5:22">
      <c r="E441" s="956"/>
      <c r="F441" s="956"/>
      <c r="G441" s="956"/>
      <c r="H441" s="956"/>
      <c r="I441" s="956"/>
      <c r="J441" s="956"/>
      <c r="K441" s="956"/>
      <c r="L441" s="956"/>
      <c r="M441" s="956"/>
      <c r="N441" s="956"/>
      <c r="O441" s="956"/>
      <c r="P441" s="956"/>
      <c r="V441" s="957"/>
    </row>
    <row r="442" spans="5:22">
      <c r="E442" s="956"/>
      <c r="F442" s="956"/>
      <c r="G442" s="956"/>
      <c r="H442" s="956"/>
      <c r="I442" s="956"/>
      <c r="J442" s="956"/>
      <c r="K442" s="956"/>
      <c r="L442" s="956"/>
      <c r="M442" s="956"/>
      <c r="N442" s="956"/>
      <c r="O442" s="956"/>
      <c r="P442" s="956"/>
      <c r="V442" s="957"/>
    </row>
    <row r="443" spans="5:22">
      <c r="E443" s="956"/>
      <c r="F443" s="956"/>
      <c r="G443" s="956"/>
      <c r="H443" s="956"/>
      <c r="I443" s="956"/>
      <c r="J443" s="956"/>
      <c r="K443" s="956"/>
      <c r="L443" s="956"/>
      <c r="M443" s="956"/>
      <c r="N443" s="956"/>
      <c r="O443" s="956"/>
      <c r="P443" s="956"/>
      <c r="V443" s="957"/>
    </row>
    <row r="444" spans="5:22">
      <c r="E444" s="956"/>
      <c r="F444" s="956"/>
      <c r="G444" s="956"/>
      <c r="H444" s="956"/>
      <c r="I444" s="956"/>
      <c r="J444" s="956"/>
      <c r="K444" s="956"/>
      <c r="L444" s="956"/>
      <c r="M444" s="956"/>
      <c r="N444" s="956"/>
      <c r="O444" s="956"/>
      <c r="P444" s="956"/>
      <c r="V444" s="957"/>
    </row>
    <row r="445" spans="5:22">
      <c r="E445" s="956"/>
      <c r="F445" s="956"/>
      <c r="G445" s="956"/>
      <c r="H445" s="956"/>
      <c r="I445" s="956"/>
      <c r="J445" s="956"/>
      <c r="K445" s="956"/>
      <c r="L445" s="956"/>
      <c r="M445" s="956"/>
      <c r="N445" s="956"/>
      <c r="O445" s="956"/>
      <c r="P445" s="956"/>
      <c r="V445" s="957"/>
    </row>
    <row r="446" spans="5:22">
      <c r="E446" s="956"/>
      <c r="F446" s="956"/>
      <c r="G446" s="956"/>
      <c r="H446" s="956"/>
      <c r="I446" s="956"/>
      <c r="J446" s="956"/>
      <c r="K446" s="956"/>
      <c r="L446" s="956"/>
      <c r="M446" s="956"/>
      <c r="N446" s="956"/>
      <c r="O446" s="956"/>
      <c r="P446" s="956"/>
      <c r="V446" s="957"/>
    </row>
    <row r="447" spans="5:22">
      <c r="E447" s="956"/>
      <c r="F447" s="956"/>
      <c r="G447" s="956"/>
      <c r="H447" s="956"/>
      <c r="I447" s="956"/>
      <c r="J447" s="956"/>
      <c r="K447" s="956"/>
      <c r="L447" s="956"/>
      <c r="M447" s="956"/>
      <c r="N447" s="956"/>
      <c r="O447" s="956"/>
      <c r="P447" s="956"/>
      <c r="V447" s="957"/>
    </row>
    <row r="448" spans="5:22">
      <c r="E448" s="956"/>
      <c r="F448" s="956"/>
      <c r="G448" s="956"/>
      <c r="H448" s="956"/>
      <c r="I448" s="956"/>
      <c r="J448" s="956"/>
      <c r="K448" s="956"/>
      <c r="L448" s="956"/>
      <c r="M448" s="956"/>
      <c r="N448" s="956"/>
      <c r="O448" s="956"/>
      <c r="P448" s="956"/>
      <c r="V448" s="957"/>
    </row>
    <row r="449" spans="5:22">
      <c r="E449" s="956"/>
      <c r="F449" s="956"/>
      <c r="G449" s="956"/>
      <c r="H449" s="956"/>
      <c r="I449" s="956"/>
      <c r="J449" s="956"/>
      <c r="K449" s="956"/>
      <c r="L449" s="956"/>
      <c r="M449" s="956"/>
      <c r="N449" s="956"/>
      <c r="O449" s="956"/>
      <c r="P449" s="956"/>
      <c r="V449" s="957"/>
    </row>
    <row r="450" spans="5:22">
      <c r="E450" s="956"/>
      <c r="F450" s="956"/>
      <c r="G450" s="956"/>
      <c r="H450" s="956"/>
      <c r="I450" s="956"/>
      <c r="J450" s="956"/>
      <c r="K450" s="956"/>
      <c r="L450" s="956"/>
      <c r="M450" s="956"/>
      <c r="N450" s="956"/>
      <c r="O450" s="956"/>
      <c r="P450" s="956"/>
      <c r="V450" s="957"/>
    </row>
    <row r="451" spans="5:22">
      <c r="E451" s="956"/>
      <c r="F451" s="956"/>
      <c r="G451" s="956"/>
      <c r="H451" s="956"/>
      <c r="I451" s="956"/>
      <c r="J451" s="956"/>
      <c r="K451" s="956"/>
      <c r="L451" s="956"/>
      <c r="M451" s="956"/>
      <c r="N451" s="956"/>
      <c r="O451" s="956"/>
      <c r="P451" s="956"/>
      <c r="V451" s="957"/>
    </row>
    <row r="452" spans="5:22">
      <c r="E452" s="956"/>
      <c r="F452" s="956"/>
      <c r="G452" s="956"/>
      <c r="H452" s="956"/>
      <c r="I452" s="956"/>
      <c r="J452" s="956"/>
      <c r="K452" s="956"/>
      <c r="L452" s="956"/>
      <c r="M452" s="956"/>
      <c r="N452" s="956"/>
      <c r="O452" s="956"/>
      <c r="P452" s="956"/>
      <c r="V452" s="957"/>
    </row>
    <row r="453" spans="5:22">
      <c r="E453" s="956"/>
      <c r="F453" s="956"/>
      <c r="G453" s="956"/>
      <c r="H453" s="956"/>
      <c r="I453" s="956"/>
      <c r="J453" s="956"/>
      <c r="K453" s="956"/>
      <c r="L453" s="956"/>
      <c r="M453" s="956"/>
      <c r="N453" s="956"/>
      <c r="O453" s="956"/>
      <c r="P453" s="956"/>
      <c r="V453" s="957"/>
    </row>
    <row r="454" spans="5:22">
      <c r="E454" s="956"/>
      <c r="F454" s="956"/>
      <c r="G454" s="956"/>
      <c r="H454" s="956"/>
      <c r="I454" s="956"/>
      <c r="J454" s="956"/>
      <c r="K454" s="956"/>
      <c r="L454" s="956"/>
      <c r="M454" s="956"/>
      <c r="N454" s="956"/>
      <c r="O454" s="956"/>
      <c r="P454" s="956"/>
      <c r="V454" s="957"/>
    </row>
    <row r="455" spans="5:22">
      <c r="E455" s="956"/>
      <c r="F455" s="956"/>
      <c r="G455" s="956"/>
      <c r="H455" s="956"/>
      <c r="I455" s="956"/>
      <c r="J455" s="956"/>
      <c r="K455" s="956"/>
      <c r="L455" s="956"/>
      <c r="M455" s="956"/>
      <c r="N455" s="956"/>
      <c r="O455" s="956"/>
      <c r="P455" s="956"/>
      <c r="V455" s="957"/>
    </row>
    <row r="456" spans="5:22">
      <c r="E456" s="956"/>
      <c r="F456" s="956"/>
      <c r="G456" s="956"/>
      <c r="H456" s="956"/>
      <c r="I456" s="956"/>
      <c r="J456" s="956"/>
      <c r="K456" s="956"/>
      <c r="L456" s="956"/>
      <c r="M456" s="956"/>
      <c r="N456" s="956"/>
      <c r="O456" s="956"/>
      <c r="P456" s="956"/>
      <c r="V456" s="957"/>
    </row>
    <row r="457" spans="5:22">
      <c r="E457" s="956"/>
      <c r="F457" s="956"/>
      <c r="G457" s="956"/>
      <c r="H457" s="956"/>
      <c r="I457" s="956"/>
      <c r="J457" s="956"/>
      <c r="K457" s="956"/>
      <c r="L457" s="956"/>
      <c r="M457" s="956"/>
      <c r="N457" s="956"/>
      <c r="O457" s="956"/>
      <c r="P457" s="956"/>
      <c r="V457" s="957"/>
    </row>
    <row r="458" spans="5:22">
      <c r="E458" s="956"/>
      <c r="F458" s="956"/>
      <c r="G458" s="956"/>
      <c r="H458" s="956"/>
      <c r="I458" s="956"/>
      <c r="J458" s="956"/>
      <c r="K458" s="956"/>
      <c r="L458" s="956"/>
      <c r="M458" s="956"/>
      <c r="N458" s="956"/>
      <c r="O458" s="956"/>
      <c r="P458" s="956"/>
      <c r="V458" s="957"/>
    </row>
    <row r="459" spans="5:22">
      <c r="E459" s="956"/>
      <c r="F459" s="956"/>
      <c r="G459" s="956"/>
      <c r="H459" s="956"/>
      <c r="I459" s="956"/>
      <c r="J459" s="956"/>
      <c r="K459" s="956"/>
      <c r="L459" s="956"/>
      <c r="M459" s="956"/>
      <c r="N459" s="956"/>
      <c r="O459" s="956"/>
      <c r="P459" s="956"/>
      <c r="V459" s="957"/>
    </row>
    <row r="460" spans="5:22">
      <c r="E460" s="956"/>
      <c r="F460" s="956"/>
      <c r="G460" s="956"/>
      <c r="H460" s="956"/>
      <c r="I460" s="956"/>
      <c r="J460" s="956"/>
      <c r="K460" s="956"/>
      <c r="L460" s="956"/>
      <c r="M460" s="956"/>
      <c r="N460" s="956"/>
      <c r="O460" s="956"/>
      <c r="P460" s="956"/>
      <c r="V460" s="957"/>
    </row>
    <row r="461" spans="5:22">
      <c r="E461" s="956"/>
      <c r="F461" s="956"/>
      <c r="G461" s="956"/>
      <c r="H461" s="956"/>
      <c r="I461" s="956"/>
      <c r="J461" s="956"/>
      <c r="K461" s="956"/>
      <c r="L461" s="956"/>
      <c r="M461" s="956"/>
      <c r="N461" s="956"/>
      <c r="O461" s="956"/>
      <c r="P461" s="956"/>
      <c r="V461" s="957"/>
    </row>
    <row r="462" spans="5:22">
      <c r="E462" s="956"/>
      <c r="F462" s="956"/>
      <c r="G462" s="956"/>
      <c r="H462" s="956"/>
      <c r="I462" s="956"/>
      <c r="J462" s="956"/>
      <c r="K462" s="956"/>
      <c r="L462" s="956"/>
      <c r="M462" s="956"/>
      <c r="N462" s="956"/>
      <c r="O462" s="956"/>
      <c r="P462" s="956"/>
      <c r="V462" s="957"/>
    </row>
    <row r="463" spans="5:22">
      <c r="E463" s="956"/>
      <c r="F463" s="956"/>
      <c r="G463" s="956"/>
      <c r="H463" s="956"/>
      <c r="I463" s="956"/>
      <c r="J463" s="956"/>
      <c r="K463" s="956"/>
      <c r="L463" s="956"/>
      <c r="M463" s="956"/>
      <c r="N463" s="956"/>
      <c r="O463" s="956"/>
      <c r="P463" s="956"/>
      <c r="V463" s="957"/>
    </row>
    <row r="464" spans="5:22">
      <c r="E464" s="956"/>
      <c r="F464" s="956"/>
      <c r="G464" s="956"/>
      <c r="H464" s="956"/>
      <c r="I464" s="956"/>
      <c r="J464" s="956"/>
      <c r="K464" s="956"/>
      <c r="L464" s="956"/>
      <c r="M464" s="956"/>
      <c r="N464" s="956"/>
      <c r="O464" s="956"/>
      <c r="P464" s="956"/>
      <c r="V464" s="957"/>
    </row>
    <row r="465" spans="5:22">
      <c r="E465" s="956"/>
      <c r="F465" s="956"/>
      <c r="G465" s="956"/>
      <c r="H465" s="956"/>
      <c r="I465" s="956"/>
      <c r="J465" s="956"/>
      <c r="K465" s="956"/>
      <c r="L465" s="956"/>
      <c r="M465" s="956"/>
      <c r="N465" s="956"/>
      <c r="O465" s="956"/>
      <c r="P465" s="956"/>
      <c r="V465" s="957"/>
    </row>
    <row r="466" spans="5:22">
      <c r="E466" s="956"/>
      <c r="F466" s="956"/>
      <c r="G466" s="956"/>
      <c r="H466" s="956"/>
      <c r="I466" s="956"/>
      <c r="J466" s="956"/>
      <c r="K466" s="956"/>
      <c r="L466" s="956"/>
      <c r="M466" s="956"/>
      <c r="N466" s="956"/>
      <c r="O466" s="956"/>
      <c r="P466" s="956"/>
      <c r="V466" s="957"/>
    </row>
    <row r="467" spans="5:22">
      <c r="E467" s="956"/>
      <c r="F467" s="956"/>
      <c r="G467" s="956"/>
      <c r="H467" s="956"/>
      <c r="I467" s="956"/>
      <c r="J467" s="956"/>
      <c r="K467" s="956"/>
      <c r="L467" s="956"/>
      <c r="M467" s="956"/>
      <c r="N467" s="956"/>
      <c r="O467" s="956"/>
      <c r="P467" s="956"/>
      <c r="V467" s="957"/>
    </row>
    <row r="468" spans="5:22">
      <c r="E468" s="956"/>
      <c r="F468" s="956"/>
      <c r="G468" s="956"/>
      <c r="H468" s="956"/>
      <c r="I468" s="956"/>
      <c r="J468" s="956"/>
      <c r="K468" s="956"/>
      <c r="L468" s="956"/>
      <c r="M468" s="956"/>
      <c r="N468" s="956"/>
      <c r="O468" s="956"/>
      <c r="P468" s="956"/>
      <c r="V468" s="957"/>
    </row>
    <row r="469" spans="5:22">
      <c r="E469" s="956"/>
      <c r="F469" s="956"/>
      <c r="G469" s="956"/>
      <c r="H469" s="956"/>
      <c r="I469" s="956"/>
      <c r="J469" s="956"/>
      <c r="K469" s="956"/>
      <c r="L469" s="956"/>
      <c r="M469" s="956"/>
      <c r="N469" s="956"/>
      <c r="O469" s="956"/>
      <c r="P469" s="956"/>
      <c r="V469" s="957"/>
    </row>
    <row r="470" spans="5:22">
      <c r="E470" s="956"/>
      <c r="F470" s="956"/>
      <c r="G470" s="956"/>
      <c r="H470" s="956"/>
      <c r="I470" s="956"/>
      <c r="J470" s="956"/>
      <c r="K470" s="956"/>
      <c r="L470" s="956"/>
      <c r="M470" s="956"/>
      <c r="N470" s="956"/>
      <c r="O470" s="956"/>
      <c r="P470" s="956"/>
      <c r="V470" s="957"/>
    </row>
    <row r="471" spans="5:22">
      <c r="E471" s="956"/>
      <c r="F471" s="956"/>
      <c r="G471" s="956"/>
      <c r="H471" s="956"/>
      <c r="I471" s="956"/>
      <c r="J471" s="956"/>
      <c r="K471" s="956"/>
      <c r="L471" s="956"/>
      <c r="M471" s="956"/>
      <c r="N471" s="956"/>
      <c r="O471" s="956"/>
      <c r="P471" s="956"/>
      <c r="V471" s="957"/>
    </row>
    <row r="472" spans="5:22">
      <c r="E472" s="956"/>
      <c r="F472" s="956"/>
      <c r="G472" s="956"/>
      <c r="H472" s="956"/>
      <c r="I472" s="956"/>
      <c r="J472" s="956"/>
      <c r="K472" s="956"/>
      <c r="L472" s="956"/>
      <c r="M472" s="956"/>
      <c r="N472" s="956"/>
      <c r="O472" s="956"/>
      <c r="P472" s="956"/>
      <c r="V472" s="957"/>
    </row>
    <row r="473" spans="5:22">
      <c r="E473" s="956"/>
      <c r="F473" s="956"/>
      <c r="G473" s="956"/>
      <c r="H473" s="956"/>
      <c r="I473" s="956"/>
      <c r="J473" s="956"/>
      <c r="K473" s="956"/>
      <c r="L473" s="956"/>
      <c r="M473" s="956"/>
      <c r="N473" s="956"/>
      <c r="O473" s="956"/>
      <c r="P473" s="956"/>
      <c r="V473" s="957"/>
    </row>
    <row r="474" spans="5:22">
      <c r="E474" s="956"/>
      <c r="F474" s="956"/>
      <c r="G474" s="956"/>
      <c r="H474" s="956"/>
      <c r="I474" s="956"/>
      <c r="J474" s="956"/>
      <c r="K474" s="956"/>
      <c r="L474" s="956"/>
      <c r="M474" s="956"/>
      <c r="N474" s="956"/>
      <c r="O474" s="956"/>
      <c r="P474" s="956"/>
      <c r="V474" s="957"/>
    </row>
    <row r="475" spans="5:22">
      <c r="E475" s="956"/>
      <c r="F475" s="956"/>
      <c r="G475" s="956"/>
      <c r="H475" s="956"/>
      <c r="I475" s="956"/>
      <c r="J475" s="956"/>
      <c r="K475" s="956"/>
      <c r="L475" s="956"/>
      <c r="M475" s="956"/>
      <c r="N475" s="956"/>
      <c r="O475" s="956"/>
      <c r="P475" s="956"/>
      <c r="V475" s="957"/>
    </row>
    <row r="476" spans="5:22">
      <c r="E476" s="956"/>
      <c r="F476" s="956"/>
      <c r="G476" s="956"/>
      <c r="H476" s="956"/>
      <c r="I476" s="956"/>
      <c r="J476" s="956"/>
      <c r="K476" s="956"/>
      <c r="L476" s="956"/>
      <c r="M476" s="956"/>
      <c r="N476" s="956"/>
      <c r="O476" s="956"/>
      <c r="P476" s="956"/>
      <c r="V476" s="957"/>
    </row>
    <row r="477" spans="5:22">
      <c r="E477" s="956"/>
      <c r="F477" s="956"/>
      <c r="G477" s="956"/>
      <c r="H477" s="956"/>
      <c r="I477" s="956"/>
      <c r="J477" s="956"/>
      <c r="K477" s="956"/>
      <c r="L477" s="956"/>
      <c r="M477" s="956"/>
      <c r="N477" s="956"/>
      <c r="O477" s="956"/>
      <c r="P477" s="956"/>
      <c r="V477" s="957"/>
    </row>
    <row r="478" spans="5:22">
      <c r="E478" s="956"/>
      <c r="F478" s="956"/>
      <c r="G478" s="956"/>
      <c r="H478" s="956"/>
      <c r="I478" s="956"/>
      <c r="J478" s="956"/>
      <c r="K478" s="956"/>
      <c r="L478" s="956"/>
      <c r="M478" s="956"/>
      <c r="N478" s="956"/>
      <c r="O478" s="956"/>
      <c r="P478" s="956"/>
      <c r="V478" s="957"/>
    </row>
    <row r="479" spans="5:22">
      <c r="E479" s="956"/>
      <c r="F479" s="956"/>
      <c r="G479" s="956"/>
      <c r="H479" s="956"/>
      <c r="I479" s="956"/>
      <c r="J479" s="956"/>
      <c r="K479" s="956"/>
      <c r="L479" s="956"/>
      <c r="M479" s="956"/>
      <c r="N479" s="956"/>
      <c r="O479" s="956"/>
      <c r="P479" s="956"/>
      <c r="V479" s="957"/>
    </row>
    <row r="480" spans="5:22">
      <c r="E480" s="956"/>
      <c r="F480" s="956"/>
      <c r="G480" s="956"/>
      <c r="H480" s="956"/>
      <c r="I480" s="956"/>
      <c r="J480" s="956"/>
      <c r="K480" s="956"/>
      <c r="L480" s="956"/>
      <c r="M480" s="956"/>
      <c r="N480" s="956"/>
      <c r="O480" s="956"/>
      <c r="P480" s="956"/>
      <c r="V480" s="957"/>
    </row>
    <row r="481" spans="5:22">
      <c r="E481" s="956"/>
      <c r="F481" s="956"/>
      <c r="G481" s="956"/>
      <c r="H481" s="956"/>
      <c r="I481" s="956"/>
      <c r="J481" s="956"/>
      <c r="K481" s="956"/>
      <c r="L481" s="956"/>
      <c r="M481" s="956"/>
      <c r="N481" s="956"/>
      <c r="O481" s="956"/>
      <c r="P481" s="956"/>
      <c r="V481" s="957"/>
    </row>
    <row r="482" spans="5:22">
      <c r="E482" s="956"/>
      <c r="F482" s="956"/>
      <c r="G482" s="956"/>
      <c r="H482" s="956"/>
      <c r="I482" s="956"/>
      <c r="J482" s="956"/>
      <c r="K482" s="956"/>
      <c r="L482" s="956"/>
      <c r="M482" s="956"/>
      <c r="N482" s="956"/>
      <c r="O482" s="956"/>
      <c r="P482" s="956"/>
      <c r="V482" s="957"/>
    </row>
    <row r="483" spans="5:22">
      <c r="E483" s="956"/>
      <c r="F483" s="956"/>
      <c r="G483" s="956"/>
      <c r="H483" s="956"/>
      <c r="I483" s="956"/>
      <c r="J483" s="956"/>
      <c r="K483" s="956"/>
      <c r="L483" s="956"/>
      <c r="M483" s="956"/>
      <c r="N483" s="956"/>
      <c r="O483" s="956"/>
      <c r="P483" s="956"/>
      <c r="V483" s="957"/>
    </row>
    <row r="484" spans="5:22">
      <c r="E484" s="956"/>
      <c r="F484" s="956"/>
      <c r="G484" s="956"/>
      <c r="H484" s="956"/>
      <c r="I484" s="956"/>
      <c r="J484" s="956"/>
      <c r="K484" s="956"/>
      <c r="L484" s="956"/>
      <c r="M484" s="956"/>
      <c r="N484" s="956"/>
      <c r="O484" s="956"/>
      <c r="P484" s="956"/>
      <c r="V484" s="957"/>
    </row>
    <row r="485" spans="5:22">
      <c r="E485" s="956"/>
      <c r="F485" s="956"/>
      <c r="G485" s="956"/>
      <c r="H485" s="956"/>
      <c r="I485" s="956"/>
      <c r="J485" s="956"/>
      <c r="K485" s="956"/>
      <c r="L485" s="956"/>
      <c r="M485" s="956"/>
      <c r="N485" s="956"/>
      <c r="O485" s="956"/>
      <c r="P485" s="956"/>
      <c r="V485" s="957"/>
    </row>
    <row r="486" spans="5:22">
      <c r="E486" s="956"/>
      <c r="F486" s="956"/>
      <c r="G486" s="956"/>
      <c r="H486" s="956"/>
      <c r="I486" s="956"/>
      <c r="J486" s="956"/>
      <c r="K486" s="956"/>
      <c r="L486" s="956"/>
      <c r="M486" s="956"/>
      <c r="N486" s="956"/>
      <c r="O486" s="956"/>
      <c r="P486" s="956"/>
      <c r="V486" s="957"/>
    </row>
    <row r="487" spans="5:22">
      <c r="E487" s="956"/>
      <c r="F487" s="956"/>
      <c r="G487" s="956"/>
      <c r="H487" s="956"/>
      <c r="I487" s="956"/>
      <c r="J487" s="956"/>
      <c r="K487" s="956"/>
      <c r="L487" s="956"/>
      <c r="M487" s="956"/>
      <c r="N487" s="956"/>
      <c r="O487" s="956"/>
      <c r="P487" s="956"/>
      <c r="V487" s="957"/>
    </row>
    <row r="488" spans="5:22">
      <c r="E488" s="956"/>
      <c r="F488" s="956"/>
      <c r="G488" s="956"/>
      <c r="H488" s="956"/>
      <c r="I488" s="956"/>
      <c r="J488" s="956"/>
      <c r="K488" s="956"/>
      <c r="L488" s="956"/>
      <c r="M488" s="956"/>
      <c r="N488" s="956"/>
      <c r="O488" s="956"/>
      <c r="P488" s="956"/>
      <c r="V488" s="957"/>
    </row>
    <row r="489" spans="5:22">
      <c r="E489" s="956"/>
      <c r="F489" s="956"/>
      <c r="G489" s="956"/>
      <c r="H489" s="956"/>
      <c r="I489" s="956"/>
      <c r="J489" s="956"/>
      <c r="K489" s="956"/>
      <c r="L489" s="956"/>
      <c r="M489" s="956"/>
      <c r="N489" s="956"/>
      <c r="O489" s="956"/>
      <c r="P489" s="956"/>
      <c r="V489" s="957"/>
    </row>
    <row r="490" spans="5:22">
      <c r="E490" s="956"/>
      <c r="F490" s="956"/>
      <c r="G490" s="956"/>
      <c r="H490" s="956"/>
      <c r="I490" s="956"/>
      <c r="J490" s="956"/>
      <c r="K490" s="956"/>
      <c r="L490" s="956"/>
      <c r="M490" s="956"/>
      <c r="N490" s="956"/>
      <c r="O490" s="956"/>
      <c r="P490" s="956"/>
      <c r="V490" s="957"/>
    </row>
    <row r="491" spans="5:22">
      <c r="E491" s="956"/>
      <c r="F491" s="956"/>
      <c r="G491" s="956"/>
      <c r="H491" s="956"/>
      <c r="I491" s="956"/>
      <c r="J491" s="956"/>
      <c r="K491" s="956"/>
      <c r="L491" s="956"/>
      <c r="M491" s="956"/>
      <c r="N491" s="956"/>
      <c r="O491" s="956"/>
      <c r="P491" s="956"/>
      <c r="V491" s="957"/>
    </row>
    <row r="492" spans="5:22">
      <c r="E492" s="956"/>
      <c r="F492" s="956"/>
      <c r="G492" s="956"/>
      <c r="H492" s="956"/>
      <c r="I492" s="956"/>
      <c r="J492" s="956"/>
      <c r="K492" s="956"/>
      <c r="L492" s="956"/>
      <c r="M492" s="956"/>
      <c r="N492" s="956"/>
      <c r="O492" s="956"/>
      <c r="P492" s="956"/>
      <c r="V492" s="957"/>
    </row>
    <row r="493" spans="5:22">
      <c r="E493" s="956"/>
      <c r="F493" s="956"/>
      <c r="G493" s="956"/>
      <c r="H493" s="956"/>
      <c r="I493" s="956"/>
      <c r="J493" s="956"/>
      <c r="K493" s="956"/>
      <c r="L493" s="956"/>
      <c r="M493" s="956"/>
      <c r="N493" s="956"/>
      <c r="O493" s="956"/>
      <c r="P493" s="956"/>
      <c r="V493" s="957"/>
    </row>
    <row r="494" spans="5:22">
      <c r="E494" s="956"/>
      <c r="F494" s="956"/>
      <c r="G494" s="956"/>
      <c r="H494" s="956"/>
      <c r="I494" s="956"/>
      <c r="J494" s="956"/>
      <c r="K494" s="956"/>
      <c r="L494" s="956"/>
      <c r="M494" s="956"/>
      <c r="N494" s="956"/>
      <c r="O494" s="956"/>
      <c r="P494" s="956"/>
      <c r="V494" s="957"/>
    </row>
    <row r="495" spans="5:22">
      <c r="E495" s="956"/>
      <c r="F495" s="956"/>
      <c r="G495" s="956"/>
      <c r="H495" s="956"/>
      <c r="I495" s="956"/>
      <c r="J495" s="956"/>
      <c r="K495" s="956"/>
      <c r="L495" s="956"/>
      <c r="M495" s="956"/>
      <c r="N495" s="956"/>
      <c r="O495" s="956"/>
      <c r="P495" s="956"/>
      <c r="V495" s="957"/>
    </row>
    <row r="496" spans="5:22">
      <c r="E496" s="956"/>
      <c r="F496" s="956"/>
      <c r="G496" s="956"/>
      <c r="H496" s="956"/>
      <c r="I496" s="956"/>
      <c r="J496" s="956"/>
      <c r="K496" s="956"/>
      <c r="L496" s="956"/>
      <c r="M496" s="956"/>
      <c r="N496" s="956"/>
      <c r="O496" s="956"/>
      <c r="P496" s="956"/>
      <c r="V496" s="957"/>
    </row>
    <row r="497" spans="5:22">
      <c r="E497" s="956"/>
      <c r="F497" s="956"/>
      <c r="G497" s="956"/>
      <c r="H497" s="956"/>
      <c r="I497" s="956"/>
      <c r="J497" s="956"/>
      <c r="K497" s="956"/>
      <c r="L497" s="956"/>
      <c r="M497" s="956"/>
      <c r="N497" s="956"/>
      <c r="O497" s="956"/>
      <c r="P497" s="956"/>
      <c r="V497" s="957"/>
    </row>
    <row r="498" spans="5:22">
      <c r="E498" s="956"/>
      <c r="F498" s="956"/>
      <c r="G498" s="956"/>
      <c r="H498" s="956"/>
      <c r="I498" s="956"/>
      <c r="J498" s="956"/>
      <c r="K498" s="956"/>
      <c r="L498" s="956"/>
      <c r="M498" s="956"/>
      <c r="N498" s="956"/>
      <c r="O498" s="956"/>
      <c r="P498" s="956"/>
      <c r="V498" s="957"/>
    </row>
    <row r="499" spans="5:22">
      <c r="E499" s="956"/>
      <c r="F499" s="956"/>
      <c r="G499" s="956"/>
      <c r="H499" s="956"/>
      <c r="I499" s="956"/>
      <c r="J499" s="956"/>
      <c r="K499" s="956"/>
      <c r="L499" s="956"/>
      <c r="M499" s="956"/>
      <c r="N499" s="956"/>
      <c r="O499" s="956"/>
      <c r="P499" s="956"/>
      <c r="V499" s="957"/>
    </row>
    <row r="500" spans="5:22">
      <c r="E500" s="956"/>
      <c r="F500" s="956"/>
      <c r="G500" s="956"/>
      <c r="H500" s="956"/>
      <c r="I500" s="956"/>
      <c r="J500" s="956"/>
      <c r="K500" s="956"/>
      <c r="L500" s="956"/>
      <c r="M500" s="956"/>
      <c r="N500" s="956"/>
      <c r="O500" s="956"/>
      <c r="P500" s="956"/>
      <c r="V500" s="957"/>
    </row>
    <row r="501" spans="5:22">
      <c r="E501" s="956"/>
      <c r="F501" s="956"/>
      <c r="G501" s="956"/>
      <c r="H501" s="956"/>
      <c r="I501" s="956"/>
      <c r="J501" s="956"/>
      <c r="K501" s="956"/>
      <c r="L501" s="956"/>
      <c r="M501" s="956"/>
      <c r="N501" s="956"/>
      <c r="O501" s="956"/>
      <c r="P501" s="956"/>
      <c r="V501" s="957"/>
    </row>
    <row r="502" spans="5:22">
      <c r="E502" s="956"/>
      <c r="F502" s="956"/>
      <c r="G502" s="956"/>
      <c r="H502" s="956"/>
      <c r="I502" s="956"/>
      <c r="J502" s="956"/>
      <c r="K502" s="956"/>
      <c r="L502" s="956"/>
      <c r="M502" s="956"/>
      <c r="N502" s="956"/>
      <c r="O502" s="956"/>
      <c r="P502" s="956"/>
      <c r="V502" s="957"/>
    </row>
    <row r="503" spans="5:22">
      <c r="E503" s="956"/>
      <c r="F503" s="956"/>
      <c r="G503" s="956"/>
      <c r="H503" s="956"/>
      <c r="I503" s="956"/>
      <c r="J503" s="956"/>
      <c r="K503" s="956"/>
      <c r="L503" s="956"/>
      <c r="M503" s="956"/>
      <c r="N503" s="956"/>
      <c r="O503" s="956"/>
      <c r="P503" s="956"/>
      <c r="V503" s="957"/>
    </row>
    <row r="504" spans="5:22">
      <c r="E504" s="956"/>
      <c r="F504" s="956"/>
      <c r="G504" s="956"/>
      <c r="H504" s="956"/>
      <c r="I504" s="956"/>
      <c r="J504" s="956"/>
      <c r="K504" s="956"/>
      <c r="L504" s="956"/>
      <c r="M504" s="956"/>
      <c r="N504" s="956"/>
      <c r="O504" s="956"/>
      <c r="P504" s="956"/>
      <c r="V504" s="957"/>
    </row>
    <row r="505" spans="5:22">
      <c r="E505" s="956"/>
      <c r="F505" s="956"/>
      <c r="G505" s="956"/>
      <c r="H505" s="956"/>
      <c r="I505" s="956"/>
      <c r="J505" s="956"/>
      <c r="K505" s="956"/>
      <c r="L505" s="956"/>
      <c r="M505" s="956"/>
      <c r="N505" s="956"/>
      <c r="O505" s="956"/>
      <c r="P505" s="956"/>
      <c r="V505" s="957"/>
    </row>
    <row r="506" spans="5:22">
      <c r="E506" s="956"/>
      <c r="F506" s="956"/>
      <c r="G506" s="956"/>
      <c r="H506" s="956"/>
      <c r="I506" s="956"/>
      <c r="J506" s="956"/>
      <c r="K506" s="956"/>
      <c r="L506" s="956"/>
      <c r="M506" s="956"/>
      <c r="N506" s="956"/>
      <c r="O506" s="956"/>
      <c r="P506" s="956"/>
      <c r="V506" s="957"/>
    </row>
    <row r="507" spans="5:22">
      <c r="E507" s="956"/>
      <c r="F507" s="956"/>
      <c r="G507" s="956"/>
      <c r="H507" s="956"/>
      <c r="I507" s="956"/>
      <c r="J507" s="956"/>
      <c r="K507" s="956"/>
      <c r="L507" s="956"/>
      <c r="M507" s="956"/>
      <c r="N507" s="956"/>
      <c r="O507" s="956"/>
      <c r="P507" s="956"/>
      <c r="V507" s="957"/>
    </row>
    <row r="508" spans="5:22">
      <c r="E508" s="956"/>
      <c r="F508" s="956"/>
      <c r="G508" s="956"/>
      <c r="H508" s="956"/>
      <c r="I508" s="956"/>
      <c r="J508" s="956"/>
      <c r="K508" s="956"/>
      <c r="L508" s="956"/>
      <c r="M508" s="956"/>
      <c r="N508" s="956"/>
      <c r="O508" s="956"/>
      <c r="P508" s="956"/>
      <c r="V508" s="957"/>
    </row>
    <row r="509" spans="5:22">
      <c r="E509" s="956"/>
      <c r="F509" s="956"/>
      <c r="G509" s="956"/>
      <c r="H509" s="956"/>
      <c r="I509" s="956"/>
      <c r="J509" s="956"/>
      <c r="K509" s="956"/>
      <c r="L509" s="956"/>
      <c r="M509" s="956"/>
      <c r="N509" s="956"/>
      <c r="O509" s="956"/>
      <c r="P509" s="956"/>
      <c r="V509" s="957"/>
    </row>
    <row r="510" spans="5:22">
      <c r="E510" s="956"/>
      <c r="F510" s="956"/>
      <c r="G510" s="956"/>
      <c r="H510" s="956"/>
      <c r="I510" s="956"/>
      <c r="J510" s="956"/>
      <c r="K510" s="956"/>
      <c r="L510" s="956"/>
      <c r="M510" s="956"/>
      <c r="N510" s="956"/>
      <c r="O510" s="956"/>
      <c r="P510" s="956"/>
      <c r="V510" s="957"/>
    </row>
    <row r="511" spans="5:22">
      <c r="E511" s="956"/>
      <c r="F511" s="956"/>
      <c r="G511" s="956"/>
      <c r="H511" s="956"/>
      <c r="I511" s="956"/>
      <c r="J511" s="956"/>
      <c r="K511" s="956"/>
      <c r="L511" s="956"/>
      <c r="M511" s="956"/>
      <c r="N511" s="956"/>
      <c r="O511" s="956"/>
      <c r="P511" s="956"/>
      <c r="V511" s="957"/>
    </row>
    <row r="512" spans="5:22">
      <c r="E512" s="956"/>
      <c r="F512" s="956"/>
      <c r="G512" s="956"/>
      <c r="H512" s="956"/>
      <c r="I512" s="956"/>
      <c r="J512" s="956"/>
      <c r="K512" s="956"/>
      <c r="L512" s="956"/>
      <c r="M512" s="956"/>
      <c r="N512" s="956"/>
      <c r="O512" s="956"/>
      <c r="P512" s="956"/>
      <c r="V512" s="957"/>
    </row>
    <row r="513" spans="5:22">
      <c r="E513" s="956"/>
      <c r="F513" s="956"/>
      <c r="G513" s="956"/>
      <c r="H513" s="956"/>
      <c r="I513" s="956"/>
      <c r="J513" s="956"/>
      <c r="K513" s="956"/>
      <c r="L513" s="956"/>
      <c r="M513" s="956"/>
      <c r="N513" s="956"/>
      <c r="O513" s="956"/>
      <c r="P513" s="956"/>
      <c r="V513" s="957"/>
    </row>
    <row r="514" spans="5:22">
      <c r="E514" s="956"/>
      <c r="F514" s="956"/>
      <c r="G514" s="956"/>
      <c r="H514" s="956"/>
      <c r="I514" s="956"/>
      <c r="J514" s="956"/>
      <c r="K514" s="956"/>
      <c r="L514" s="956"/>
      <c r="M514" s="956"/>
      <c r="N514" s="956"/>
      <c r="O514" s="956"/>
      <c r="P514" s="956"/>
      <c r="V514" s="957"/>
    </row>
    <row r="515" spans="5:22">
      <c r="E515" s="956"/>
      <c r="F515" s="956"/>
      <c r="G515" s="956"/>
      <c r="H515" s="956"/>
      <c r="I515" s="956"/>
      <c r="J515" s="956"/>
      <c r="K515" s="956"/>
      <c r="L515" s="956"/>
      <c r="M515" s="956"/>
      <c r="N515" s="956"/>
      <c r="O515" s="956"/>
      <c r="P515" s="956"/>
      <c r="V515" s="957"/>
    </row>
    <row r="516" spans="5:22">
      <c r="E516" s="956"/>
      <c r="F516" s="956"/>
      <c r="G516" s="956"/>
      <c r="H516" s="956"/>
      <c r="I516" s="956"/>
      <c r="J516" s="956"/>
      <c r="K516" s="956"/>
      <c r="L516" s="956"/>
      <c r="M516" s="956"/>
      <c r="N516" s="956"/>
      <c r="O516" s="956"/>
      <c r="P516" s="956"/>
      <c r="V516" s="957"/>
    </row>
    <row r="517" spans="5:22">
      <c r="E517" s="956"/>
      <c r="F517" s="956"/>
      <c r="G517" s="956"/>
      <c r="H517" s="956"/>
      <c r="I517" s="956"/>
      <c r="J517" s="956"/>
      <c r="K517" s="956"/>
      <c r="L517" s="956"/>
      <c r="M517" s="956"/>
      <c r="N517" s="956"/>
      <c r="O517" s="956"/>
      <c r="P517" s="956"/>
      <c r="V517" s="957"/>
    </row>
    <row r="518" spans="5:22">
      <c r="E518" s="956"/>
      <c r="F518" s="956"/>
      <c r="G518" s="956"/>
      <c r="H518" s="956"/>
      <c r="I518" s="956"/>
      <c r="J518" s="956"/>
      <c r="K518" s="956"/>
      <c r="L518" s="956"/>
      <c r="M518" s="956"/>
      <c r="N518" s="956"/>
      <c r="O518" s="956"/>
      <c r="P518" s="956"/>
      <c r="V518" s="957"/>
    </row>
    <row r="519" spans="5:22">
      <c r="E519" s="956"/>
      <c r="F519" s="956"/>
      <c r="G519" s="956"/>
      <c r="H519" s="956"/>
      <c r="I519" s="956"/>
      <c r="J519" s="956"/>
      <c r="K519" s="956"/>
      <c r="L519" s="956"/>
      <c r="M519" s="956"/>
      <c r="N519" s="956"/>
      <c r="O519" s="956"/>
      <c r="P519" s="956"/>
      <c r="V519" s="957"/>
    </row>
    <row r="520" spans="5:22">
      <c r="E520" s="956"/>
      <c r="F520" s="956"/>
      <c r="G520" s="956"/>
      <c r="H520" s="956"/>
      <c r="I520" s="956"/>
      <c r="J520" s="956"/>
      <c r="K520" s="956"/>
      <c r="L520" s="956"/>
      <c r="M520" s="956"/>
      <c r="N520" s="956"/>
      <c r="O520" s="956"/>
      <c r="P520" s="956"/>
      <c r="V520" s="957"/>
    </row>
    <row r="521" spans="5:22">
      <c r="E521" s="956"/>
      <c r="F521" s="956"/>
      <c r="G521" s="956"/>
      <c r="H521" s="956"/>
      <c r="I521" s="956"/>
      <c r="J521" s="956"/>
      <c r="K521" s="956"/>
      <c r="L521" s="956"/>
      <c r="M521" s="956"/>
      <c r="N521" s="956"/>
      <c r="O521" s="956"/>
      <c r="P521" s="956"/>
      <c r="V521" s="957"/>
    </row>
  </sheetData>
  <mergeCells count="47">
    <mergeCell ref="A96:A99"/>
    <mergeCell ref="V96:V99"/>
    <mergeCell ref="C98:C99"/>
    <mergeCell ref="A50:A56"/>
    <mergeCell ref="V50:V56"/>
    <mergeCell ref="C52:C53"/>
    <mergeCell ref="U54:U56"/>
    <mergeCell ref="C55:C56"/>
    <mergeCell ref="A79:A82"/>
    <mergeCell ref="V79:V82"/>
    <mergeCell ref="C81:C82"/>
    <mergeCell ref="A83:A95"/>
    <mergeCell ref="V83:V95"/>
    <mergeCell ref="C85:C89"/>
    <mergeCell ref="C91:C95"/>
    <mergeCell ref="A58:T58"/>
    <mergeCell ref="V59:V61"/>
    <mergeCell ref="V62:V66"/>
    <mergeCell ref="U70:U74"/>
    <mergeCell ref="A75:A78"/>
    <mergeCell ref="V75:V78"/>
    <mergeCell ref="C77:C78"/>
    <mergeCell ref="A43:A49"/>
    <mergeCell ref="V43:V49"/>
    <mergeCell ref="C45:C46"/>
    <mergeCell ref="U47:U49"/>
    <mergeCell ref="C48:C49"/>
    <mergeCell ref="A32:A42"/>
    <mergeCell ref="V32:V42"/>
    <mergeCell ref="C34:C37"/>
    <mergeCell ref="U38:U42"/>
    <mergeCell ref="C39:C42"/>
    <mergeCell ref="U18:U20"/>
    <mergeCell ref="A21:A31"/>
    <mergeCell ref="V21:V31"/>
    <mergeCell ref="C23:C26"/>
    <mergeCell ref="U27:U31"/>
    <mergeCell ref="C28:C31"/>
    <mergeCell ref="A5:V5"/>
    <mergeCell ref="B6:B8"/>
    <mergeCell ref="C6:C8"/>
    <mergeCell ref="D6:D8"/>
    <mergeCell ref="E6:L7"/>
    <mergeCell ref="U6:U8"/>
    <mergeCell ref="V6:V8"/>
    <mergeCell ref="M6:N7"/>
    <mergeCell ref="O6:T7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57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A717"/>
  <sheetViews>
    <sheetView showGridLines="0" view="pageBreakPreview" zoomScaleNormal="100" zoomScaleSheetLayoutView="100" workbookViewId="0">
      <pane xSplit="3" ySplit="9" topLeftCell="D13" activePane="bottomRight" state="frozen"/>
      <selection activeCell="U30" sqref="U30"/>
      <selection pane="topRight" activeCell="U30" sqref="U30"/>
      <selection pane="bottomLeft" activeCell="U30" sqref="U30"/>
      <selection pane="bottomRight" activeCell="Q41" sqref="Q41:Q42"/>
    </sheetView>
  </sheetViews>
  <sheetFormatPr defaultRowHeight="12.75"/>
  <cols>
    <col min="1" max="1" width="4.7109375" style="959" customWidth="1"/>
    <col min="2" max="2" width="57" style="1121" customWidth="1"/>
    <col min="3" max="3" width="10" style="1121" customWidth="1"/>
    <col min="4" max="4" width="14.5703125" style="1121" customWidth="1"/>
    <col min="5" max="5" width="10.42578125" style="1121" hidden="1" customWidth="1"/>
    <col min="6" max="6" width="9.42578125" style="1713" hidden="1" customWidth="1"/>
    <col min="7" max="8" width="9.42578125" style="1672" hidden="1" customWidth="1"/>
    <col min="9" max="9" width="10.42578125" style="1714" hidden="1" customWidth="1"/>
    <col min="10" max="10" width="11.140625" style="1714" hidden="1" customWidth="1"/>
    <col min="11" max="12" width="10.42578125" style="1714" hidden="1" customWidth="1"/>
    <col min="13" max="13" width="11.42578125" style="1121" bestFit="1" customWidth="1"/>
    <col min="14" max="14" width="12.28515625" style="1121" customWidth="1"/>
    <col min="15" max="15" width="10.140625" style="1121" customWidth="1"/>
    <col min="16" max="16" width="10.42578125" style="1121" customWidth="1"/>
    <col min="17" max="17" width="10.28515625" style="1121" customWidth="1"/>
    <col min="18" max="20" width="9.85546875" style="1121" customWidth="1"/>
    <col min="21" max="21" width="12.5703125" style="1121" customWidth="1"/>
    <col min="22" max="22" width="19.85546875" style="1298" customWidth="1"/>
    <col min="23" max="16384" width="9.140625" style="1121"/>
  </cols>
  <sheetData>
    <row r="1" spans="1:79" ht="3.75" customHeight="1">
      <c r="F1" s="1671"/>
      <c r="O1" s="795"/>
      <c r="U1" s="377"/>
      <c r="V1" s="378"/>
    </row>
    <row r="2" spans="1:79" ht="15" customHeight="1">
      <c r="B2" s="1881"/>
      <c r="F2" s="1671"/>
      <c r="I2" s="1715"/>
      <c r="J2" s="1716">
        <f>+E13+I13+J13+K13+L13+N13+O13+P13+Q13+R13</f>
        <v>165386994</v>
      </c>
      <c r="K2" s="1716"/>
      <c r="L2" s="1716"/>
      <c r="M2" s="1122"/>
      <c r="O2" s="833"/>
      <c r="T2" s="375" t="s">
        <v>230</v>
      </c>
      <c r="U2" s="377"/>
      <c r="V2" s="378"/>
    </row>
    <row r="3" spans="1:79" ht="0.75" customHeight="1">
      <c r="F3" s="1671"/>
      <c r="N3" s="379"/>
      <c r="O3" s="379"/>
      <c r="P3" s="379"/>
      <c r="Q3" s="379"/>
      <c r="R3" s="379"/>
      <c r="S3" s="379"/>
      <c r="T3" s="379"/>
      <c r="U3" s="377"/>
      <c r="V3" s="378"/>
    </row>
    <row r="4" spans="1:79" ht="9.75" customHeight="1">
      <c r="F4" s="1671"/>
      <c r="N4" s="379"/>
      <c r="O4" s="379"/>
      <c r="P4" s="379"/>
      <c r="Q4" s="379"/>
      <c r="R4" s="379"/>
      <c r="S4" s="379"/>
      <c r="T4" s="379"/>
      <c r="U4" s="377"/>
      <c r="V4" s="378"/>
    </row>
    <row r="5" spans="1:79" s="1941" customFormat="1" ht="39" customHeight="1" thickBot="1">
      <c r="A5" s="2668" t="s">
        <v>231</v>
      </c>
      <c r="B5" s="2668"/>
      <c r="C5" s="2668"/>
      <c r="D5" s="2668"/>
      <c r="E5" s="2668"/>
      <c r="F5" s="2668"/>
      <c r="G5" s="2668"/>
      <c r="H5" s="2668"/>
      <c r="I5" s="2668"/>
      <c r="J5" s="2668"/>
      <c r="K5" s="2668"/>
      <c r="L5" s="2668"/>
      <c r="M5" s="2668"/>
      <c r="N5" s="2668"/>
      <c r="O5" s="2668"/>
      <c r="P5" s="2668"/>
      <c r="Q5" s="2668"/>
      <c r="R5" s="2668"/>
      <c r="S5" s="2668"/>
      <c r="T5" s="2668"/>
      <c r="U5" s="2668"/>
      <c r="V5" s="2668"/>
    </row>
    <row r="6" spans="1:79" s="1397" customFormat="1" ht="22.5" customHeight="1" thickBot="1">
      <c r="A6" s="834"/>
      <c r="B6" s="2721" t="s">
        <v>96</v>
      </c>
      <c r="C6" s="2445" t="s">
        <v>91</v>
      </c>
      <c r="D6" s="2370" t="s">
        <v>158</v>
      </c>
      <c r="E6" s="2725" t="s">
        <v>320</v>
      </c>
      <c r="F6" s="2726"/>
      <c r="G6" s="2726"/>
      <c r="H6" s="2726"/>
      <c r="I6" s="2726"/>
      <c r="J6" s="2726"/>
      <c r="K6" s="2726"/>
      <c r="L6" s="2726"/>
      <c r="M6" s="2726"/>
      <c r="N6" s="2727"/>
      <c r="O6" s="2373" t="s">
        <v>317</v>
      </c>
      <c r="P6" s="2374"/>
      <c r="Q6" s="2374"/>
      <c r="R6" s="2374"/>
      <c r="S6" s="2374"/>
      <c r="T6" s="2586"/>
      <c r="U6" s="2722" t="s">
        <v>318</v>
      </c>
      <c r="V6" s="2375" t="s">
        <v>94</v>
      </c>
      <c r="W6" s="1400"/>
      <c r="X6" s="1400"/>
      <c r="Y6" s="1400"/>
      <c r="Z6" s="1400"/>
      <c r="AA6" s="1400"/>
      <c r="AB6" s="1400"/>
      <c r="AC6" s="1400"/>
      <c r="AD6" s="1400"/>
      <c r="AE6" s="1400"/>
      <c r="AF6" s="1400"/>
      <c r="AG6" s="1400"/>
      <c r="AH6" s="1400"/>
      <c r="AI6" s="1400"/>
      <c r="AJ6" s="1400"/>
      <c r="AK6" s="1400"/>
      <c r="AL6" s="1400"/>
      <c r="AM6" s="1400"/>
      <c r="AN6" s="1400"/>
      <c r="AO6" s="1400"/>
      <c r="AP6" s="1400"/>
      <c r="AQ6" s="1400"/>
      <c r="AR6" s="1400"/>
      <c r="AS6" s="1400"/>
      <c r="AT6" s="1400"/>
      <c r="AU6" s="1400"/>
      <c r="AV6" s="1400"/>
      <c r="AW6" s="1400"/>
      <c r="AX6" s="1400"/>
      <c r="AY6" s="1400"/>
      <c r="AZ6" s="1400"/>
      <c r="BA6" s="1400"/>
      <c r="BB6" s="1400"/>
      <c r="BC6" s="1400"/>
      <c r="BD6" s="1400"/>
      <c r="BE6" s="1400"/>
      <c r="BF6" s="1400"/>
      <c r="BG6" s="1400"/>
      <c r="BH6" s="1400"/>
      <c r="BI6" s="1400"/>
      <c r="BJ6" s="1400"/>
      <c r="BK6" s="1400"/>
      <c r="BL6" s="1400"/>
      <c r="BM6" s="1400"/>
      <c r="BN6" s="1400"/>
      <c r="BO6" s="1400"/>
      <c r="BP6" s="1400"/>
      <c r="BQ6" s="1400"/>
      <c r="BR6" s="1400"/>
      <c r="BS6" s="1400"/>
      <c r="BT6" s="1400"/>
      <c r="BU6" s="1400"/>
      <c r="BV6" s="1400"/>
      <c r="BW6" s="1400"/>
      <c r="BX6" s="1400"/>
      <c r="BY6" s="1400"/>
      <c r="BZ6" s="1400"/>
      <c r="CA6" s="1400"/>
    </row>
    <row r="7" spans="1:79" s="1397" customFormat="1" ht="21" customHeight="1" thickBot="1">
      <c r="A7" s="835" t="s">
        <v>95</v>
      </c>
      <c r="B7" s="2721"/>
      <c r="C7" s="2446"/>
      <c r="D7" s="2371"/>
      <c r="E7" s="2728"/>
      <c r="F7" s="2729"/>
      <c r="G7" s="2729"/>
      <c r="H7" s="2729"/>
      <c r="I7" s="2729"/>
      <c r="J7" s="2729"/>
      <c r="K7" s="2729"/>
      <c r="L7" s="2729"/>
      <c r="M7" s="2729"/>
      <c r="N7" s="2730"/>
      <c r="O7" s="2587"/>
      <c r="P7" s="2588"/>
      <c r="Q7" s="2588"/>
      <c r="R7" s="2588"/>
      <c r="S7" s="2588"/>
      <c r="T7" s="2589"/>
      <c r="U7" s="2723"/>
      <c r="V7" s="2376"/>
      <c r="W7" s="1400"/>
      <c r="X7" s="1400"/>
      <c r="Y7" s="1400"/>
      <c r="Z7" s="1400"/>
      <c r="AA7" s="1400"/>
      <c r="AB7" s="1400"/>
      <c r="AC7" s="1400"/>
      <c r="AD7" s="1400"/>
      <c r="AE7" s="1400"/>
      <c r="AF7" s="1400"/>
      <c r="AG7" s="1400"/>
      <c r="AH7" s="1400"/>
      <c r="AI7" s="1400"/>
      <c r="AJ7" s="1400"/>
      <c r="AK7" s="1400"/>
      <c r="AL7" s="1400"/>
      <c r="AM7" s="1400"/>
      <c r="AN7" s="1400"/>
      <c r="AO7" s="1400"/>
      <c r="AP7" s="1400"/>
      <c r="AQ7" s="1400"/>
      <c r="AR7" s="1400"/>
      <c r="AS7" s="1400"/>
      <c r="AT7" s="1400"/>
      <c r="AU7" s="1400"/>
      <c r="AV7" s="1400"/>
      <c r="AW7" s="1400"/>
      <c r="AX7" s="1400"/>
      <c r="AY7" s="1400"/>
      <c r="AZ7" s="1400"/>
      <c r="BA7" s="1400"/>
      <c r="BB7" s="1400"/>
      <c r="BC7" s="1400"/>
      <c r="BD7" s="1400"/>
      <c r="BE7" s="1400"/>
      <c r="BF7" s="1400"/>
      <c r="BG7" s="1400"/>
      <c r="BH7" s="1400"/>
      <c r="BI7" s="1400"/>
      <c r="BJ7" s="1400"/>
      <c r="BK7" s="1400"/>
      <c r="BL7" s="1400"/>
      <c r="BM7" s="1400"/>
      <c r="BN7" s="1400"/>
      <c r="BO7" s="1400"/>
      <c r="BP7" s="1400"/>
      <c r="BQ7" s="1400"/>
      <c r="BR7" s="1400"/>
      <c r="BS7" s="1400"/>
      <c r="BT7" s="1400"/>
      <c r="BU7" s="1400"/>
      <c r="BV7" s="1400"/>
      <c r="BW7" s="1400"/>
      <c r="BX7" s="1400"/>
      <c r="BY7" s="1400"/>
      <c r="BZ7" s="1400"/>
      <c r="CA7" s="1400"/>
    </row>
    <row r="8" spans="1:79" s="1397" customFormat="1" ht="25.5" customHeight="1" thickBot="1">
      <c r="A8" s="835"/>
      <c r="B8" s="2721"/>
      <c r="C8" s="2447"/>
      <c r="D8" s="2372"/>
      <c r="E8" s="1759" t="s">
        <v>6</v>
      </c>
      <c r="F8" s="1760" t="s">
        <v>7</v>
      </c>
      <c r="G8" s="1760" t="s">
        <v>319</v>
      </c>
      <c r="H8" s="1760" t="s">
        <v>9</v>
      </c>
      <c r="I8" s="1760" t="s">
        <v>10</v>
      </c>
      <c r="J8" s="1760" t="s">
        <v>11</v>
      </c>
      <c r="K8" s="1760" t="s">
        <v>12</v>
      </c>
      <c r="L8" s="1760" t="s">
        <v>13</v>
      </c>
      <c r="M8" s="2184" t="s">
        <v>323</v>
      </c>
      <c r="N8" s="2185" t="s">
        <v>14</v>
      </c>
      <c r="O8" s="2185" t="s">
        <v>15</v>
      </c>
      <c r="P8" s="2185" t="s">
        <v>16</v>
      </c>
      <c r="Q8" s="2185" t="s">
        <v>17</v>
      </c>
      <c r="R8" s="2185" t="s">
        <v>18</v>
      </c>
      <c r="S8" s="1666" t="s">
        <v>315</v>
      </c>
      <c r="T8" s="1666" t="s">
        <v>316</v>
      </c>
      <c r="U8" s="2724"/>
      <c r="V8" s="2377"/>
      <c r="W8" s="1400"/>
      <c r="X8" s="1400"/>
      <c r="Y8" s="1400"/>
      <c r="Z8" s="1400"/>
      <c r="AA8" s="1400"/>
      <c r="AB8" s="1400"/>
      <c r="AC8" s="1400"/>
      <c r="AD8" s="1400"/>
      <c r="AE8" s="1400"/>
      <c r="AF8" s="1400"/>
      <c r="AG8" s="1400"/>
      <c r="AH8" s="1400"/>
      <c r="AI8" s="1400"/>
      <c r="AJ8" s="1400"/>
      <c r="AK8" s="1400"/>
      <c r="AL8" s="1400"/>
      <c r="AM8" s="1400"/>
      <c r="AN8" s="1400"/>
      <c r="AO8" s="1400"/>
      <c r="AP8" s="1400"/>
      <c r="AQ8" s="1400"/>
      <c r="AR8" s="1400"/>
      <c r="AS8" s="1400"/>
      <c r="AT8" s="1400"/>
      <c r="AU8" s="1400"/>
      <c r="AV8" s="1400"/>
      <c r="AW8" s="1400"/>
      <c r="AX8" s="1400"/>
      <c r="AY8" s="1400"/>
      <c r="AZ8" s="1400"/>
      <c r="BA8" s="1400"/>
      <c r="BB8" s="1400"/>
      <c r="BC8" s="1400"/>
      <c r="BD8" s="1400"/>
      <c r="BE8" s="1400"/>
      <c r="BF8" s="1400"/>
      <c r="BG8" s="1400"/>
      <c r="BH8" s="1400"/>
      <c r="BI8" s="1400"/>
      <c r="BJ8" s="1400"/>
      <c r="BK8" s="1400"/>
      <c r="BL8" s="1400"/>
      <c r="BM8" s="1400"/>
      <c r="BN8" s="1400"/>
      <c r="BO8" s="1400"/>
      <c r="BP8" s="1400"/>
      <c r="BQ8" s="1400"/>
      <c r="BR8" s="1400"/>
      <c r="BS8" s="1400"/>
      <c r="BT8" s="1400"/>
      <c r="BU8" s="1400"/>
      <c r="BV8" s="1400"/>
      <c r="BW8" s="1400"/>
      <c r="BX8" s="1400"/>
      <c r="BY8" s="1400"/>
      <c r="BZ8" s="1400"/>
      <c r="CA8" s="1400"/>
    </row>
    <row r="9" spans="1:79" s="1397" customFormat="1" ht="12.75" customHeight="1" thickBot="1">
      <c r="A9" s="960">
        <v>1</v>
      </c>
      <c r="B9" s="960">
        <v>2</v>
      </c>
      <c r="C9" s="961" t="s">
        <v>159</v>
      </c>
      <c r="D9" s="962" t="s">
        <v>160</v>
      </c>
      <c r="E9" s="962"/>
      <c r="F9" s="1673"/>
      <c r="G9" s="1673"/>
      <c r="H9" s="1673"/>
      <c r="I9" s="1717"/>
      <c r="J9" s="1717"/>
      <c r="K9" s="1717"/>
      <c r="L9" s="1717"/>
      <c r="M9" s="800">
        <v>5</v>
      </c>
      <c r="N9" s="800">
        <v>6</v>
      </c>
      <c r="O9" s="800">
        <v>7</v>
      </c>
      <c r="P9" s="802">
        <v>8</v>
      </c>
      <c r="Q9" s="802">
        <v>9</v>
      </c>
      <c r="R9" s="802">
        <v>10</v>
      </c>
      <c r="S9" s="802">
        <v>11</v>
      </c>
      <c r="T9" s="802">
        <v>12</v>
      </c>
      <c r="U9" s="803">
        <v>13</v>
      </c>
      <c r="V9" s="804">
        <v>14</v>
      </c>
    </row>
    <row r="10" spans="1:79" s="1898" customFormat="1" ht="13.5" customHeight="1">
      <c r="A10" s="963"/>
      <c r="B10" s="1099" t="s">
        <v>97</v>
      </c>
      <c r="C10" s="1107"/>
      <c r="D10" s="1100">
        <f>+D11+D12</f>
        <v>168286994</v>
      </c>
      <c r="E10" s="1100">
        <f>+E11+E12</f>
        <v>11524825</v>
      </c>
      <c r="F10" s="1674">
        <f t="shared" ref="F10:O10" si="0">+F11+F12</f>
        <v>1463345</v>
      </c>
      <c r="G10" s="1674">
        <f t="shared" ref="G10:H10" si="1">+G11+G12</f>
        <v>2764519</v>
      </c>
      <c r="H10" s="1674">
        <f t="shared" si="1"/>
        <v>6855933</v>
      </c>
      <c r="I10" s="1718">
        <f t="shared" si="0"/>
        <v>23651922</v>
      </c>
      <c r="J10" s="1718">
        <f t="shared" si="0"/>
        <v>15266589</v>
      </c>
      <c r="K10" s="1718">
        <f t="shared" si="0"/>
        <v>24900766</v>
      </c>
      <c r="L10" s="1718">
        <f>+L11+L12</f>
        <v>27063901</v>
      </c>
      <c r="M10" s="1100">
        <f>+M11+M12</f>
        <v>102408003</v>
      </c>
      <c r="N10" s="1100">
        <f t="shared" si="0"/>
        <v>22784770</v>
      </c>
      <c r="O10" s="1100">
        <f t="shared" si="0"/>
        <v>33494221</v>
      </c>
      <c r="P10" s="1100">
        <f t="shared" ref="P10:Q10" si="2">+P11+P12</f>
        <v>2300000</v>
      </c>
      <c r="Q10" s="1100">
        <f t="shared" si="2"/>
        <v>2200000</v>
      </c>
      <c r="R10" s="1100">
        <f>+R11+R12</f>
        <v>2200000</v>
      </c>
      <c r="S10" s="1111">
        <f t="shared" ref="S10:T10" si="3">+S11+S12</f>
        <v>1500000</v>
      </c>
      <c r="T10" s="1111">
        <f t="shared" si="3"/>
        <v>1400000</v>
      </c>
      <c r="U10" s="843">
        <f>+U11+U12</f>
        <v>43094221</v>
      </c>
      <c r="V10" s="399"/>
    </row>
    <row r="11" spans="1:79" s="1898" customFormat="1" ht="11.25" customHeight="1">
      <c r="A11" s="963"/>
      <c r="B11" s="1093" t="s">
        <v>98</v>
      </c>
      <c r="C11" s="1094"/>
      <c r="D11" s="1095">
        <f>+D25+D69+D91+D47</f>
        <v>144535683</v>
      </c>
      <c r="E11" s="1095">
        <f>+E25+E69+E91+E47</f>
        <v>11369871</v>
      </c>
      <c r="F11" s="1675">
        <f>+F25+F69+F91</f>
        <v>1463345</v>
      </c>
      <c r="G11" s="1675">
        <f>+G25+G69+G91</f>
        <v>2764519</v>
      </c>
      <c r="H11" s="1675">
        <f>+H25+H69+H91</f>
        <v>6700979</v>
      </c>
      <c r="I11" s="1719">
        <f t="shared" ref="I11:R11" si="4">+I25+I69+I91+I47</f>
        <v>23002179</v>
      </c>
      <c r="J11" s="1719">
        <f t="shared" si="4"/>
        <v>14871598</v>
      </c>
      <c r="K11" s="1719">
        <f t="shared" si="4"/>
        <v>19185038</v>
      </c>
      <c r="L11" s="1719">
        <f>+L25+L69+L91+L47</f>
        <v>19948581</v>
      </c>
      <c r="M11" s="1095">
        <f>+M25+M69+M91+M47</f>
        <v>88377267</v>
      </c>
      <c r="N11" s="1095">
        <f t="shared" si="4"/>
        <v>22092080</v>
      </c>
      <c r="O11" s="1095">
        <f t="shared" si="4"/>
        <v>24466336</v>
      </c>
      <c r="P11" s="1095">
        <f t="shared" si="4"/>
        <v>2300000</v>
      </c>
      <c r="Q11" s="1095">
        <f>+Q25+Q69+Q91+Q47</f>
        <v>2200000</v>
      </c>
      <c r="R11" s="1095">
        <f t="shared" si="4"/>
        <v>2200000</v>
      </c>
      <c r="S11" s="1095">
        <f t="shared" ref="S11:T11" si="5">+S25+S69+S91+S47</f>
        <v>1500000</v>
      </c>
      <c r="T11" s="1095">
        <f t="shared" si="5"/>
        <v>1400000</v>
      </c>
      <c r="U11" s="400">
        <f>+U25+U69+U91+U47</f>
        <v>34066336</v>
      </c>
      <c r="V11" s="399"/>
    </row>
    <row r="12" spans="1:79" s="1898" customFormat="1" ht="12.75" customHeight="1" thickBot="1">
      <c r="A12" s="963"/>
      <c r="B12" s="1096" t="s">
        <v>21</v>
      </c>
      <c r="C12" s="1097"/>
      <c r="D12" s="1098">
        <f>+D102+D81+D36+D58</f>
        <v>23751311</v>
      </c>
      <c r="E12" s="1098">
        <f>+E102+E81+E36+E58</f>
        <v>154954</v>
      </c>
      <c r="F12" s="1676">
        <f>+F102+F81+F36</f>
        <v>0</v>
      </c>
      <c r="G12" s="1676">
        <f>+G102+G81+G36</f>
        <v>0</v>
      </c>
      <c r="H12" s="1676">
        <f>+H102+H81+H36</f>
        <v>154954</v>
      </c>
      <c r="I12" s="1720">
        <f t="shared" ref="I12:Q12" si="6">+I102+I81+I36+I58</f>
        <v>649743</v>
      </c>
      <c r="J12" s="1720">
        <f t="shared" si="6"/>
        <v>394991</v>
      </c>
      <c r="K12" s="1720">
        <f t="shared" si="6"/>
        <v>5715728</v>
      </c>
      <c r="L12" s="1720">
        <f t="shared" si="6"/>
        <v>7115320</v>
      </c>
      <c r="M12" s="1098">
        <f t="shared" ref="M12" si="7">+M102+M81+M36+M58</f>
        <v>14030736</v>
      </c>
      <c r="N12" s="1098">
        <f t="shared" si="6"/>
        <v>692690</v>
      </c>
      <c r="O12" s="1098">
        <f t="shared" si="6"/>
        <v>9027885</v>
      </c>
      <c r="P12" s="1098">
        <f t="shared" si="6"/>
        <v>0</v>
      </c>
      <c r="Q12" s="1098">
        <f t="shared" si="6"/>
        <v>0</v>
      </c>
      <c r="R12" s="1098">
        <f>+R102+R81+R36+R58</f>
        <v>0</v>
      </c>
      <c r="S12" s="1098">
        <f t="shared" ref="S12:T12" si="8">+S102+S81+S36+S58</f>
        <v>0</v>
      </c>
      <c r="T12" s="1098">
        <f t="shared" si="8"/>
        <v>0</v>
      </c>
      <c r="U12" s="845">
        <f>+U102+U81+U36+U58</f>
        <v>9027885</v>
      </c>
      <c r="V12" s="399"/>
    </row>
    <row r="13" spans="1:79" s="831" customFormat="1" ht="13.5" customHeight="1">
      <c r="A13" s="846"/>
      <c r="B13" s="847" t="s">
        <v>22</v>
      </c>
      <c r="C13" s="848"/>
      <c r="D13" s="849">
        <f>+D14+D17</f>
        <v>168286994</v>
      </c>
      <c r="E13" s="849">
        <f t="shared" ref="E13:P13" si="9">+E14+E17</f>
        <v>11524825</v>
      </c>
      <c r="F13" s="1677">
        <f t="shared" si="9"/>
        <v>1463345</v>
      </c>
      <c r="G13" s="1677">
        <f t="shared" ref="G13:H13" si="10">+G14+G17</f>
        <v>2764519</v>
      </c>
      <c r="H13" s="1677">
        <f t="shared" si="10"/>
        <v>6855933</v>
      </c>
      <c r="I13" s="1721">
        <f t="shared" si="9"/>
        <v>23651922</v>
      </c>
      <c r="J13" s="1721">
        <f t="shared" si="9"/>
        <v>15266589</v>
      </c>
      <c r="K13" s="1721">
        <f t="shared" si="9"/>
        <v>24900766</v>
      </c>
      <c r="L13" s="1721">
        <f t="shared" si="9"/>
        <v>27063901</v>
      </c>
      <c r="M13" s="849">
        <f t="shared" ref="M13" si="11">+M14+M17</f>
        <v>102408003</v>
      </c>
      <c r="N13" s="849">
        <f t="shared" si="9"/>
        <v>22784770</v>
      </c>
      <c r="O13" s="849">
        <f t="shared" si="9"/>
        <v>33494221</v>
      </c>
      <c r="P13" s="849">
        <f t="shared" si="9"/>
        <v>2300000</v>
      </c>
      <c r="Q13" s="849">
        <f>+Q14+Q17</f>
        <v>2200000</v>
      </c>
      <c r="R13" s="849">
        <f>+R14+R17</f>
        <v>2200000</v>
      </c>
      <c r="S13" s="849">
        <f t="shared" ref="S13:T13" si="12">+S14+S17</f>
        <v>1500000</v>
      </c>
      <c r="T13" s="849">
        <f t="shared" si="12"/>
        <v>1400000</v>
      </c>
      <c r="U13" s="964">
        <f>+U14+U17</f>
        <v>43094221</v>
      </c>
      <c r="V13" s="844"/>
    </row>
    <row r="14" spans="1:79" s="1942" customFormat="1" ht="13.5" customHeight="1">
      <c r="A14" s="842"/>
      <c r="B14" s="852" t="s">
        <v>23</v>
      </c>
      <c r="C14" s="853"/>
      <c r="D14" s="854">
        <f>+D15+D16</f>
        <v>7736092</v>
      </c>
      <c r="E14" s="854">
        <f t="shared" ref="E14:P14" si="13">+E15+E16</f>
        <v>96264</v>
      </c>
      <c r="F14" s="1678">
        <f t="shared" si="13"/>
        <v>0</v>
      </c>
      <c r="G14" s="1678">
        <f t="shared" ref="G14:H14" si="14">+G15+G16</f>
        <v>0</v>
      </c>
      <c r="H14" s="1678">
        <f t="shared" si="14"/>
        <v>30110</v>
      </c>
      <c r="I14" s="1722">
        <f t="shared" si="13"/>
        <v>183930</v>
      </c>
      <c r="J14" s="1722">
        <f t="shared" si="13"/>
        <v>181394</v>
      </c>
      <c r="K14" s="1722">
        <f t="shared" si="13"/>
        <v>1523618</v>
      </c>
      <c r="L14" s="1722">
        <f t="shared" si="13"/>
        <v>1933185</v>
      </c>
      <c r="M14" s="854">
        <f t="shared" ref="M14" si="15">+M15+M16</f>
        <v>3918391</v>
      </c>
      <c r="N14" s="854">
        <f t="shared" si="13"/>
        <v>146168</v>
      </c>
      <c r="O14" s="854">
        <f t="shared" si="13"/>
        <v>2231533</v>
      </c>
      <c r="P14" s="854">
        <f t="shared" si="13"/>
        <v>345000</v>
      </c>
      <c r="Q14" s="854">
        <f>+Q15+Q16</f>
        <v>330000</v>
      </c>
      <c r="R14" s="854">
        <f>+R15+R16</f>
        <v>330000</v>
      </c>
      <c r="S14" s="854">
        <f t="shared" ref="S14:T14" si="16">+S15+S16</f>
        <v>225000</v>
      </c>
      <c r="T14" s="854">
        <f t="shared" si="16"/>
        <v>210000</v>
      </c>
      <c r="U14" s="965">
        <f>+U15+U16</f>
        <v>3671533</v>
      </c>
      <c r="V14" s="966"/>
      <c r="W14" s="931"/>
      <c r="X14" s="931"/>
      <c r="Y14" s="931"/>
      <c r="Z14" s="931"/>
      <c r="AA14" s="931"/>
      <c r="AB14" s="931"/>
      <c r="AC14" s="931"/>
    </row>
    <row r="15" spans="1:79" s="1943" customFormat="1" ht="12" customHeight="1">
      <c r="A15" s="858"/>
      <c r="B15" s="859" t="s">
        <v>24</v>
      </c>
      <c r="C15" s="860"/>
      <c r="D15" s="861">
        <f>+D104</f>
        <v>4989593</v>
      </c>
      <c r="E15" s="861">
        <f>+E104</f>
        <v>0</v>
      </c>
      <c r="F15" s="1679">
        <f>+F104</f>
        <v>0</v>
      </c>
      <c r="G15" s="1679">
        <f>+G104</f>
        <v>0</v>
      </c>
      <c r="H15" s="1679">
        <f>+H104</f>
        <v>0</v>
      </c>
      <c r="I15" s="1723">
        <f t="shared" ref="I15:S15" si="17">I104</f>
        <v>0</v>
      </c>
      <c r="J15" s="1723">
        <f t="shared" si="17"/>
        <v>9225</v>
      </c>
      <c r="K15" s="1723">
        <f>K104</f>
        <v>1343620</v>
      </c>
      <c r="L15" s="1723">
        <f>L104</f>
        <v>1750285</v>
      </c>
      <c r="M15" s="861">
        <f>M104</f>
        <v>3103130</v>
      </c>
      <c r="N15" s="861">
        <f t="shared" si="17"/>
        <v>66816</v>
      </c>
      <c r="O15" s="861">
        <f t="shared" si="17"/>
        <v>1819647</v>
      </c>
      <c r="P15" s="861">
        <f t="shared" si="17"/>
        <v>0</v>
      </c>
      <c r="Q15" s="861">
        <f t="shared" si="17"/>
        <v>0</v>
      </c>
      <c r="R15" s="861">
        <f t="shared" si="17"/>
        <v>0</v>
      </c>
      <c r="S15" s="861">
        <f t="shared" si="17"/>
        <v>0</v>
      </c>
      <c r="T15" s="861">
        <f>T104</f>
        <v>0</v>
      </c>
      <c r="U15" s="967">
        <f>SUM(O15:T15)</f>
        <v>1819647</v>
      </c>
      <c r="V15" s="844"/>
    </row>
    <row r="16" spans="1:79" s="1943" customFormat="1" ht="12" customHeight="1">
      <c r="A16" s="858"/>
      <c r="B16" s="968" t="s">
        <v>25</v>
      </c>
      <c r="C16" s="969"/>
      <c r="D16" s="861">
        <f>+D27+D93+D38+D49+D60</f>
        <v>2746499</v>
      </c>
      <c r="E16" s="861">
        <f>+E27+E93+E38+E49+E60</f>
        <v>96264</v>
      </c>
      <c r="F16" s="1679">
        <f>+F27+F93+F38</f>
        <v>0</v>
      </c>
      <c r="G16" s="1679">
        <f>+G27+G93+G38</f>
        <v>0</v>
      </c>
      <c r="H16" s="1679">
        <f>+H27+H93+H38</f>
        <v>30110</v>
      </c>
      <c r="I16" s="1723">
        <f t="shared" ref="I16:T16" si="18">+I27+I93+I38+I49+I60</f>
        <v>183930</v>
      </c>
      <c r="J16" s="1723">
        <f t="shared" si="18"/>
        <v>172169</v>
      </c>
      <c r="K16" s="1723">
        <f t="shared" si="18"/>
        <v>179998</v>
      </c>
      <c r="L16" s="1723">
        <f t="shared" si="18"/>
        <v>182900</v>
      </c>
      <c r="M16" s="861">
        <f t="shared" ref="M16" si="19">+M27+M93+M38+M49+M60</f>
        <v>815261</v>
      </c>
      <c r="N16" s="861">
        <f t="shared" si="18"/>
        <v>79352</v>
      </c>
      <c r="O16" s="861">
        <f t="shared" si="18"/>
        <v>411886</v>
      </c>
      <c r="P16" s="861">
        <f t="shared" si="18"/>
        <v>345000</v>
      </c>
      <c r="Q16" s="861">
        <f t="shared" si="18"/>
        <v>330000</v>
      </c>
      <c r="R16" s="861">
        <f t="shared" si="18"/>
        <v>330000</v>
      </c>
      <c r="S16" s="861">
        <f t="shared" si="18"/>
        <v>225000</v>
      </c>
      <c r="T16" s="861">
        <f t="shared" si="18"/>
        <v>210000</v>
      </c>
      <c r="U16" s="967">
        <f>SUM(O16:T16)</f>
        <v>1851886</v>
      </c>
      <c r="V16" s="844"/>
    </row>
    <row r="17" spans="1:29" s="1942" customFormat="1" ht="12" customHeight="1">
      <c r="A17" s="842"/>
      <c r="B17" s="863" t="s">
        <v>30</v>
      </c>
      <c r="C17" s="864"/>
      <c r="D17" s="865">
        <f>SUM(D18)</f>
        <v>160550902</v>
      </c>
      <c r="E17" s="865">
        <f t="shared" ref="E17:O17" si="20">SUM(E18)</f>
        <v>11428561</v>
      </c>
      <c r="F17" s="1680">
        <f t="shared" si="20"/>
        <v>1463345</v>
      </c>
      <c r="G17" s="1680">
        <f t="shared" si="20"/>
        <v>2764519</v>
      </c>
      <c r="H17" s="1680">
        <f t="shared" si="20"/>
        <v>6825823</v>
      </c>
      <c r="I17" s="1724">
        <f t="shared" si="20"/>
        <v>23467992</v>
      </c>
      <c r="J17" s="1724">
        <f t="shared" si="20"/>
        <v>15085195</v>
      </c>
      <c r="K17" s="1724">
        <f t="shared" si="20"/>
        <v>23377148</v>
      </c>
      <c r="L17" s="1724">
        <f t="shared" si="20"/>
        <v>25130716</v>
      </c>
      <c r="M17" s="865">
        <f t="shared" si="20"/>
        <v>98489612</v>
      </c>
      <c r="N17" s="865">
        <f t="shared" si="20"/>
        <v>22638602</v>
      </c>
      <c r="O17" s="865">
        <f t="shared" si="20"/>
        <v>31262688</v>
      </c>
      <c r="P17" s="865">
        <f>SUM(P18)</f>
        <v>1955000</v>
      </c>
      <c r="Q17" s="865">
        <f>SUM(Q18)</f>
        <v>1870000</v>
      </c>
      <c r="R17" s="865">
        <f>SUM(R18)</f>
        <v>1870000</v>
      </c>
      <c r="S17" s="865">
        <f t="shared" ref="S17:T17" si="21">SUM(S18)</f>
        <v>1275000</v>
      </c>
      <c r="T17" s="865">
        <f t="shared" si="21"/>
        <v>1190000</v>
      </c>
      <c r="U17" s="965">
        <f>SUM(U18)</f>
        <v>39422688</v>
      </c>
      <c r="V17" s="966"/>
      <c r="W17" s="1920"/>
      <c r="X17" s="1920"/>
      <c r="Y17" s="1920"/>
      <c r="Z17" s="1920"/>
      <c r="AA17" s="1920"/>
      <c r="AB17" s="1920"/>
      <c r="AC17" s="1920"/>
    </row>
    <row r="18" spans="1:29" s="1944" customFormat="1" ht="12" customHeight="1">
      <c r="A18" s="866"/>
      <c r="B18" s="867" t="s">
        <v>33</v>
      </c>
      <c r="C18" s="970"/>
      <c r="D18" s="861">
        <f>+D29+D71+D95+D106+D83+D40+D51+D62</f>
        <v>160550902</v>
      </c>
      <c r="E18" s="861">
        <f>+E29+E71+E95+E106+E83+E40+E51+E62</f>
        <v>11428561</v>
      </c>
      <c r="F18" s="1679">
        <f>+F29+F71+F95+F106+F83+F40</f>
        <v>1463345</v>
      </c>
      <c r="G18" s="1679">
        <f>+G29+G71+G95+G106+G83+G40</f>
        <v>2764519</v>
      </c>
      <c r="H18" s="1679">
        <f>+H29+H71+H95+H106+H83+H40</f>
        <v>6825823</v>
      </c>
      <c r="I18" s="1723">
        <f t="shared" ref="I18:R18" si="22">+I29+I71+I95+I106+I83+I40+I51+I62</f>
        <v>23467992</v>
      </c>
      <c r="J18" s="1723">
        <f t="shared" si="22"/>
        <v>15085195</v>
      </c>
      <c r="K18" s="1723">
        <f t="shared" si="22"/>
        <v>23377148</v>
      </c>
      <c r="L18" s="1723">
        <f t="shared" si="22"/>
        <v>25130716</v>
      </c>
      <c r="M18" s="861">
        <f t="shared" ref="M18" si="23">+M29+M71+M95+M106+M83+M40+M51+M62</f>
        <v>98489612</v>
      </c>
      <c r="N18" s="861">
        <f t="shared" si="22"/>
        <v>22638602</v>
      </c>
      <c r="O18" s="861">
        <f t="shared" si="22"/>
        <v>31262688</v>
      </c>
      <c r="P18" s="861">
        <f t="shared" si="22"/>
        <v>1955000</v>
      </c>
      <c r="Q18" s="861">
        <f t="shared" si="22"/>
        <v>1870000</v>
      </c>
      <c r="R18" s="861">
        <f t="shared" si="22"/>
        <v>1870000</v>
      </c>
      <c r="S18" s="861">
        <f t="shared" ref="S18:T18" si="24">+S29+S71+S95+S106+S83+S40+S51+S62</f>
        <v>1275000</v>
      </c>
      <c r="T18" s="861">
        <f t="shared" si="24"/>
        <v>1190000</v>
      </c>
      <c r="U18" s="967">
        <f>SUM(O18:T18)</f>
        <v>39422688</v>
      </c>
      <c r="V18" s="971"/>
      <c r="W18" s="914"/>
      <c r="X18" s="914"/>
      <c r="Y18" s="914"/>
      <c r="Z18" s="914"/>
      <c r="AA18" s="914"/>
      <c r="AB18" s="914"/>
      <c r="AC18" s="914"/>
    </row>
    <row r="19" spans="1:29" s="1944" customFormat="1" ht="10.5" customHeight="1">
      <c r="A19" s="866"/>
      <c r="B19" s="561" t="s">
        <v>34</v>
      </c>
      <c r="C19" s="871"/>
      <c r="D19" s="872">
        <f>+D21+D22</f>
        <v>163297401</v>
      </c>
      <c r="E19" s="872">
        <f t="shared" ref="E19:O19" si="25">+E21+E22</f>
        <v>11077985</v>
      </c>
      <c r="F19" s="1681">
        <f t="shared" si="25"/>
        <v>0</v>
      </c>
      <c r="G19" s="1681">
        <f t="shared" ref="G19:H19" si="26">+G21+G22</f>
        <v>2563346</v>
      </c>
      <c r="H19" s="1681">
        <f t="shared" si="26"/>
        <v>8510765</v>
      </c>
      <c r="I19" s="1725">
        <f t="shared" si="25"/>
        <v>23777298</v>
      </c>
      <c r="J19" s="1725">
        <f t="shared" si="25"/>
        <v>15351435</v>
      </c>
      <c r="K19" s="1725">
        <f t="shared" si="25"/>
        <v>23571021</v>
      </c>
      <c r="L19" s="1725">
        <f t="shared" si="25"/>
        <v>25016275</v>
      </c>
      <c r="M19" s="872">
        <f t="shared" ref="M19" si="27">+M21+M22</f>
        <v>98794014</v>
      </c>
      <c r="N19" s="872">
        <f t="shared" si="25"/>
        <v>22260358</v>
      </c>
      <c r="O19" s="872">
        <f t="shared" si="25"/>
        <v>32509153</v>
      </c>
      <c r="P19" s="872">
        <f>+P21+P22</f>
        <v>2433876</v>
      </c>
      <c r="Q19" s="872">
        <f>+Q21+Q22</f>
        <v>2200000</v>
      </c>
      <c r="R19" s="872">
        <f>+R21+R22</f>
        <v>2200000</v>
      </c>
      <c r="S19" s="872">
        <f t="shared" ref="S19:T19" si="28">+S21+S22</f>
        <v>1500000</v>
      </c>
      <c r="T19" s="872">
        <f t="shared" si="28"/>
        <v>1400000</v>
      </c>
      <c r="U19" s="2718" t="s">
        <v>77</v>
      </c>
      <c r="V19" s="844"/>
      <c r="W19" s="914"/>
      <c r="X19" s="914"/>
      <c r="Y19" s="914"/>
      <c r="Z19" s="914"/>
      <c r="AA19" s="914"/>
      <c r="AB19" s="914"/>
      <c r="AC19" s="914"/>
    </row>
    <row r="20" spans="1:29" s="1942" customFormat="1" ht="12" customHeight="1">
      <c r="A20" s="842"/>
      <c r="B20" s="852" t="s">
        <v>23</v>
      </c>
      <c r="C20" s="853"/>
      <c r="D20" s="854">
        <f>+D21</f>
        <v>2746499</v>
      </c>
      <c r="E20" s="854">
        <f t="shared" ref="E20:O20" si="29">+E21</f>
        <v>33984</v>
      </c>
      <c r="F20" s="1678">
        <f t="shared" si="29"/>
        <v>0</v>
      </c>
      <c r="G20" s="1678">
        <f t="shared" si="29"/>
        <v>0</v>
      </c>
      <c r="H20" s="1678">
        <f t="shared" si="29"/>
        <v>30110</v>
      </c>
      <c r="I20" s="1722">
        <f t="shared" si="29"/>
        <v>201448</v>
      </c>
      <c r="J20" s="1722">
        <f t="shared" si="29"/>
        <v>189287</v>
      </c>
      <c r="K20" s="1722">
        <f t="shared" si="29"/>
        <v>180383</v>
      </c>
      <c r="L20" s="1722">
        <f t="shared" si="29"/>
        <v>170612</v>
      </c>
      <c r="M20" s="854">
        <f t="shared" si="29"/>
        <v>775714</v>
      </c>
      <c r="N20" s="854">
        <f t="shared" si="29"/>
        <v>103046</v>
      </c>
      <c r="O20" s="854">
        <f t="shared" si="29"/>
        <v>407657</v>
      </c>
      <c r="P20" s="854">
        <f>+P21</f>
        <v>365082</v>
      </c>
      <c r="Q20" s="854">
        <f>+Q21</f>
        <v>330000</v>
      </c>
      <c r="R20" s="854">
        <f>+R21</f>
        <v>330000</v>
      </c>
      <c r="S20" s="854">
        <f t="shared" ref="S20:T20" si="30">+S21</f>
        <v>225000</v>
      </c>
      <c r="T20" s="854">
        <f t="shared" si="30"/>
        <v>210000</v>
      </c>
      <c r="U20" s="2719"/>
      <c r="V20" s="966"/>
      <c r="W20" s="931"/>
      <c r="X20" s="931"/>
      <c r="Y20" s="931"/>
      <c r="Z20" s="931"/>
      <c r="AA20" s="931"/>
      <c r="AB20" s="931"/>
      <c r="AC20" s="931"/>
    </row>
    <row r="21" spans="1:29" s="1944" customFormat="1" ht="12" customHeight="1">
      <c r="A21" s="866"/>
      <c r="B21" s="968" t="s">
        <v>25</v>
      </c>
      <c r="C21" s="972"/>
      <c r="D21" s="861">
        <f>+D32+D98+D43+D54+D60</f>
        <v>2746499</v>
      </c>
      <c r="E21" s="861">
        <f>+E32+E98+E43+E54+E60</f>
        <v>33984</v>
      </c>
      <c r="F21" s="1679">
        <f>+F32+F98+F43</f>
        <v>0</v>
      </c>
      <c r="G21" s="1679">
        <f>+G32+G98+G43</f>
        <v>0</v>
      </c>
      <c r="H21" s="1679">
        <f>+H32+H98+H43</f>
        <v>30110</v>
      </c>
      <c r="I21" s="1723">
        <f t="shared" ref="I21:R21" si="31">+I32+I98+I43+I54+I60</f>
        <v>201448</v>
      </c>
      <c r="J21" s="1723">
        <f t="shared" si="31"/>
        <v>189287</v>
      </c>
      <c r="K21" s="1723">
        <f t="shared" si="31"/>
        <v>180383</v>
      </c>
      <c r="L21" s="1723">
        <f t="shared" si="31"/>
        <v>170612</v>
      </c>
      <c r="M21" s="861">
        <f t="shared" ref="M21" si="32">+M32+M98+M43+M54+M60</f>
        <v>775714</v>
      </c>
      <c r="N21" s="861">
        <f t="shared" si="31"/>
        <v>103046</v>
      </c>
      <c r="O21" s="861">
        <f t="shared" si="31"/>
        <v>407657</v>
      </c>
      <c r="P21" s="861">
        <f t="shared" si="31"/>
        <v>365082</v>
      </c>
      <c r="Q21" s="861">
        <f t="shared" si="31"/>
        <v>330000</v>
      </c>
      <c r="R21" s="861">
        <f t="shared" si="31"/>
        <v>330000</v>
      </c>
      <c r="S21" s="861">
        <f t="shared" ref="S21:T21" si="33">+S32+S98+S43+S54+S60</f>
        <v>225000</v>
      </c>
      <c r="T21" s="861">
        <f t="shared" si="33"/>
        <v>210000</v>
      </c>
      <c r="U21" s="2719"/>
      <c r="V21" s="971"/>
      <c r="W21" s="914"/>
      <c r="X21" s="914"/>
      <c r="Y21" s="914"/>
      <c r="Z21" s="914"/>
      <c r="AA21" s="914"/>
      <c r="AB21" s="914"/>
      <c r="AC21" s="914"/>
    </row>
    <row r="22" spans="1:29" s="1942" customFormat="1" ht="12" customHeight="1">
      <c r="A22" s="842"/>
      <c r="B22" s="863" t="s">
        <v>30</v>
      </c>
      <c r="C22" s="864"/>
      <c r="D22" s="865">
        <f>+D23</f>
        <v>160550902</v>
      </c>
      <c r="E22" s="865">
        <f t="shared" ref="E22:O22" si="34">+E23</f>
        <v>11044001</v>
      </c>
      <c r="F22" s="1680">
        <f t="shared" si="34"/>
        <v>0</v>
      </c>
      <c r="G22" s="1680">
        <f t="shared" si="34"/>
        <v>2563346</v>
      </c>
      <c r="H22" s="1680">
        <f t="shared" si="34"/>
        <v>8480655</v>
      </c>
      <c r="I22" s="1724">
        <f t="shared" si="34"/>
        <v>23575850</v>
      </c>
      <c r="J22" s="1724">
        <f t="shared" si="34"/>
        <v>15162148</v>
      </c>
      <c r="K22" s="1724">
        <f t="shared" si="34"/>
        <v>23390638</v>
      </c>
      <c r="L22" s="1724">
        <f t="shared" si="34"/>
        <v>24845663</v>
      </c>
      <c r="M22" s="865">
        <f t="shared" si="34"/>
        <v>98018300</v>
      </c>
      <c r="N22" s="865">
        <f t="shared" si="34"/>
        <v>22157312</v>
      </c>
      <c r="O22" s="865">
        <f t="shared" si="34"/>
        <v>32101496</v>
      </c>
      <c r="P22" s="865">
        <f>+P23</f>
        <v>2068794</v>
      </c>
      <c r="Q22" s="865">
        <f>+Q23</f>
        <v>1870000</v>
      </c>
      <c r="R22" s="865">
        <f>+R23</f>
        <v>1870000</v>
      </c>
      <c r="S22" s="865">
        <f t="shared" ref="S22:T22" si="35">+S23</f>
        <v>1275000</v>
      </c>
      <c r="T22" s="865">
        <f t="shared" si="35"/>
        <v>1190000</v>
      </c>
      <c r="U22" s="2719"/>
      <c r="V22" s="966"/>
      <c r="W22" s="1920"/>
      <c r="X22" s="1920"/>
      <c r="Y22" s="1920"/>
      <c r="Z22" s="1920"/>
      <c r="AA22" s="1920"/>
      <c r="AB22" s="1920"/>
      <c r="AC22" s="1920"/>
    </row>
    <row r="23" spans="1:29" s="1944" customFormat="1" ht="12" customHeight="1" thickBot="1">
      <c r="A23" s="874"/>
      <c r="B23" s="973" t="s">
        <v>33</v>
      </c>
      <c r="C23" s="875"/>
      <c r="D23" s="876">
        <f>+D34+D79+D100+D109+D89+D45+D56+D67</f>
        <v>160550902</v>
      </c>
      <c r="E23" s="876">
        <f>+E34+E79+E100+E109+E89+E45+E56+E67</f>
        <v>11044001</v>
      </c>
      <c r="F23" s="1682">
        <f>+F34+F79+F100+F109+F89+F45</f>
        <v>0</v>
      </c>
      <c r="G23" s="1682">
        <f>+G34+G79+G100+G109+G89+G45</f>
        <v>2563346</v>
      </c>
      <c r="H23" s="1682">
        <f>+H34+H79+H100+H109+H89+H45</f>
        <v>8480655</v>
      </c>
      <c r="I23" s="1726">
        <f t="shared" ref="I23:R23" si="36">+I34+I79+I100+I109+I89+I45+I56+I67</f>
        <v>23575850</v>
      </c>
      <c r="J23" s="1726">
        <f t="shared" si="36"/>
        <v>15162148</v>
      </c>
      <c r="K23" s="1726">
        <f t="shared" si="36"/>
        <v>23390638</v>
      </c>
      <c r="L23" s="1726">
        <f t="shared" si="36"/>
        <v>24845663</v>
      </c>
      <c r="M23" s="876">
        <f t="shared" ref="M23" si="37">+M34+M79+M100+M109+M89+M45+M56+M67</f>
        <v>98018300</v>
      </c>
      <c r="N23" s="876">
        <f t="shared" si="36"/>
        <v>22157312</v>
      </c>
      <c r="O23" s="876">
        <f t="shared" si="36"/>
        <v>32101496</v>
      </c>
      <c r="P23" s="876">
        <f t="shared" si="36"/>
        <v>2068794</v>
      </c>
      <c r="Q23" s="876">
        <f t="shared" si="36"/>
        <v>1870000</v>
      </c>
      <c r="R23" s="876">
        <f t="shared" si="36"/>
        <v>1870000</v>
      </c>
      <c r="S23" s="876">
        <f t="shared" ref="S23:T23" si="38">+S34+S79+S100+S109+S89+S45+S56+S67</f>
        <v>1275000</v>
      </c>
      <c r="T23" s="876">
        <f t="shared" si="38"/>
        <v>1190000</v>
      </c>
      <c r="U23" s="2720"/>
      <c r="V23" s="974"/>
      <c r="W23" s="914"/>
      <c r="X23" s="914"/>
      <c r="Y23" s="914"/>
      <c r="Z23" s="914"/>
      <c r="AA23" s="914"/>
      <c r="AB23" s="914"/>
      <c r="AC23" s="914"/>
    </row>
    <row r="24" spans="1:29" s="1919" customFormat="1" ht="29.25" customHeight="1">
      <c r="A24" s="2553" t="s">
        <v>82</v>
      </c>
      <c r="B24" s="878" t="s">
        <v>343</v>
      </c>
      <c r="C24" s="879" t="s">
        <v>138</v>
      </c>
      <c r="D24" s="880"/>
      <c r="E24" s="881"/>
      <c r="F24" s="1683"/>
      <c r="G24" s="1683"/>
      <c r="H24" s="1684"/>
      <c r="I24" s="1727"/>
      <c r="J24" s="1727"/>
      <c r="K24" s="1728"/>
      <c r="L24" s="1728"/>
      <c r="M24" s="883"/>
      <c r="N24" s="883"/>
      <c r="O24" s="883"/>
      <c r="P24" s="882"/>
      <c r="Q24" s="883"/>
      <c r="R24" s="883"/>
      <c r="S24" s="883"/>
      <c r="T24" s="883"/>
      <c r="U24" s="975"/>
      <c r="V24" s="2704" t="s">
        <v>232</v>
      </c>
    </row>
    <row r="25" spans="1:29" s="1919" customFormat="1" ht="11.25" customHeight="1">
      <c r="A25" s="2679"/>
      <c r="B25" s="427" t="s">
        <v>22</v>
      </c>
      <c r="C25" s="905"/>
      <c r="D25" s="884">
        <f>+D26+D28</f>
        <v>4131685</v>
      </c>
      <c r="E25" s="884">
        <f t="shared" ref="E25:P25" si="39">+E26+E28</f>
        <v>180054</v>
      </c>
      <c r="F25" s="1685">
        <f t="shared" si="39"/>
        <v>0</v>
      </c>
      <c r="G25" s="1685">
        <f t="shared" si="39"/>
        <v>0</v>
      </c>
      <c r="H25" s="1685">
        <f t="shared" si="39"/>
        <v>180054</v>
      </c>
      <c r="I25" s="1729">
        <f t="shared" si="39"/>
        <v>604146</v>
      </c>
      <c r="J25" s="1729">
        <f t="shared" si="39"/>
        <v>766783</v>
      </c>
      <c r="K25" s="1729">
        <f t="shared" si="39"/>
        <v>851190</v>
      </c>
      <c r="L25" s="1729">
        <f>+L26+L28</f>
        <v>841886</v>
      </c>
      <c r="M25" s="884">
        <f>+M26+M28</f>
        <v>3244059</v>
      </c>
      <c r="N25" s="884">
        <f t="shared" si="39"/>
        <v>309477</v>
      </c>
      <c r="O25" s="884">
        <f t="shared" si="39"/>
        <v>578149</v>
      </c>
      <c r="P25" s="884">
        <f t="shared" si="39"/>
        <v>0</v>
      </c>
      <c r="Q25" s="884">
        <f t="shared" ref="Q25:T25" si="40">+Q26+Q28</f>
        <v>0</v>
      </c>
      <c r="R25" s="884">
        <f t="shared" si="40"/>
        <v>0</v>
      </c>
      <c r="S25" s="884">
        <f t="shared" si="40"/>
        <v>0</v>
      </c>
      <c r="T25" s="884">
        <f t="shared" si="40"/>
        <v>0</v>
      </c>
      <c r="U25" s="976">
        <f>U26+U28</f>
        <v>578149</v>
      </c>
      <c r="V25" s="2705"/>
    </row>
    <row r="26" spans="1:29" s="1945" customFormat="1" ht="12" customHeight="1">
      <c r="A26" s="2679"/>
      <c r="B26" s="886" t="s">
        <v>36</v>
      </c>
      <c r="C26" s="2680" t="s">
        <v>233</v>
      </c>
      <c r="D26" s="887">
        <f>+D27</f>
        <v>619753</v>
      </c>
      <c r="E26" s="887">
        <f t="shared" ref="E26:T26" si="41">+E27</f>
        <v>27008</v>
      </c>
      <c r="F26" s="1686">
        <f t="shared" si="41"/>
        <v>0</v>
      </c>
      <c r="G26" s="1686">
        <f t="shared" si="41"/>
        <v>0</v>
      </c>
      <c r="H26" s="1686">
        <f t="shared" si="41"/>
        <v>27008</v>
      </c>
      <c r="I26" s="1730">
        <f t="shared" si="41"/>
        <v>90621</v>
      </c>
      <c r="J26" s="1730">
        <f t="shared" si="41"/>
        <v>115017</v>
      </c>
      <c r="K26" s="1730">
        <f t="shared" si="41"/>
        <v>127679</v>
      </c>
      <c r="L26" s="1730">
        <f t="shared" si="41"/>
        <v>126283</v>
      </c>
      <c r="M26" s="887">
        <f t="shared" si="41"/>
        <v>486608</v>
      </c>
      <c r="N26" s="887">
        <f t="shared" si="41"/>
        <v>46422</v>
      </c>
      <c r="O26" s="887">
        <f t="shared" si="41"/>
        <v>86723</v>
      </c>
      <c r="P26" s="887">
        <f t="shared" si="41"/>
        <v>0</v>
      </c>
      <c r="Q26" s="887">
        <f t="shared" si="41"/>
        <v>0</v>
      </c>
      <c r="R26" s="887">
        <f t="shared" si="41"/>
        <v>0</v>
      </c>
      <c r="S26" s="887">
        <f t="shared" si="41"/>
        <v>0</v>
      </c>
      <c r="T26" s="887">
        <f t="shared" si="41"/>
        <v>0</v>
      </c>
      <c r="U26" s="888">
        <f>+U27</f>
        <v>86723</v>
      </c>
      <c r="V26" s="2705"/>
    </row>
    <row r="27" spans="1:29" s="1919" customFormat="1" ht="12" customHeight="1">
      <c r="A27" s="2679"/>
      <c r="B27" s="889" t="s">
        <v>25</v>
      </c>
      <c r="C27" s="2623"/>
      <c r="D27" s="890">
        <f>+E27+I27+J27+K27+L27+N27+O27+P27+Q27+R27+S27+T27</f>
        <v>619753</v>
      </c>
      <c r="E27" s="890">
        <v>27008</v>
      </c>
      <c r="F27" s="1687"/>
      <c r="G27" s="1687"/>
      <c r="H27" s="1687">
        <f>30110-3102</f>
        <v>27008</v>
      </c>
      <c r="I27" s="1731">
        <f>129214-I38</f>
        <v>90621</v>
      </c>
      <c r="J27" s="1731">
        <f>151907-3645-11981-20364-900</f>
        <v>115017</v>
      </c>
      <c r="K27" s="1731">
        <f>154638-13255-13704</f>
        <v>127679</v>
      </c>
      <c r="L27" s="1731">
        <f>157372-31089</f>
        <v>126283</v>
      </c>
      <c r="M27" s="890">
        <f>+E27+I27+J27+K27+L27</f>
        <v>486608</v>
      </c>
      <c r="N27" s="890">
        <f>163136-116714</f>
        <v>46422</v>
      </c>
      <c r="O27" s="890">
        <v>86723</v>
      </c>
      <c r="P27" s="891">
        <v>0</v>
      </c>
      <c r="Q27" s="891">
        <v>0</v>
      </c>
      <c r="R27" s="891">
        <v>0</v>
      </c>
      <c r="S27" s="891">
        <v>0</v>
      </c>
      <c r="T27" s="891">
        <v>0</v>
      </c>
      <c r="U27" s="967">
        <f>SUM(O27:T27)</f>
        <v>86723</v>
      </c>
      <c r="V27" s="2705"/>
    </row>
    <row r="28" spans="1:29" s="1919" customFormat="1" ht="12" customHeight="1">
      <c r="A28" s="2679"/>
      <c r="B28" s="574" t="s">
        <v>30</v>
      </c>
      <c r="C28" s="2623"/>
      <c r="D28" s="892">
        <f t="shared" ref="D28:D33" si="42">E28+I28+J28+K28+L28+N28+O28+P28</f>
        <v>3511932</v>
      </c>
      <c r="E28" s="892">
        <f>+F28+G28+H28</f>
        <v>153046</v>
      </c>
      <c r="F28" s="1686">
        <f t="shared" ref="F28:T28" si="43">F29</f>
        <v>0</v>
      </c>
      <c r="G28" s="1686">
        <f t="shared" si="43"/>
        <v>0</v>
      </c>
      <c r="H28" s="1686">
        <f t="shared" si="43"/>
        <v>153046</v>
      </c>
      <c r="I28" s="1730">
        <f t="shared" si="43"/>
        <v>513525</v>
      </c>
      <c r="J28" s="1730">
        <f t="shared" si="43"/>
        <v>651766</v>
      </c>
      <c r="K28" s="1730">
        <f t="shared" si="43"/>
        <v>723511</v>
      </c>
      <c r="L28" s="1730">
        <f t="shared" si="43"/>
        <v>715603</v>
      </c>
      <c r="M28" s="892">
        <f>M29</f>
        <v>2757451</v>
      </c>
      <c r="N28" s="892">
        <f t="shared" si="43"/>
        <v>263055</v>
      </c>
      <c r="O28" s="892">
        <f t="shared" si="43"/>
        <v>491426</v>
      </c>
      <c r="P28" s="892">
        <f t="shared" si="43"/>
        <v>0</v>
      </c>
      <c r="Q28" s="892">
        <f t="shared" si="43"/>
        <v>0</v>
      </c>
      <c r="R28" s="892">
        <f t="shared" si="43"/>
        <v>0</v>
      </c>
      <c r="S28" s="892">
        <f t="shared" si="43"/>
        <v>0</v>
      </c>
      <c r="T28" s="892">
        <f t="shared" si="43"/>
        <v>0</v>
      </c>
      <c r="U28" s="888">
        <f>+U29</f>
        <v>491426</v>
      </c>
      <c r="V28" s="2705"/>
    </row>
    <row r="29" spans="1:29" s="1898" customFormat="1">
      <c r="A29" s="2679"/>
      <c r="B29" s="893" t="s">
        <v>33</v>
      </c>
      <c r="C29" s="2651"/>
      <c r="D29" s="894">
        <f>+E29+I29+J29+K29+L29+N29+O29+P29+Q29+R29+S29+T29</f>
        <v>3511932</v>
      </c>
      <c r="E29" s="895">
        <v>153046</v>
      </c>
      <c r="F29" s="1688"/>
      <c r="G29" s="1688"/>
      <c r="H29" s="1688">
        <f>170621-17575</f>
        <v>153046</v>
      </c>
      <c r="I29" s="1732">
        <f>732217-I40</f>
        <v>513525</v>
      </c>
      <c r="J29" s="1732">
        <f>860807-20655-67897-115389-5100</f>
        <v>651766</v>
      </c>
      <c r="K29" s="1732">
        <f>876279-75110-77658</f>
        <v>723511</v>
      </c>
      <c r="L29" s="1732">
        <f>891773-176170</f>
        <v>715603</v>
      </c>
      <c r="M29" s="895">
        <f>+E29+I29+J29+K29+L29</f>
        <v>2757451</v>
      </c>
      <c r="N29" s="895">
        <f>924435-661380</f>
        <v>263055</v>
      </c>
      <c r="O29" s="895">
        <v>491426</v>
      </c>
      <c r="P29" s="717">
        <v>0</v>
      </c>
      <c r="Q29" s="717">
        <v>0</v>
      </c>
      <c r="R29" s="717">
        <v>0</v>
      </c>
      <c r="S29" s="717">
        <v>0</v>
      </c>
      <c r="T29" s="717">
        <v>0</v>
      </c>
      <c r="U29" s="967">
        <f>SUM(O29:T29)</f>
        <v>491426</v>
      </c>
      <c r="V29" s="2705"/>
    </row>
    <row r="30" spans="1:29" s="1898" customFormat="1" ht="12" customHeight="1">
      <c r="A30" s="2430"/>
      <c r="B30" s="427" t="s">
        <v>34</v>
      </c>
      <c r="C30" s="896"/>
      <c r="D30" s="884">
        <f t="shared" si="42"/>
        <v>4131685</v>
      </c>
      <c r="E30" s="884">
        <f t="shared" ref="E30:P30" si="44">E31+E33</f>
        <v>180054</v>
      </c>
      <c r="F30" s="1685">
        <f t="shared" si="44"/>
        <v>0</v>
      </c>
      <c r="G30" s="1685">
        <f t="shared" si="44"/>
        <v>0</v>
      </c>
      <c r="H30" s="1685">
        <f t="shared" si="44"/>
        <v>180054</v>
      </c>
      <c r="I30" s="1729">
        <f t="shared" si="44"/>
        <v>604146</v>
      </c>
      <c r="J30" s="1729">
        <f t="shared" si="44"/>
        <v>766783</v>
      </c>
      <c r="K30" s="1729">
        <f t="shared" si="44"/>
        <v>851190</v>
      </c>
      <c r="L30" s="1729">
        <f t="shared" si="44"/>
        <v>841886</v>
      </c>
      <c r="M30" s="884">
        <f t="shared" ref="M30" si="45">M31+M33</f>
        <v>3244059</v>
      </c>
      <c r="N30" s="884">
        <f t="shared" si="44"/>
        <v>309477</v>
      </c>
      <c r="O30" s="884">
        <f t="shared" si="44"/>
        <v>578149</v>
      </c>
      <c r="P30" s="884">
        <f t="shared" si="44"/>
        <v>0</v>
      </c>
      <c r="Q30" s="884">
        <f t="shared" ref="Q30:T30" si="46">Q31+Q33</f>
        <v>0</v>
      </c>
      <c r="R30" s="884">
        <f t="shared" si="46"/>
        <v>0</v>
      </c>
      <c r="S30" s="884">
        <f t="shared" si="46"/>
        <v>0</v>
      </c>
      <c r="T30" s="884">
        <f t="shared" si="46"/>
        <v>0</v>
      </c>
      <c r="U30" s="2707" t="s">
        <v>77</v>
      </c>
      <c r="V30" s="2705"/>
    </row>
    <row r="31" spans="1:29" s="1945" customFormat="1" ht="11.25" customHeight="1">
      <c r="A31" s="2430"/>
      <c r="B31" s="898" t="s">
        <v>36</v>
      </c>
      <c r="C31" s="2680" t="s">
        <v>233</v>
      </c>
      <c r="D31" s="887">
        <f t="shared" si="42"/>
        <v>619753</v>
      </c>
      <c r="E31" s="887">
        <f t="shared" ref="E31:T31" si="47">E32</f>
        <v>27008</v>
      </c>
      <c r="F31" s="1686">
        <f t="shared" si="47"/>
        <v>0</v>
      </c>
      <c r="G31" s="1686">
        <f t="shared" si="47"/>
        <v>0</v>
      </c>
      <c r="H31" s="1686">
        <f t="shared" si="47"/>
        <v>27008</v>
      </c>
      <c r="I31" s="1730">
        <f t="shared" si="47"/>
        <v>90621</v>
      </c>
      <c r="J31" s="1730">
        <f t="shared" si="47"/>
        <v>115017</v>
      </c>
      <c r="K31" s="1730">
        <f t="shared" si="47"/>
        <v>127679</v>
      </c>
      <c r="L31" s="1730">
        <f t="shared" si="47"/>
        <v>126283</v>
      </c>
      <c r="M31" s="887">
        <f t="shared" si="47"/>
        <v>486608</v>
      </c>
      <c r="N31" s="887">
        <f t="shared" si="47"/>
        <v>46422</v>
      </c>
      <c r="O31" s="887">
        <f t="shared" si="47"/>
        <v>86723</v>
      </c>
      <c r="P31" s="887">
        <f t="shared" si="47"/>
        <v>0</v>
      </c>
      <c r="Q31" s="887">
        <f t="shared" si="47"/>
        <v>0</v>
      </c>
      <c r="R31" s="887">
        <f t="shared" si="47"/>
        <v>0</v>
      </c>
      <c r="S31" s="887">
        <f t="shared" si="47"/>
        <v>0</v>
      </c>
      <c r="T31" s="887">
        <f t="shared" si="47"/>
        <v>0</v>
      </c>
      <c r="U31" s="2708"/>
      <c r="V31" s="2705"/>
    </row>
    <row r="32" spans="1:29" s="1919" customFormat="1" ht="12.75" customHeight="1">
      <c r="A32" s="2430"/>
      <c r="B32" s="899" t="s">
        <v>25</v>
      </c>
      <c r="C32" s="2623"/>
      <c r="D32" s="890">
        <f>+E32+I32+J32+K32+L32+N32+O32+P32+Q32+R32+S32+T32</f>
        <v>619753</v>
      </c>
      <c r="E32" s="900">
        <v>27008</v>
      </c>
      <c r="F32" s="1689"/>
      <c r="G32" s="1689"/>
      <c r="H32" s="1689">
        <f>30110-3102</f>
        <v>27008</v>
      </c>
      <c r="I32" s="1733">
        <f>129214-I43</f>
        <v>90621</v>
      </c>
      <c r="J32" s="1733">
        <f>151907-3645-11981-20364-900</f>
        <v>115017</v>
      </c>
      <c r="K32" s="1733">
        <f>154638-13255-13704</f>
        <v>127679</v>
      </c>
      <c r="L32" s="1733">
        <f>157372-31089</f>
        <v>126283</v>
      </c>
      <c r="M32" s="900">
        <f>+E32+I32+J32+K32+L32</f>
        <v>486608</v>
      </c>
      <c r="N32" s="900">
        <f>163136-116714</f>
        <v>46422</v>
      </c>
      <c r="O32" s="900">
        <v>86723</v>
      </c>
      <c r="P32" s="900">
        <v>0</v>
      </c>
      <c r="Q32" s="900">
        <v>0</v>
      </c>
      <c r="R32" s="900">
        <v>0</v>
      </c>
      <c r="S32" s="900">
        <v>0</v>
      </c>
      <c r="T32" s="900">
        <v>0</v>
      </c>
      <c r="U32" s="2708"/>
      <c r="V32" s="2705"/>
    </row>
    <row r="33" spans="1:22" s="1898" customFormat="1" ht="12.75" customHeight="1">
      <c r="A33" s="2430"/>
      <c r="B33" s="901" t="s">
        <v>30</v>
      </c>
      <c r="C33" s="2623"/>
      <c r="D33" s="892">
        <f t="shared" si="42"/>
        <v>3511932</v>
      </c>
      <c r="E33" s="892">
        <f t="shared" ref="E33:T33" si="48">E34</f>
        <v>153046</v>
      </c>
      <c r="F33" s="1686">
        <f t="shared" si="48"/>
        <v>0</v>
      </c>
      <c r="G33" s="1686">
        <f t="shared" si="48"/>
        <v>0</v>
      </c>
      <c r="H33" s="1686">
        <f t="shared" si="48"/>
        <v>153046</v>
      </c>
      <c r="I33" s="1730">
        <f t="shared" si="48"/>
        <v>513525</v>
      </c>
      <c r="J33" s="1730">
        <f t="shared" si="48"/>
        <v>651766</v>
      </c>
      <c r="K33" s="1730">
        <f t="shared" si="48"/>
        <v>723511</v>
      </c>
      <c r="L33" s="1730">
        <f t="shared" si="48"/>
        <v>715603</v>
      </c>
      <c r="M33" s="892">
        <f t="shared" si="48"/>
        <v>2757451</v>
      </c>
      <c r="N33" s="892">
        <f t="shared" si="48"/>
        <v>263055</v>
      </c>
      <c r="O33" s="892">
        <f t="shared" si="48"/>
        <v>491426</v>
      </c>
      <c r="P33" s="892">
        <f t="shared" si="48"/>
        <v>0</v>
      </c>
      <c r="Q33" s="892">
        <f t="shared" si="48"/>
        <v>0</v>
      </c>
      <c r="R33" s="892">
        <f t="shared" si="48"/>
        <v>0</v>
      </c>
      <c r="S33" s="892">
        <f t="shared" si="48"/>
        <v>0</v>
      </c>
      <c r="T33" s="892">
        <f t="shared" si="48"/>
        <v>0</v>
      </c>
      <c r="U33" s="2708"/>
      <c r="V33" s="2705"/>
    </row>
    <row r="34" spans="1:22" s="1898" customFormat="1" ht="12" customHeight="1" thickBot="1">
      <c r="A34" s="2431"/>
      <c r="B34" s="977" t="s">
        <v>33</v>
      </c>
      <c r="C34" s="2665"/>
      <c r="D34" s="903">
        <f>+E34+I34+J34+K34+L34+N34+O34+P34+Q34+R34+S34+T34</f>
        <v>3511932</v>
      </c>
      <c r="E34" s="904">
        <v>153046</v>
      </c>
      <c r="F34" s="1690"/>
      <c r="G34" s="1690"/>
      <c r="H34" s="1690">
        <f>170621-17575</f>
        <v>153046</v>
      </c>
      <c r="I34" s="1734">
        <f>732217-I45</f>
        <v>513525</v>
      </c>
      <c r="J34" s="1734">
        <f>860807-20655-67897-115389-5100</f>
        <v>651766</v>
      </c>
      <c r="K34" s="1734">
        <f>876279-75110-77658</f>
        <v>723511</v>
      </c>
      <c r="L34" s="1734">
        <f>891773-176170</f>
        <v>715603</v>
      </c>
      <c r="M34" s="904">
        <f>+E34+I34+J34+K34+L34</f>
        <v>2757451</v>
      </c>
      <c r="N34" s="904">
        <f>924435-661380</f>
        <v>263055</v>
      </c>
      <c r="O34" s="904">
        <v>491426</v>
      </c>
      <c r="P34" s="904">
        <v>0</v>
      </c>
      <c r="Q34" s="904">
        <v>0</v>
      </c>
      <c r="R34" s="904">
        <v>0</v>
      </c>
      <c r="S34" s="904">
        <v>0</v>
      </c>
      <c r="T34" s="904">
        <v>0</v>
      </c>
      <c r="U34" s="2709"/>
      <c r="V34" s="2706"/>
    </row>
    <row r="35" spans="1:22" s="1898" customFormat="1" ht="36.75" customHeight="1">
      <c r="A35" s="2553" t="s">
        <v>83</v>
      </c>
      <c r="B35" s="878" t="s">
        <v>234</v>
      </c>
      <c r="C35" s="879" t="s">
        <v>102</v>
      </c>
      <c r="D35" s="880"/>
      <c r="E35" s="881"/>
      <c r="F35" s="1683"/>
      <c r="G35" s="1683"/>
      <c r="H35" s="1684"/>
      <c r="I35" s="1727"/>
      <c r="J35" s="1727"/>
      <c r="K35" s="1728"/>
      <c r="L35" s="1728"/>
      <c r="M35" s="883"/>
      <c r="N35" s="883"/>
      <c r="O35" s="883"/>
      <c r="P35" s="882"/>
      <c r="Q35" s="883"/>
      <c r="R35" s="883"/>
      <c r="S35" s="883"/>
      <c r="T35" s="883"/>
      <c r="U35" s="975"/>
      <c r="V35" s="2704" t="s">
        <v>232</v>
      </c>
    </row>
    <row r="36" spans="1:22" s="1898" customFormat="1" ht="12" customHeight="1">
      <c r="A36" s="2679"/>
      <c r="B36" s="427" t="s">
        <v>22</v>
      </c>
      <c r="C36" s="905"/>
      <c r="D36" s="884">
        <f>+D37+D39</f>
        <v>283962</v>
      </c>
      <c r="E36" s="884">
        <f t="shared" ref="E36:P36" si="49">+E37+E39</f>
        <v>20677</v>
      </c>
      <c r="F36" s="1685">
        <f t="shared" si="49"/>
        <v>0</v>
      </c>
      <c r="G36" s="1685">
        <f t="shared" si="49"/>
        <v>0</v>
      </c>
      <c r="H36" s="1685">
        <f t="shared" si="49"/>
        <v>20677</v>
      </c>
      <c r="I36" s="1729">
        <f t="shared" si="49"/>
        <v>257285</v>
      </c>
      <c r="J36" s="1729">
        <f t="shared" si="49"/>
        <v>6000</v>
      </c>
      <c r="K36" s="1729">
        <f t="shared" si="49"/>
        <v>0</v>
      </c>
      <c r="L36" s="1729">
        <f t="shared" si="49"/>
        <v>0</v>
      </c>
      <c r="M36" s="884">
        <f>+M37+M39</f>
        <v>283962</v>
      </c>
      <c r="N36" s="884">
        <f>+N37+N39</f>
        <v>0</v>
      </c>
      <c r="O36" s="884">
        <f t="shared" si="49"/>
        <v>0</v>
      </c>
      <c r="P36" s="884">
        <f t="shared" si="49"/>
        <v>0</v>
      </c>
      <c r="Q36" s="884">
        <f t="shared" ref="Q36:T36" si="50">+Q37+Q39</f>
        <v>0</v>
      </c>
      <c r="R36" s="884">
        <f t="shared" si="50"/>
        <v>0</v>
      </c>
      <c r="S36" s="884">
        <f t="shared" si="50"/>
        <v>0</v>
      </c>
      <c r="T36" s="884">
        <f t="shared" si="50"/>
        <v>0</v>
      </c>
      <c r="U36" s="976">
        <f>U37+U39</f>
        <v>0</v>
      </c>
      <c r="V36" s="2705"/>
    </row>
    <row r="37" spans="1:22" s="1898" customFormat="1" ht="12" customHeight="1">
      <c r="A37" s="2679"/>
      <c r="B37" s="886" t="s">
        <v>36</v>
      </c>
      <c r="C37" s="2680" t="s">
        <v>233</v>
      </c>
      <c r="D37" s="887">
        <f>+D38</f>
        <v>42595</v>
      </c>
      <c r="E37" s="887">
        <f t="shared" ref="E37:S37" si="51">+E38</f>
        <v>3102</v>
      </c>
      <c r="F37" s="1686">
        <f t="shared" si="51"/>
        <v>0</v>
      </c>
      <c r="G37" s="1686">
        <f t="shared" si="51"/>
        <v>0</v>
      </c>
      <c r="H37" s="1686">
        <f t="shared" si="51"/>
        <v>3102</v>
      </c>
      <c r="I37" s="1730">
        <f t="shared" si="51"/>
        <v>38593</v>
      </c>
      <c r="J37" s="1730">
        <f t="shared" si="51"/>
        <v>900</v>
      </c>
      <c r="K37" s="1730">
        <f t="shared" si="51"/>
        <v>0</v>
      </c>
      <c r="L37" s="1730">
        <f t="shared" si="51"/>
        <v>0</v>
      </c>
      <c r="M37" s="887">
        <f t="shared" si="51"/>
        <v>42595</v>
      </c>
      <c r="N37" s="887">
        <f t="shared" si="51"/>
        <v>0</v>
      </c>
      <c r="O37" s="887">
        <f t="shared" si="51"/>
        <v>0</v>
      </c>
      <c r="P37" s="887">
        <f t="shared" si="51"/>
        <v>0</v>
      </c>
      <c r="Q37" s="887">
        <f t="shared" si="51"/>
        <v>0</v>
      </c>
      <c r="R37" s="887">
        <f t="shared" si="51"/>
        <v>0</v>
      </c>
      <c r="S37" s="887">
        <f t="shared" si="51"/>
        <v>0</v>
      </c>
      <c r="T37" s="887">
        <f>+T38</f>
        <v>0</v>
      </c>
      <c r="U37" s="888">
        <f>+U38</f>
        <v>0</v>
      </c>
      <c r="V37" s="2705"/>
    </row>
    <row r="38" spans="1:22" s="1898" customFormat="1" ht="12" customHeight="1">
      <c r="A38" s="2679"/>
      <c r="B38" s="889" t="s">
        <v>25</v>
      </c>
      <c r="C38" s="2623"/>
      <c r="D38" s="890">
        <f>+E38+I38+J38+K38+L38+N38+O38+P38+Q38+R38+S38+T38</f>
        <v>42595</v>
      </c>
      <c r="E38" s="890">
        <v>3102</v>
      </c>
      <c r="F38" s="1687"/>
      <c r="G38" s="1687"/>
      <c r="H38" s="1687">
        <v>3102</v>
      </c>
      <c r="I38" s="1731">
        <v>38593</v>
      </c>
      <c r="J38" s="1731">
        <v>900</v>
      </c>
      <c r="K38" s="1731">
        <v>0</v>
      </c>
      <c r="L38" s="1731">
        <v>0</v>
      </c>
      <c r="M38" s="890">
        <f>+E38+I38+J38+K38+L38</f>
        <v>42595</v>
      </c>
      <c r="N38" s="890">
        <v>0</v>
      </c>
      <c r="O38" s="890">
        <v>0</v>
      </c>
      <c r="P38" s="891">
        <v>0</v>
      </c>
      <c r="Q38" s="891">
        <v>0</v>
      </c>
      <c r="R38" s="891">
        <v>0</v>
      </c>
      <c r="S38" s="891">
        <v>0</v>
      </c>
      <c r="T38" s="891">
        <v>0</v>
      </c>
      <c r="U38" s="967">
        <f>SUM(O38:T38)</f>
        <v>0</v>
      </c>
      <c r="V38" s="2705"/>
    </row>
    <row r="39" spans="1:22" s="1898" customFormat="1" ht="12" customHeight="1">
      <c r="A39" s="2679"/>
      <c r="B39" s="574" t="s">
        <v>30</v>
      </c>
      <c r="C39" s="2623"/>
      <c r="D39" s="892">
        <f>E39+I39+J39+K39+L39+N39+O39+P39</f>
        <v>241367</v>
      </c>
      <c r="E39" s="892">
        <f t="shared" ref="E39:T39" si="52">E40</f>
        <v>17575</v>
      </c>
      <c r="F39" s="1686">
        <f t="shared" si="52"/>
        <v>0</v>
      </c>
      <c r="G39" s="1686">
        <f t="shared" si="52"/>
        <v>0</v>
      </c>
      <c r="H39" s="1686">
        <f t="shared" si="52"/>
        <v>17575</v>
      </c>
      <c r="I39" s="1730">
        <f t="shared" si="52"/>
        <v>218692</v>
      </c>
      <c r="J39" s="1730">
        <f t="shared" si="52"/>
        <v>5100</v>
      </c>
      <c r="K39" s="1730">
        <f t="shared" si="52"/>
        <v>0</v>
      </c>
      <c r="L39" s="1730">
        <f t="shared" si="52"/>
        <v>0</v>
      </c>
      <c r="M39" s="892">
        <f>M40</f>
        <v>241367</v>
      </c>
      <c r="N39" s="892">
        <f>N40</f>
        <v>0</v>
      </c>
      <c r="O39" s="892">
        <f t="shared" si="52"/>
        <v>0</v>
      </c>
      <c r="P39" s="892">
        <f t="shared" si="52"/>
        <v>0</v>
      </c>
      <c r="Q39" s="892">
        <f t="shared" si="52"/>
        <v>0</v>
      </c>
      <c r="R39" s="892">
        <f t="shared" si="52"/>
        <v>0</v>
      </c>
      <c r="S39" s="892">
        <f t="shared" si="52"/>
        <v>0</v>
      </c>
      <c r="T39" s="892">
        <f t="shared" si="52"/>
        <v>0</v>
      </c>
      <c r="U39" s="888">
        <f>+U40</f>
        <v>0</v>
      </c>
      <c r="V39" s="2705"/>
    </row>
    <row r="40" spans="1:22" s="1898" customFormat="1" ht="12" customHeight="1">
      <c r="A40" s="2679"/>
      <c r="B40" s="893" t="s">
        <v>33</v>
      </c>
      <c r="C40" s="2651"/>
      <c r="D40" s="894">
        <f>+E40+I40+J40+K40+L40+N40+O40+P40+Q40+R40+S40+T40</f>
        <v>241367</v>
      </c>
      <c r="E40" s="890">
        <v>17575</v>
      </c>
      <c r="F40" s="1688"/>
      <c r="G40" s="1688"/>
      <c r="H40" s="1688">
        <v>17575</v>
      </c>
      <c r="I40" s="1732">
        <v>218692</v>
      </c>
      <c r="J40" s="1732">
        <v>5100</v>
      </c>
      <c r="K40" s="1732">
        <v>0</v>
      </c>
      <c r="L40" s="1732">
        <v>0</v>
      </c>
      <c r="M40" s="895">
        <f>+E40+I40+J40+K40+L40</f>
        <v>241367</v>
      </c>
      <c r="N40" s="895">
        <v>0</v>
      </c>
      <c r="O40" s="895">
        <v>0</v>
      </c>
      <c r="P40" s="717">
        <v>0</v>
      </c>
      <c r="Q40" s="717">
        <v>0</v>
      </c>
      <c r="R40" s="717">
        <v>0</v>
      </c>
      <c r="S40" s="717">
        <v>0</v>
      </c>
      <c r="T40" s="717">
        <v>0</v>
      </c>
      <c r="U40" s="967">
        <f>SUM(O40:T40)</f>
        <v>0</v>
      </c>
      <c r="V40" s="2705"/>
    </row>
    <row r="41" spans="1:22" s="1898" customFormat="1" ht="12" customHeight="1">
      <c r="A41" s="2430"/>
      <c r="B41" s="427" t="s">
        <v>34</v>
      </c>
      <c r="C41" s="896"/>
      <c r="D41" s="884">
        <f t="shared" ref="D41:D44" si="53">E41+I41+J41+K41+L41+N41+O41+P41</f>
        <v>283962</v>
      </c>
      <c r="E41" s="884">
        <f t="shared" ref="E41:P41" si="54">E42+E44</f>
        <v>20677</v>
      </c>
      <c r="F41" s="1685">
        <f t="shared" si="54"/>
        <v>0</v>
      </c>
      <c r="G41" s="1685">
        <f t="shared" si="54"/>
        <v>0</v>
      </c>
      <c r="H41" s="1685">
        <f t="shared" si="54"/>
        <v>20677</v>
      </c>
      <c r="I41" s="1729">
        <f t="shared" si="54"/>
        <v>257285</v>
      </c>
      <c r="J41" s="1729">
        <f t="shared" si="54"/>
        <v>6000</v>
      </c>
      <c r="K41" s="1729">
        <f t="shared" si="54"/>
        <v>0</v>
      </c>
      <c r="L41" s="1729">
        <f t="shared" si="54"/>
        <v>0</v>
      </c>
      <c r="M41" s="884">
        <f t="shared" ref="M41" si="55">M42+M44</f>
        <v>283962</v>
      </c>
      <c r="N41" s="884">
        <f t="shared" si="54"/>
        <v>0</v>
      </c>
      <c r="O41" s="884">
        <f t="shared" si="54"/>
        <v>0</v>
      </c>
      <c r="P41" s="884">
        <f t="shared" si="54"/>
        <v>0</v>
      </c>
      <c r="Q41" s="884">
        <f t="shared" ref="Q41:T41" si="56">Q42+Q44</f>
        <v>0</v>
      </c>
      <c r="R41" s="884">
        <f t="shared" si="56"/>
        <v>0</v>
      </c>
      <c r="S41" s="884">
        <f t="shared" si="56"/>
        <v>0</v>
      </c>
      <c r="T41" s="884">
        <f t="shared" si="56"/>
        <v>0</v>
      </c>
      <c r="U41" s="978"/>
      <c r="V41" s="2705"/>
    </row>
    <row r="42" spans="1:22" s="1898" customFormat="1" ht="12" customHeight="1">
      <c r="A42" s="2430"/>
      <c r="B42" s="898" t="s">
        <v>36</v>
      </c>
      <c r="C42" s="2680" t="s">
        <v>233</v>
      </c>
      <c r="D42" s="887">
        <f t="shared" si="53"/>
        <v>42595</v>
      </c>
      <c r="E42" s="887">
        <f t="shared" ref="E42:T42" si="57">E43</f>
        <v>3102</v>
      </c>
      <c r="F42" s="1686">
        <f t="shared" si="57"/>
        <v>0</v>
      </c>
      <c r="G42" s="1686">
        <f t="shared" si="57"/>
        <v>0</v>
      </c>
      <c r="H42" s="1686">
        <f t="shared" si="57"/>
        <v>3102</v>
      </c>
      <c r="I42" s="1730">
        <f t="shared" si="57"/>
        <v>38593</v>
      </c>
      <c r="J42" s="1730">
        <f t="shared" si="57"/>
        <v>900</v>
      </c>
      <c r="K42" s="1730">
        <f t="shared" si="57"/>
        <v>0</v>
      </c>
      <c r="L42" s="1730">
        <f t="shared" si="57"/>
        <v>0</v>
      </c>
      <c r="M42" s="887">
        <f t="shared" si="57"/>
        <v>42595</v>
      </c>
      <c r="N42" s="887">
        <f t="shared" si="57"/>
        <v>0</v>
      </c>
      <c r="O42" s="887">
        <f t="shared" si="57"/>
        <v>0</v>
      </c>
      <c r="P42" s="887">
        <f t="shared" si="57"/>
        <v>0</v>
      </c>
      <c r="Q42" s="887">
        <f t="shared" si="57"/>
        <v>0</v>
      </c>
      <c r="R42" s="887">
        <f t="shared" si="57"/>
        <v>0</v>
      </c>
      <c r="S42" s="887">
        <f t="shared" si="57"/>
        <v>0</v>
      </c>
      <c r="T42" s="887">
        <f t="shared" si="57"/>
        <v>0</v>
      </c>
      <c r="U42" s="978"/>
      <c r="V42" s="2705"/>
    </row>
    <row r="43" spans="1:22" s="1898" customFormat="1" ht="12" customHeight="1">
      <c r="A43" s="2430"/>
      <c r="B43" s="899" t="s">
        <v>25</v>
      </c>
      <c r="C43" s="2623"/>
      <c r="D43" s="890">
        <f>+E43+I43+J43+K43+L43+N43+O43+P43+Q43+R43+S43+T43</f>
        <v>42595</v>
      </c>
      <c r="E43" s="890">
        <v>3102</v>
      </c>
      <c r="F43" s="1689"/>
      <c r="G43" s="1689"/>
      <c r="H43" s="1689">
        <v>3102</v>
      </c>
      <c r="I43" s="1733">
        <v>38593</v>
      </c>
      <c r="J43" s="1733">
        <v>900</v>
      </c>
      <c r="K43" s="1733">
        <v>0</v>
      </c>
      <c r="L43" s="1733">
        <v>0</v>
      </c>
      <c r="M43" s="900">
        <f>+E43+I43+J43+K43+L43</f>
        <v>42595</v>
      </c>
      <c r="N43" s="900">
        <v>0</v>
      </c>
      <c r="O43" s="900">
        <v>0</v>
      </c>
      <c r="P43" s="900">
        <v>0</v>
      </c>
      <c r="Q43" s="900">
        <v>0</v>
      </c>
      <c r="R43" s="900">
        <v>0</v>
      </c>
      <c r="S43" s="900">
        <v>0</v>
      </c>
      <c r="T43" s="900">
        <v>0</v>
      </c>
      <c r="U43" s="978"/>
      <c r="V43" s="2705"/>
    </row>
    <row r="44" spans="1:22" s="1898" customFormat="1" ht="12" customHeight="1">
      <c r="A44" s="2430"/>
      <c r="B44" s="901" t="s">
        <v>30</v>
      </c>
      <c r="C44" s="2623"/>
      <c r="D44" s="892">
        <f t="shared" si="53"/>
        <v>241367</v>
      </c>
      <c r="E44" s="892">
        <f t="shared" ref="E44:T44" si="58">E45</f>
        <v>17575</v>
      </c>
      <c r="F44" s="1686">
        <f t="shared" si="58"/>
        <v>0</v>
      </c>
      <c r="G44" s="1686">
        <f t="shared" si="58"/>
        <v>0</v>
      </c>
      <c r="H44" s="1686">
        <f t="shared" si="58"/>
        <v>17575</v>
      </c>
      <c r="I44" s="1730">
        <f t="shared" si="58"/>
        <v>218692</v>
      </c>
      <c r="J44" s="1730">
        <f t="shared" si="58"/>
        <v>5100</v>
      </c>
      <c r="K44" s="1730">
        <f t="shared" si="58"/>
        <v>0</v>
      </c>
      <c r="L44" s="1730">
        <f t="shared" si="58"/>
        <v>0</v>
      </c>
      <c r="M44" s="892">
        <f t="shared" si="58"/>
        <v>241367</v>
      </c>
      <c r="N44" s="892">
        <f t="shared" si="58"/>
        <v>0</v>
      </c>
      <c r="O44" s="892">
        <f t="shared" si="58"/>
        <v>0</v>
      </c>
      <c r="P44" s="892">
        <f t="shared" si="58"/>
        <v>0</v>
      </c>
      <c r="Q44" s="892">
        <f t="shared" si="58"/>
        <v>0</v>
      </c>
      <c r="R44" s="892">
        <f t="shared" si="58"/>
        <v>0</v>
      </c>
      <c r="S44" s="892">
        <f t="shared" si="58"/>
        <v>0</v>
      </c>
      <c r="T44" s="892">
        <f t="shared" si="58"/>
        <v>0</v>
      </c>
      <c r="U44" s="978"/>
      <c r="V44" s="2705"/>
    </row>
    <row r="45" spans="1:22" s="1898" customFormat="1" ht="12" customHeight="1" thickBot="1">
      <c r="A45" s="2431"/>
      <c r="B45" s="977" t="s">
        <v>33</v>
      </c>
      <c r="C45" s="2665"/>
      <c r="D45" s="903">
        <f>+E45+I45+J45+K45+L45+N45+O45+P45+Q45+R45+S45+T45</f>
        <v>241367</v>
      </c>
      <c r="E45" s="903">
        <v>17575</v>
      </c>
      <c r="F45" s="1690"/>
      <c r="G45" s="1690"/>
      <c r="H45" s="1690">
        <v>17575</v>
      </c>
      <c r="I45" s="1734">
        <v>218692</v>
      </c>
      <c r="J45" s="1734">
        <v>5100</v>
      </c>
      <c r="K45" s="1734">
        <v>0</v>
      </c>
      <c r="L45" s="1734">
        <v>0</v>
      </c>
      <c r="M45" s="904">
        <f>+E45+I45+J45+K45+L45</f>
        <v>241367</v>
      </c>
      <c r="N45" s="904">
        <v>0</v>
      </c>
      <c r="O45" s="904">
        <v>0</v>
      </c>
      <c r="P45" s="904">
        <v>0</v>
      </c>
      <c r="Q45" s="904">
        <v>0</v>
      </c>
      <c r="R45" s="904">
        <v>0</v>
      </c>
      <c r="S45" s="904">
        <v>0</v>
      </c>
      <c r="T45" s="904">
        <v>0</v>
      </c>
      <c r="U45" s="979"/>
      <c r="V45" s="2706"/>
    </row>
    <row r="46" spans="1:22" s="1898" customFormat="1" ht="38.25" customHeight="1">
      <c r="A46" s="2553" t="s">
        <v>84</v>
      </c>
      <c r="B46" s="878" t="s">
        <v>340</v>
      </c>
      <c r="C46" s="879" t="s">
        <v>138</v>
      </c>
      <c r="D46" s="880"/>
      <c r="E46" s="881"/>
      <c r="F46" s="1683"/>
      <c r="G46" s="1683"/>
      <c r="H46" s="1684"/>
      <c r="I46" s="1727"/>
      <c r="J46" s="1727"/>
      <c r="K46" s="1728"/>
      <c r="L46" s="1728"/>
      <c r="M46" s="883"/>
      <c r="N46" s="883"/>
      <c r="O46" s="883"/>
      <c r="P46" s="882"/>
      <c r="Q46" s="883"/>
      <c r="R46" s="883"/>
      <c r="S46" s="883"/>
      <c r="T46" s="883"/>
      <c r="U46" s="975"/>
      <c r="V46" s="2704" t="s">
        <v>232</v>
      </c>
    </row>
    <row r="47" spans="1:22" s="1898" customFormat="1" ht="12" customHeight="1">
      <c r="A47" s="2679"/>
      <c r="B47" s="427" t="s">
        <v>22</v>
      </c>
      <c r="C47" s="905"/>
      <c r="D47" s="884">
        <f>+D48+D50</f>
        <v>11452000</v>
      </c>
      <c r="E47" s="884">
        <f t="shared" ref="E47:P47" si="59">+E48+E50</f>
        <v>0</v>
      </c>
      <c r="F47" s="1685">
        <f t="shared" si="59"/>
        <v>0</v>
      </c>
      <c r="G47" s="1685">
        <f t="shared" si="59"/>
        <v>0</v>
      </c>
      <c r="H47" s="1685">
        <f t="shared" si="59"/>
        <v>0</v>
      </c>
      <c r="I47" s="1729">
        <f t="shared" si="59"/>
        <v>0</v>
      </c>
      <c r="J47" s="1729">
        <f t="shared" si="59"/>
        <v>0</v>
      </c>
      <c r="K47" s="1729">
        <f t="shared" si="59"/>
        <v>0</v>
      </c>
      <c r="L47" s="1729">
        <f t="shared" si="59"/>
        <v>0</v>
      </c>
      <c r="M47" s="884">
        <f t="shared" ref="M47" si="60">+M48+M50</f>
        <v>0</v>
      </c>
      <c r="N47" s="884">
        <f t="shared" si="59"/>
        <v>0</v>
      </c>
      <c r="O47" s="884">
        <f t="shared" si="59"/>
        <v>1852000</v>
      </c>
      <c r="P47" s="884">
        <f t="shared" si="59"/>
        <v>2300000</v>
      </c>
      <c r="Q47" s="884">
        <f t="shared" ref="Q47:R47" si="61">+Q48+Q50</f>
        <v>2200000</v>
      </c>
      <c r="R47" s="884">
        <f t="shared" si="61"/>
        <v>2200000</v>
      </c>
      <c r="S47" s="884">
        <f t="shared" ref="S47:T47" si="62">+S48+S50</f>
        <v>1500000</v>
      </c>
      <c r="T47" s="884">
        <f t="shared" si="62"/>
        <v>1400000</v>
      </c>
      <c r="U47" s="976">
        <f>U48+U50</f>
        <v>11452000</v>
      </c>
      <c r="V47" s="2705"/>
    </row>
    <row r="48" spans="1:22" s="1898" customFormat="1" ht="12" customHeight="1">
      <c r="A48" s="2679"/>
      <c r="B48" s="886" t="s">
        <v>36</v>
      </c>
      <c r="C48" s="2680" t="s">
        <v>313</v>
      </c>
      <c r="D48" s="887">
        <f>+D49</f>
        <v>1717800</v>
      </c>
      <c r="E48" s="887">
        <f t="shared" ref="E48:T48" si="63">+E49</f>
        <v>0</v>
      </c>
      <c r="F48" s="1686">
        <f t="shared" si="63"/>
        <v>0</v>
      </c>
      <c r="G48" s="1686">
        <f t="shared" si="63"/>
        <v>0</v>
      </c>
      <c r="H48" s="1686">
        <f t="shared" si="63"/>
        <v>0</v>
      </c>
      <c r="I48" s="1730">
        <f t="shared" si="63"/>
        <v>0</v>
      </c>
      <c r="J48" s="1730">
        <f t="shared" si="63"/>
        <v>0</v>
      </c>
      <c r="K48" s="1730">
        <f t="shared" si="63"/>
        <v>0</v>
      </c>
      <c r="L48" s="1730">
        <f t="shared" si="63"/>
        <v>0</v>
      </c>
      <c r="M48" s="887">
        <f t="shared" si="63"/>
        <v>0</v>
      </c>
      <c r="N48" s="887">
        <f t="shared" si="63"/>
        <v>0</v>
      </c>
      <c r="O48" s="887">
        <f t="shared" si="63"/>
        <v>277800</v>
      </c>
      <c r="P48" s="887">
        <f t="shared" si="63"/>
        <v>345000</v>
      </c>
      <c r="Q48" s="887">
        <f t="shared" si="63"/>
        <v>330000</v>
      </c>
      <c r="R48" s="887">
        <f t="shared" si="63"/>
        <v>330000</v>
      </c>
      <c r="S48" s="887">
        <f t="shared" si="63"/>
        <v>225000</v>
      </c>
      <c r="T48" s="887">
        <f t="shared" si="63"/>
        <v>210000</v>
      </c>
      <c r="U48" s="888">
        <f>+U49</f>
        <v>1717800</v>
      </c>
      <c r="V48" s="2705"/>
    </row>
    <row r="49" spans="1:22" s="1898" customFormat="1" ht="12" customHeight="1">
      <c r="A49" s="2679"/>
      <c r="B49" s="889" t="s">
        <v>25</v>
      </c>
      <c r="C49" s="2623"/>
      <c r="D49" s="890">
        <f>+E49+I49+J49+K49+L49+N49+O49+P49+Q49+R49+S49+T49</f>
        <v>1717800</v>
      </c>
      <c r="E49" s="890">
        <v>0</v>
      </c>
      <c r="F49" s="1687"/>
      <c r="G49" s="1687"/>
      <c r="H49" s="1687">
        <v>0</v>
      </c>
      <c r="I49" s="1731"/>
      <c r="J49" s="1731"/>
      <c r="K49" s="1731"/>
      <c r="L49" s="1731"/>
      <c r="M49" s="890">
        <f>+E49+I49+J49+K49+L49</f>
        <v>0</v>
      </c>
      <c r="N49" s="890">
        <v>0</v>
      </c>
      <c r="O49" s="890">
        <v>277800</v>
      </c>
      <c r="P49" s="891">
        <v>345000</v>
      </c>
      <c r="Q49" s="891">
        <v>330000</v>
      </c>
      <c r="R49" s="891">
        <v>330000</v>
      </c>
      <c r="S49" s="891">
        <v>225000</v>
      </c>
      <c r="T49" s="891">
        <v>210000</v>
      </c>
      <c r="U49" s="967">
        <f>SUM(O49:T49)</f>
        <v>1717800</v>
      </c>
      <c r="V49" s="2705"/>
    </row>
    <row r="50" spans="1:22" s="1898" customFormat="1" ht="12" customHeight="1">
      <c r="A50" s="2679"/>
      <c r="B50" s="574" t="s">
        <v>30</v>
      </c>
      <c r="C50" s="2623"/>
      <c r="D50" s="892">
        <f>+D51</f>
        <v>9734200</v>
      </c>
      <c r="E50" s="892">
        <f t="shared" ref="E50:T50" si="64">E51</f>
        <v>0</v>
      </c>
      <c r="F50" s="1686">
        <f t="shared" si="64"/>
        <v>0</v>
      </c>
      <c r="G50" s="1686">
        <f t="shared" si="64"/>
        <v>0</v>
      </c>
      <c r="H50" s="1686">
        <f t="shared" si="64"/>
        <v>0</v>
      </c>
      <c r="I50" s="1730">
        <f t="shared" si="64"/>
        <v>0</v>
      </c>
      <c r="J50" s="1730">
        <f t="shared" si="64"/>
        <v>0</v>
      </c>
      <c r="K50" s="1730">
        <f t="shared" si="64"/>
        <v>0</v>
      </c>
      <c r="L50" s="1730">
        <f t="shared" si="64"/>
        <v>0</v>
      </c>
      <c r="M50" s="892">
        <f t="shared" si="64"/>
        <v>0</v>
      </c>
      <c r="N50" s="892">
        <f t="shared" si="64"/>
        <v>0</v>
      </c>
      <c r="O50" s="892">
        <f t="shared" si="64"/>
        <v>1574200</v>
      </c>
      <c r="P50" s="892">
        <f t="shared" si="64"/>
        <v>1955000</v>
      </c>
      <c r="Q50" s="892">
        <f t="shared" si="64"/>
        <v>1870000</v>
      </c>
      <c r="R50" s="892">
        <f t="shared" si="64"/>
        <v>1870000</v>
      </c>
      <c r="S50" s="892">
        <f t="shared" si="64"/>
        <v>1275000</v>
      </c>
      <c r="T50" s="892">
        <f t="shared" si="64"/>
        <v>1190000</v>
      </c>
      <c r="U50" s="888">
        <f>+U51</f>
        <v>9734200</v>
      </c>
      <c r="V50" s="2705"/>
    </row>
    <row r="51" spans="1:22" s="1898" customFormat="1" ht="12" customHeight="1">
      <c r="A51" s="2679"/>
      <c r="B51" s="893" t="s">
        <v>33</v>
      </c>
      <c r="C51" s="2651"/>
      <c r="D51" s="894">
        <f>+E51+I51+J51+K51+L51+N51+O51+P51+Q51+R51+S51+T51</f>
        <v>9734200</v>
      </c>
      <c r="E51" s="895">
        <v>0</v>
      </c>
      <c r="F51" s="1688"/>
      <c r="G51" s="1688"/>
      <c r="H51" s="1688">
        <v>0</v>
      </c>
      <c r="I51" s="1732"/>
      <c r="J51" s="1732"/>
      <c r="K51" s="1732"/>
      <c r="L51" s="1732"/>
      <c r="M51" s="895">
        <f>+E51+I51+J51+K51+L51</f>
        <v>0</v>
      </c>
      <c r="N51" s="895">
        <v>0</v>
      </c>
      <c r="O51" s="895">
        <v>1574200</v>
      </c>
      <c r="P51" s="717">
        <v>1955000</v>
      </c>
      <c r="Q51" s="717">
        <v>1870000</v>
      </c>
      <c r="R51" s="717">
        <v>1870000</v>
      </c>
      <c r="S51" s="717">
        <v>1275000</v>
      </c>
      <c r="T51" s="717">
        <v>1190000</v>
      </c>
      <c r="U51" s="967">
        <f>SUM(O51:T51)</f>
        <v>9734200</v>
      </c>
      <c r="V51" s="2705"/>
    </row>
    <row r="52" spans="1:22" s="1898" customFormat="1" ht="12" customHeight="1">
      <c r="A52" s="2430"/>
      <c r="B52" s="427" t="s">
        <v>34</v>
      </c>
      <c r="C52" s="896"/>
      <c r="D52" s="884">
        <f>+D53+D55</f>
        <v>11452000</v>
      </c>
      <c r="E52" s="884">
        <f t="shared" ref="E52:P52" si="65">E53+E55</f>
        <v>0</v>
      </c>
      <c r="F52" s="1685">
        <f t="shared" si="65"/>
        <v>0</v>
      </c>
      <c r="G52" s="1685">
        <f t="shared" si="65"/>
        <v>0</v>
      </c>
      <c r="H52" s="1685">
        <f t="shared" si="65"/>
        <v>0</v>
      </c>
      <c r="I52" s="1729">
        <f t="shared" si="65"/>
        <v>0</v>
      </c>
      <c r="J52" s="1729">
        <f t="shared" si="65"/>
        <v>0</v>
      </c>
      <c r="K52" s="1729">
        <f t="shared" si="65"/>
        <v>0</v>
      </c>
      <c r="L52" s="1729">
        <f t="shared" si="65"/>
        <v>0</v>
      </c>
      <c r="M52" s="884">
        <f t="shared" ref="M52" si="66">M53+M55</f>
        <v>0</v>
      </c>
      <c r="N52" s="884">
        <f t="shared" si="65"/>
        <v>0</v>
      </c>
      <c r="O52" s="884">
        <f t="shared" si="65"/>
        <v>1852000</v>
      </c>
      <c r="P52" s="884">
        <f t="shared" si="65"/>
        <v>2300000</v>
      </c>
      <c r="Q52" s="884">
        <f t="shared" ref="Q52:R52" si="67">Q53+Q55</f>
        <v>2200000</v>
      </c>
      <c r="R52" s="884">
        <f t="shared" si="67"/>
        <v>2200000</v>
      </c>
      <c r="S52" s="897">
        <f t="shared" ref="S52:T52" si="68">S53+S55</f>
        <v>1500000</v>
      </c>
      <c r="T52" s="884">
        <f t="shared" si="68"/>
        <v>1400000</v>
      </c>
      <c r="U52" s="2707" t="s">
        <v>77</v>
      </c>
      <c r="V52" s="2705"/>
    </row>
    <row r="53" spans="1:22" s="1898" customFormat="1" ht="12" customHeight="1">
      <c r="A53" s="2430"/>
      <c r="B53" s="898" t="s">
        <v>36</v>
      </c>
      <c r="C53" s="2680" t="s">
        <v>313</v>
      </c>
      <c r="D53" s="887">
        <f>+D54</f>
        <v>1717800</v>
      </c>
      <c r="E53" s="887">
        <f t="shared" ref="E53:T53" si="69">E54</f>
        <v>0</v>
      </c>
      <c r="F53" s="1686">
        <f t="shared" si="69"/>
        <v>0</v>
      </c>
      <c r="G53" s="1686">
        <f t="shared" si="69"/>
        <v>0</v>
      </c>
      <c r="H53" s="1686">
        <f t="shared" si="69"/>
        <v>0</v>
      </c>
      <c r="I53" s="1730">
        <f t="shared" si="69"/>
        <v>0</v>
      </c>
      <c r="J53" s="1730">
        <f t="shared" si="69"/>
        <v>0</v>
      </c>
      <c r="K53" s="1730">
        <f t="shared" si="69"/>
        <v>0</v>
      </c>
      <c r="L53" s="1730">
        <f t="shared" si="69"/>
        <v>0</v>
      </c>
      <c r="M53" s="887">
        <f t="shared" si="69"/>
        <v>0</v>
      </c>
      <c r="N53" s="887">
        <f t="shared" si="69"/>
        <v>0</v>
      </c>
      <c r="O53" s="887">
        <f t="shared" si="69"/>
        <v>277800</v>
      </c>
      <c r="P53" s="887">
        <f t="shared" si="69"/>
        <v>345000</v>
      </c>
      <c r="Q53" s="887">
        <f t="shared" si="69"/>
        <v>330000</v>
      </c>
      <c r="R53" s="887">
        <f t="shared" si="69"/>
        <v>330000</v>
      </c>
      <c r="S53" s="1304">
        <f t="shared" si="69"/>
        <v>225000</v>
      </c>
      <c r="T53" s="887">
        <f t="shared" si="69"/>
        <v>210000</v>
      </c>
      <c r="U53" s="2708"/>
      <c r="V53" s="2705"/>
    </row>
    <row r="54" spans="1:22" s="1898" customFormat="1" ht="12" customHeight="1">
      <c r="A54" s="2430"/>
      <c r="B54" s="899" t="s">
        <v>25</v>
      </c>
      <c r="C54" s="2623"/>
      <c r="D54" s="890">
        <f>+E54+I54+J54+K54+L54+N54+O54+P54+Q54+R54+S54+T54</f>
        <v>1717800</v>
      </c>
      <c r="E54" s="900">
        <v>0</v>
      </c>
      <c r="F54" s="1689"/>
      <c r="G54" s="1689"/>
      <c r="H54" s="1689"/>
      <c r="I54" s="1733"/>
      <c r="J54" s="1733"/>
      <c r="K54" s="1733"/>
      <c r="L54" s="1733"/>
      <c r="M54" s="900">
        <f>+E54+I54+J54+K54+L54</f>
        <v>0</v>
      </c>
      <c r="N54" s="900">
        <v>0</v>
      </c>
      <c r="O54" s="900">
        <v>277800</v>
      </c>
      <c r="P54" s="900">
        <v>345000</v>
      </c>
      <c r="Q54" s="900">
        <v>330000</v>
      </c>
      <c r="R54" s="900">
        <v>330000</v>
      </c>
      <c r="S54" s="900">
        <v>225000</v>
      </c>
      <c r="T54" s="900">
        <v>210000</v>
      </c>
      <c r="U54" s="2708"/>
      <c r="V54" s="2705"/>
    </row>
    <row r="55" spans="1:22" s="1898" customFormat="1" ht="12" customHeight="1">
      <c r="A55" s="2430"/>
      <c r="B55" s="901" t="s">
        <v>30</v>
      </c>
      <c r="C55" s="2623"/>
      <c r="D55" s="892">
        <f>+D56</f>
        <v>9734200</v>
      </c>
      <c r="E55" s="892">
        <f t="shared" ref="E55:T55" si="70">E56</f>
        <v>0</v>
      </c>
      <c r="F55" s="1686">
        <f t="shared" si="70"/>
        <v>0</v>
      </c>
      <c r="G55" s="1686">
        <f t="shared" si="70"/>
        <v>0</v>
      </c>
      <c r="H55" s="1686">
        <f t="shared" si="70"/>
        <v>0</v>
      </c>
      <c r="I55" s="1730">
        <f t="shared" si="70"/>
        <v>0</v>
      </c>
      <c r="J55" s="1730">
        <f t="shared" si="70"/>
        <v>0</v>
      </c>
      <c r="K55" s="1730">
        <f t="shared" si="70"/>
        <v>0</v>
      </c>
      <c r="L55" s="1730">
        <f t="shared" si="70"/>
        <v>0</v>
      </c>
      <c r="M55" s="892">
        <f t="shared" si="70"/>
        <v>0</v>
      </c>
      <c r="N55" s="892">
        <f t="shared" si="70"/>
        <v>0</v>
      </c>
      <c r="O55" s="892">
        <f t="shared" si="70"/>
        <v>1574200</v>
      </c>
      <c r="P55" s="892">
        <f t="shared" si="70"/>
        <v>1955000</v>
      </c>
      <c r="Q55" s="892">
        <f t="shared" si="70"/>
        <v>1870000</v>
      </c>
      <c r="R55" s="892">
        <f t="shared" si="70"/>
        <v>1870000</v>
      </c>
      <c r="S55" s="902">
        <f t="shared" si="70"/>
        <v>1275000</v>
      </c>
      <c r="T55" s="892">
        <f t="shared" si="70"/>
        <v>1190000</v>
      </c>
      <c r="U55" s="2708"/>
      <c r="V55" s="2705"/>
    </row>
    <row r="56" spans="1:22" s="1898" customFormat="1" ht="12" customHeight="1" thickBot="1">
      <c r="A56" s="2431"/>
      <c r="B56" s="977" t="s">
        <v>33</v>
      </c>
      <c r="C56" s="2665"/>
      <c r="D56" s="903">
        <f>+E56+I56+J56+K56+L56+N56+O56+P56+Q56+R56+S56+T56</f>
        <v>9734200</v>
      </c>
      <c r="E56" s="904">
        <v>0</v>
      </c>
      <c r="F56" s="1690"/>
      <c r="G56" s="1690"/>
      <c r="H56" s="1690">
        <v>0</v>
      </c>
      <c r="I56" s="1734"/>
      <c r="J56" s="1734"/>
      <c r="K56" s="1734"/>
      <c r="L56" s="1734"/>
      <c r="M56" s="904">
        <f>+E56+I56+J56+K56+L56</f>
        <v>0</v>
      </c>
      <c r="N56" s="904">
        <v>0</v>
      </c>
      <c r="O56" s="904">
        <v>1574200</v>
      </c>
      <c r="P56" s="904">
        <v>1955000</v>
      </c>
      <c r="Q56" s="904">
        <v>1870000</v>
      </c>
      <c r="R56" s="904">
        <v>1870000</v>
      </c>
      <c r="S56" s="904">
        <v>1275000</v>
      </c>
      <c r="T56" s="904">
        <v>1190000</v>
      </c>
      <c r="U56" s="2709"/>
      <c r="V56" s="2706"/>
    </row>
    <row r="57" spans="1:22" s="1898" customFormat="1" ht="36.75" customHeight="1">
      <c r="A57" s="2553" t="s">
        <v>85</v>
      </c>
      <c r="B57" s="878" t="s">
        <v>341</v>
      </c>
      <c r="C57" s="879" t="s">
        <v>102</v>
      </c>
      <c r="D57" s="880"/>
      <c r="E57" s="881"/>
      <c r="F57" s="1683"/>
      <c r="G57" s="1683"/>
      <c r="H57" s="1684"/>
      <c r="I57" s="1727"/>
      <c r="J57" s="1727"/>
      <c r="K57" s="1728"/>
      <c r="L57" s="1728"/>
      <c r="M57" s="883"/>
      <c r="N57" s="883"/>
      <c r="O57" s="883"/>
      <c r="P57" s="882"/>
      <c r="Q57" s="883"/>
      <c r="R57" s="883"/>
      <c r="S57" s="883"/>
      <c r="T57" s="883"/>
      <c r="U57" s="975"/>
      <c r="V57" s="2704" t="s">
        <v>232</v>
      </c>
    </row>
    <row r="58" spans="1:22" s="1898" customFormat="1" ht="12" customHeight="1">
      <c r="A58" s="2679"/>
      <c r="B58" s="427" t="s">
        <v>22</v>
      </c>
      <c r="C58" s="905"/>
      <c r="D58" s="884">
        <f>+D59+D61</f>
        <v>48000</v>
      </c>
      <c r="E58" s="884">
        <f t="shared" ref="E58:P58" si="71">+E59+E61</f>
        <v>0</v>
      </c>
      <c r="F58" s="1685">
        <f t="shared" si="71"/>
        <v>0</v>
      </c>
      <c r="G58" s="1685">
        <f t="shared" si="71"/>
        <v>0</v>
      </c>
      <c r="H58" s="1685">
        <f t="shared" si="71"/>
        <v>0</v>
      </c>
      <c r="I58" s="1729">
        <f t="shared" si="71"/>
        <v>0</v>
      </c>
      <c r="J58" s="1729">
        <f t="shared" si="71"/>
        <v>0</v>
      </c>
      <c r="K58" s="1729">
        <f t="shared" si="71"/>
        <v>0</v>
      </c>
      <c r="L58" s="1729">
        <f t="shared" si="71"/>
        <v>0</v>
      </c>
      <c r="M58" s="884">
        <f t="shared" ref="M58" si="72">+M59+M61</f>
        <v>0</v>
      </c>
      <c r="N58" s="884">
        <f t="shared" si="71"/>
        <v>0</v>
      </c>
      <c r="O58" s="884">
        <f t="shared" si="71"/>
        <v>48000</v>
      </c>
      <c r="P58" s="884">
        <f t="shared" si="71"/>
        <v>0</v>
      </c>
      <c r="Q58" s="884">
        <f t="shared" ref="Q58:R58" si="73">+Q59+Q61</f>
        <v>0</v>
      </c>
      <c r="R58" s="884">
        <f t="shared" si="73"/>
        <v>0</v>
      </c>
      <c r="S58" s="884">
        <f t="shared" ref="S58:T58" si="74">+S59+S61</f>
        <v>0</v>
      </c>
      <c r="T58" s="884">
        <f t="shared" si="74"/>
        <v>0</v>
      </c>
      <c r="U58" s="976">
        <f>U59+U61</f>
        <v>48000</v>
      </c>
      <c r="V58" s="2705"/>
    </row>
    <row r="59" spans="1:22" s="1898" customFormat="1" ht="12" customHeight="1">
      <c r="A59" s="2679"/>
      <c r="B59" s="886" t="s">
        <v>36</v>
      </c>
      <c r="C59" s="2680" t="s">
        <v>313</v>
      </c>
      <c r="D59" s="887">
        <f>+D60</f>
        <v>7200</v>
      </c>
      <c r="E59" s="887">
        <f t="shared" ref="E59:T59" si="75">+E60</f>
        <v>0</v>
      </c>
      <c r="F59" s="1686">
        <f t="shared" si="75"/>
        <v>0</v>
      </c>
      <c r="G59" s="1686">
        <f t="shared" si="75"/>
        <v>0</v>
      </c>
      <c r="H59" s="1686">
        <f t="shared" si="75"/>
        <v>0</v>
      </c>
      <c r="I59" s="1730">
        <f t="shared" si="75"/>
        <v>0</v>
      </c>
      <c r="J59" s="1730">
        <f t="shared" si="75"/>
        <v>0</v>
      </c>
      <c r="K59" s="1730">
        <f t="shared" si="75"/>
        <v>0</v>
      </c>
      <c r="L59" s="1730">
        <f t="shared" si="75"/>
        <v>0</v>
      </c>
      <c r="M59" s="887">
        <f t="shared" si="75"/>
        <v>0</v>
      </c>
      <c r="N59" s="887">
        <f t="shared" si="75"/>
        <v>0</v>
      </c>
      <c r="O59" s="887">
        <f t="shared" si="75"/>
        <v>7200</v>
      </c>
      <c r="P59" s="887">
        <f t="shared" si="75"/>
        <v>0</v>
      </c>
      <c r="Q59" s="887">
        <f t="shared" si="75"/>
        <v>0</v>
      </c>
      <c r="R59" s="887">
        <f t="shared" si="75"/>
        <v>0</v>
      </c>
      <c r="S59" s="887">
        <f t="shared" si="75"/>
        <v>0</v>
      </c>
      <c r="T59" s="887">
        <f t="shared" si="75"/>
        <v>0</v>
      </c>
      <c r="U59" s="888">
        <f>+U60</f>
        <v>7200</v>
      </c>
      <c r="V59" s="2705"/>
    </row>
    <row r="60" spans="1:22" s="1898" customFormat="1" ht="12" customHeight="1">
      <c r="A60" s="2679"/>
      <c r="B60" s="889" t="s">
        <v>25</v>
      </c>
      <c r="C60" s="2623"/>
      <c r="D60" s="890">
        <f>+E60+I60+J60+K60+L60+N60+O60+P60+Q60+R60+S60+T60</f>
        <v>7200</v>
      </c>
      <c r="E60" s="890">
        <v>0</v>
      </c>
      <c r="F60" s="1687"/>
      <c r="G60" s="1687"/>
      <c r="H60" s="1687">
        <v>0</v>
      </c>
      <c r="I60" s="1731"/>
      <c r="J60" s="1731"/>
      <c r="K60" s="1731"/>
      <c r="L60" s="1731"/>
      <c r="M60" s="890">
        <f>+E60+I60+J60+K60+L60</f>
        <v>0</v>
      </c>
      <c r="N60" s="890">
        <v>0</v>
      </c>
      <c r="O60" s="890">
        <v>7200</v>
      </c>
      <c r="P60" s="891">
        <v>0</v>
      </c>
      <c r="Q60" s="891">
        <v>0</v>
      </c>
      <c r="R60" s="891">
        <v>0</v>
      </c>
      <c r="S60" s="891">
        <v>0</v>
      </c>
      <c r="T60" s="891">
        <v>0</v>
      </c>
      <c r="U60" s="967">
        <f>SUM(O60:T60)</f>
        <v>7200</v>
      </c>
      <c r="V60" s="2705"/>
    </row>
    <row r="61" spans="1:22" s="1898" customFormat="1" ht="12" customHeight="1">
      <c r="A61" s="2679"/>
      <c r="B61" s="574" t="s">
        <v>30</v>
      </c>
      <c r="C61" s="2623"/>
      <c r="D61" s="892">
        <f t="shared" ref="D61" si="76">E61+I61+J61+K61+L61+N61+O61+P61</f>
        <v>40800</v>
      </c>
      <c r="E61" s="892">
        <f t="shared" ref="E61:T61" si="77">E62</f>
        <v>0</v>
      </c>
      <c r="F61" s="1686">
        <f t="shared" si="77"/>
        <v>0</v>
      </c>
      <c r="G61" s="1686">
        <f t="shared" si="77"/>
        <v>0</v>
      </c>
      <c r="H61" s="1686">
        <f t="shared" si="77"/>
        <v>0</v>
      </c>
      <c r="I61" s="1730">
        <f t="shared" si="77"/>
        <v>0</v>
      </c>
      <c r="J61" s="1730">
        <f t="shared" si="77"/>
        <v>0</v>
      </c>
      <c r="K61" s="1730">
        <f t="shared" si="77"/>
        <v>0</v>
      </c>
      <c r="L61" s="1730">
        <f t="shared" si="77"/>
        <v>0</v>
      </c>
      <c r="M61" s="892">
        <f t="shared" si="77"/>
        <v>0</v>
      </c>
      <c r="N61" s="892">
        <f t="shared" si="77"/>
        <v>0</v>
      </c>
      <c r="O61" s="892">
        <f t="shared" si="77"/>
        <v>40800</v>
      </c>
      <c r="P61" s="892">
        <f t="shared" si="77"/>
        <v>0</v>
      </c>
      <c r="Q61" s="892">
        <f t="shared" si="77"/>
        <v>0</v>
      </c>
      <c r="R61" s="892">
        <f t="shared" si="77"/>
        <v>0</v>
      </c>
      <c r="S61" s="892">
        <f t="shared" si="77"/>
        <v>0</v>
      </c>
      <c r="T61" s="892">
        <f t="shared" si="77"/>
        <v>0</v>
      </c>
      <c r="U61" s="888">
        <f>+U62</f>
        <v>40800</v>
      </c>
      <c r="V61" s="2705"/>
    </row>
    <row r="62" spans="1:22" s="1898" customFormat="1" ht="12" customHeight="1">
      <c r="A62" s="2679"/>
      <c r="B62" s="893" t="s">
        <v>33</v>
      </c>
      <c r="C62" s="2651"/>
      <c r="D62" s="894">
        <f>+E62+I62+J62+K62+L62+N62+O62+P62+Q62+R62+S62+T62</f>
        <v>40800</v>
      </c>
      <c r="E62" s="890">
        <v>0</v>
      </c>
      <c r="F62" s="1688"/>
      <c r="G62" s="1688"/>
      <c r="H62" s="1688">
        <v>0</v>
      </c>
      <c r="I62" s="1732"/>
      <c r="J62" s="1732"/>
      <c r="K62" s="1732"/>
      <c r="L62" s="1732"/>
      <c r="M62" s="895">
        <f>+E62+I62+J62+K62+L62</f>
        <v>0</v>
      </c>
      <c r="N62" s="895">
        <v>0</v>
      </c>
      <c r="O62" s="895">
        <v>40800</v>
      </c>
      <c r="P62" s="717">
        <v>0</v>
      </c>
      <c r="Q62" s="717">
        <v>0</v>
      </c>
      <c r="R62" s="717">
        <v>0</v>
      </c>
      <c r="S62" s="717">
        <v>0</v>
      </c>
      <c r="T62" s="717">
        <v>0</v>
      </c>
      <c r="U62" s="967">
        <f>SUM(O62:T62)</f>
        <v>40800</v>
      </c>
      <c r="V62" s="2705"/>
    </row>
    <row r="63" spans="1:22" s="1898" customFormat="1" ht="12" customHeight="1">
      <c r="A63" s="2430"/>
      <c r="B63" s="427" t="s">
        <v>34</v>
      </c>
      <c r="C63" s="896"/>
      <c r="D63" s="884">
        <f t="shared" ref="D63:D66" si="78">E63+I63+J63+K63+L63+N63+O63+P63</f>
        <v>48000</v>
      </c>
      <c r="E63" s="884">
        <f t="shared" ref="E63:P63" si="79">E64+E66</f>
        <v>0</v>
      </c>
      <c r="F63" s="1685">
        <f t="shared" si="79"/>
        <v>0</v>
      </c>
      <c r="G63" s="1685">
        <f t="shared" si="79"/>
        <v>0</v>
      </c>
      <c r="H63" s="1685">
        <f t="shared" si="79"/>
        <v>0</v>
      </c>
      <c r="I63" s="1729">
        <f t="shared" si="79"/>
        <v>0</v>
      </c>
      <c r="J63" s="1729">
        <f t="shared" si="79"/>
        <v>0</v>
      </c>
      <c r="K63" s="1729">
        <f t="shared" si="79"/>
        <v>0</v>
      </c>
      <c r="L63" s="1729">
        <f t="shared" si="79"/>
        <v>0</v>
      </c>
      <c r="M63" s="884">
        <f t="shared" ref="M63" si="80">M64+M66</f>
        <v>0</v>
      </c>
      <c r="N63" s="884">
        <f t="shared" si="79"/>
        <v>0</v>
      </c>
      <c r="O63" s="884">
        <f t="shared" si="79"/>
        <v>48000</v>
      </c>
      <c r="P63" s="884">
        <f t="shared" si="79"/>
        <v>0</v>
      </c>
      <c r="Q63" s="884">
        <f t="shared" ref="Q63:T63" si="81">Q64+Q66</f>
        <v>0</v>
      </c>
      <c r="R63" s="884">
        <f t="shared" si="81"/>
        <v>0</v>
      </c>
      <c r="S63" s="884">
        <f t="shared" si="81"/>
        <v>0</v>
      </c>
      <c r="T63" s="884">
        <f t="shared" si="81"/>
        <v>0</v>
      </c>
      <c r="U63" s="2707" t="s">
        <v>77</v>
      </c>
      <c r="V63" s="2705"/>
    </row>
    <row r="64" spans="1:22" s="1898" customFormat="1" ht="12" customHeight="1">
      <c r="A64" s="2430"/>
      <c r="B64" s="898" t="s">
        <v>36</v>
      </c>
      <c r="C64" s="2680" t="s">
        <v>313</v>
      </c>
      <c r="D64" s="887">
        <f t="shared" si="78"/>
        <v>7200</v>
      </c>
      <c r="E64" s="887">
        <f t="shared" ref="E64:T64" si="82">E65</f>
        <v>0</v>
      </c>
      <c r="F64" s="1686">
        <f t="shared" si="82"/>
        <v>0</v>
      </c>
      <c r="G64" s="1686">
        <f t="shared" si="82"/>
        <v>0</v>
      </c>
      <c r="H64" s="1686">
        <f t="shared" si="82"/>
        <v>0</v>
      </c>
      <c r="I64" s="1730">
        <f t="shared" si="82"/>
        <v>0</v>
      </c>
      <c r="J64" s="1730">
        <f t="shared" si="82"/>
        <v>0</v>
      </c>
      <c r="K64" s="1730">
        <f t="shared" si="82"/>
        <v>0</v>
      </c>
      <c r="L64" s="1730">
        <f t="shared" si="82"/>
        <v>0</v>
      </c>
      <c r="M64" s="887">
        <f t="shared" si="82"/>
        <v>0</v>
      </c>
      <c r="N64" s="887">
        <f t="shared" si="82"/>
        <v>0</v>
      </c>
      <c r="O64" s="887">
        <f t="shared" si="82"/>
        <v>7200</v>
      </c>
      <c r="P64" s="887">
        <f t="shared" si="82"/>
        <v>0</v>
      </c>
      <c r="Q64" s="887">
        <f t="shared" si="82"/>
        <v>0</v>
      </c>
      <c r="R64" s="887">
        <f t="shared" si="82"/>
        <v>0</v>
      </c>
      <c r="S64" s="887">
        <f t="shared" si="82"/>
        <v>0</v>
      </c>
      <c r="T64" s="887">
        <f t="shared" si="82"/>
        <v>0</v>
      </c>
      <c r="U64" s="2708"/>
      <c r="V64" s="2705"/>
    </row>
    <row r="65" spans="1:22" s="1898" customFormat="1" ht="12" customHeight="1">
      <c r="A65" s="2430"/>
      <c r="B65" s="899" t="s">
        <v>25</v>
      </c>
      <c r="C65" s="2623"/>
      <c r="D65" s="890">
        <f>+E65+I65+J65+K65+L65+N65+O65+P65+Q65+R65+S65+T65</f>
        <v>7200</v>
      </c>
      <c r="E65" s="890">
        <v>0</v>
      </c>
      <c r="F65" s="1689"/>
      <c r="G65" s="1689"/>
      <c r="H65" s="1689">
        <v>0</v>
      </c>
      <c r="I65" s="1733"/>
      <c r="J65" s="1733"/>
      <c r="K65" s="1733"/>
      <c r="L65" s="1733"/>
      <c r="M65" s="900">
        <f>+E65+I65+J65+K65+L65</f>
        <v>0</v>
      </c>
      <c r="N65" s="900">
        <v>0</v>
      </c>
      <c r="O65" s="900">
        <v>7200</v>
      </c>
      <c r="P65" s="900">
        <v>0</v>
      </c>
      <c r="Q65" s="900">
        <v>0</v>
      </c>
      <c r="R65" s="900">
        <v>0</v>
      </c>
      <c r="S65" s="1188">
        <v>0</v>
      </c>
      <c r="T65" s="1188">
        <v>0</v>
      </c>
      <c r="U65" s="2708"/>
      <c r="V65" s="2705"/>
    </row>
    <row r="66" spans="1:22" s="1898" customFormat="1" ht="12" customHeight="1">
      <c r="A66" s="2430"/>
      <c r="B66" s="901" t="s">
        <v>30</v>
      </c>
      <c r="C66" s="2623"/>
      <c r="D66" s="892">
        <f t="shared" si="78"/>
        <v>40800</v>
      </c>
      <c r="E66" s="892">
        <f t="shared" ref="E66:T66" si="83">E67</f>
        <v>0</v>
      </c>
      <c r="F66" s="1686">
        <f t="shared" si="83"/>
        <v>0</v>
      </c>
      <c r="G66" s="1686">
        <f t="shared" si="83"/>
        <v>0</v>
      </c>
      <c r="H66" s="1686">
        <f t="shared" si="83"/>
        <v>0</v>
      </c>
      <c r="I66" s="1730">
        <f t="shared" si="83"/>
        <v>0</v>
      </c>
      <c r="J66" s="1730">
        <f t="shared" si="83"/>
        <v>0</v>
      </c>
      <c r="K66" s="1730">
        <f t="shared" si="83"/>
        <v>0</v>
      </c>
      <c r="L66" s="1730">
        <f t="shared" si="83"/>
        <v>0</v>
      </c>
      <c r="M66" s="892">
        <f t="shared" si="83"/>
        <v>0</v>
      </c>
      <c r="N66" s="892">
        <f t="shared" si="83"/>
        <v>0</v>
      </c>
      <c r="O66" s="892">
        <f t="shared" si="83"/>
        <v>40800</v>
      </c>
      <c r="P66" s="892">
        <f t="shared" si="83"/>
        <v>0</v>
      </c>
      <c r="Q66" s="892">
        <f t="shared" si="83"/>
        <v>0</v>
      </c>
      <c r="R66" s="892">
        <f t="shared" si="83"/>
        <v>0</v>
      </c>
      <c r="S66" s="892">
        <f t="shared" si="83"/>
        <v>0</v>
      </c>
      <c r="T66" s="892">
        <f t="shared" si="83"/>
        <v>0</v>
      </c>
      <c r="U66" s="2708"/>
      <c r="V66" s="2705"/>
    </row>
    <row r="67" spans="1:22" s="1898" customFormat="1" ht="12" customHeight="1" thickBot="1">
      <c r="A67" s="2431"/>
      <c r="B67" s="977" t="s">
        <v>33</v>
      </c>
      <c r="C67" s="2665"/>
      <c r="D67" s="903">
        <f>E67+I67+J67+K67+L67+N67+O67+P67</f>
        <v>40800</v>
      </c>
      <c r="E67" s="903">
        <v>0</v>
      </c>
      <c r="F67" s="1690"/>
      <c r="G67" s="1690"/>
      <c r="H67" s="1690">
        <v>0</v>
      </c>
      <c r="I67" s="1734"/>
      <c r="J67" s="1734"/>
      <c r="K67" s="1734"/>
      <c r="L67" s="1734"/>
      <c r="M67" s="904">
        <f>+E67+I67+J67+K67+L67</f>
        <v>0</v>
      </c>
      <c r="N67" s="904">
        <v>0</v>
      </c>
      <c r="O67" s="904">
        <v>40800</v>
      </c>
      <c r="P67" s="904">
        <v>0</v>
      </c>
      <c r="Q67" s="904">
        <v>0</v>
      </c>
      <c r="R67" s="904">
        <v>0</v>
      </c>
      <c r="S67" s="665">
        <v>0</v>
      </c>
      <c r="T67" s="665">
        <v>0</v>
      </c>
      <c r="U67" s="2709"/>
      <c r="V67" s="2706"/>
    </row>
    <row r="68" spans="1:22" s="1919" customFormat="1" ht="21" customHeight="1">
      <c r="A68" s="2553" t="s">
        <v>86</v>
      </c>
      <c r="B68" s="878" t="s">
        <v>333</v>
      </c>
      <c r="C68" s="879" t="s">
        <v>138</v>
      </c>
      <c r="D68" s="880"/>
      <c r="E68" s="881"/>
      <c r="F68" s="1683"/>
      <c r="G68" s="1683"/>
      <c r="H68" s="1684"/>
      <c r="I68" s="1727"/>
      <c r="J68" s="1727"/>
      <c r="K68" s="1727"/>
      <c r="L68" s="1727"/>
      <c r="M68" s="881"/>
      <c r="N68" s="881"/>
      <c r="O68" s="881"/>
      <c r="P68" s="1017"/>
      <c r="Q68" s="980"/>
      <c r="R68" s="980"/>
      <c r="S68" s="980"/>
      <c r="T68" s="980"/>
      <c r="U68" s="981"/>
      <c r="V68" s="2711" t="s">
        <v>342</v>
      </c>
    </row>
    <row r="69" spans="1:22" s="1919" customFormat="1" ht="12" customHeight="1">
      <c r="A69" s="2679"/>
      <c r="B69" s="427" t="s">
        <v>22</v>
      </c>
      <c r="C69" s="905"/>
      <c r="D69" s="884">
        <f>+D70</f>
        <v>126557661</v>
      </c>
      <c r="E69" s="884">
        <f t="shared" ref="E69:U70" si="84">+E70</f>
        <v>10748789</v>
      </c>
      <c r="F69" s="1685">
        <f t="shared" si="84"/>
        <v>1463345</v>
      </c>
      <c r="G69" s="1685">
        <f t="shared" si="84"/>
        <v>2764519</v>
      </c>
      <c r="H69" s="1685">
        <f t="shared" si="84"/>
        <v>6520925</v>
      </c>
      <c r="I69" s="1729">
        <f t="shared" si="84"/>
        <v>22033262</v>
      </c>
      <c r="J69" s="1729">
        <f t="shared" si="84"/>
        <v>13729802</v>
      </c>
      <c r="K69" s="1729">
        <f t="shared" si="84"/>
        <v>17985056</v>
      </c>
      <c r="L69" s="1729">
        <f t="shared" si="84"/>
        <v>18729247</v>
      </c>
      <c r="M69" s="884">
        <f t="shared" si="84"/>
        <v>83226156</v>
      </c>
      <c r="N69" s="884">
        <f t="shared" si="84"/>
        <v>21563069</v>
      </c>
      <c r="O69" s="884">
        <f t="shared" si="84"/>
        <v>21768436</v>
      </c>
      <c r="P69" s="884">
        <f t="shared" si="84"/>
        <v>0</v>
      </c>
      <c r="Q69" s="884">
        <f t="shared" si="84"/>
        <v>0</v>
      </c>
      <c r="R69" s="884">
        <f t="shared" si="84"/>
        <v>0</v>
      </c>
      <c r="S69" s="884">
        <f t="shared" si="84"/>
        <v>0</v>
      </c>
      <c r="T69" s="884">
        <f t="shared" si="84"/>
        <v>0</v>
      </c>
      <c r="U69" s="885">
        <f>+U70</f>
        <v>21768436</v>
      </c>
      <c r="V69" s="2714"/>
    </row>
    <row r="70" spans="1:22" s="1919" customFormat="1" ht="12.75" customHeight="1">
      <c r="A70" s="2679"/>
      <c r="B70" s="574" t="s">
        <v>30</v>
      </c>
      <c r="C70" s="2650" t="s">
        <v>233</v>
      </c>
      <c r="D70" s="892">
        <f>+D71</f>
        <v>126557661</v>
      </c>
      <c r="E70" s="892">
        <f t="shared" si="84"/>
        <v>10748789</v>
      </c>
      <c r="F70" s="1686">
        <f t="shared" si="84"/>
        <v>1463345</v>
      </c>
      <c r="G70" s="1686">
        <f t="shared" si="84"/>
        <v>2764519</v>
      </c>
      <c r="H70" s="1686">
        <f t="shared" si="84"/>
        <v>6520925</v>
      </c>
      <c r="I70" s="1730">
        <f t="shared" si="84"/>
        <v>22033262</v>
      </c>
      <c r="J70" s="1730">
        <f t="shared" si="84"/>
        <v>13729802</v>
      </c>
      <c r="K70" s="1730">
        <f>+K71</f>
        <v>17985056</v>
      </c>
      <c r="L70" s="1730">
        <f t="shared" si="84"/>
        <v>18729247</v>
      </c>
      <c r="M70" s="892">
        <f t="shared" si="84"/>
        <v>83226156</v>
      </c>
      <c r="N70" s="892">
        <f t="shared" si="84"/>
        <v>21563069</v>
      </c>
      <c r="O70" s="892">
        <f t="shared" si="84"/>
        <v>21768436</v>
      </c>
      <c r="P70" s="892">
        <f>+P71</f>
        <v>0</v>
      </c>
      <c r="Q70" s="892">
        <f>+Q71</f>
        <v>0</v>
      </c>
      <c r="R70" s="902">
        <f t="shared" si="84"/>
        <v>0</v>
      </c>
      <c r="S70" s="902">
        <f t="shared" si="84"/>
        <v>0</v>
      </c>
      <c r="T70" s="902">
        <f t="shared" si="84"/>
        <v>0</v>
      </c>
      <c r="U70" s="982">
        <f t="shared" si="84"/>
        <v>21768436</v>
      </c>
      <c r="V70" s="2714"/>
    </row>
    <row r="71" spans="1:22" s="1898" customFormat="1">
      <c r="A71" s="2679"/>
      <c r="B71" s="2340" t="s">
        <v>33</v>
      </c>
      <c r="C71" s="2651"/>
      <c r="D71" s="900">
        <f>SUM(D73:D76)</f>
        <v>126557661</v>
      </c>
      <c r="E71" s="900">
        <f>SUM(E73:E76)</f>
        <v>10748789</v>
      </c>
      <c r="F71" s="1691">
        <f>1463345</f>
        <v>1463345</v>
      </c>
      <c r="G71" s="1691">
        <f>2267781+496738</f>
        <v>2764519</v>
      </c>
      <c r="H71" s="1691">
        <f>5538393+1116809-134277</f>
        <v>6520925</v>
      </c>
      <c r="I71" s="1733">
        <f t="shared" ref="I71:O71" si="85">SUM(I73:I76)</f>
        <v>22033262</v>
      </c>
      <c r="J71" s="1733">
        <f t="shared" si="85"/>
        <v>13729802</v>
      </c>
      <c r="K71" s="1733">
        <f>SUM(K73:K76)</f>
        <v>17985056</v>
      </c>
      <c r="L71" s="1733">
        <f t="shared" si="85"/>
        <v>18729247</v>
      </c>
      <c r="M71" s="900">
        <f>SUM(M73:M76)</f>
        <v>83226156</v>
      </c>
      <c r="N71" s="900">
        <f t="shared" si="85"/>
        <v>21563069</v>
      </c>
      <c r="O71" s="900">
        <f t="shared" si="85"/>
        <v>21768436</v>
      </c>
      <c r="P71" s="715">
        <v>0</v>
      </c>
      <c r="Q71" s="715">
        <v>0</v>
      </c>
      <c r="R71" s="719">
        <v>0</v>
      </c>
      <c r="S71" s="719">
        <v>0</v>
      </c>
      <c r="T71" s="719">
        <v>0</v>
      </c>
      <c r="U71" s="967">
        <f t="shared" ref="U71:U76" si="86">SUM(O71:T71)</f>
        <v>21768436</v>
      </c>
      <c r="V71" s="2714"/>
    </row>
    <row r="72" spans="1:22" s="1898" customFormat="1" hidden="1">
      <c r="A72" s="2679"/>
      <c r="B72" s="893" t="s">
        <v>235</v>
      </c>
      <c r="C72" s="2196"/>
      <c r="D72" s="983"/>
      <c r="E72" s="894"/>
      <c r="F72" s="1692"/>
      <c r="G72" s="1692"/>
      <c r="H72" s="1692"/>
      <c r="I72" s="1735"/>
      <c r="J72" s="1735"/>
      <c r="K72" s="1735"/>
      <c r="L72" s="1735"/>
      <c r="M72" s="894"/>
      <c r="N72" s="894"/>
      <c r="O72" s="894"/>
      <c r="P72" s="984"/>
      <c r="Q72" s="984"/>
      <c r="R72" s="984"/>
      <c r="S72" s="984"/>
      <c r="T72" s="984"/>
      <c r="U72" s="985">
        <f t="shared" si="86"/>
        <v>0</v>
      </c>
      <c r="V72" s="2714"/>
    </row>
    <row r="73" spans="1:22" s="1898" customFormat="1" hidden="1">
      <c r="A73" s="2679"/>
      <c r="B73" s="2341" t="s">
        <v>236</v>
      </c>
      <c r="C73" s="986"/>
      <c r="D73" s="2342">
        <f>+E73+I73+J73+K73+L73+N73+O73+P73+Q73+R73+S73+T73</f>
        <v>97250071</v>
      </c>
      <c r="E73" s="987">
        <v>7761842</v>
      </c>
      <c r="F73" s="1693"/>
      <c r="G73" s="1693"/>
      <c r="H73" s="1693"/>
      <c r="I73" s="1736">
        <v>20160098</v>
      </c>
      <c r="J73" s="1736">
        <v>12413144</v>
      </c>
      <c r="K73" s="1736">
        <v>14822530</v>
      </c>
      <c r="L73" s="1736">
        <v>15311083</v>
      </c>
      <c r="M73" s="987">
        <f>+E73+I73+J73+K73+L73</f>
        <v>70468697</v>
      </c>
      <c r="N73" s="987">
        <f>14678110-260000+881506-337305+1149078-249190+285318+608505+594424+627780-1531032+1032257</f>
        <v>17479451</v>
      </c>
      <c r="O73" s="987">
        <f>3320902+260000-260000-570000+200000+1974393+46079+1055175+1301357+993906+1319115+60996-400000</f>
        <v>9301923</v>
      </c>
      <c r="P73" s="987"/>
      <c r="Q73" s="987"/>
      <c r="R73" s="987"/>
      <c r="S73" s="987"/>
      <c r="T73" s="987"/>
      <c r="U73" s="988">
        <f t="shared" si="86"/>
        <v>9301923</v>
      </c>
      <c r="V73" s="2714"/>
    </row>
    <row r="74" spans="1:22" s="1898" customFormat="1" hidden="1">
      <c r="A74" s="2679"/>
      <c r="B74" s="2343" t="s">
        <v>237</v>
      </c>
      <c r="C74" s="986"/>
      <c r="D74" s="2344">
        <f>+E74+I74+J74+K74+L74+N74+O74+P74+Q74+R74+S74+T74</f>
        <v>14874602</v>
      </c>
      <c r="E74" s="987">
        <v>2986947</v>
      </c>
      <c r="F74" s="1693"/>
      <c r="G74" s="1693"/>
      <c r="H74" s="1693"/>
      <c r="I74" s="1736">
        <v>1873164</v>
      </c>
      <c r="J74" s="1736">
        <v>1316658</v>
      </c>
      <c r="K74" s="1736">
        <v>1848829</v>
      </c>
      <c r="L74" s="1736">
        <v>2192768</v>
      </c>
      <c r="M74" s="987">
        <f>+E74+I74+J74+K74+L74</f>
        <v>10218366</v>
      </c>
      <c r="N74" s="987">
        <f>3314900-726000-80000-121008</f>
        <v>2387892</v>
      </c>
      <c r="O74" s="987">
        <f>2758198+93402-591532+5249+3027</f>
        <v>2268344</v>
      </c>
      <c r="P74" s="987"/>
      <c r="Q74" s="987"/>
      <c r="R74" s="987"/>
      <c r="S74" s="987"/>
      <c r="T74" s="987"/>
      <c r="U74" s="989">
        <f t="shared" si="86"/>
        <v>2268344</v>
      </c>
      <c r="V74" s="2714"/>
    </row>
    <row r="75" spans="1:22" s="1064" customFormat="1" hidden="1">
      <c r="A75" s="2679"/>
      <c r="B75" s="2343" t="s">
        <v>238</v>
      </c>
      <c r="C75" s="986"/>
      <c r="D75" s="2344">
        <f>+E75+I75+J75+K75+L75+N75+O75+P75+Q75+R75+S75+T75</f>
        <v>12242988</v>
      </c>
      <c r="E75" s="987"/>
      <c r="F75" s="1693"/>
      <c r="G75" s="1693"/>
      <c r="H75" s="1693"/>
      <c r="I75" s="1736"/>
      <c r="J75" s="1736"/>
      <c r="K75" s="1737">
        <f>4319492-3005795</f>
        <v>1313697</v>
      </c>
      <c r="L75" s="1737">
        <f>1243854-18458</f>
        <v>1225396</v>
      </c>
      <c r="M75" s="1823">
        <f>+E75+I75+J75+K75+L75</f>
        <v>2539093</v>
      </c>
      <c r="N75" s="1823">
        <f>12045937-1112974-3788551-881506-1149078-285318-608505-594424-627780-1302075</f>
        <v>1695726</v>
      </c>
      <c r="O75" s="1823">
        <f>10914887+2830045+1851252+226389-1974393-1055175-1301357-993906-1319115-60996-209462-900000</f>
        <v>8008169</v>
      </c>
      <c r="P75" s="987"/>
      <c r="Q75" s="987"/>
      <c r="R75" s="987"/>
      <c r="S75" s="987"/>
      <c r="T75" s="987"/>
      <c r="U75" s="989">
        <f t="shared" si="86"/>
        <v>8008169</v>
      </c>
      <c r="V75" s="2714"/>
    </row>
    <row r="76" spans="1:22" s="1064" customFormat="1" hidden="1">
      <c r="A76" s="2679"/>
      <c r="B76" s="2211" t="s">
        <v>239</v>
      </c>
      <c r="C76" s="986"/>
      <c r="D76" s="2344">
        <f>+E76+I76+J76+K76+L76+N76+O76+P76+Q76+R76+S76+T76</f>
        <v>2190000</v>
      </c>
      <c r="E76" s="987"/>
      <c r="F76" s="1693"/>
      <c r="G76" s="1693"/>
      <c r="H76" s="1693"/>
      <c r="I76" s="1736"/>
      <c r="J76" s="1736"/>
      <c r="K76" s="1737"/>
      <c r="L76" s="1737"/>
      <c r="M76" s="1823">
        <f>+E76+I76+J76+K76+L76</f>
        <v>0</v>
      </c>
      <c r="N76" s="1823"/>
      <c r="O76" s="1823">
        <f>1590000+600000</f>
        <v>2190000</v>
      </c>
      <c r="P76" s="987"/>
      <c r="Q76" s="987"/>
      <c r="R76" s="987"/>
      <c r="S76" s="987"/>
      <c r="T76" s="987"/>
      <c r="U76" s="989">
        <f t="shared" si="86"/>
        <v>2190000</v>
      </c>
      <c r="V76" s="2714"/>
    </row>
    <row r="77" spans="1:22" s="1898" customFormat="1">
      <c r="A77" s="2430"/>
      <c r="B77" s="573" t="s">
        <v>34</v>
      </c>
      <c r="C77" s="906"/>
      <c r="D77" s="949">
        <f>+D78</f>
        <v>126557661</v>
      </c>
      <c r="E77" s="949">
        <f t="shared" ref="E77:T77" si="87">+E78</f>
        <v>10739103</v>
      </c>
      <c r="F77" s="1694">
        <f t="shared" si="87"/>
        <v>0</v>
      </c>
      <c r="G77" s="1694">
        <f t="shared" si="87"/>
        <v>2563346</v>
      </c>
      <c r="H77" s="1694">
        <f t="shared" si="87"/>
        <v>8175757</v>
      </c>
      <c r="I77" s="1738">
        <f t="shared" si="87"/>
        <v>22042948</v>
      </c>
      <c r="J77" s="1738">
        <f t="shared" si="87"/>
        <v>13729802</v>
      </c>
      <c r="K77" s="1738">
        <f t="shared" si="87"/>
        <v>17985056</v>
      </c>
      <c r="L77" s="1738">
        <f t="shared" si="87"/>
        <v>18514446</v>
      </c>
      <c r="M77" s="949">
        <f t="shared" si="87"/>
        <v>83011355</v>
      </c>
      <c r="N77" s="949">
        <f t="shared" si="87"/>
        <v>21347114</v>
      </c>
      <c r="O77" s="949">
        <f t="shared" si="87"/>
        <v>22199192</v>
      </c>
      <c r="P77" s="949">
        <f t="shared" si="87"/>
        <v>0</v>
      </c>
      <c r="Q77" s="949">
        <f t="shared" si="87"/>
        <v>0</v>
      </c>
      <c r="R77" s="949">
        <f t="shared" si="87"/>
        <v>0</v>
      </c>
      <c r="S77" s="897">
        <f t="shared" si="87"/>
        <v>0</v>
      </c>
      <c r="T77" s="897">
        <f t="shared" si="87"/>
        <v>0</v>
      </c>
      <c r="U77" s="2707" t="s">
        <v>77</v>
      </c>
      <c r="V77" s="2714"/>
    </row>
    <row r="78" spans="1:22" s="1898" customFormat="1">
      <c r="A78" s="2430"/>
      <c r="B78" s="512" t="s">
        <v>30</v>
      </c>
      <c r="C78" s="2650" t="s">
        <v>106</v>
      </c>
      <c r="D78" s="892">
        <f t="shared" ref="D78:T78" si="88">+D79</f>
        <v>126557661</v>
      </c>
      <c r="E78" s="892">
        <f t="shared" si="88"/>
        <v>10739103</v>
      </c>
      <c r="F78" s="1686">
        <f t="shared" si="88"/>
        <v>0</v>
      </c>
      <c r="G78" s="1686">
        <f t="shared" si="88"/>
        <v>2563346</v>
      </c>
      <c r="H78" s="1686">
        <f t="shared" si="88"/>
        <v>8175757</v>
      </c>
      <c r="I78" s="1730">
        <f t="shared" si="88"/>
        <v>22042948</v>
      </c>
      <c r="J78" s="1730">
        <f t="shared" si="88"/>
        <v>13729802</v>
      </c>
      <c r="K78" s="1730">
        <f t="shared" si="88"/>
        <v>17985056</v>
      </c>
      <c r="L78" s="1730">
        <f t="shared" si="88"/>
        <v>18514446</v>
      </c>
      <c r="M78" s="892">
        <f t="shared" si="88"/>
        <v>83011355</v>
      </c>
      <c r="N78" s="892">
        <f t="shared" si="88"/>
        <v>21347114</v>
      </c>
      <c r="O78" s="892">
        <f t="shared" si="88"/>
        <v>22199192</v>
      </c>
      <c r="P78" s="892">
        <f t="shared" si="88"/>
        <v>0</v>
      </c>
      <c r="Q78" s="902">
        <f t="shared" si="88"/>
        <v>0</v>
      </c>
      <c r="R78" s="902">
        <f t="shared" si="88"/>
        <v>0</v>
      </c>
      <c r="S78" s="902">
        <f t="shared" si="88"/>
        <v>0</v>
      </c>
      <c r="T78" s="902">
        <f t="shared" si="88"/>
        <v>0</v>
      </c>
      <c r="U78" s="2708"/>
      <c r="V78" s="2714"/>
    </row>
    <row r="79" spans="1:22" s="1898" customFormat="1" ht="12" customHeight="1" thickBot="1">
      <c r="A79" s="2431"/>
      <c r="B79" s="977" t="s">
        <v>33</v>
      </c>
      <c r="C79" s="2665"/>
      <c r="D79" s="903">
        <f>+E79+I79+J79+K79+L79+N79+O79+P79+Q79+R79+S79+T79</f>
        <v>126557661</v>
      </c>
      <c r="E79" s="904">
        <v>10739103</v>
      </c>
      <c r="F79" s="1690">
        <v>0</v>
      </c>
      <c r="G79" s="1690">
        <v>2563346</v>
      </c>
      <c r="H79" s="1690">
        <f>8310034-134277</f>
        <v>8175757</v>
      </c>
      <c r="I79" s="1734">
        <f>22435406-222967+222967-I89</f>
        <v>22042948</v>
      </c>
      <c r="J79" s="1734">
        <f>15950000-124500-184890-1558717-352091</f>
        <v>13729802</v>
      </c>
      <c r="K79" s="1734">
        <f>21399162-162-8000000+5555916-165860-694115-109885</f>
        <v>17985056</v>
      </c>
      <c r="L79" s="1734">
        <f>21399162-162+8601000-300000-10000000-970753-214801</f>
        <v>18514446</v>
      </c>
      <c r="M79" s="904">
        <f>E79+I79+J79+K79+L79</f>
        <v>83011355</v>
      </c>
      <c r="N79" s="904">
        <f>21399162-6440572+7041410-64422+3000000-185578-250000-3000000-329190+176304</f>
        <v>21347114</v>
      </c>
      <c r="O79" s="904">
        <f>15083090+184890+5107020-222967-5555916-54705-2305885+7854705+941388+1425580+750800-1161532+200000+5249+46079-98604</f>
        <v>22199192</v>
      </c>
      <c r="P79" s="904">
        <f>1950000-504494+1019297-1304643-1160160</f>
        <v>0</v>
      </c>
      <c r="Q79" s="904">
        <v>0</v>
      </c>
      <c r="R79" s="904">
        <v>0</v>
      </c>
      <c r="S79" s="904">
        <v>0</v>
      </c>
      <c r="T79" s="904">
        <v>0</v>
      </c>
      <c r="U79" s="2709"/>
      <c r="V79" s="2715"/>
    </row>
    <row r="80" spans="1:22" s="1898" customFormat="1" ht="25.5" customHeight="1">
      <c r="A80" s="2553" t="s">
        <v>149</v>
      </c>
      <c r="B80" s="878" t="s">
        <v>240</v>
      </c>
      <c r="C80" s="879" t="s">
        <v>102</v>
      </c>
      <c r="D80" s="1824"/>
      <c r="E80" s="1010"/>
      <c r="F80" s="1704"/>
      <c r="G80" s="1704"/>
      <c r="H80" s="1825"/>
      <c r="I80" s="1826"/>
      <c r="J80" s="1749"/>
      <c r="K80" s="1826"/>
      <c r="L80" s="1826"/>
      <c r="M80" s="1383"/>
      <c r="N80" s="1383"/>
      <c r="O80" s="1383"/>
      <c r="P80" s="1827"/>
      <c r="Q80" s="1827"/>
      <c r="R80" s="1827"/>
      <c r="S80" s="1827"/>
      <c r="T80" s="1827"/>
      <c r="U80" s="981"/>
      <c r="V80" s="2711" t="s">
        <v>241</v>
      </c>
    </row>
    <row r="81" spans="1:22" s="1898" customFormat="1" ht="13.5" customHeight="1">
      <c r="A81" s="2679"/>
      <c r="B81" s="427" t="s">
        <v>22</v>
      </c>
      <c r="C81" s="905"/>
      <c r="D81" s="884">
        <f>+D82</f>
        <v>3460978</v>
      </c>
      <c r="E81" s="884">
        <f t="shared" ref="E81:U82" si="89">+E82</f>
        <v>134277</v>
      </c>
      <c r="F81" s="1685">
        <f t="shared" si="89"/>
        <v>0</v>
      </c>
      <c r="G81" s="1685">
        <f t="shared" si="89"/>
        <v>0</v>
      </c>
      <c r="H81" s="1685">
        <f t="shared" si="89"/>
        <v>134277</v>
      </c>
      <c r="I81" s="1729">
        <f t="shared" si="89"/>
        <v>392458</v>
      </c>
      <c r="J81" s="1729">
        <f t="shared" si="89"/>
        <v>352091</v>
      </c>
      <c r="K81" s="1729">
        <f t="shared" si="89"/>
        <v>275745</v>
      </c>
      <c r="L81" s="1729">
        <f t="shared" si="89"/>
        <v>114180</v>
      </c>
      <c r="M81" s="884">
        <f t="shared" si="89"/>
        <v>1268751</v>
      </c>
      <c r="N81" s="884">
        <f t="shared" si="89"/>
        <v>425425</v>
      </c>
      <c r="O81" s="884">
        <f t="shared" si="89"/>
        <v>1766802</v>
      </c>
      <c r="P81" s="884">
        <f t="shared" si="89"/>
        <v>0</v>
      </c>
      <c r="Q81" s="884">
        <f t="shared" si="89"/>
        <v>0</v>
      </c>
      <c r="R81" s="884">
        <f t="shared" si="89"/>
        <v>0</v>
      </c>
      <c r="S81" s="884">
        <f t="shared" si="89"/>
        <v>0</v>
      </c>
      <c r="T81" s="884">
        <f t="shared" si="89"/>
        <v>0</v>
      </c>
      <c r="U81" s="885">
        <f>+U82</f>
        <v>1766802</v>
      </c>
      <c r="V81" s="2712"/>
    </row>
    <row r="82" spans="1:22" s="1898" customFormat="1" ht="13.5" customHeight="1">
      <c r="A82" s="2679"/>
      <c r="B82" s="574" t="s">
        <v>30</v>
      </c>
      <c r="C82" s="2650" t="s">
        <v>233</v>
      </c>
      <c r="D82" s="892">
        <f>+D83</f>
        <v>3460978</v>
      </c>
      <c r="E82" s="892">
        <f t="shared" si="89"/>
        <v>134277</v>
      </c>
      <c r="F82" s="1686">
        <f t="shared" si="89"/>
        <v>0</v>
      </c>
      <c r="G82" s="1686">
        <f t="shared" si="89"/>
        <v>0</v>
      </c>
      <c r="H82" s="1686">
        <f t="shared" si="89"/>
        <v>134277</v>
      </c>
      <c r="I82" s="1730">
        <f t="shared" si="89"/>
        <v>392458</v>
      </c>
      <c r="J82" s="1730">
        <f t="shared" si="89"/>
        <v>352091</v>
      </c>
      <c r="K82" s="1730">
        <f t="shared" si="89"/>
        <v>275745</v>
      </c>
      <c r="L82" s="1730">
        <f t="shared" si="89"/>
        <v>114180</v>
      </c>
      <c r="M82" s="892">
        <f t="shared" si="89"/>
        <v>1268751</v>
      </c>
      <c r="N82" s="892">
        <f t="shared" si="89"/>
        <v>425425</v>
      </c>
      <c r="O82" s="902">
        <f t="shared" si="89"/>
        <v>1766802</v>
      </c>
      <c r="P82" s="902">
        <f>+P83</f>
        <v>0</v>
      </c>
      <c r="Q82" s="902">
        <f t="shared" si="89"/>
        <v>0</v>
      </c>
      <c r="R82" s="902">
        <f t="shared" si="89"/>
        <v>0</v>
      </c>
      <c r="S82" s="902">
        <f t="shared" si="89"/>
        <v>0</v>
      </c>
      <c r="T82" s="902">
        <f t="shared" si="89"/>
        <v>0</v>
      </c>
      <c r="U82" s="982">
        <f t="shared" si="89"/>
        <v>1766802</v>
      </c>
      <c r="V82" s="2712"/>
    </row>
    <row r="83" spans="1:22" s="1898" customFormat="1">
      <c r="A83" s="2679"/>
      <c r="B83" s="2340" t="s">
        <v>33</v>
      </c>
      <c r="C83" s="2651"/>
      <c r="D83" s="900">
        <f>SUM(D85:D86)</f>
        <v>3460978</v>
      </c>
      <c r="E83" s="900">
        <f>SUM(E85:E86)</f>
        <v>134277</v>
      </c>
      <c r="F83" s="1691"/>
      <c r="G83" s="1691"/>
      <c r="H83" s="1691">
        <v>134277</v>
      </c>
      <c r="I83" s="1733">
        <f t="shared" ref="I83:O83" si="90">SUM(I85:I86)</f>
        <v>392458</v>
      </c>
      <c r="J83" s="1733">
        <f t="shared" si="90"/>
        <v>352091</v>
      </c>
      <c r="K83" s="1733">
        <f t="shared" si="90"/>
        <v>275745</v>
      </c>
      <c r="L83" s="1733">
        <f t="shared" si="90"/>
        <v>114180</v>
      </c>
      <c r="M83" s="900">
        <f t="shared" si="90"/>
        <v>1268751</v>
      </c>
      <c r="N83" s="900">
        <f t="shared" si="90"/>
        <v>425425</v>
      </c>
      <c r="O83" s="900">
        <f t="shared" si="90"/>
        <v>1766802</v>
      </c>
      <c r="P83" s="900">
        <v>0</v>
      </c>
      <c r="Q83" s="900"/>
      <c r="R83" s="900"/>
      <c r="S83" s="900"/>
      <c r="T83" s="900"/>
      <c r="U83" s="967">
        <f>SUM(O83:T83)</f>
        <v>1766802</v>
      </c>
      <c r="V83" s="2712"/>
    </row>
    <row r="84" spans="1:22" s="1898" customFormat="1" hidden="1">
      <c r="A84" s="2679"/>
      <c r="B84" s="2345" t="s">
        <v>235</v>
      </c>
      <c r="C84" s="2196"/>
      <c r="D84" s="983"/>
      <c r="E84" s="894"/>
      <c r="F84" s="1692"/>
      <c r="G84" s="1692"/>
      <c r="H84" s="1692"/>
      <c r="I84" s="1735"/>
      <c r="J84" s="1735"/>
      <c r="K84" s="1735"/>
      <c r="L84" s="1735"/>
      <c r="M84" s="894"/>
      <c r="N84" s="894"/>
      <c r="O84" s="894"/>
      <c r="P84" s="894"/>
      <c r="Q84" s="894"/>
      <c r="R84" s="894"/>
      <c r="S84" s="894"/>
      <c r="T84" s="894"/>
      <c r="U84" s="985">
        <f>SUM(O84:T84)</f>
        <v>0</v>
      </c>
      <c r="V84" s="2712"/>
    </row>
    <row r="85" spans="1:22" s="1898" customFormat="1" hidden="1">
      <c r="A85" s="2679"/>
      <c r="B85" s="2346" t="s">
        <v>236</v>
      </c>
      <c r="C85" s="2197"/>
      <c r="D85" s="2342">
        <f>+E85+I85+J85+K85+L85+N85+O85+P85+Q85+R85+S85+T85</f>
        <v>2369631</v>
      </c>
      <c r="E85" s="987">
        <v>44332</v>
      </c>
      <c r="F85" s="1693"/>
      <c r="G85" s="1693"/>
      <c r="H85" s="1693"/>
      <c r="I85" s="1736">
        <v>197255</v>
      </c>
      <c r="J85" s="1736">
        <v>256166</v>
      </c>
      <c r="K85" s="1736">
        <v>209885</v>
      </c>
      <c r="L85" s="1736">
        <v>113582</v>
      </c>
      <c r="M85" s="987">
        <f>+E85+I85+J85+K85+L85</f>
        <v>821220</v>
      </c>
      <c r="N85" s="987">
        <f>250000+260000-114665-7443</f>
        <v>387892</v>
      </c>
      <c r="O85" s="987">
        <f>436598-260000+260000+570000-200000-46079+400000</f>
        <v>1160519</v>
      </c>
      <c r="P85" s="987"/>
      <c r="Q85" s="987"/>
      <c r="R85" s="987"/>
      <c r="S85" s="987"/>
      <c r="T85" s="987"/>
      <c r="U85" s="988">
        <f>SUM(O85:T85)</f>
        <v>1160519</v>
      </c>
      <c r="V85" s="2712"/>
    </row>
    <row r="86" spans="1:22" s="1898" customFormat="1" hidden="1">
      <c r="A86" s="2679"/>
      <c r="B86" s="2347" t="s">
        <v>237</v>
      </c>
      <c r="C86" s="2197"/>
      <c r="D86" s="2344">
        <f>+E86+I86+J86+K86+L86+N86+O86+P86+Q86+R86+S86+T86</f>
        <v>1091347</v>
      </c>
      <c r="E86" s="987">
        <v>89945</v>
      </c>
      <c r="F86" s="1693"/>
      <c r="G86" s="1693"/>
      <c r="H86" s="1693"/>
      <c r="I86" s="1736">
        <v>195203</v>
      </c>
      <c r="J86" s="1736">
        <v>95925</v>
      </c>
      <c r="K86" s="1736">
        <v>65860</v>
      </c>
      <c r="L86" s="1736">
        <v>598</v>
      </c>
      <c r="M86" s="987">
        <f>+E86+I86+J86+K86+L86</f>
        <v>447531</v>
      </c>
      <c r="N86" s="987">
        <f>250000-212467</f>
        <v>37533</v>
      </c>
      <c r="O86" s="987">
        <f>113402-93402+591532-5249</f>
        <v>606283</v>
      </c>
      <c r="P86" s="987"/>
      <c r="Q86" s="987"/>
      <c r="R86" s="987"/>
      <c r="S86" s="987"/>
      <c r="T86" s="987"/>
      <c r="U86" s="989">
        <f>SUM(O86:T86)</f>
        <v>606283</v>
      </c>
      <c r="V86" s="2712"/>
    </row>
    <row r="87" spans="1:22" s="1898" customFormat="1">
      <c r="A87" s="2679"/>
      <c r="B87" s="573" t="s">
        <v>34</v>
      </c>
      <c r="C87" s="906"/>
      <c r="D87" s="949">
        <f>+D88</f>
        <v>3460978</v>
      </c>
      <c r="E87" s="949">
        <f t="shared" ref="E87:T87" si="91">+E88</f>
        <v>134277</v>
      </c>
      <c r="F87" s="1694">
        <f t="shared" si="91"/>
        <v>0</v>
      </c>
      <c r="G87" s="1694">
        <f t="shared" si="91"/>
        <v>0</v>
      </c>
      <c r="H87" s="1694">
        <f t="shared" si="91"/>
        <v>134277</v>
      </c>
      <c r="I87" s="1738">
        <f t="shared" si="91"/>
        <v>392458</v>
      </c>
      <c r="J87" s="1738">
        <f t="shared" si="91"/>
        <v>352091</v>
      </c>
      <c r="K87" s="1738">
        <f t="shared" si="91"/>
        <v>275745</v>
      </c>
      <c r="L87" s="1738">
        <f t="shared" si="91"/>
        <v>72716</v>
      </c>
      <c r="M87" s="949">
        <f t="shared" si="91"/>
        <v>1227287</v>
      </c>
      <c r="N87" s="949">
        <f t="shared" si="91"/>
        <v>84832</v>
      </c>
      <c r="O87" s="949">
        <f t="shared" si="91"/>
        <v>2148859</v>
      </c>
      <c r="P87" s="949">
        <f t="shared" si="91"/>
        <v>0</v>
      </c>
      <c r="Q87" s="949">
        <f t="shared" si="91"/>
        <v>0</v>
      </c>
      <c r="R87" s="949">
        <f t="shared" si="91"/>
        <v>0</v>
      </c>
      <c r="S87" s="949">
        <f t="shared" si="91"/>
        <v>0</v>
      </c>
      <c r="T87" s="949">
        <f t="shared" si="91"/>
        <v>0</v>
      </c>
      <c r="U87" s="2707" t="s">
        <v>77</v>
      </c>
      <c r="V87" s="2712"/>
    </row>
    <row r="88" spans="1:22" s="1898" customFormat="1" ht="13.5" customHeight="1">
      <c r="A88" s="2679"/>
      <c r="B88" s="512" t="s">
        <v>30</v>
      </c>
      <c r="C88" s="2650" t="s">
        <v>106</v>
      </c>
      <c r="D88" s="892">
        <f t="shared" ref="D88:T88" si="92">+D89</f>
        <v>3460978</v>
      </c>
      <c r="E88" s="892">
        <f t="shared" si="92"/>
        <v>134277</v>
      </c>
      <c r="F88" s="1686">
        <f t="shared" si="92"/>
        <v>0</v>
      </c>
      <c r="G88" s="1686">
        <f t="shared" si="92"/>
        <v>0</v>
      </c>
      <c r="H88" s="1686">
        <f t="shared" si="92"/>
        <v>134277</v>
      </c>
      <c r="I88" s="1730">
        <f t="shared" si="92"/>
        <v>392458</v>
      </c>
      <c r="J88" s="1730">
        <f t="shared" si="92"/>
        <v>352091</v>
      </c>
      <c r="K88" s="1730">
        <f t="shared" si="92"/>
        <v>275745</v>
      </c>
      <c r="L88" s="1730">
        <f t="shared" si="92"/>
        <v>72716</v>
      </c>
      <c r="M88" s="892">
        <f t="shared" si="92"/>
        <v>1227287</v>
      </c>
      <c r="N88" s="892">
        <f t="shared" si="92"/>
        <v>84832</v>
      </c>
      <c r="O88" s="902">
        <f t="shared" si="92"/>
        <v>2148859</v>
      </c>
      <c r="P88" s="902">
        <f t="shared" si="92"/>
        <v>0</v>
      </c>
      <c r="Q88" s="902">
        <f t="shared" si="92"/>
        <v>0</v>
      </c>
      <c r="R88" s="902">
        <f t="shared" si="92"/>
        <v>0</v>
      </c>
      <c r="S88" s="902">
        <f t="shared" si="92"/>
        <v>0</v>
      </c>
      <c r="T88" s="902">
        <f t="shared" si="92"/>
        <v>0</v>
      </c>
      <c r="U88" s="2708"/>
      <c r="V88" s="2712"/>
    </row>
    <row r="89" spans="1:22" s="1898" customFormat="1" ht="13.5" customHeight="1" thickBot="1">
      <c r="A89" s="2710"/>
      <c r="B89" s="977" t="s">
        <v>33</v>
      </c>
      <c r="C89" s="2665"/>
      <c r="D89" s="903">
        <f>+E89+I89+J89+K89+L89+N89+O89+P89+Q89+R89+S89+T89</f>
        <v>3460978</v>
      </c>
      <c r="E89" s="904">
        <v>134277</v>
      </c>
      <c r="F89" s="1690">
        <v>0</v>
      </c>
      <c r="G89" s="1690"/>
      <c r="H89" s="1690">
        <v>134277</v>
      </c>
      <c r="I89" s="1734">
        <v>392458</v>
      </c>
      <c r="J89" s="1734">
        <v>352091</v>
      </c>
      <c r="K89" s="1734">
        <f>165860+109885</f>
        <v>275745</v>
      </c>
      <c r="L89" s="1734">
        <f>300000-185820-41464</f>
        <v>72716</v>
      </c>
      <c r="M89" s="904">
        <f>+E89+I89+J89+K89+L89</f>
        <v>1227287</v>
      </c>
      <c r="N89" s="904">
        <f>64422+185578+250000-283602-114665-16901</f>
        <v>84832</v>
      </c>
      <c r="O89" s="904">
        <f>54705+145295+300000+500200+1161532-200000-5249-46079+238455</f>
        <v>2148859</v>
      </c>
      <c r="P89" s="904">
        <f>50000-50000</f>
        <v>0</v>
      </c>
      <c r="Q89" s="904">
        <v>0</v>
      </c>
      <c r="R89" s="904">
        <v>0</v>
      </c>
      <c r="S89" s="665">
        <v>0</v>
      </c>
      <c r="T89" s="665">
        <v>0</v>
      </c>
      <c r="U89" s="2709"/>
      <c r="V89" s="2713"/>
    </row>
    <row r="90" spans="1:22" ht="24.75" customHeight="1">
      <c r="A90" s="2553" t="s">
        <v>111</v>
      </c>
      <c r="B90" s="878" t="s">
        <v>334</v>
      </c>
      <c r="C90" s="879" t="s">
        <v>138</v>
      </c>
      <c r="D90" s="880"/>
      <c r="E90" s="882"/>
      <c r="F90" s="1683"/>
      <c r="G90" s="1683"/>
      <c r="H90" s="1684"/>
      <c r="I90" s="1727"/>
      <c r="J90" s="1728"/>
      <c r="K90" s="1728"/>
      <c r="L90" s="1728"/>
      <c r="M90" s="883"/>
      <c r="N90" s="883"/>
      <c r="O90" s="980"/>
      <c r="P90" s="980"/>
      <c r="Q90" s="980"/>
      <c r="R90" s="980"/>
      <c r="S90" s="980"/>
      <c r="T90" s="980"/>
      <c r="U90" s="981"/>
      <c r="V90" s="2711" t="s">
        <v>192</v>
      </c>
    </row>
    <row r="91" spans="1:22" ht="13.5" customHeight="1">
      <c r="A91" s="2679"/>
      <c r="B91" s="427" t="s">
        <v>22</v>
      </c>
      <c r="C91" s="905"/>
      <c r="D91" s="884">
        <f>D92+D94</f>
        <v>2394337</v>
      </c>
      <c r="E91" s="884">
        <f t="shared" ref="E91:Q91" si="93">+E94+E92</f>
        <v>441028</v>
      </c>
      <c r="F91" s="1685">
        <f t="shared" si="93"/>
        <v>0</v>
      </c>
      <c r="G91" s="1685">
        <f t="shared" si="93"/>
        <v>0</v>
      </c>
      <c r="H91" s="1685">
        <f t="shared" si="93"/>
        <v>0</v>
      </c>
      <c r="I91" s="1729">
        <f t="shared" si="93"/>
        <v>364771</v>
      </c>
      <c r="J91" s="1729">
        <f t="shared" si="93"/>
        <v>375013</v>
      </c>
      <c r="K91" s="1729">
        <f t="shared" si="93"/>
        <v>348792</v>
      </c>
      <c r="L91" s="1729">
        <f t="shared" si="93"/>
        <v>377448</v>
      </c>
      <c r="M91" s="884">
        <f t="shared" ref="M91" si="94">+M94+M92</f>
        <v>1907052</v>
      </c>
      <c r="N91" s="884">
        <f t="shared" si="93"/>
        <v>219534</v>
      </c>
      <c r="O91" s="884">
        <f t="shared" si="93"/>
        <v>267751</v>
      </c>
      <c r="P91" s="884">
        <f t="shared" si="93"/>
        <v>0</v>
      </c>
      <c r="Q91" s="884">
        <f t="shared" si="93"/>
        <v>0</v>
      </c>
      <c r="R91" s="884">
        <f t="shared" ref="R91:T91" si="95">+R94+R92</f>
        <v>0</v>
      </c>
      <c r="S91" s="884">
        <f t="shared" si="95"/>
        <v>0</v>
      </c>
      <c r="T91" s="884">
        <f t="shared" si="95"/>
        <v>0</v>
      </c>
      <c r="U91" s="885">
        <f>+U94+U92</f>
        <v>267751</v>
      </c>
      <c r="V91" s="2714"/>
    </row>
    <row r="92" spans="1:22" ht="14.25" customHeight="1">
      <c r="A92" s="2679"/>
      <c r="B92" s="886" t="s">
        <v>36</v>
      </c>
      <c r="C92" s="2650" t="s">
        <v>233</v>
      </c>
      <c r="D92" s="1308">
        <f t="shared" ref="D92:I92" si="96">D93</f>
        <v>359151</v>
      </c>
      <c r="E92" s="1308">
        <f t="shared" si="96"/>
        <v>66154</v>
      </c>
      <c r="F92" s="1685">
        <f t="shared" si="96"/>
        <v>0</v>
      </c>
      <c r="G92" s="1685">
        <f t="shared" si="96"/>
        <v>0</v>
      </c>
      <c r="H92" s="1685">
        <f t="shared" si="96"/>
        <v>0</v>
      </c>
      <c r="I92" s="1729">
        <f t="shared" si="96"/>
        <v>54716</v>
      </c>
      <c r="J92" s="1729">
        <f t="shared" ref="J92:T92" si="97">+J93</f>
        <v>56252</v>
      </c>
      <c r="K92" s="1729">
        <f t="shared" si="97"/>
        <v>52319</v>
      </c>
      <c r="L92" s="1729">
        <f t="shared" si="97"/>
        <v>56617</v>
      </c>
      <c r="M92" s="1308">
        <f t="shared" si="97"/>
        <v>286058</v>
      </c>
      <c r="N92" s="1308">
        <f t="shared" si="97"/>
        <v>32930</v>
      </c>
      <c r="O92" s="1308">
        <f t="shared" si="97"/>
        <v>40163</v>
      </c>
      <c r="P92" s="1308">
        <f t="shared" si="97"/>
        <v>0</v>
      </c>
      <c r="Q92" s="1308">
        <f t="shared" si="97"/>
        <v>0</v>
      </c>
      <c r="R92" s="1308">
        <f t="shared" si="97"/>
        <v>0</v>
      </c>
      <c r="S92" s="1308">
        <f t="shared" si="97"/>
        <v>0</v>
      </c>
      <c r="T92" s="1308">
        <f t="shared" si="97"/>
        <v>0</v>
      </c>
      <c r="U92" s="1309">
        <f>+U93</f>
        <v>40163</v>
      </c>
      <c r="V92" s="2714"/>
    </row>
    <row r="93" spans="1:22">
      <c r="A93" s="2679"/>
      <c r="B93" s="1310" t="s">
        <v>25</v>
      </c>
      <c r="C93" s="2623"/>
      <c r="D93" s="900">
        <f>+E93+I93+J93+K93+L93+N93+O93+P93+Q93+R93+S93+T93</f>
        <v>359151</v>
      </c>
      <c r="E93" s="890">
        <v>66154</v>
      </c>
      <c r="F93" s="1687"/>
      <c r="G93" s="1687"/>
      <c r="H93" s="1687"/>
      <c r="I93" s="1731">
        <v>54716</v>
      </c>
      <c r="J93" s="1739">
        <v>56252</v>
      </c>
      <c r="K93" s="1739">
        <f>44352+12000-4033</f>
        <v>52319</v>
      </c>
      <c r="L93" s="1739">
        <v>56617</v>
      </c>
      <c r="M93" s="715">
        <f>+E93+I93+J93+K93+L93</f>
        <v>286058</v>
      </c>
      <c r="N93" s="715">
        <v>32930</v>
      </c>
      <c r="O93" s="715">
        <v>40163</v>
      </c>
      <c r="P93" s="719">
        <v>0</v>
      </c>
      <c r="Q93" s="719">
        <v>0</v>
      </c>
      <c r="R93" s="719">
        <v>0</v>
      </c>
      <c r="S93" s="719">
        <v>0</v>
      </c>
      <c r="T93" s="719">
        <v>0</v>
      </c>
      <c r="U93" s="989">
        <f>SUM(O93:T93)</f>
        <v>40163</v>
      </c>
      <c r="V93" s="2714"/>
    </row>
    <row r="94" spans="1:22" ht="12.75" customHeight="1">
      <c r="A94" s="2679"/>
      <c r="B94" s="574" t="s">
        <v>30</v>
      </c>
      <c r="C94" s="2623"/>
      <c r="D94" s="892">
        <f t="shared" ref="D94:U94" si="98">+D95</f>
        <v>2035186</v>
      </c>
      <c r="E94" s="892">
        <f t="shared" si="98"/>
        <v>374874</v>
      </c>
      <c r="F94" s="1686">
        <f t="shared" si="98"/>
        <v>0</v>
      </c>
      <c r="G94" s="1686">
        <f t="shared" si="98"/>
        <v>0</v>
      </c>
      <c r="H94" s="1686">
        <f t="shared" si="98"/>
        <v>0</v>
      </c>
      <c r="I94" s="1730">
        <f t="shared" si="98"/>
        <v>310055</v>
      </c>
      <c r="J94" s="1730">
        <f t="shared" si="98"/>
        <v>318761</v>
      </c>
      <c r="K94" s="1730">
        <f t="shared" si="98"/>
        <v>296473</v>
      </c>
      <c r="L94" s="1730">
        <f t="shared" si="98"/>
        <v>320831</v>
      </c>
      <c r="M94" s="892">
        <f t="shared" si="98"/>
        <v>1620994</v>
      </c>
      <c r="N94" s="892">
        <f t="shared" si="98"/>
        <v>186604</v>
      </c>
      <c r="O94" s="902">
        <f t="shared" si="98"/>
        <v>227588</v>
      </c>
      <c r="P94" s="902">
        <f t="shared" si="98"/>
        <v>0</v>
      </c>
      <c r="Q94" s="902">
        <f t="shared" si="98"/>
        <v>0</v>
      </c>
      <c r="R94" s="902">
        <f t="shared" si="98"/>
        <v>0</v>
      </c>
      <c r="S94" s="902">
        <f t="shared" si="98"/>
        <v>0</v>
      </c>
      <c r="T94" s="902">
        <f t="shared" si="98"/>
        <v>0</v>
      </c>
      <c r="U94" s="885">
        <f t="shared" si="98"/>
        <v>227588</v>
      </c>
      <c r="V94" s="2714"/>
    </row>
    <row r="95" spans="1:22">
      <c r="A95" s="2679"/>
      <c r="B95" s="1311" t="s">
        <v>33</v>
      </c>
      <c r="C95" s="2651"/>
      <c r="D95" s="900">
        <f>+E95+I95+J95+K95+L95+N95+O95+P95+Q95+R95+S95+T95</f>
        <v>2035186</v>
      </c>
      <c r="E95" s="715">
        <v>374874</v>
      </c>
      <c r="F95" s="1691"/>
      <c r="G95" s="1691"/>
      <c r="H95" s="1691"/>
      <c r="I95" s="1739">
        <v>310055</v>
      </c>
      <c r="J95" s="1731">
        <v>318761</v>
      </c>
      <c r="K95" s="1731">
        <f>251327+68000-22854</f>
        <v>296473</v>
      </c>
      <c r="L95" s="1731">
        <f>268327+52504</f>
        <v>320831</v>
      </c>
      <c r="M95" s="890">
        <f>+E95+I95+J95+K95+L95</f>
        <v>1620994</v>
      </c>
      <c r="N95" s="890">
        <v>186604</v>
      </c>
      <c r="O95" s="890">
        <v>227588</v>
      </c>
      <c r="P95" s="890">
        <v>0</v>
      </c>
      <c r="Q95" s="891">
        <v>0</v>
      </c>
      <c r="R95" s="891">
        <v>0</v>
      </c>
      <c r="S95" s="891">
        <v>0</v>
      </c>
      <c r="T95" s="891">
        <v>0</v>
      </c>
      <c r="U95" s="989">
        <f>SUM(O95:T95)</f>
        <v>227588</v>
      </c>
      <c r="V95" s="2714"/>
    </row>
    <row r="96" spans="1:22" ht="12.75" customHeight="1">
      <c r="A96" s="2430"/>
      <c r="B96" s="573" t="s">
        <v>34</v>
      </c>
      <c r="C96" s="906"/>
      <c r="D96" s="949">
        <f>D97+D99</f>
        <v>2394337</v>
      </c>
      <c r="E96" s="949">
        <f>+E99+E97</f>
        <v>3874</v>
      </c>
      <c r="F96" s="1694">
        <f>+F99+F97</f>
        <v>0</v>
      </c>
      <c r="G96" s="1694">
        <f>+G99+G97</f>
        <v>0</v>
      </c>
      <c r="H96" s="1694">
        <f>+H99+H97</f>
        <v>0</v>
      </c>
      <c r="I96" s="1738">
        <f>+I99+I97</f>
        <v>480461</v>
      </c>
      <c r="J96" s="1729">
        <f t="shared" ref="J96:Q96" si="99">+J99+J97</f>
        <v>496759</v>
      </c>
      <c r="K96" s="1729">
        <f t="shared" si="99"/>
        <v>344217</v>
      </c>
      <c r="L96" s="1729">
        <f t="shared" si="99"/>
        <v>289417</v>
      </c>
      <c r="M96" s="884">
        <f t="shared" ref="M96" si="100">+M99+M97</f>
        <v>1614728</v>
      </c>
      <c r="N96" s="884">
        <f t="shared" si="99"/>
        <v>277378</v>
      </c>
      <c r="O96" s="884">
        <f t="shared" si="99"/>
        <v>368355</v>
      </c>
      <c r="P96" s="884">
        <f t="shared" si="99"/>
        <v>133876</v>
      </c>
      <c r="Q96" s="884">
        <f t="shared" si="99"/>
        <v>0</v>
      </c>
      <c r="R96" s="884">
        <f t="shared" ref="R96:T96" si="101">+R99+R97</f>
        <v>0</v>
      </c>
      <c r="S96" s="884">
        <f t="shared" si="101"/>
        <v>0</v>
      </c>
      <c r="T96" s="884">
        <f t="shared" si="101"/>
        <v>0</v>
      </c>
      <c r="U96" s="2707" t="s">
        <v>77</v>
      </c>
      <c r="V96" s="2714"/>
    </row>
    <row r="97" spans="1:22" ht="14.25" customHeight="1">
      <c r="A97" s="2430"/>
      <c r="B97" s="886" t="s">
        <v>36</v>
      </c>
      <c r="C97" s="2650" t="s">
        <v>233</v>
      </c>
      <c r="D97" s="1312">
        <f t="shared" ref="D97:I97" si="102">D98</f>
        <v>359151</v>
      </c>
      <c r="E97" s="1312">
        <f t="shared" si="102"/>
        <v>3874</v>
      </c>
      <c r="F97" s="1694">
        <f t="shared" si="102"/>
        <v>0</v>
      </c>
      <c r="G97" s="1694">
        <f t="shared" si="102"/>
        <v>0</v>
      </c>
      <c r="H97" s="1694">
        <f t="shared" si="102"/>
        <v>0</v>
      </c>
      <c r="I97" s="1738">
        <f t="shared" si="102"/>
        <v>72234</v>
      </c>
      <c r="J97" s="1729">
        <f t="shared" ref="J97:T97" si="103">+J98</f>
        <v>73370</v>
      </c>
      <c r="K97" s="1729">
        <f t="shared" si="103"/>
        <v>52704</v>
      </c>
      <c r="L97" s="1729">
        <f t="shared" si="103"/>
        <v>44329</v>
      </c>
      <c r="M97" s="1308">
        <f t="shared" si="103"/>
        <v>246511</v>
      </c>
      <c r="N97" s="1308">
        <f t="shared" si="103"/>
        <v>56624</v>
      </c>
      <c r="O97" s="1308">
        <f t="shared" si="103"/>
        <v>35934</v>
      </c>
      <c r="P97" s="1308">
        <f t="shared" si="103"/>
        <v>20082</v>
      </c>
      <c r="Q97" s="1308">
        <f t="shared" si="103"/>
        <v>0</v>
      </c>
      <c r="R97" s="1308">
        <f t="shared" si="103"/>
        <v>0</v>
      </c>
      <c r="S97" s="1308">
        <f t="shared" si="103"/>
        <v>0</v>
      </c>
      <c r="T97" s="1308">
        <f t="shared" si="103"/>
        <v>0</v>
      </c>
      <c r="U97" s="2708"/>
      <c r="V97" s="2714"/>
    </row>
    <row r="98" spans="1:22">
      <c r="A98" s="2430"/>
      <c r="B98" s="1310" t="s">
        <v>25</v>
      </c>
      <c r="C98" s="2623"/>
      <c r="D98" s="891">
        <f>+E98+I98+J98+K98+L98+N98+O98+P98+Q98+R98+S98+T98</f>
        <v>359151</v>
      </c>
      <c r="E98" s="891">
        <v>3874</v>
      </c>
      <c r="F98" s="1695"/>
      <c r="G98" s="1695"/>
      <c r="H98" s="1695"/>
      <c r="I98" s="1740">
        <v>72234</v>
      </c>
      <c r="J98" s="1739">
        <v>73370</v>
      </c>
      <c r="K98" s="1739">
        <f>44352+12000-3648</f>
        <v>52704</v>
      </c>
      <c r="L98" s="1739">
        <f>47352-3023</f>
        <v>44329</v>
      </c>
      <c r="M98" s="715">
        <f>+E98+I98+J98+K98+L98</f>
        <v>246511</v>
      </c>
      <c r="N98" s="715">
        <v>56624</v>
      </c>
      <c r="O98" s="715">
        <v>35934</v>
      </c>
      <c r="P98" s="719">
        <v>20082</v>
      </c>
      <c r="Q98" s="719">
        <v>0</v>
      </c>
      <c r="R98" s="719">
        <v>0</v>
      </c>
      <c r="S98" s="719">
        <v>0</v>
      </c>
      <c r="T98" s="719">
        <v>0</v>
      </c>
      <c r="U98" s="2708"/>
      <c r="V98" s="2714"/>
    </row>
    <row r="99" spans="1:22" ht="12.75" customHeight="1">
      <c r="A99" s="2430"/>
      <c r="B99" s="512" t="s">
        <v>30</v>
      </c>
      <c r="C99" s="2623"/>
      <c r="D99" s="892">
        <f t="shared" ref="D99:T99" si="104">+D100</f>
        <v>2035186</v>
      </c>
      <c r="E99" s="892">
        <f t="shared" si="104"/>
        <v>0</v>
      </c>
      <c r="F99" s="1686">
        <f t="shared" si="104"/>
        <v>0</v>
      </c>
      <c r="G99" s="1686">
        <f t="shared" si="104"/>
        <v>0</v>
      </c>
      <c r="H99" s="1686">
        <f t="shared" si="104"/>
        <v>0</v>
      </c>
      <c r="I99" s="1730">
        <f t="shared" si="104"/>
        <v>408227</v>
      </c>
      <c r="J99" s="1730">
        <f t="shared" si="104"/>
        <v>423389</v>
      </c>
      <c r="K99" s="1730">
        <f t="shared" si="104"/>
        <v>291513</v>
      </c>
      <c r="L99" s="1730">
        <f t="shared" si="104"/>
        <v>245088</v>
      </c>
      <c r="M99" s="892">
        <f t="shared" si="104"/>
        <v>1368217</v>
      </c>
      <c r="N99" s="892">
        <f t="shared" si="104"/>
        <v>220754</v>
      </c>
      <c r="O99" s="902">
        <f t="shared" si="104"/>
        <v>332421</v>
      </c>
      <c r="P99" s="902">
        <f t="shared" si="104"/>
        <v>113794</v>
      </c>
      <c r="Q99" s="902">
        <f t="shared" si="104"/>
        <v>0</v>
      </c>
      <c r="R99" s="902">
        <f>+R100</f>
        <v>0</v>
      </c>
      <c r="S99" s="902">
        <f t="shared" si="104"/>
        <v>0</v>
      </c>
      <c r="T99" s="902">
        <f t="shared" si="104"/>
        <v>0</v>
      </c>
      <c r="U99" s="2708"/>
      <c r="V99" s="2714"/>
    </row>
    <row r="100" spans="1:22" ht="12.75" customHeight="1" thickBot="1">
      <c r="A100" s="2431"/>
      <c r="B100" s="977" t="s">
        <v>33</v>
      </c>
      <c r="C100" s="2665"/>
      <c r="D100" s="903">
        <f>+E100+I100+J100+K100+L100+N100+O100+P100+Q100+R100+S100+T100</f>
        <v>2035186</v>
      </c>
      <c r="E100" s="904">
        <v>0</v>
      </c>
      <c r="F100" s="1690">
        <v>0</v>
      </c>
      <c r="G100" s="1690"/>
      <c r="H100" s="1690"/>
      <c r="I100" s="1734">
        <v>408227</v>
      </c>
      <c r="J100" s="1741">
        <v>423389</v>
      </c>
      <c r="K100" s="1741">
        <f>251327+68000-27814</f>
        <v>291513</v>
      </c>
      <c r="L100" s="1741">
        <f>268327-23239</f>
        <v>245088</v>
      </c>
      <c r="M100" s="907">
        <f>+E100+I100+J100+K100+L100</f>
        <v>1368217</v>
      </c>
      <c r="N100" s="907">
        <v>220754</v>
      </c>
      <c r="O100" s="907">
        <v>332421</v>
      </c>
      <c r="P100" s="907">
        <v>113794</v>
      </c>
      <c r="Q100" s="907">
        <v>0</v>
      </c>
      <c r="R100" s="907">
        <v>0</v>
      </c>
      <c r="S100" s="907">
        <v>0</v>
      </c>
      <c r="T100" s="907">
        <v>0</v>
      </c>
      <c r="U100" s="2709"/>
      <c r="V100" s="2715"/>
    </row>
    <row r="101" spans="1:22" s="1919" customFormat="1" ht="24.75" customHeight="1">
      <c r="A101" s="2553" t="s">
        <v>112</v>
      </c>
      <c r="B101" s="878" t="s">
        <v>242</v>
      </c>
      <c r="C101" s="879" t="s">
        <v>102</v>
      </c>
      <c r="D101" s="880"/>
      <c r="E101" s="882"/>
      <c r="F101" s="1683"/>
      <c r="G101" s="1683"/>
      <c r="H101" s="1684"/>
      <c r="I101" s="1727"/>
      <c r="J101" s="1727"/>
      <c r="K101" s="1728"/>
      <c r="L101" s="1728"/>
      <c r="M101" s="882"/>
      <c r="N101" s="882"/>
      <c r="O101" s="882"/>
      <c r="P101" s="882"/>
      <c r="Q101" s="882"/>
      <c r="R101" s="882"/>
      <c r="S101" s="882"/>
      <c r="T101" s="882"/>
      <c r="U101" s="981"/>
      <c r="V101" s="2704" t="s">
        <v>243</v>
      </c>
    </row>
    <row r="102" spans="1:22" s="1919" customFormat="1" ht="13.5" customHeight="1">
      <c r="A102" s="2679"/>
      <c r="B102" s="427" t="s">
        <v>22</v>
      </c>
      <c r="C102" s="905"/>
      <c r="D102" s="884">
        <f t="shared" ref="D102:L102" si="105">+D103+D105</f>
        <v>19958371</v>
      </c>
      <c r="E102" s="884">
        <f t="shared" si="105"/>
        <v>0</v>
      </c>
      <c r="F102" s="1685">
        <f t="shared" si="105"/>
        <v>0</v>
      </c>
      <c r="G102" s="1685">
        <f t="shared" si="105"/>
        <v>0</v>
      </c>
      <c r="H102" s="1685">
        <f t="shared" si="105"/>
        <v>0</v>
      </c>
      <c r="I102" s="1729">
        <f t="shared" si="105"/>
        <v>0</v>
      </c>
      <c r="J102" s="1729">
        <f t="shared" si="105"/>
        <v>36900</v>
      </c>
      <c r="K102" s="1729">
        <f t="shared" si="105"/>
        <v>5439983</v>
      </c>
      <c r="L102" s="1729">
        <f t="shared" si="105"/>
        <v>7001140</v>
      </c>
      <c r="M102" s="884">
        <f>+M103+M105</f>
        <v>12478023</v>
      </c>
      <c r="N102" s="884">
        <f>+N103+N105</f>
        <v>267265</v>
      </c>
      <c r="O102" s="884">
        <f>+O103+O105</f>
        <v>7213083</v>
      </c>
      <c r="P102" s="884">
        <f t="shared" ref="P102:T102" si="106">+P103+P105</f>
        <v>0</v>
      </c>
      <c r="Q102" s="884">
        <f t="shared" si="106"/>
        <v>0</v>
      </c>
      <c r="R102" s="884">
        <f t="shared" si="106"/>
        <v>0</v>
      </c>
      <c r="S102" s="884">
        <f t="shared" si="106"/>
        <v>0</v>
      </c>
      <c r="T102" s="884">
        <f t="shared" si="106"/>
        <v>0</v>
      </c>
      <c r="U102" s="976">
        <f>+U103+U105</f>
        <v>7213083</v>
      </c>
      <c r="V102" s="2705"/>
    </row>
    <row r="103" spans="1:22" s="1946" customFormat="1" ht="13.5" customHeight="1">
      <c r="A103" s="2679"/>
      <c r="B103" s="886" t="s">
        <v>36</v>
      </c>
      <c r="C103" s="2680" t="s">
        <v>244</v>
      </c>
      <c r="D103" s="990">
        <f>+D104</f>
        <v>4989593</v>
      </c>
      <c r="E103" s="990">
        <f t="shared" ref="E103:U103" si="107">+E104</f>
        <v>0</v>
      </c>
      <c r="F103" s="1696">
        <f t="shared" si="107"/>
        <v>0</v>
      </c>
      <c r="G103" s="1696">
        <f t="shared" si="107"/>
        <v>0</v>
      </c>
      <c r="H103" s="1696">
        <f t="shared" si="107"/>
        <v>0</v>
      </c>
      <c r="I103" s="1742">
        <f t="shared" si="107"/>
        <v>0</v>
      </c>
      <c r="J103" s="1742">
        <f t="shared" si="107"/>
        <v>9225</v>
      </c>
      <c r="K103" s="1742">
        <f t="shared" si="107"/>
        <v>1343620</v>
      </c>
      <c r="L103" s="1742">
        <f t="shared" si="107"/>
        <v>1750285</v>
      </c>
      <c r="M103" s="990">
        <f t="shared" si="107"/>
        <v>3103130</v>
      </c>
      <c r="N103" s="990">
        <f t="shared" si="107"/>
        <v>66816</v>
      </c>
      <c r="O103" s="990">
        <f t="shared" si="107"/>
        <v>1819647</v>
      </c>
      <c r="P103" s="990">
        <f t="shared" si="107"/>
        <v>0</v>
      </c>
      <c r="Q103" s="990">
        <f t="shared" si="107"/>
        <v>0</v>
      </c>
      <c r="R103" s="990">
        <f t="shared" si="107"/>
        <v>0</v>
      </c>
      <c r="S103" s="990">
        <f t="shared" si="107"/>
        <v>0</v>
      </c>
      <c r="T103" s="990">
        <f t="shared" si="107"/>
        <v>0</v>
      </c>
      <c r="U103" s="991">
        <f t="shared" si="107"/>
        <v>1819647</v>
      </c>
      <c r="V103" s="2705"/>
    </row>
    <row r="104" spans="1:22" s="1919" customFormat="1" ht="13.5" customHeight="1">
      <c r="A104" s="2679"/>
      <c r="B104" s="889" t="s">
        <v>24</v>
      </c>
      <c r="C104" s="2623"/>
      <c r="D104" s="890">
        <f>+E104+I104+J104+K104+L104+N104+O104+P104+Q104+R104+S104+T104</f>
        <v>4989593</v>
      </c>
      <c r="E104" s="992">
        <v>0</v>
      </c>
      <c r="F104" s="1689">
        <v>0</v>
      </c>
      <c r="G104" s="1689">
        <v>0</v>
      </c>
      <c r="H104" s="1689"/>
      <c r="I104" s="1733">
        <v>0</v>
      </c>
      <c r="J104" s="1733">
        <f>2105000-842700-1249950-3125</f>
        <v>9225</v>
      </c>
      <c r="K104" s="1733">
        <f>2417500+842700+1249950+3125-3142200-27455</f>
        <v>1343620</v>
      </c>
      <c r="L104" s="1733">
        <f>1227500+3142200+27455-3047155+475000-74715</f>
        <v>1750285</v>
      </c>
      <c r="M104" s="900">
        <f>+E104+I104+J104+K104+L104</f>
        <v>3103130</v>
      </c>
      <c r="N104" s="900">
        <f>75325+74715-83224</f>
        <v>66816</v>
      </c>
      <c r="O104" s="900">
        <f>2971830-475000-677183</f>
        <v>1819647</v>
      </c>
      <c r="P104" s="993">
        <v>0</v>
      </c>
      <c r="Q104" s="993">
        <v>0</v>
      </c>
      <c r="R104" s="993">
        <v>0</v>
      </c>
      <c r="S104" s="993">
        <v>0</v>
      </c>
      <c r="T104" s="993">
        <v>0</v>
      </c>
      <c r="U104" s="967">
        <f>SUM(O104:T104)</f>
        <v>1819647</v>
      </c>
      <c r="V104" s="2705"/>
    </row>
    <row r="105" spans="1:22" s="1919" customFormat="1" ht="11.25" customHeight="1">
      <c r="A105" s="2679"/>
      <c r="B105" s="574" t="s">
        <v>30</v>
      </c>
      <c r="C105" s="2623"/>
      <c r="D105" s="892">
        <f>+D106</f>
        <v>14968778</v>
      </c>
      <c r="E105" s="892">
        <f t="shared" ref="E105:U105" si="108">+E106</f>
        <v>0</v>
      </c>
      <c r="F105" s="1686">
        <f t="shared" si="108"/>
        <v>0</v>
      </c>
      <c r="G105" s="1686">
        <f t="shared" si="108"/>
        <v>0</v>
      </c>
      <c r="H105" s="1686">
        <f t="shared" si="108"/>
        <v>0</v>
      </c>
      <c r="I105" s="1730">
        <f t="shared" si="108"/>
        <v>0</v>
      </c>
      <c r="J105" s="1730">
        <f t="shared" si="108"/>
        <v>27675</v>
      </c>
      <c r="K105" s="1730">
        <f t="shared" si="108"/>
        <v>4096363</v>
      </c>
      <c r="L105" s="1730">
        <f t="shared" si="108"/>
        <v>5250855</v>
      </c>
      <c r="M105" s="892">
        <f t="shared" si="108"/>
        <v>9374893</v>
      </c>
      <c r="N105" s="892">
        <f t="shared" si="108"/>
        <v>200449</v>
      </c>
      <c r="O105" s="892">
        <f t="shared" si="108"/>
        <v>5393436</v>
      </c>
      <c r="P105" s="892">
        <f t="shared" si="108"/>
        <v>0</v>
      </c>
      <c r="Q105" s="892">
        <f t="shared" si="108"/>
        <v>0</v>
      </c>
      <c r="R105" s="892">
        <f t="shared" si="108"/>
        <v>0</v>
      </c>
      <c r="S105" s="892">
        <f t="shared" si="108"/>
        <v>0</v>
      </c>
      <c r="T105" s="892">
        <f t="shared" si="108"/>
        <v>0</v>
      </c>
      <c r="U105" s="994">
        <f t="shared" si="108"/>
        <v>5393436</v>
      </c>
      <c r="V105" s="2705"/>
    </row>
    <row r="106" spans="1:22" s="1898" customFormat="1" ht="12" customHeight="1">
      <c r="A106" s="2679"/>
      <c r="B106" s="893" t="s">
        <v>33</v>
      </c>
      <c r="C106" s="2651"/>
      <c r="D106" s="894">
        <f>+E106+I106+J106+K106+L106+N106+O106+P106+Q106+R106+S106+T106</f>
        <v>14968778</v>
      </c>
      <c r="E106" s="895">
        <v>0</v>
      </c>
      <c r="F106" s="1688">
        <v>0</v>
      </c>
      <c r="G106" s="1688">
        <v>0</v>
      </c>
      <c r="H106" s="1688"/>
      <c r="I106" s="1732">
        <v>0</v>
      </c>
      <c r="J106" s="1732">
        <f>6315000-2528100-3749850-9375</f>
        <v>27675</v>
      </c>
      <c r="K106" s="1732">
        <f>7252500+2528100+3749850+9375-9426600-16862</f>
        <v>4096363</v>
      </c>
      <c r="L106" s="1732">
        <f>3682500+9426600+16862-9075962+1425000-224145</f>
        <v>5250855</v>
      </c>
      <c r="M106" s="895">
        <f>+E106+I106+J106+K106+L106</f>
        <v>9374893</v>
      </c>
      <c r="N106" s="895">
        <f>225975+224145-249671</f>
        <v>200449</v>
      </c>
      <c r="O106" s="895">
        <f>8849987-1425000-2031551</f>
        <v>5393436</v>
      </c>
      <c r="P106" s="717">
        <v>0</v>
      </c>
      <c r="Q106" s="717">
        <v>0</v>
      </c>
      <c r="R106" s="717">
        <v>0</v>
      </c>
      <c r="S106" s="717">
        <v>0</v>
      </c>
      <c r="T106" s="717">
        <v>0</v>
      </c>
      <c r="U106" s="967">
        <f>SUM(O106:T106)</f>
        <v>5393436</v>
      </c>
      <c r="V106" s="2705"/>
    </row>
    <row r="107" spans="1:22" s="1898" customFormat="1" ht="13.5" customHeight="1">
      <c r="A107" s="2430"/>
      <c r="B107" s="427" t="s">
        <v>34</v>
      </c>
      <c r="C107" s="896"/>
      <c r="D107" s="884">
        <f>+D108</f>
        <v>14968778</v>
      </c>
      <c r="E107" s="884">
        <f t="shared" ref="E107:T107" si="109">+E108</f>
        <v>0</v>
      </c>
      <c r="F107" s="1685">
        <f t="shared" si="109"/>
        <v>0</v>
      </c>
      <c r="G107" s="1685">
        <f t="shared" si="109"/>
        <v>0</v>
      </c>
      <c r="H107" s="1685">
        <f t="shared" si="109"/>
        <v>0</v>
      </c>
      <c r="I107" s="1729">
        <f t="shared" si="109"/>
        <v>0</v>
      </c>
      <c r="J107" s="1729">
        <f t="shared" si="109"/>
        <v>0</v>
      </c>
      <c r="K107" s="1729">
        <f t="shared" si="109"/>
        <v>4114813</v>
      </c>
      <c r="L107" s="1729">
        <f t="shared" si="109"/>
        <v>5297810</v>
      </c>
      <c r="M107" s="884">
        <f t="shared" si="109"/>
        <v>9412623</v>
      </c>
      <c r="N107" s="884">
        <f t="shared" si="109"/>
        <v>241557</v>
      </c>
      <c r="O107" s="884">
        <f t="shared" si="109"/>
        <v>5314598</v>
      </c>
      <c r="P107" s="884">
        <f t="shared" si="109"/>
        <v>0</v>
      </c>
      <c r="Q107" s="884">
        <f t="shared" si="109"/>
        <v>0</v>
      </c>
      <c r="R107" s="884">
        <f t="shared" si="109"/>
        <v>0</v>
      </c>
      <c r="S107" s="884">
        <f t="shared" si="109"/>
        <v>0</v>
      </c>
      <c r="T107" s="884">
        <f t="shared" si="109"/>
        <v>0</v>
      </c>
      <c r="U107" s="2707" t="s">
        <v>77</v>
      </c>
      <c r="V107" s="2705"/>
    </row>
    <row r="108" spans="1:22" s="1898" customFormat="1" ht="13.5" customHeight="1">
      <c r="A108" s="2430"/>
      <c r="B108" s="512" t="s">
        <v>30</v>
      </c>
      <c r="C108" s="2623"/>
      <c r="D108" s="892">
        <f t="shared" ref="D108:T108" si="110">+D109</f>
        <v>14968778</v>
      </c>
      <c r="E108" s="892">
        <f t="shared" si="110"/>
        <v>0</v>
      </c>
      <c r="F108" s="1686">
        <f t="shared" si="110"/>
        <v>0</v>
      </c>
      <c r="G108" s="1686">
        <f t="shared" si="110"/>
        <v>0</v>
      </c>
      <c r="H108" s="1686">
        <f t="shared" si="110"/>
        <v>0</v>
      </c>
      <c r="I108" s="1730">
        <f t="shared" si="110"/>
        <v>0</v>
      </c>
      <c r="J108" s="1730">
        <f t="shared" si="110"/>
        <v>0</v>
      </c>
      <c r="K108" s="1730">
        <f t="shared" si="110"/>
        <v>4114813</v>
      </c>
      <c r="L108" s="1730">
        <f t="shared" si="110"/>
        <v>5297810</v>
      </c>
      <c r="M108" s="892">
        <f t="shared" si="110"/>
        <v>9412623</v>
      </c>
      <c r="N108" s="892">
        <f t="shared" si="110"/>
        <v>241557</v>
      </c>
      <c r="O108" s="892">
        <f t="shared" si="110"/>
        <v>5314598</v>
      </c>
      <c r="P108" s="892">
        <f t="shared" si="110"/>
        <v>0</v>
      </c>
      <c r="Q108" s="892">
        <f t="shared" si="110"/>
        <v>0</v>
      </c>
      <c r="R108" s="892">
        <f t="shared" si="110"/>
        <v>0</v>
      </c>
      <c r="S108" s="892">
        <f t="shared" si="110"/>
        <v>0</v>
      </c>
      <c r="T108" s="892">
        <f t="shared" si="110"/>
        <v>0</v>
      </c>
      <c r="U108" s="2708"/>
      <c r="V108" s="2705"/>
    </row>
    <row r="109" spans="1:22" s="1898" customFormat="1" ht="11.25" customHeight="1" thickBot="1">
      <c r="A109" s="2431"/>
      <c r="B109" s="977" t="s">
        <v>33</v>
      </c>
      <c r="C109" s="2665"/>
      <c r="D109" s="903">
        <f>+E109+I109+J109+K109+L109+N109+O109+P109+Q109+R109+S109+T109</f>
        <v>14968778</v>
      </c>
      <c r="E109" s="904">
        <v>0</v>
      </c>
      <c r="F109" s="1690"/>
      <c r="G109" s="1690"/>
      <c r="H109" s="1690"/>
      <c r="I109" s="1734">
        <v>0</v>
      </c>
      <c r="J109" s="1734">
        <f>6315000-2528100-3749850-37050</f>
        <v>0</v>
      </c>
      <c r="K109" s="1734">
        <f>7252500+2528100+3749850+37050-9452687</f>
        <v>4114813</v>
      </c>
      <c r="L109" s="1734">
        <f>3682500+9452687-9020637+1425000-241740</f>
        <v>5297810</v>
      </c>
      <c r="M109" s="904">
        <f>+E109+I109+J109+K109+L109</f>
        <v>9412623</v>
      </c>
      <c r="N109" s="904">
        <f>169763+241740-169946</f>
        <v>241557</v>
      </c>
      <c r="O109" s="904">
        <f>8850874-1425000-2111276</f>
        <v>5314598</v>
      </c>
      <c r="P109" s="904">
        <v>0</v>
      </c>
      <c r="Q109" s="904">
        <v>0</v>
      </c>
      <c r="R109" s="904">
        <v>0</v>
      </c>
      <c r="S109" s="665">
        <v>0</v>
      </c>
      <c r="T109" s="665">
        <v>0</v>
      </c>
      <c r="U109" s="2709"/>
      <c r="V109" s="2706"/>
    </row>
    <row r="110" spans="1:22" s="1313" customFormat="1" ht="16.5" customHeight="1" thickBot="1">
      <c r="A110" s="995"/>
      <c r="E110" s="996"/>
      <c r="F110" s="1697"/>
      <c r="G110" s="1698"/>
      <c r="H110" s="1698"/>
      <c r="I110" s="1743"/>
      <c r="J110" s="1743"/>
      <c r="K110" s="1743"/>
      <c r="L110" s="1743"/>
      <c r="V110" s="1257"/>
    </row>
    <row r="111" spans="1:22" s="1941" customFormat="1" ht="30" customHeight="1" thickBot="1">
      <c r="A111" s="997" t="s">
        <v>245</v>
      </c>
      <c r="B111" s="998"/>
      <c r="C111" s="998"/>
      <c r="D111" s="998"/>
      <c r="E111" s="999"/>
      <c r="F111" s="1699"/>
      <c r="G111" s="1699"/>
      <c r="H111" s="1699"/>
      <c r="I111" s="1744"/>
      <c r="J111" s="1744"/>
      <c r="K111" s="1744"/>
      <c r="L111" s="1744"/>
      <c r="M111" s="998"/>
      <c r="N111" s="998"/>
      <c r="O111" s="998"/>
      <c r="P111" s="998"/>
      <c r="Q111" s="998"/>
      <c r="R111" s="998"/>
      <c r="S111" s="998"/>
      <c r="T111" s="998"/>
      <c r="U111" s="1000"/>
      <c r="V111" s="1001"/>
    </row>
    <row r="112" spans="1:22" s="1898" customFormat="1" ht="16.5" customHeight="1">
      <c r="A112" s="963"/>
      <c r="B112" s="1109" t="s">
        <v>97</v>
      </c>
      <c r="C112" s="1110"/>
      <c r="D112" s="1111">
        <f>+D113+D114</f>
        <v>55089865</v>
      </c>
      <c r="E112" s="1111">
        <f t="shared" ref="E112:Q112" si="111">+E113+E114</f>
        <v>0</v>
      </c>
      <c r="F112" s="1700">
        <f t="shared" si="111"/>
        <v>0</v>
      </c>
      <c r="G112" s="1700">
        <f t="shared" si="111"/>
        <v>0</v>
      </c>
      <c r="H112" s="1700">
        <f t="shared" si="111"/>
        <v>0</v>
      </c>
      <c r="I112" s="1745">
        <f t="shared" si="111"/>
        <v>156327</v>
      </c>
      <c r="J112" s="1745">
        <f t="shared" si="111"/>
        <v>34555</v>
      </c>
      <c r="K112" s="1745">
        <f t="shared" si="111"/>
        <v>6883394</v>
      </c>
      <c r="L112" s="1745">
        <f t="shared" si="111"/>
        <v>4899792</v>
      </c>
      <c r="M112" s="1111">
        <f t="shared" ref="M112" si="112">+M113+M114</f>
        <v>11974068</v>
      </c>
      <c r="N112" s="1111">
        <f t="shared" si="111"/>
        <v>6025272</v>
      </c>
      <c r="O112" s="1111">
        <f t="shared" si="111"/>
        <v>6638538</v>
      </c>
      <c r="P112" s="1111">
        <f t="shared" si="111"/>
        <v>9205156</v>
      </c>
      <c r="Q112" s="1111">
        <f t="shared" si="111"/>
        <v>8835105</v>
      </c>
      <c r="R112" s="1111">
        <f>+R113+R114</f>
        <v>7382305</v>
      </c>
      <c r="S112" s="1111">
        <f>+S113+S114</f>
        <v>5029421</v>
      </c>
      <c r="T112" s="1111">
        <f t="shared" ref="T112" si="113">+T113+T114</f>
        <v>0</v>
      </c>
      <c r="U112" s="843">
        <f>+U113+U114</f>
        <v>37090525</v>
      </c>
      <c r="V112" s="2732" t="s">
        <v>77</v>
      </c>
    </row>
    <row r="113" spans="1:29" s="1898" customFormat="1" ht="13.5" customHeight="1">
      <c r="A113" s="963"/>
      <c r="B113" s="1093" t="s">
        <v>98</v>
      </c>
      <c r="C113" s="1094"/>
      <c r="D113" s="1095">
        <f>+D127+D131</f>
        <v>52972785</v>
      </c>
      <c r="E113" s="1095">
        <f t="shared" ref="E113:Q113" si="114">+E127+E131</f>
        <v>0</v>
      </c>
      <c r="F113" s="1675">
        <f t="shared" si="114"/>
        <v>0</v>
      </c>
      <c r="G113" s="1675">
        <f t="shared" si="114"/>
        <v>0</v>
      </c>
      <c r="H113" s="1675">
        <f t="shared" si="114"/>
        <v>0</v>
      </c>
      <c r="I113" s="1719">
        <f t="shared" si="114"/>
        <v>0</v>
      </c>
      <c r="J113" s="1719">
        <f t="shared" si="114"/>
        <v>0</v>
      </c>
      <c r="K113" s="1719">
        <f t="shared" si="114"/>
        <v>4992196</v>
      </c>
      <c r="L113" s="1719">
        <f t="shared" si="114"/>
        <v>4899789</v>
      </c>
      <c r="M113" s="1095">
        <f t="shared" ref="M113" si="115">+M127+M131</f>
        <v>9891985</v>
      </c>
      <c r="N113" s="1095">
        <f t="shared" si="114"/>
        <v>6010424</v>
      </c>
      <c r="O113" s="1095">
        <f t="shared" si="114"/>
        <v>6618389</v>
      </c>
      <c r="P113" s="1095">
        <f t="shared" si="114"/>
        <v>9205156</v>
      </c>
      <c r="Q113" s="1095">
        <f t="shared" si="114"/>
        <v>8835105</v>
      </c>
      <c r="R113" s="1095">
        <f>+R127</f>
        <v>7382305</v>
      </c>
      <c r="S113" s="1095">
        <f>+S127</f>
        <v>5029421</v>
      </c>
      <c r="T113" s="1095">
        <f t="shared" ref="T113" si="116">+T127</f>
        <v>0</v>
      </c>
      <c r="U113" s="400">
        <f>SUM(O113:T113)</f>
        <v>37070376</v>
      </c>
      <c r="V113" s="2733"/>
    </row>
    <row r="114" spans="1:29" s="1898" customFormat="1" ht="13.5" customHeight="1" thickBot="1">
      <c r="A114" s="963"/>
      <c r="B114" s="1112" t="s">
        <v>21</v>
      </c>
      <c r="C114" s="1094"/>
      <c r="D114" s="1095">
        <f>+D123</f>
        <v>2117080</v>
      </c>
      <c r="E114" s="1095">
        <f>+E123</f>
        <v>0</v>
      </c>
      <c r="F114" s="1675">
        <f>F123</f>
        <v>0</v>
      </c>
      <c r="G114" s="1675">
        <f>G123</f>
        <v>0</v>
      </c>
      <c r="H114" s="1675">
        <f>H123</f>
        <v>0</v>
      </c>
      <c r="I114" s="1719">
        <f>+I123</f>
        <v>156327</v>
      </c>
      <c r="J114" s="1719">
        <f>+J123</f>
        <v>34555</v>
      </c>
      <c r="K114" s="1719">
        <f t="shared" ref="K114:Q114" si="117">+K123</f>
        <v>1891198</v>
      </c>
      <c r="L114" s="1719">
        <f t="shared" si="117"/>
        <v>3</v>
      </c>
      <c r="M114" s="1095">
        <f t="shared" ref="M114" si="118">+M123</f>
        <v>2082083</v>
      </c>
      <c r="N114" s="1095">
        <f t="shared" si="117"/>
        <v>14848</v>
      </c>
      <c r="O114" s="1095">
        <f t="shared" si="117"/>
        <v>20149</v>
      </c>
      <c r="P114" s="1095">
        <f t="shared" si="117"/>
        <v>0</v>
      </c>
      <c r="Q114" s="1095">
        <f t="shared" si="117"/>
        <v>0</v>
      </c>
      <c r="R114" s="1113">
        <f>+R123</f>
        <v>0</v>
      </c>
      <c r="S114" s="1113">
        <f t="shared" ref="S114:T114" si="119">+S123</f>
        <v>0</v>
      </c>
      <c r="T114" s="1113">
        <f t="shared" si="119"/>
        <v>0</v>
      </c>
      <c r="U114" s="845">
        <f>SUM(O114:R114)</f>
        <v>20149</v>
      </c>
      <c r="V114" s="2733"/>
    </row>
    <row r="115" spans="1:29" s="2076" customFormat="1" ht="16.5" customHeight="1">
      <c r="A115" s="2074"/>
      <c r="B115" s="916" t="s">
        <v>22</v>
      </c>
      <c r="C115" s="917"/>
      <c r="D115" s="849">
        <f>+D116</f>
        <v>55089865</v>
      </c>
      <c r="E115" s="849">
        <f t="shared" ref="E115:T116" si="120">+E116</f>
        <v>0</v>
      </c>
      <c r="F115" s="1677">
        <f t="shared" si="120"/>
        <v>0</v>
      </c>
      <c r="G115" s="1677">
        <f t="shared" si="120"/>
        <v>0</v>
      </c>
      <c r="H115" s="1677">
        <f t="shared" si="120"/>
        <v>0</v>
      </c>
      <c r="I115" s="1721">
        <f t="shared" si="120"/>
        <v>156327</v>
      </c>
      <c r="J115" s="1721">
        <f t="shared" si="120"/>
        <v>34555</v>
      </c>
      <c r="K115" s="1721">
        <f t="shared" si="120"/>
        <v>6883394</v>
      </c>
      <c r="L115" s="1721">
        <f t="shared" si="120"/>
        <v>4899792</v>
      </c>
      <c r="M115" s="849">
        <f t="shared" si="120"/>
        <v>11974068</v>
      </c>
      <c r="N115" s="849">
        <f t="shared" si="120"/>
        <v>6025272</v>
      </c>
      <c r="O115" s="849">
        <f t="shared" si="120"/>
        <v>6638538</v>
      </c>
      <c r="P115" s="849">
        <f t="shared" si="120"/>
        <v>9205156</v>
      </c>
      <c r="Q115" s="849">
        <f t="shared" si="120"/>
        <v>8835105</v>
      </c>
      <c r="R115" s="849">
        <f t="shared" si="120"/>
        <v>7382305</v>
      </c>
      <c r="S115" s="849">
        <f t="shared" si="120"/>
        <v>5029421</v>
      </c>
      <c r="T115" s="849">
        <f t="shared" si="120"/>
        <v>0</v>
      </c>
      <c r="U115" s="2075">
        <f>+U116</f>
        <v>37090525</v>
      </c>
      <c r="V115" s="2733"/>
    </row>
    <row r="116" spans="1:29" s="1948" customFormat="1" ht="14.25" customHeight="1">
      <c r="A116" s="1003"/>
      <c r="B116" s="852" t="s">
        <v>23</v>
      </c>
      <c r="C116" s="2735" t="s">
        <v>77</v>
      </c>
      <c r="D116" s="1004">
        <f>+D117+D118</f>
        <v>55089865</v>
      </c>
      <c r="E116" s="1004">
        <f t="shared" si="120"/>
        <v>0</v>
      </c>
      <c r="F116" s="1701">
        <f t="shared" si="120"/>
        <v>0</v>
      </c>
      <c r="G116" s="1701">
        <f t="shared" si="120"/>
        <v>0</v>
      </c>
      <c r="H116" s="1701">
        <f t="shared" si="120"/>
        <v>0</v>
      </c>
      <c r="I116" s="1746">
        <f t="shared" si="120"/>
        <v>156327</v>
      </c>
      <c r="J116" s="1746">
        <f t="shared" si="120"/>
        <v>34555</v>
      </c>
      <c r="K116" s="1746">
        <f t="shared" si="120"/>
        <v>6883394</v>
      </c>
      <c r="L116" s="1746">
        <f t="shared" si="120"/>
        <v>4899792</v>
      </c>
      <c r="M116" s="1004">
        <f t="shared" si="120"/>
        <v>11974068</v>
      </c>
      <c r="N116" s="1004">
        <f>+N117+N118</f>
        <v>6025272</v>
      </c>
      <c r="O116" s="1004">
        <f>+O117+O118</f>
        <v>6638538</v>
      </c>
      <c r="P116" s="1004">
        <f t="shared" si="120"/>
        <v>9205156</v>
      </c>
      <c r="Q116" s="1004">
        <f t="shared" si="120"/>
        <v>8835105</v>
      </c>
      <c r="R116" s="1004">
        <f t="shared" si="120"/>
        <v>7382305</v>
      </c>
      <c r="S116" s="1004">
        <f t="shared" si="120"/>
        <v>5029421</v>
      </c>
      <c r="T116" s="1004">
        <f t="shared" si="120"/>
        <v>0</v>
      </c>
      <c r="U116" s="855">
        <f>+U117+U118</f>
        <v>37090525</v>
      </c>
      <c r="V116" s="2733"/>
      <c r="W116" s="1947"/>
      <c r="X116" s="1947"/>
      <c r="Y116" s="1947"/>
      <c r="Z116" s="1947"/>
      <c r="AA116" s="1947"/>
      <c r="AB116" s="1947"/>
      <c r="AC116" s="1947"/>
    </row>
    <row r="117" spans="1:29" s="1943" customFormat="1" ht="13.5" customHeight="1">
      <c r="A117" s="858"/>
      <c r="B117" s="859" t="s">
        <v>24</v>
      </c>
      <c r="C117" s="2736"/>
      <c r="D117" s="1005">
        <f>+D125+D129+D133</f>
        <v>54689865</v>
      </c>
      <c r="E117" s="1005">
        <f>+E125+E129</f>
        <v>0</v>
      </c>
      <c r="F117" s="1702">
        <f t="shared" ref="F117:L117" si="121">+F125+F129</f>
        <v>0</v>
      </c>
      <c r="G117" s="1702">
        <f t="shared" si="121"/>
        <v>0</v>
      </c>
      <c r="H117" s="1702">
        <f t="shared" si="121"/>
        <v>0</v>
      </c>
      <c r="I117" s="1747">
        <f t="shared" si="121"/>
        <v>156327</v>
      </c>
      <c r="J117" s="1747">
        <f t="shared" si="121"/>
        <v>34555</v>
      </c>
      <c r="K117" s="1747">
        <f t="shared" si="121"/>
        <v>6883394</v>
      </c>
      <c r="L117" s="1747">
        <f t="shared" si="121"/>
        <v>4899792</v>
      </c>
      <c r="M117" s="1005">
        <f t="shared" ref="M117" si="122">+M125+M129</f>
        <v>11974068</v>
      </c>
      <c r="N117" s="1005">
        <f>+N125+N129+N133</f>
        <v>5825272</v>
      </c>
      <c r="O117" s="1005">
        <f>+O125+O129+O133</f>
        <v>6438538</v>
      </c>
      <c r="P117" s="1005">
        <f>+P125+P129+P133</f>
        <v>9205156</v>
      </c>
      <c r="Q117" s="1005">
        <f>+Q125+Q129</f>
        <v>8835105</v>
      </c>
      <c r="R117" s="1005">
        <f t="shared" ref="R117:T117" si="123">+R125+R129</f>
        <v>7382305</v>
      </c>
      <c r="S117" s="1005">
        <f t="shared" si="123"/>
        <v>5029421</v>
      </c>
      <c r="T117" s="1005">
        <f t="shared" si="123"/>
        <v>0</v>
      </c>
      <c r="U117" s="1006">
        <f>SUM(O117:T117)</f>
        <v>36890525</v>
      </c>
      <c r="V117" s="2733"/>
    </row>
    <row r="118" spans="1:29" s="1943" customFormat="1" ht="13.5" customHeight="1">
      <c r="A118" s="858"/>
      <c r="B118" s="859" t="s">
        <v>26</v>
      </c>
      <c r="C118" s="2737"/>
      <c r="D118" s="1005">
        <f>+D134</f>
        <v>400000</v>
      </c>
      <c r="E118" s="1005">
        <f>+E134</f>
        <v>0</v>
      </c>
      <c r="F118" s="1702">
        <f t="shared" ref="F118:J118" si="124">+F134</f>
        <v>0</v>
      </c>
      <c r="G118" s="1702">
        <f t="shared" si="124"/>
        <v>0</v>
      </c>
      <c r="H118" s="1702">
        <f t="shared" si="124"/>
        <v>0</v>
      </c>
      <c r="I118" s="1747">
        <f t="shared" si="124"/>
        <v>0</v>
      </c>
      <c r="J118" s="1747">
        <f t="shared" si="124"/>
        <v>0</v>
      </c>
      <c r="K118" s="1747">
        <f t="shared" ref="K118:P118" si="125">+K134</f>
        <v>0</v>
      </c>
      <c r="L118" s="1747">
        <f t="shared" si="125"/>
        <v>0</v>
      </c>
      <c r="M118" s="1005">
        <f t="shared" si="125"/>
        <v>0</v>
      </c>
      <c r="N118" s="1005">
        <f t="shared" si="125"/>
        <v>200000</v>
      </c>
      <c r="O118" s="1005">
        <f t="shared" si="125"/>
        <v>200000</v>
      </c>
      <c r="P118" s="1005">
        <f t="shared" si="125"/>
        <v>0</v>
      </c>
      <c r="Q118" s="1005">
        <f t="shared" ref="Q118:T118" si="126">+Q134</f>
        <v>0</v>
      </c>
      <c r="R118" s="1005">
        <f t="shared" si="126"/>
        <v>0</v>
      </c>
      <c r="S118" s="1005">
        <f t="shared" si="126"/>
        <v>0</v>
      </c>
      <c r="T118" s="1005">
        <f t="shared" si="126"/>
        <v>0</v>
      </c>
      <c r="U118" s="967">
        <f>SUM(O118:T118)</f>
        <v>200000</v>
      </c>
      <c r="V118" s="2733"/>
    </row>
    <row r="119" spans="1:29" s="831" customFormat="1" ht="15" customHeight="1">
      <c r="A119" s="846"/>
      <c r="B119" s="573" t="s">
        <v>34</v>
      </c>
      <c r="C119" s="603"/>
      <c r="D119" s="1002">
        <f>+D120</f>
        <v>400000</v>
      </c>
      <c r="E119" s="1002">
        <f t="shared" ref="E119:M120" si="127">+E120</f>
        <v>0</v>
      </c>
      <c r="F119" s="1703">
        <f t="shared" si="127"/>
        <v>0</v>
      </c>
      <c r="G119" s="1703">
        <f t="shared" si="127"/>
        <v>0</v>
      </c>
      <c r="H119" s="1703">
        <f t="shared" si="127"/>
        <v>0</v>
      </c>
      <c r="I119" s="1748">
        <f t="shared" si="127"/>
        <v>0</v>
      </c>
      <c r="J119" s="1748">
        <f t="shared" si="127"/>
        <v>0</v>
      </c>
      <c r="K119" s="1748">
        <f t="shared" si="127"/>
        <v>0</v>
      </c>
      <c r="L119" s="1748">
        <f t="shared" si="127"/>
        <v>0</v>
      </c>
      <c r="M119" s="1002">
        <f t="shared" si="127"/>
        <v>0</v>
      </c>
      <c r="N119" s="1002">
        <f>+N120</f>
        <v>200000</v>
      </c>
      <c r="O119" s="1002">
        <f>+O120</f>
        <v>200000</v>
      </c>
      <c r="P119" s="1002">
        <f t="shared" ref="P119:T120" si="128">+P120</f>
        <v>0</v>
      </c>
      <c r="Q119" s="1002">
        <f t="shared" si="128"/>
        <v>0</v>
      </c>
      <c r="R119" s="1002">
        <f t="shared" si="128"/>
        <v>0</v>
      </c>
      <c r="S119" s="1002">
        <f t="shared" si="128"/>
        <v>0</v>
      </c>
      <c r="T119" s="1002">
        <f t="shared" si="128"/>
        <v>0</v>
      </c>
      <c r="U119" s="2707"/>
      <c r="V119" s="2733"/>
    </row>
    <row r="120" spans="1:29" s="831" customFormat="1" ht="14.25" customHeight="1">
      <c r="A120" s="846"/>
      <c r="B120" s="852" t="s">
        <v>23</v>
      </c>
      <c r="C120" s="2735" t="s">
        <v>77</v>
      </c>
      <c r="D120" s="1004">
        <f>+D121</f>
        <v>400000</v>
      </c>
      <c r="E120" s="1004">
        <f t="shared" si="127"/>
        <v>0</v>
      </c>
      <c r="F120" s="1701">
        <f t="shared" si="127"/>
        <v>0</v>
      </c>
      <c r="G120" s="1701">
        <f t="shared" si="127"/>
        <v>0</v>
      </c>
      <c r="H120" s="1701">
        <f t="shared" si="127"/>
        <v>0</v>
      </c>
      <c r="I120" s="1746">
        <f t="shared" si="127"/>
        <v>0</v>
      </c>
      <c r="J120" s="1746">
        <f t="shared" si="127"/>
        <v>0</v>
      </c>
      <c r="K120" s="1746">
        <f>+K121</f>
        <v>0</v>
      </c>
      <c r="L120" s="1746">
        <f t="shared" ref="L120:M120" si="129">+L121</f>
        <v>0</v>
      </c>
      <c r="M120" s="1004">
        <f t="shared" si="129"/>
        <v>0</v>
      </c>
      <c r="N120" s="1004">
        <f>+N121</f>
        <v>200000</v>
      </c>
      <c r="O120" s="1004">
        <f t="shared" ref="O120" si="130">+O121</f>
        <v>200000</v>
      </c>
      <c r="P120" s="1004">
        <f t="shared" si="128"/>
        <v>0</v>
      </c>
      <c r="Q120" s="1004">
        <f t="shared" si="128"/>
        <v>0</v>
      </c>
      <c r="R120" s="1004">
        <f t="shared" si="128"/>
        <v>0</v>
      </c>
      <c r="S120" s="1004">
        <f t="shared" si="128"/>
        <v>0</v>
      </c>
      <c r="T120" s="1004">
        <f t="shared" si="128"/>
        <v>0</v>
      </c>
      <c r="U120" s="2708"/>
      <c r="V120" s="2733"/>
    </row>
    <row r="121" spans="1:29" s="1943" customFormat="1" ht="16.5" customHeight="1" thickBot="1">
      <c r="A121" s="858"/>
      <c r="B121" s="859" t="s">
        <v>26</v>
      </c>
      <c r="C121" s="2736"/>
      <c r="D121" s="1005">
        <f>+D137</f>
        <v>400000</v>
      </c>
      <c r="E121" s="1005">
        <f>+E137</f>
        <v>0</v>
      </c>
      <c r="F121" s="1702">
        <f t="shared" ref="F121:T121" si="131">+F137</f>
        <v>0</v>
      </c>
      <c r="G121" s="1702">
        <f t="shared" si="131"/>
        <v>0</v>
      </c>
      <c r="H121" s="1702">
        <f t="shared" si="131"/>
        <v>0</v>
      </c>
      <c r="I121" s="1747">
        <f t="shared" si="131"/>
        <v>0</v>
      </c>
      <c r="J121" s="1747">
        <f t="shared" si="131"/>
        <v>0</v>
      </c>
      <c r="K121" s="1747">
        <f t="shared" si="131"/>
        <v>0</v>
      </c>
      <c r="L121" s="1747">
        <f t="shared" si="131"/>
        <v>0</v>
      </c>
      <c r="M121" s="1005">
        <f t="shared" ref="M121" si="132">+M137</f>
        <v>0</v>
      </c>
      <c r="N121" s="1005">
        <f t="shared" si="131"/>
        <v>200000</v>
      </c>
      <c r="O121" s="1005">
        <f t="shared" si="131"/>
        <v>200000</v>
      </c>
      <c r="P121" s="1005">
        <f>+P137</f>
        <v>0</v>
      </c>
      <c r="Q121" s="1005">
        <f t="shared" si="131"/>
        <v>0</v>
      </c>
      <c r="R121" s="1005">
        <f t="shared" si="131"/>
        <v>0</v>
      </c>
      <c r="S121" s="1005">
        <f t="shared" si="131"/>
        <v>0</v>
      </c>
      <c r="T121" s="1005">
        <f t="shared" si="131"/>
        <v>0</v>
      </c>
      <c r="U121" s="2709"/>
      <c r="V121" s="2734"/>
    </row>
    <row r="122" spans="1:29" s="1919" customFormat="1" ht="27.75" customHeight="1">
      <c r="A122" s="2553" t="s">
        <v>82</v>
      </c>
      <c r="B122" s="1007" t="s">
        <v>246</v>
      </c>
      <c r="C122" s="1008" t="s">
        <v>102</v>
      </c>
      <c r="D122" s="1009"/>
      <c r="E122" s="1010"/>
      <c r="F122" s="1704"/>
      <c r="G122" s="1704"/>
      <c r="H122" s="1704"/>
      <c r="I122" s="1749"/>
      <c r="J122" s="1749"/>
      <c r="K122" s="1749"/>
      <c r="L122" s="1749"/>
      <c r="M122" s="1011"/>
      <c r="N122" s="1011"/>
      <c r="O122" s="1011"/>
      <c r="P122" s="1011"/>
      <c r="Q122" s="1011"/>
      <c r="R122" s="1011"/>
      <c r="S122" s="1011"/>
      <c r="T122" s="1011"/>
      <c r="U122" s="981"/>
      <c r="V122" s="2704" t="s">
        <v>247</v>
      </c>
    </row>
    <row r="123" spans="1:29" s="1919" customFormat="1" ht="15" customHeight="1">
      <c r="A123" s="2679"/>
      <c r="B123" s="573" t="s">
        <v>22</v>
      </c>
      <c r="C123" s="905"/>
      <c r="D123" s="884">
        <f>+D124</f>
        <v>2117080</v>
      </c>
      <c r="E123" s="884">
        <f t="shared" ref="E123:U124" si="133">+E124</f>
        <v>0</v>
      </c>
      <c r="F123" s="1685">
        <f t="shared" si="133"/>
        <v>0</v>
      </c>
      <c r="G123" s="1685">
        <f t="shared" si="133"/>
        <v>0</v>
      </c>
      <c r="H123" s="1685">
        <f t="shared" si="133"/>
        <v>0</v>
      </c>
      <c r="I123" s="1729">
        <f t="shared" si="133"/>
        <v>156327</v>
      </c>
      <c r="J123" s="1729">
        <f t="shared" si="133"/>
        <v>34555</v>
      </c>
      <c r="K123" s="1729">
        <f t="shared" si="133"/>
        <v>1891198</v>
      </c>
      <c r="L123" s="1729">
        <f t="shared" si="133"/>
        <v>3</v>
      </c>
      <c r="M123" s="884">
        <f t="shared" si="133"/>
        <v>2082083</v>
      </c>
      <c r="N123" s="884">
        <f t="shared" si="133"/>
        <v>14848</v>
      </c>
      <c r="O123" s="884">
        <f t="shared" si="133"/>
        <v>20149</v>
      </c>
      <c r="P123" s="884">
        <f t="shared" si="133"/>
        <v>0</v>
      </c>
      <c r="Q123" s="884">
        <v>0</v>
      </c>
      <c r="R123" s="884">
        <v>0</v>
      </c>
      <c r="S123" s="884">
        <v>0</v>
      </c>
      <c r="T123" s="884">
        <v>0</v>
      </c>
      <c r="U123" s="976">
        <f t="shared" si="133"/>
        <v>20149</v>
      </c>
      <c r="V123" s="2716"/>
    </row>
    <row r="124" spans="1:29" s="1919" customFormat="1" ht="12" customHeight="1">
      <c r="A124" s="2679"/>
      <c r="B124" s="886" t="s">
        <v>36</v>
      </c>
      <c r="C124" s="2731" t="s">
        <v>248</v>
      </c>
      <c r="D124" s="892">
        <f>+D125</f>
        <v>2117080</v>
      </c>
      <c r="E124" s="892">
        <f t="shared" si="133"/>
        <v>0</v>
      </c>
      <c r="F124" s="1686">
        <f t="shared" si="133"/>
        <v>0</v>
      </c>
      <c r="G124" s="1686">
        <f t="shared" si="133"/>
        <v>0</v>
      </c>
      <c r="H124" s="1686">
        <f t="shared" si="133"/>
        <v>0</v>
      </c>
      <c r="I124" s="1730">
        <f t="shared" si="133"/>
        <v>156327</v>
      </c>
      <c r="J124" s="1730">
        <f t="shared" si="133"/>
        <v>34555</v>
      </c>
      <c r="K124" s="1730">
        <f t="shared" si="133"/>
        <v>1891198</v>
      </c>
      <c r="L124" s="1730">
        <f t="shared" si="133"/>
        <v>3</v>
      </c>
      <c r="M124" s="892">
        <f t="shared" si="133"/>
        <v>2082083</v>
      </c>
      <c r="N124" s="892">
        <f t="shared" si="133"/>
        <v>14848</v>
      </c>
      <c r="O124" s="892">
        <f t="shared" si="133"/>
        <v>20149</v>
      </c>
      <c r="P124" s="892">
        <f t="shared" si="133"/>
        <v>0</v>
      </c>
      <c r="Q124" s="892">
        <v>0</v>
      </c>
      <c r="R124" s="892">
        <v>0</v>
      </c>
      <c r="S124" s="892">
        <v>0</v>
      </c>
      <c r="T124" s="892">
        <v>0</v>
      </c>
      <c r="U124" s="1012">
        <f t="shared" si="133"/>
        <v>20149</v>
      </c>
      <c r="V124" s="2716"/>
    </row>
    <row r="125" spans="1:29" s="1919" customFormat="1" ht="13.5" customHeight="1" thickBot="1">
      <c r="A125" s="2710"/>
      <c r="B125" s="1013" t="s">
        <v>24</v>
      </c>
      <c r="C125" s="2665"/>
      <c r="D125" s="907">
        <f>+E125+I125+J125+K125+L125+N125+O125+P125+Q125+R125+S125+T125</f>
        <v>2117080</v>
      </c>
      <c r="E125" s="903">
        <v>0</v>
      </c>
      <c r="F125" s="1705">
        <v>0</v>
      </c>
      <c r="G125" s="1705">
        <v>0</v>
      </c>
      <c r="H125" s="1705">
        <v>0</v>
      </c>
      <c r="I125" s="1741">
        <f>153720+2607</f>
        <v>156327</v>
      </c>
      <c r="J125" s="1741">
        <f>25000+1450000+500000-1940000-445</f>
        <v>34555</v>
      </c>
      <c r="K125" s="1741">
        <f>1940000-35000-13802</f>
        <v>1891198</v>
      </c>
      <c r="L125" s="1741">
        <f>35000-34997</f>
        <v>3</v>
      </c>
      <c r="M125" s="903">
        <f>+E125+I125+J125+K125+L125</f>
        <v>2082083</v>
      </c>
      <c r="N125" s="903">
        <f>24347+8150-17649</f>
        <v>14848</v>
      </c>
      <c r="O125" s="903">
        <f>2500+17649</f>
        <v>20149</v>
      </c>
      <c r="P125" s="903">
        <f>8150-8150</f>
        <v>0</v>
      </c>
      <c r="Q125" s="903">
        <v>0</v>
      </c>
      <c r="R125" s="903">
        <v>0</v>
      </c>
      <c r="S125" s="903">
        <v>0</v>
      </c>
      <c r="T125" s="903">
        <v>0</v>
      </c>
      <c r="U125" s="1014">
        <f>SUM(O125:T125)</f>
        <v>20149</v>
      </c>
      <c r="V125" s="2717"/>
    </row>
    <row r="126" spans="1:29" s="1919" customFormat="1" ht="41.25" customHeight="1">
      <c r="A126" s="2738" t="s">
        <v>83</v>
      </c>
      <c r="B126" s="878" t="s">
        <v>314</v>
      </c>
      <c r="C126" s="1008" t="s">
        <v>138</v>
      </c>
      <c r="D126" s="880"/>
      <c r="E126" s="882"/>
      <c r="F126" s="1683"/>
      <c r="G126" s="1683"/>
      <c r="H126" s="1684"/>
      <c r="I126" s="1727"/>
      <c r="J126" s="1728"/>
      <c r="K126" s="1749"/>
      <c r="L126" s="1728"/>
      <c r="M126" s="882"/>
      <c r="N126" s="882"/>
      <c r="O126" s="882"/>
      <c r="P126" s="1949"/>
      <c r="Q126" s="1949"/>
      <c r="R126" s="1949"/>
      <c r="S126" s="1949"/>
      <c r="T126" s="1949"/>
      <c r="U126" s="1950"/>
      <c r="V126" s="2704" t="s">
        <v>249</v>
      </c>
    </row>
    <row r="127" spans="1:29" s="1919" customFormat="1" ht="13.5" customHeight="1">
      <c r="A127" s="2739"/>
      <c r="B127" s="427" t="s">
        <v>22</v>
      </c>
      <c r="C127" s="905"/>
      <c r="D127" s="884">
        <f>+D128</f>
        <v>52205837</v>
      </c>
      <c r="E127" s="884">
        <f t="shared" ref="E127:U128" si="134">+E128</f>
        <v>0</v>
      </c>
      <c r="F127" s="1685">
        <f t="shared" si="134"/>
        <v>0</v>
      </c>
      <c r="G127" s="1685">
        <f t="shared" si="134"/>
        <v>0</v>
      </c>
      <c r="H127" s="1685">
        <f t="shared" si="134"/>
        <v>0</v>
      </c>
      <c r="I127" s="1729">
        <f t="shared" si="134"/>
        <v>0</v>
      </c>
      <c r="J127" s="1729">
        <f t="shared" si="134"/>
        <v>0</v>
      </c>
      <c r="K127" s="1729">
        <f t="shared" si="134"/>
        <v>4992196</v>
      </c>
      <c r="L127" s="1729">
        <f t="shared" si="134"/>
        <v>4899789</v>
      </c>
      <c r="M127" s="884">
        <f t="shared" si="134"/>
        <v>9891985</v>
      </c>
      <c r="N127" s="884">
        <f t="shared" si="134"/>
        <v>5724950</v>
      </c>
      <c r="O127" s="884">
        <f t="shared" si="134"/>
        <v>6136915</v>
      </c>
      <c r="P127" s="884">
        <f t="shared" si="134"/>
        <v>9205156</v>
      </c>
      <c r="Q127" s="884">
        <f t="shared" si="134"/>
        <v>8835105</v>
      </c>
      <c r="R127" s="884">
        <f t="shared" si="134"/>
        <v>7382305</v>
      </c>
      <c r="S127" s="884">
        <f t="shared" si="134"/>
        <v>5029421</v>
      </c>
      <c r="T127" s="884">
        <f t="shared" si="134"/>
        <v>0</v>
      </c>
      <c r="U127" s="1015">
        <f t="shared" si="134"/>
        <v>36588902</v>
      </c>
      <c r="V127" s="2716"/>
    </row>
    <row r="128" spans="1:29" s="1919" customFormat="1" ht="13.5" customHeight="1">
      <c r="A128" s="2739"/>
      <c r="B128" s="886" t="s">
        <v>36</v>
      </c>
      <c r="C128" s="2680" t="s">
        <v>233</v>
      </c>
      <c r="D128" s="990">
        <f>+D129</f>
        <v>52205837</v>
      </c>
      <c r="E128" s="990">
        <f t="shared" si="134"/>
        <v>0</v>
      </c>
      <c r="F128" s="1696">
        <f t="shared" si="134"/>
        <v>0</v>
      </c>
      <c r="G128" s="1696">
        <f t="shared" si="134"/>
        <v>0</v>
      </c>
      <c r="H128" s="1696">
        <f t="shared" si="134"/>
        <v>0</v>
      </c>
      <c r="I128" s="1742">
        <f t="shared" si="134"/>
        <v>0</v>
      </c>
      <c r="J128" s="1742">
        <f t="shared" si="134"/>
        <v>0</v>
      </c>
      <c r="K128" s="1742">
        <f t="shared" si="134"/>
        <v>4992196</v>
      </c>
      <c r="L128" s="1742">
        <f t="shared" si="134"/>
        <v>4899789</v>
      </c>
      <c r="M128" s="990">
        <f t="shared" si="134"/>
        <v>9891985</v>
      </c>
      <c r="N128" s="990">
        <f t="shared" si="134"/>
        <v>5724950</v>
      </c>
      <c r="O128" s="990">
        <f t="shared" si="134"/>
        <v>6136915</v>
      </c>
      <c r="P128" s="990">
        <f t="shared" si="134"/>
        <v>9205156</v>
      </c>
      <c r="Q128" s="990">
        <f t="shared" si="134"/>
        <v>8835105</v>
      </c>
      <c r="R128" s="1951">
        <f t="shared" si="134"/>
        <v>7382305</v>
      </c>
      <c r="S128" s="1951">
        <f t="shared" si="134"/>
        <v>5029421</v>
      </c>
      <c r="T128" s="1951">
        <f t="shared" si="134"/>
        <v>0</v>
      </c>
      <c r="U128" s="1016">
        <f t="shared" si="134"/>
        <v>36588902</v>
      </c>
      <c r="V128" s="2716"/>
    </row>
    <row r="129" spans="1:22" s="1919" customFormat="1" ht="13.5" customHeight="1" thickBot="1">
      <c r="A129" s="2740"/>
      <c r="B129" s="1952" t="s">
        <v>24</v>
      </c>
      <c r="C129" s="2742"/>
      <c r="D129" s="1953">
        <f>+E129+I129+J129+K129+L129+N129+O129+P129+Q129+R129+S129+T129</f>
        <v>52205837</v>
      </c>
      <c r="E129" s="1953">
        <v>0</v>
      </c>
      <c r="F129" s="1705"/>
      <c r="G129" s="1705"/>
      <c r="H129" s="1705"/>
      <c r="I129" s="1741">
        <v>0</v>
      </c>
      <c r="J129" s="1741">
        <f>1125478-1125478</f>
        <v>0</v>
      </c>
      <c r="K129" s="1741">
        <f>7028902-2036706</f>
        <v>4992196</v>
      </c>
      <c r="L129" s="1741">
        <f>8468756-1002327-2055288-511352</f>
        <v>4899789</v>
      </c>
      <c r="M129" s="1953">
        <f>+E129+I129+J129+K129+L129</f>
        <v>9891985</v>
      </c>
      <c r="N129" s="1953">
        <f>8580352-876446-1300000-678956</f>
        <v>5724950</v>
      </c>
      <c r="O129" s="1953">
        <f>9259840-3875840+85000+497000-1300000+1470915</f>
        <v>6136915</v>
      </c>
      <c r="P129" s="1953">
        <f>9445041-9445041+300000+130000+8775156</f>
        <v>9205156</v>
      </c>
      <c r="Q129" s="1953">
        <f>0+8835105</f>
        <v>8835105</v>
      </c>
      <c r="R129" s="1954">
        <f>0+7382305</f>
        <v>7382305</v>
      </c>
      <c r="S129" s="1954">
        <v>5029421</v>
      </c>
      <c r="T129" s="1954">
        <v>0</v>
      </c>
      <c r="U129" s="1014">
        <f>SUM(O129:T129)</f>
        <v>36588902</v>
      </c>
      <c r="V129" s="2741"/>
    </row>
    <row r="130" spans="1:22" s="1919" customFormat="1" ht="54.75" customHeight="1">
      <c r="A130" s="2553" t="s">
        <v>84</v>
      </c>
      <c r="B130" s="878" t="s">
        <v>250</v>
      </c>
      <c r="C130" s="1008" t="s">
        <v>138</v>
      </c>
      <c r="D130" s="880"/>
      <c r="E130" s="980"/>
      <c r="F130" s="1706"/>
      <c r="G130" s="1706"/>
      <c r="H130" s="1707"/>
      <c r="I130" s="1750"/>
      <c r="J130" s="1751"/>
      <c r="K130" s="1752"/>
      <c r="L130" s="1751"/>
      <c r="M130" s="980"/>
      <c r="N130" s="980"/>
      <c r="O130" s="980"/>
      <c r="P130" s="980"/>
      <c r="Q130" s="980"/>
      <c r="R130" s="980"/>
      <c r="S130" s="980"/>
      <c r="T130" s="980"/>
      <c r="U130" s="2348"/>
      <c r="V130" s="2645" t="s">
        <v>251</v>
      </c>
    </row>
    <row r="131" spans="1:22" s="1919" customFormat="1" ht="13.5" customHeight="1">
      <c r="A131" s="2679"/>
      <c r="B131" s="427" t="s">
        <v>22</v>
      </c>
      <c r="C131" s="1018"/>
      <c r="D131" s="884">
        <f>+D132</f>
        <v>766948</v>
      </c>
      <c r="E131" s="884">
        <f t="shared" ref="E131:T131" si="135">+E132</f>
        <v>0</v>
      </c>
      <c r="F131" s="1685">
        <f t="shared" si="135"/>
        <v>0</v>
      </c>
      <c r="G131" s="1685">
        <f t="shared" si="135"/>
        <v>0</v>
      </c>
      <c r="H131" s="1685">
        <f t="shared" si="135"/>
        <v>0</v>
      </c>
      <c r="I131" s="1729">
        <f t="shared" si="135"/>
        <v>0</v>
      </c>
      <c r="J131" s="1729">
        <f t="shared" si="135"/>
        <v>0</v>
      </c>
      <c r="K131" s="1729">
        <f t="shared" si="135"/>
        <v>0</v>
      </c>
      <c r="L131" s="1729">
        <f t="shared" si="135"/>
        <v>0</v>
      </c>
      <c r="M131" s="884">
        <f t="shared" si="135"/>
        <v>0</v>
      </c>
      <c r="N131" s="884">
        <f t="shared" si="135"/>
        <v>285474</v>
      </c>
      <c r="O131" s="884">
        <f t="shared" si="135"/>
        <v>481474</v>
      </c>
      <c r="P131" s="884">
        <f t="shared" si="135"/>
        <v>0</v>
      </c>
      <c r="Q131" s="884">
        <f t="shared" si="135"/>
        <v>0</v>
      </c>
      <c r="R131" s="884">
        <f t="shared" si="135"/>
        <v>0</v>
      </c>
      <c r="S131" s="884">
        <f t="shared" si="135"/>
        <v>0</v>
      </c>
      <c r="T131" s="884">
        <f t="shared" si="135"/>
        <v>0</v>
      </c>
      <c r="U131" s="1015">
        <f>+U132</f>
        <v>481474</v>
      </c>
      <c r="V131" s="2659"/>
    </row>
    <row r="132" spans="1:22" s="1919" customFormat="1" ht="13.5" customHeight="1">
      <c r="A132" s="2679"/>
      <c r="B132" s="886" t="s">
        <v>36</v>
      </c>
      <c r="C132" s="2680" t="s">
        <v>252</v>
      </c>
      <c r="D132" s="990">
        <f>+D133+D134</f>
        <v>766948</v>
      </c>
      <c r="E132" s="990">
        <f t="shared" ref="E132:L132" si="136">+E134</f>
        <v>0</v>
      </c>
      <c r="F132" s="1696">
        <f t="shared" si="136"/>
        <v>0</v>
      </c>
      <c r="G132" s="1696">
        <f t="shared" si="136"/>
        <v>0</v>
      </c>
      <c r="H132" s="1696">
        <f t="shared" si="136"/>
        <v>0</v>
      </c>
      <c r="I132" s="1742">
        <f t="shared" si="136"/>
        <v>0</v>
      </c>
      <c r="J132" s="1742">
        <f t="shared" si="136"/>
        <v>0</v>
      </c>
      <c r="K132" s="1742">
        <f t="shared" si="136"/>
        <v>0</v>
      </c>
      <c r="L132" s="1742">
        <f t="shared" si="136"/>
        <v>0</v>
      </c>
      <c r="M132" s="990">
        <f>+M133+M134</f>
        <v>0</v>
      </c>
      <c r="N132" s="990">
        <f>+N133+N134</f>
        <v>285474</v>
      </c>
      <c r="O132" s="990">
        <f>+O133+O134</f>
        <v>481474</v>
      </c>
      <c r="P132" s="990">
        <f t="shared" ref="P132:T132" si="137">+P133+P134</f>
        <v>0</v>
      </c>
      <c r="Q132" s="990">
        <f t="shared" si="137"/>
        <v>0</v>
      </c>
      <c r="R132" s="990">
        <f t="shared" si="137"/>
        <v>0</v>
      </c>
      <c r="S132" s="990">
        <f t="shared" si="137"/>
        <v>0</v>
      </c>
      <c r="T132" s="990">
        <f t="shared" si="137"/>
        <v>0</v>
      </c>
      <c r="U132" s="1016">
        <f>+U133+U134</f>
        <v>481474</v>
      </c>
      <c r="V132" s="2659"/>
    </row>
    <row r="133" spans="1:22" s="1919" customFormat="1" ht="13.5" customHeight="1">
      <c r="A133" s="2679"/>
      <c r="B133" s="1314" t="s">
        <v>24</v>
      </c>
      <c r="C133" s="2744"/>
      <c r="D133" s="1315">
        <f>+E133+I133+J133+K133+L133+N133+O133+P133+Q133+R133+S133+T133</f>
        <v>366948</v>
      </c>
      <c r="E133" s="1315">
        <v>0</v>
      </c>
      <c r="F133" s="1708"/>
      <c r="G133" s="1708"/>
      <c r="H133" s="1708"/>
      <c r="I133" s="1753"/>
      <c r="J133" s="1753"/>
      <c r="K133" s="1753"/>
      <c r="L133" s="1753"/>
      <c r="M133" s="1315">
        <f>+E133+I133+J133+K133+L133</f>
        <v>0</v>
      </c>
      <c r="N133" s="1315">
        <f>530000-201474-243052</f>
        <v>85474</v>
      </c>
      <c r="O133" s="1315">
        <v>281474</v>
      </c>
      <c r="P133" s="1315">
        <v>0</v>
      </c>
      <c r="Q133" s="1315">
        <v>0</v>
      </c>
      <c r="R133" s="1315">
        <v>0</v>
      </c>
      <c r="S133" s="1667">
        <v>0</v>
      </c>
      <c r="T133" s="1667">
        <v>0</v>
      </c>
      <c r="U133" s="985">
        <f>SUM(O133:T133)</f>
        <v>281474</v>
      </c>
      <c r="V133" s="2659"/>
    </row>
    <row r="134" spans="1:22" s="1919" customFormat="1" ht="13.5" customHeight="1">
      <c r="A134" s="2679"/>
      <c r="B134" s="2209" t="s">
        <v>26</v>
      </c>
      <c r="C134" s="2745"/>
      <c r="D134" s="1019">
        <f>+E134+I134+J134+K134+L134+N134+O134+P134+Q134+R134+S134+T134</f>
        <v>400000</v>
      </c>
      <c r="E134" s="1019">
        <v>0</v>
      </c>
      <c r="F134" s="1709"/>
      <c r="G134" s="1709"/>
      <c r="H134" s="1709"/>
      <c r="I134" s="1754">
        <v>0</v>
      </c>
      <c r="J134" s="1754">
        <f>1125478-1125478</f>
        <v>0</v>
      </c>
      <c r="K134" s="1754">
        <v>0</v>
      </c>
      <c r="L134" s="1754">
        <v>0</v>
      </c>
      <c r="M134" s="1019">
        <f>+E134+I134+J134+K134+L134</f>
        <v>0</v>
      </c>
      <c r="N134" s="1019">
        <v>200000</v>
      </c>
      <c r="O134" s="1019">
        <v>200000</v>
      </c>
      <c r="P134" s="1019">
        <v>0</v>
      </c>
      <c r="Q134" s="1019">
        <v>0</v>
      </c>
      <c r="R134" s="1019">
        <v>0</v>
      </c>
      <c r="S134" s="1019">
        <v>0</v>
      </c>
      <c r="T134" s="1019">
        <v>0</v>
      </c>
      <c r="U134" s="967">
        <f>SUM(O134:T134)</f>
        <v>200000</v>
      </c>
      <c r="V134" s="2659"/>
    </row>
    <row r="135" spans="1:22" s="1898" customFormat="1" ht="13.5" customHeight="1">
      <c r="A135" s="2679"/>
      <c r="B135" s="427" t="s">
        <v>34</v>
      </c>
      <c r="C135" s="1018"/>
      <c r="D135" s="884">
        <f>+D136</f>
        <v>400000</v>
      </c>
      <c r="E135" s="884">
        <f t="shared" ref="E135:T135" si="138">+E136</f>
        <v>0</v>
      </c>
      <c r="F135" s="1685">
        <f t="shared" si="138"/>
        <v>0</v>
      </c>
      <c r="G135" s="1685">
        <f t="shared" si="138"/>
        <v>0</v>
      </c>
      <c r="H135" s="1685">
        <f t="shared" si="138"/>
        <v>0</v>
      </c>
      <c r="I135" s="1729">
        <f t="shared" si="138"/>
        <v>0</v>
      </c>
      <c r="J135" s="1729">
        <f t="shared" si="138"/>
        <v>0</v>
      </c>
      <c r="K135" s="1729">
        <f t="shared" si="138"/>
        <v>0</v>
      </c>
      <c r="L135" s="1729">
        <f t="shared" si="138"/>
        <v>0</v>
      </c>
      <c r="M135" s="884">
        <f t="shared" si="138"/>
        <v>0</v>
      </c>
      <c r="N135" s="884">
        <f t="shared" si="138"/>
        <v>200000</v>
      </c>
      <c r="O135" s="884">
        <f t="shared" si="138"/>
        <v>200000</v>
      </c>
      <c r="P135" s="884">
        <f t="shared" si="138"/>
        <v>0</v>
      </c>
      <c r="Q135" s="884">
        <f t="shared" si="138"/>
        <v>0</v>
      </c>
      <c r="R135" s="884">
        <f t="shared" si="138"/>
        <v>0</v>
      </c>
      <c r="S135" s="897">
        <f t="shared" si="138"/>
        <v>0</v>
      </c>
      <c r="T135" s="884">
        <f t="shared" si="138"/>
        <v>0</v>
      </c>
      <c r="U135" s="2707" t="s">
        <v>35</v>
      </c>
      <c r="V135" s="2659"/>
    </row>
    <row r="136" spans="1:22" s="1898" customFormat="1" ht="13.5" customHeight="1">
      <c r="A136" s="2430"/>
      <c r="B136" s="886" t="s">
        <v>36</v>
      </c>
      <c r="C136" s="2680" t="s">
        <v>253</v>
      </c>
      <c r="D136" s="990">
        <f t="shared" ref="D136:T136" si="139">+D137</f>
        <v>400000</v>
      </c>
      <c r="E136" s="990">
        <f t="shared" si="139"/>
        <v>0</v>
      </c>
      <c r="F136" s="1696">
        <f t="shared" si="139"/>
        <v>0</v>
      </c>
      <c r="G136" s="1696">
        <f t="shared" si="139"/>
        <v>0</v>
      </c>
      <c r="H136" s="1696">
        <f t="shared" si="139"/>
        <v>0</v>
      </c>
      <c r="I136" s="1742">
        <f t="shared" si="139"/>
        <v>0</v>
      </c>
      <c r="J136" s="1742">
        <f t="shared" si="139"/>
        <v>0</v>
      </c>
      <c r="K136" s="1742">
        <f t="shared" si="139"/>
        <v>0</v>
      </c>
      <c r="L136" s="1742">
        <f t="shared" si="139"/>
        <v>0</v>
      </c>
      <c r="M136" s="990">
        <f t="shared" si="139"/>
        <v>0</v>
      </c>
      <c r="N136" s="990">
        <f t="shared" si="139"/>
        <v>200000</v>
      </c>
      <c r="O136" s="990">
        <f t="shared" si="139"/>
        <v>200000</v>
      </c>
      <c r="P136" s="990">
        <f t="shared" si="139"/>
        <v>0</v>
      </c>
      <c r="Q136" s="990">
        <f t="shared" si="139"/>
        <v>0</v>
      </c>
      <c r="R136" s="990">
        <f t="shared" si="139"/>
        <v>0</v>
      </c>
      <c r="S136" s="1669">
        <f t="shared" si="139"/>
        <v>0</v>
      </c>
      <c r="T136" s="1670">
        <f t="shared" si="139"/>
        <v>0</v>
      </c>
      <c r="U136" s="2708"/>
      <c r="V136" s="2659"/>
    </row>
    <row r="137" spans="1:22" s="1898" customFormat="1" ht="12.75" customHeight="1" thickBot="1">
      <c r="A137" s="2431"/>
      <c r="B137" s="2215" t="s">
        <v>26</v>
      </c>
      <c r="C137" s="2742"/>
      <c r="D137" s="1020">
        <f>+E137+I137+J137+K137+L137+N137+O137+P137+Q137+R137+S137+T137</f>
        <v>400000</v>
      </c>
      <c r="E137" s="1020">
        <v>0</v>
      </c>
      <c r="F137" s="1710"/>
      <c r="G137" s="1710"/>
      <c r="H137" s="1710"/>
      <c r="I137" s="1755">
        <v>0</v>
      </c>
      <c r="J137" s="1755">
        <f>6315000-2528100-3749850-37050</f>
        <v>0</v>
      </c>
      <c r="K137" s="1755">
        <v>0</v>
      </c>
      <c r="L137" s="1755">
        <v>0</v>
      </c>
      <c r="M137" s="1020">
        <f>+E137+I137+J137+K137+L137</f>
        <v>0</v>
      </c>
      <c r="N137" s="1020">
        <v>200000</v>
      </c>
      <c r="O137" s="1020">
        <v>200000</v>
      </c>
      <c r="P137" s="1020">
        <v>0</v>
      </c>
      <c r="Q137" s="1020">
        <v>0</v>
      </c>
      <c r="R137" s="1020">
        <v>0</v>
      </c>
      <c r="S137" s="1668">
        <v>0</v>
      </c>
      <c r="T137" s="1668">
        <v>0</v>
      </c>
      <c r="U137" s="2709"/>
      <c r="V137" s="2743"/>
    </row>
    <row r="138" spans="1:22">
      <c r="E138" s="1316"/>
      <c r="F138" s="1671"/>
    </row>
    <row r="139" spans="1:22">
      <c r="A139" s="2703"/>
      <c r="B139" s="2703"/>
      <c r="C139" s="2703"/>
      <c r="D139" s="2703"/>
      <c r="E139" s="2703"/>
      <c r="F139" s="2703"/>
      <c r="G139" s="2703"/>
      <c r="H139" s="2703"/>
      <c r="I139" s="2703"/>
      <c r="J139" s="2703"/>
      <c r="K139" s="2703"/>
      <c r="L139" s="2703"/>
      <c r="M139" s="2703"/>
      <c r="N139" s="2703"/>
      <c r="O139" s="2703"/>
      <c r="P139" s="2703"/>
      <c r="Q139" s="2703"/>
      <c r="R139" s="2703"/>
      <c r="S139" s="2703"/>
      <c r="T139" s="2703"/>
      <c r="U139" s="2703"/>
      <c r="V139" s="2703"/>
    </row>
    <row r="140" spans="1:22">
      <c r="E140" s="1316"/>
      <c r="F140" s="1671"/>
    </row>
    <row r="141" spans="1:22">
      <c r="E141" s="1316"/>
      <c r="F141" s="1671"/>
    </row>
    <row r="142" spans="1:22">
      <c r="E142" s="1316"/>
      <c r="F142" s="1671"/>
    </row>
    <row r="143" spans="1:22">
      <c r="E143" s="1316"/>
      <c r="F143" s="1671"/>
    </row>
    <row r="144" spans="1:22">
      <c r="E144" s="1316"/>
      <c r="F144" s="1671"/>
    </row>
    <row r="145" spans="5:6">
      <c r="E145" s="1316"/>
      <c r="F145" s="1671"/>
    </row>
    <row r="146" spans="5:6">
      <c r="E146" s="1316"/>
      <c r="F146" s="1671"/>
    </row>
    <row r="147" spans="5:6">
      <c r="E147" s="1316"/>
      <c r="F147" s="1671"/>
    </row>
    <row r="148" spans="5:6">
      <c r="E148" s="1316"/>
      <c r="F148" s="1671"/>
    </row>
    <row r="149" spans="5:6">
      <c r="E149" s="1316"/>
      <c r="F149" s="1671"/>
    </row>
    <row r="150" spans="5:6">
      <c r="E150" s="1316"/>
      <c r="F150" s="1671"/>
    </row>
    <row r="151" spans="5:6">
      <c r="E151" s="1316"/>
      <c r="F151" s="1671"/>
    </row>
    <row r="152" spans="5:6">
      <c r="E152" s="1316"/>
      <c r="F152" s="1671"/>
    </row>
    <row r="153" spans="5:6">
      <c r="E153" s="1316"/>
      <c r="F153" s="1671"/>
    </row>
    <row r="154" spans="5:6">
      <c r="E154" s="1316"/>
      <c r="F154" s="1671"/>
    </row>
    <row r="155" spans="5:6">
      <c r="E155" s="1316"/>
      <c r="F155" s="1671"/>
    </row>
    <row r="156" spans="5:6">
      <c r="E156" s="1316"/>
      <c r="F156" s="1671"/>
    </row>
    <row r="157" spans="5:6">
      <c r="E157" s="1316"/>
      <c r="F157" s="1671"/>
    </row>
    <row r="158" spans="5:6">
      <c r="E158" s="1316"/>
      <c r="F158" s="1671"/>
    </row>
    <row r="159" spans="5:6">
      <c r="E159" s="1316"/>
      <c r="F159" s="1671"/>
    </row>
    <row r="160" spans="5:6">
      <c r="E160" s="1316"/>
      <c r="F160" s="1671"/>
    </row>
    <row r="161" spans="5:6">
      <c r="E161" s="1316"/>
      <c r="F161" s="1671"/>
    </row>
    <row r="162" spans="5:6">
      <c r="E162" s="1316"/>
      <c r="F162" s="1671"/>
    </row>
    <row r="163" spans="5:6">
      <c r="E163" s="1316"/>
      <c r="F163" s="1671"/>
    </row>
    <row r="164" spans="5:6">
      <c r="E164" s="1316"/>
      <c r="F164" s="1671"/>
    </row>
    <row r="165" spans="5:6">
      <c r="E165" s="1316"/>
      <c r="F165" s="1671"/>
    </row>
    <row r="166" spans="5:6">
      <c r="E166" s="1316"/>
      <c r="F166" s="1671"/>
    </row>
    <row r="167" spans="5:6">
      <c r="E167" s="1316"/>
      <c r="F167" s="1671"/>
    </row>
    <row r="168" spans="5:6">
      <c r="E168" s="1316"/>
      <c r="F168" s="1671"/>
    </row>
    <row r="169" spans="5:6">
      <c r="E169" s="1316"/>
      <c r="F169" s="1671"/>
    </row>
    <row r="170" spans="5:6">
      <c r="E170" s="1316"/>
      <c r="F170" s="1671"/>
    </row>
    <row r="171" spans="5:6">
      <c r="E171" s="1316"/>
      <c r="F171" s="1671"/>
    </row>
    <row r="172" spans="5:6">
      <c r="E172" s="1316"/>
      <c r="F172" s="1671"/>
    </row>
    <row r="173" spans="5:6">
      <c r="E173" s="1316"/>
      <c r="F173" s="1671"/>
    </row>
    <row r="174" spans="5:6">
      <c r="E174" s="1316"/>
      <c r="F174" s="1671"/>
    </row>
    <row r="175" spans="5:6">
      <c r="E175" s="1316"/>
      <c r="F175" s="1671"/>
    </row>
    <row r="176" spans="5:6">
      <c r="E176" s="1316"/>
      <c r="F176" s="1671"/>
    </row>
    <row r="177" spans="5:6">
      <c r="E177" s="1316"/>
      <c r="F177" s="1671"/>
    </row>
    <row r="178" spans="5:6">
      <c r="E178" s="1316"/>
      <c r="F178" s="1671"/>
    </row>
    <row r="179" spans="5:6">
      <c r="E179" s="1316"/>
      <c r="F179" s="1671"/>
    </row>
    <row r="180" spans="5:6">
      <c r="E180" s="1316"/>
      <c r="F180" s="1671"/>
    </row>
    <row r="181" spans="5:6">
      <c r="E181" s="1316"/>
      <c r="F181" s="1671"/>
    </row>
    <row r="182" spans="5:6">
      <c r="E182" s="1316"/>
      <c r="F182" s="1671"/>
    </row>
    <row r="183" spans="5:6">
      <c r="E183" s="1316"/>
      <c r="F183" s="1671"/>
    </row>
    <row r="184" spans="5:6">
      <c r="E184" s="1316"/>
      <c r="F184" s="1671"/>
    </row>
    <row r="185" spans="5:6">
      <c r="E185" s="1316"/>
      <c r="F185" s="1671"/>
    </row>
    <row r="186" spans="5:6">
      <c r="E186" s="1316"/>
      <c r="F186" s="1671"/>
    </row>
    <row r="187" spans="5:6">
      <c r="E187" s="1316"/>
      <c r="F187" s="1671"/>
    </row>
    <row r="188" spans="5:6">
      <c r="E188" s="1316"/>
      <c r="F188" s="1671"/>
    </row>
    <row r="189" spans="5:6">
      <c r="E189" s="1316"/>
      <c r="F189" s="1671"/>
    </row>
    <row r="190" spans="5:6">
      <c r="E190" s="1316"/>
      <c r="F190" s="1671"/>
    </row>
    <row r="191" spans="5:6">
      <c r="E191" s="1316"/>
      <c r="F191" s="1671"/>
    </row>
    <row r="192" spans="5:6">
      <c r="E192" s="1316"/>
      <c r="F192" s="1671"/>
    </row>
    <row r="193" spans="5:6">
      <c r="E193" s="1316"/>
      <c r="F193" s="1671"/>
    </row>
    <row r="194" spans="5:6">
      <c r="E194" s="1316"/>
      <c r="F194" s="1671"/>
    </row>
    <row r="195" spans="5:6">
      <c r="E195" s="1316"/>
      <c r="F195" s="1671"/>
    </row>
    <row r="196" spans="5:6">
      <c r="E196" s="1316"/>
      <c r="F196" s="1671"/>
    </row>
    <row r="197" spans="5:6">
      <c r="E197" s="1316"/>
      <c r="F197" s="1671"/>
    </row>
    <row r="198" spans="5:6">
      <c r="E198" s="1316"/>
      <c r="F198" s="1671"/>
    </row>
    <row r="199" spans="5:6">
      <c r="E199" s="1316"/>
      <c r="F199" s="1671"/>
    </row>
    <row r="200" spans="5:6">
      <c r="E200" s="1316"/>
      <c r="F200" s="1671"/>
    </row>
    <row r="201" spans="5:6">
      <c r="E201" s="1316"/>
      <c r="F201" s="1671"/>
    </row>
    <row r="202" spans="5:6">
      <c r="E202" s="1316"/>
      <c r="F202" s="1671"/>
    </row>
    <row r="203" spans="5:6">
      <c r="E203" s="1316"/>
      <c r="F203" s="1671"/>
    </row>
    <row r="204" spans="5:6">
      <c r="E204" s="1316"/>
      <c r="F204" s="1671"/>
    </row>
    <row r="205" spans="5:6">
      <c r="E205" s="1316"/>
      <c r="F205" s="1671"/>
    </row>
    <row r="206" spans="5:6">
      <c r="E206" s="1316"/>
      <c r="F206" s="1671"/>
    </row>
    <row r="207" spans="5:6">
      <c r="E207" s="1316"/>
      <c r="F207" s="1671"/>
    </row>
    <row r="208" spans="5:6">
      <c r="E208" s="1316"/>
      <c r="F208" s="1671"/>
    </row>
    <row r="209" spans="5:6">
      <c r="E209" s="1316"/>
      <c r="F209" s="1671"/>
    </row>
    <row r="210" spans="5:6">
      <c r="E210" s="1316"/>
      <c r="F210" s="1671"/>
    </row>
    <row r="211" spans="5:6">
      <c r="E211" s="1316"/>
      <c r="F211" s="1671"/>
    </row>
    <row r="212" spans="5:6">
      <c r="E212" s="1316"/>
      <c r="F212" s="1671"/>
    </row>
    <row r="213" spans="5:6">
      <c r="E213" s="1316"/>
      <c r="F213" s="1671"/>
    </row>
    <row r="214" spans="5:6">
      <c r="E214" s="1316"/>
      <c r="F214" s="1671"/>
    </row>
    <row r="215" spans="5:6">
      <c r="E215" s="1316"/>
      <c r="F215" s="1671"/>
    </row>
    <row r="216" spans="5:6">
      <c r="E216" s="1316"/>
      <c r="F216" s="1671"/>
    </row>
    <row r="217" spans="5:6">
      <c r="E217" s="1316"/>
      <c r="F217" s="1671"/>
    </row>
    <row r="218" spans="5:6">
      <c r="E218" s="1316"/>
      <c r="F218" s="1671"/>
    </row>
    <row r="219" spans="5:6">
      <c r="E219" s="1316"/>
      <c r="F219" s="1671"/>
    </row>
    <row r="220" spans="5:6">
      <c r="E220" s="1316"/>
      <c r="F220" s="1671"/>
    </row>
    <row r="221" spans="5:6">
      <c r="E221" s="1316"/>
      <c r="F221" s="1671"/>
    </row>
    <row r="222" spans="5:6">
      <c r="E222" s="1316"/>
      <c r="F222" s="1671"/>
    </row>
    <row r="223" spans="5:6">
      <c r="E223" s="1316"/>
      <c r="F223" s="1671"/>
    </row>
    <row r="224" spans="5:6">
      <c r="E224" s="1316"/>
      <c r="F224" s="1671"/>
    </row>
    <row r="225" spans="5:6">
      <c r="E225" s="1316"/>
      <c r="F225" s="1671"/>
    </row>
    <row r="226" spans="5:6">
      <c r="E226" s="1316"/>
      <c r="F226" s="1671"/>
    </row>
    <row r="227" spans="5:6">
      <c r="E227" s="1316"/>
      <c r="F227" s="1671"/>
    </row>
    <row r="228" spans="5:6">
      <c r="E228" s="1316"/>
      <c r="F228" s="1671"/>
    </row>
    <row r="229" spans="5:6">
      <c r="E229" s="1316"/>
      <c r="F229" s="1671"/>
    </row>
    <row r="230" spans="5:6">
      <c r="E230" s="1316"/>
      <c r="F230" s="1671"/>
    </row>
    <row r="231" spans="5:6">
      <c r="E231" s="1316"/>
      <c r="F231" s="1671"/>
    </row>
    <row r="232" spans="5:6">
      <c r="E232" s="1316"/>
      <c r="F232" s="1671"/>
    </row>
    <row r="233" spans="5:6">
      <c r="E233" s="1316"/>
      <c r="F233" s="1671"/>
    </row>
    <row r="234" spans="5:6">
      <c r="E234" s="1316"/>
      <c r="F234" s="1671"/>
    </row>
    <row r="235" spans="5:6">
      <c r="E235" s="1316"/>
      <c r="F235" s="1671"/>
    </row>
    <row r="236" spans="5:6">
      <c r="E236" s="1316"/>
      <c r="F236" s="1671"/>
    </row>
    <row r="237" spans="5:6">
      <c r="E237" s="1316"/>
      <c r="F237" s="1671"/>
    </row>
    <row r="238" spans="5:6">
      <c r="E238" s="1316"/>
      <c r="F238" s="1671"/>
    </row>
    <row r="239" spans="5:6">
      <c r="E239" s="1316"/>
      <c r="F239" s="1671"/>
    </row>
    <row r="240" spans="5:6">
      <c r="E240" s="1316"/>
      <c r="F240" s="1671"/>
    </row>
    <row r="241" spans="5:6">
      <c r="E241" s="1316"/>
      <c r="F241" s="1671"/>
    </row>
    <row r="242" spans="5:6">
      <c r="E242" s="1316"/>
      <c r="F242" s="1671"/>
    </row>
    <row r="243" spans="5:6">
      <c r="E243" s="1316"/>
      <c r="F243" s="1671"/>
    </row>
    <row r="244" spans="5:6">
      <c r="E244" s="1316"/>
      <c r="F244" s="1671"/>
    </row>
    <row r="245" spans="5:6">
      <c r="E245" s="1316"/>
      <c r="F245" s="1671"/>
    </row>
    <row r="246" spans="5:6">
      <c r="E246" s="1316"/>
      <c r="F246" s="1671"/>
    </row>
    <row r="247" spans="5:6">
      <c r="E247" s="1316"/>
      <c r="F247" s="1671"/>
    </row>
    <row r="248" spans="5:6">
      <c r="E248" s="1316"/>
      <c r="F248" s="1671"/>
    </row>
    <row r="249" spans="5:6">
      <c r="E249" s="1316"/>
      <c r="F249" s="1671"/>
    </row>
    <row r="250" spans="5:6">
      <c r="E250" s="1316"/>
      <c r="F250" s="1671"/>
    </row>
    <row r="251" spans="5:6">
      <c r="E251" s="1316"/>
      <c r="F251" s="1671"/>
    </row>
    <row r="252" spans="5:6">
      <c r="E252" s="1316"/>
      <c r="F252" s="1671"/>
    </row>
    <row r="253" spans="5:6">
      <c r="E253" s="1316"/>
      <c r="F253" s="1671"/>
    </row>
    <row r="254" spans="5:6">
      <c r="E254" s="1316"/>
      <c r="F254" s="1671"/>
    </row>
    <row r="255" spans="5:6">
      <c r="E255" s="1316"/>
      <c r="F255" s="1671"/>
    </row>
    <row r="256" spans="5:6">
      <c r="E256" s="1316"/>
      <c r="F256" s="1671"/>
    </row>
    <row r="257" spans="5:6">
      <c r="E257" s="1316"/>
      <c r="F257" s="1671"/>
    </row>
    <row r="258" spans="5:6">
      <c r="E258" s="1316"/>
      <c r="F258" s="1671"/>
    </row>
    <row r="259" spans="5:6">
      <c r="E259" s="1316"/>
      <c r="F259" s="1671"/>
    </row>
    <row r="260" spans="5:6">
      <c r="E260" s="1316"/>
      <c r="F260" s="1671"/>
    </row>
    <row r="261" spans="5:6">
      <c r="E261" s="1316"/>
      <c r="F261" s="1671"/>
    </row>
    <row r="262" spans="5:6">
      <c r="E262" s="1316"/>
      <c r="F262" s="1671"/>
    </row>
    <row r="263" spans="5:6">
      <c r="E263" s="1316"/>
      <c r="F263" s="1671"/>
    </row>
    <row r="264" spans="5:6">
      <c r="E264" s="1316"/>
      <c r="F264" s="1671"/>
    </row>
    <row r="265" spans="5:6">
      <c r="E265" s="1316"/>
      <c r="F265" s="1671"/>
    </row>
    <row r="266" spans="5:6">
      <c r="E266" s="1316"/>
      <c r="F266" s="1671"/>
    </row>
    <row r="267" spans="5:6">
      <c r="E267" s="1316"/>
      <c r="F267" s="1671"/>
    </row>
    <row r="268" spans="5:6">
      <c r="E268" s="1316"/>
      <c r="F268" s="1671"/>
    </row>
    <row r="269" spans="5:6">
      <c r="E269" s="1316"/>
      <c r="F269" s="1671"/>
    </row>
    <row r="270" spans="5:6">
      <c r="E270" s="1316"/>
      <c r="F270" s="1671"/>
    </row>
    <row r="271" spans="5:6">
      <c r="E271" s="1316"/>
      <c r="F271" s="1671"/>
    </row>
    <row r="272" spans="5:6">
      <c r="E272" s="1316"/>
      <c r="F272" s="1671"/>
    </row>
    <row r="273" spans="5:6">
      <c r="E273" s="1316"/>
      <c r="F273" s="1671"/>
    </row>
    <row r="274" spans="5:6">
      <c r="E274" s="1316"/>
      <c r="F274" s="1671"/>
    </row>
    <row r="275" spans="5:6">
      <c r="E275" s="1316"/>
      <c r="F275" s="1671"/>
    </row>
    <row r="276" spans="5:6">
      <c r="E276" s="1316"/>
      <c r="F276" s="1671"/>
    </row>
    <row r="277" spans="5:6">
      <c r="E277" s="1316"/>
      <c r="F277" s="1671"/>
    </row>
    <row r="278" spans="5:6">
      <c r="E278" s="1316"/>
      <c r="F278" s="1671"/>
    </row>
    <row r="279" spans="5:6">
      <c r="E279" s="1316"/>
      <c r="F279" s="1671"/>
    </row>
    <row r="280" spans="5:6">
      <c r="E280" s="1316"/>
      <c r="F280" s="1671"/>
    </row>
    <row r="281" spans="5:6">
      <c r="E281" s="1316"/>
      <c r="F281" s="1671"/>
    </row>
    <row r="282" spans="5:6">
      <c r="E282" s="1316"/>
      <c r="F282" s="1671"/>
    </row>
    <row r="283" spans="5:6">
      <c r="E283" s="1316"/>
      <c r="F283" s="1671"/>
    </row>
    <row r="284" spans="5:6">
      <c r="E284" s="1316"/>
      <c r="F284" s="1671"/>
    </row>
    <row r="285" spans="5:6">
      <c r="E285" s="1316"/>
      <c r="F285" s="1671"/>
    </row>
    <row r="286" spans="5:6">
      <c r="E286" s="1316"/>
      <c r="F286" s="1671"/>
    </row>
    <row r="287" spans="5:6">
      <c r="E287" s="1316"/>
      <c r="F287" s="1671"/>
    </row>
    <row r="288" spans="5:6">
      <c r="E288" s="1316"/>
      <c r="F288" s="1671"/>
    </row>
    <row r="289" spans="5:6">
      <c r="E289" s="1316"/>
      <c r="F289" s="1671"/>
    </row>
    <row r="290" spans="5:6">
      <c r="E290" s="1316"/>
      <c r="F290" s="1671"/>
    </row>
    <row r="291" spans="5:6">
      <c r="E291" s="1316"/>
      <c r="F291" s="1671"/>
    </row>
    <row r="292" spans="5:6">
      <c r="E292" s="1316"/>
      <c r="F292" s="1671"/>
    </row>
    <row r="293" spans="5:6">
      <c r="E293" s="1316"/>
      <c r="F293" s="1671"/>
    </row>
    <row r="294" spans="5:6">
      <c r="E294" s="1316"/>
      <c r="F294" s="1671"/>
    </row>
    <row r="295" spans="5:6">
      <c r="E295" s="1316"/>
      <c r="F295" s="1671"/>
    </row>
    <row r="296" spans="5:6">
      <c r="E296" s="1316"/>
      <c r="F296" s="1671"/>
    </row>
    <row r="297" spans="5:6">
      <c r="E297" s="1316"/>
      <c r="F297" s="1671"/>
    </row>
    <row r="298" spans="5:6">
      <c r="E298" s="1316"/>
      <c r="F298" s="1671"/>
    </row>
    <row r="299" spans="5:6">
      <c r="E299" s="1316"/>
      <c r="F299" s="1671"/>
    </row>
    <row r="300" spans="5:6">
      <c r="E300" s="1316"/>
      <c r="F300" s="1671"/>
    </row>
    <row r="301" spans="5:6">
      <c r="E301" s="1316"/>
      <c r="F301" s="1671"/>
    </row>
    <row r="302" spans="5:6">
      <c r="E302" s="1316"/>
      <c r="F302" s="1671"/>
    </row>
    <row r="303" spans="5:6">
      <c r="E303" s="1316"/>
      <c r="F303" s="1671"/>
    </row>
    <row r="304" spans="5:6">
      <c r="E304" s="1316"/>
      <c r="F304" s="1671"/>
    </row>
    <row r="305" spans="5:6">
      <c r="E305" s="1316"/>
      <c r="F305" s="1671"/>
    </row>
    <row r="306" spans="5:6">
      <c r="E306" s="1316"/>
      <c r="F306" s="1671"/>
    </row>
    <row r="307" spans="5:6">
      <c r="E307" s="1316"/>
      <c r="F307" s="1671"/>
    </row>
    <row r="308" spans="5:6">
      <c r="E308" s="1316"/>
      <c r="F308" s="1671"/>
    </row>
    <row r="309" spans="5:6">
      <c r="E309" s="1316"/>
      <c r="F309" s="1671"/>
    </row>
    <row r="310" spans="5:6">
      <c r="E310" s="1316"/>
      <c r="F310" s="1671"/>
    </row>
    <row r="311" spans="5:6">
      <c r="E311" s="1316"/>
      <c r="F311" s="1671"/>
    </row>
    <row r="312" spans="5:6">
      <c r="E312" s="1316"/>
      <c r="F312" s="1671"/>
    </row>
    <row r="313" spans="5:6">
      <c r="E313" s="1316"/>
      <c r="F313" s="1671"/>
    </row>
    <row r="314" spans="5:6">
      <c r="E314" s="1316"/>
      <c r="F314" s="1671"/>
    </row>
    <row r="315" spans="5:6">
      <c r="E315" s="1316"/>
      <c r="F315" s="1671"/>
    </row>
    <row r="316" spans="5:6">
      <c r="E316" s="1316"/>
      <c r="F316" s="1671"/>
    </row>
    <row r="317" spans="5:6">
      <c r="E317" s="1316"/>
      <c r="F317" s="1671"/>
    </row>
    <row r="318" spans="5:6">
      <c r="E318" s="1316"/>
      <c r="F318" s="1671"/>
    </row>
    <row r="319" spans="5:6">
      <c r="E319" s="1316"/>
      <c r="F319" s="1671"/>
    </row>
    <row r="320" spans="5:6">
      <c r="E320" s="1316"/>
      <c r="F320" s="1671"/>
    </row>
    <row r="321" spans="5:6">
      <c r="E321" s="1316"/>
      <c r="F321" s="1671"/>
    </row>
    <row r="322" spans="5:6">
      <c r="E322" s="1316"/>
      <c r="F322" s="1671"/>
    </row>
    <row r="323" spans="5:6">
      <c r="E323" s="1316"/>
      <c r="F323" s="1671"/>
    </row>
    <row r="324" spans="5:6">
      <c r="E324" s="1316"/>
      <c r="F324" s="1671"/>
    </row>
    <row r="325" spans="5:6">
      <c r="E325" s="1316"/>
      <c r="F325" s="1671"/>
    </row>
    <row r="326" spans="5:6">
      <c r="E326" s="1316"/>
      <c r="F326" s="1671"/>
    </row>
    <row r="327" spans="5:6">
      <c r="E327" s="1316"/>
      <c r="F327" s="1671"/>
    </row>
    <row r="328" spans="5:6">
      <c r="E328" s="1316"/>
      <c r="F328" s="1671"/>
    </row>
    <row r="329" spans="5:6">
      <c r="E329" s="1316"/>
      <c r="F329" s="1671"/>
    </row>
    <row r="330" spans="5:6">
      <c r="E330" s="1316"/>
      <c r="F330" s="1671"/>
    </row>
    <row r="331" spans="5:6">
      <c r="E331" s="1316"/>
      <c r="F331" s="1671"/>
    </row>
    <row r="332" spans="5:6">
      <c r="E332" s="1316"/>
      <c r="F332" s="1671"/>
    </row>
    <row r="333" spans="5:6">
      <c r="E333" s="1316"/>
      <c r="F333" s="1671"/>
    </row>
    <row r="334" spans="5:6">
      <c r="E334" s="1316"/>
      <c r="F334" s="1671"/>
    </row>
    <row r="335" spans="5:6">
      <c r="E335" s="1316"/>
      <c r="F335" s="1671"/>
    </row>
    <row r="336" spans="5:6">
      <c r="E336" s="1316"/>
      <c r="F336" s="1671"/>
    </row>
    <row r="337" spans="5:6">
      <c r="E337" s="1316"/>
      <c r="F337" s="1671"/>
    </row>
    <row r="338" spans="5:6">
      <c r="E338" s="1316"/>
      <c r="F338" s="1671"/>
    </row>
    <row r="339" spans="5:6">
      <c r="E339" s="1316"/>
      <c r="F339" s="1671"/>
    </row>
    <row r="340" spans="5:6">
      <c r="E340" s="1316"/>
      <c r="F340" s="1671"/>
    </row>
    <row r="341" spans="5:6">
      <c r="E341" s="1316"/>
      <c r="F341" s="1671"/>
    </row>
    <row r="342" spans="5:6">
      <c r="E342" s="1316"/>
      <c r="F342" s="1671"/>
    </row>
    <row r="343" spans="5:6">
      <c r="E343" s="1316"/>
      <c r="F343" s="1671"/>
    </row>
    <row r="344" spans="5:6">
      <c r="E344" s="1316"/>
      <c r="F344" s="1671"/>
    </row>
    <row r="345" spans="5:6">
      <c r="E345" s="1316"/>
      <c r="F345" s="1671"/>
    </row>
    <row r="346" spans="5:6">
      <c r="E346" s="1316"/>
      <c r="F346" s="1671"/>
    </row>
    <row r="347" spans="5:6">
      <c r="E347" s="1316"/>
      <c r="F347" s="1671"/>
    </row>
    <row r="348" spans="5:6">
      <c r="E348" s="1316"/>
      <c r="F348" s="1671"/>
    </row>
    <row r="349" spans="5:6">
      <c r="E349" s="1316"/>
      <c r="F349" s="1671"/>
    </row>
    <row r="350" spans="5:6">
      <c r="E350" s="1316"/>
      <c r="F350" s="1671"/>
    </row>
    <row r="351" spans="5:6">
      <c r="E351" s="1316"/>
      <c r="F351" s="1671"/>
    </row>
    <row r="352" spans="5:6">
      <c r="E352" s="1316"/>
      <c r="F352" s="1671"/>
    </row>
    <row r="353" spans="5:6">
      <c r="E353" s="1316"/>
      <c r="F353" s="1671"/>
    </row>
    <row r="354" spans="5:6">
      <c r="E354" s="1316"/>
      <c r="F354" s="1671"/>
    </row>
    <row r="355" spans="5:6">
      <c r="E355" s="1316"/>
      <c r="F355" s="1671"/>
    </row>
    <row r="356" spans="5:6">
      <c r="E356" s="1316"/>
      <c r="F356" s="1671"/>
    </row>
    <row r="357" spans="5:6">
      <c r="E357" s="1316"/>
      <c r="F357" s="1671"/>
    </row>
    <row r="358" spans="5:6">
      <c r="E358" s="1316"/>
      <c r="F358" s="1671"/>
    </row>
    <row r="359" spans="5:6">
      <c r="E359" s="1316"/>
      <c r="F359" s="1671"/>
    </row>
    <row r="360" spans="5:6">
      <c r="E360" s="1316"/>
      <c r="F360" s="1671"/>
    </row>
    <row r="361" spans="5:6">
      <c r="E361" s="1316"/>
      <c r="F361" s="1671"/>
    </row>
    <row r="362" spans="5:6">
      <c r="E362" s="1316"/>
      <c r="F362" s="1671"/>
    </row>
    <row r="363" spans="5:6">
      <c r="E363" s="1316"/>
      <c r="F363" s="1671"/>
    </row>
    <row r="364" spans="5:6">
      <c r="E364" s="1316"/>
      <c r="F364" s="1671"/>
    </row>
    <row r="365" spans="5:6">
      <c r="E365" s="1316"/>
      <c r="F365" s="1671"/>
    </row>
    <row r="366" spans="5:6">
      <c r="E366" s="1316"/>
      <c r="F366" s="1671"/>
    </row>
    <row r="367" spans="5:6">
      <c r="E367" s="1316"/>
      <c r="F367" s="1671"/>
    </row>
    <row r="368" spans="5:6">
      <c r="E368" s="1316"/>
      <c r="F368" s="1671"/>
    </row>
    <row r="369" spans="5:6">
      <c r="E369" s="1316"/>
      <c r="F369" s="1671"/>
    </row>
    <row r="370" spans="5:6">
      <c r="E370" s="1316"/>
      <c r="F370" s="1671"/>
    </row>
    <row r="371" spans="5:6">
      <c r="E371" s="1316"/>
      <c r="F371" s="1671"/>
    </row>
    <row r="372" spans="5:6">
      <c r="E372" s="1316"/>
      <c r="F372" s="1671"/>
    </row>
    <row r="373" spans="5:6">
      <c r="E373" s="1316"/>
      <c r="F373" s="1671"/>
    </row>
    <row r="374" spans="5:6">
      <c r="E374" s="1316"/>
      <c r="F374" s="1671"/>
    </row>
    <row r="375" spans="5:6">
      <c r="E375" s="1316"/>
      <c r="F375" s="1671"/>
    </row>
    <row r="376" spans="5:6">
      <c r="E376" s="1316"/>
      <c r="F376" s="1671"/>
    </row>
    <row r="377" spans="5:6">
      <c r="E377" s="1316"/>
      <c r="F377" s="1671"/>
    </row>
    <row r="378" spans="5:6">
      <c r="E378" s="1316"/>
      <c r="F378" s="1671"/>
    </row>
    <row r="379" spans="5:6">
      <c r="E379" s="1316"/>
      <c r="F379" s="1671"/>
    </row>
    <row r="380" spans="5:6">
      <c r="E380" s="1316"/>
      <c r="F380" s="1671"/>
    </row>
    <row r="381" spans="5:6">
      <c r="E381" s="1316"/>
      <c r="F381" s="1671"/>
    </row>
    <row r="382" spans="5:6">
      <c r="E382" s="1316"/>
      <c r="F382" s="1671"/>
    </row>
    <row r="383" spans="5:6">
      <c r="E383" s="1316"/>
      <c r="F383" s="1671"/>
    </row>
    <row r="384" spans="5:6">
      <c r="E384" s="1316"/>
      <c r="F384" s="1671"/>
    </row>
    <row r="385" spans="5:6">
      <c r="E385" s="1316"/>
      <c r="F385" s="1671"/>
    </row>
    <row r="386" spans="5:6">
      <c r="E386" s="1316"/>
      <c r="F386" s="1671"/>
    </row>
    <row r="387" spans="5:6">
      <c r="E387" s="1316"/>
      <c r="F387" s="1671"/>
    </row>
    <row r="388" spans="5:6">
      <c r="E388" s="1316"/>
      <c r="F388" s="1671"/>
    </row>
    <row r="389" spans="5:6">
      <c r="E389" s="1316"/>
      <c r="F389" s="1671"/>
    </row>
    <row r="390" spans="5:6">
      <c r="E390" s="1316"/>
      <c r="F390" s="1671"/>
    </row>
    <row r="391" spans="5:6">
      <c r="E391" s="1316"/>
      <c r="F391" s="1671"/>
    </row>
    <row r="392" spans="5:6">
      <c r="E392" s="1316"/>
      <c r="F392" s="1671"/>
    </row>
    <row r="393" spans="5:6">
      <c r="E393" s="1316"/>
      <c r="F393" s="1671"/>
    </row>
    <row r="394" spans="5:6">
      <c r="E394" s="1316"/>
      <c r="F394" s="1671"/>
    </row>
    <row r="395" spans="5:6">
      <c r="E395" s="1316"/>
      <c r="F395" s="1671"/>
    </row>
    <row r="396" spans="5:6">
      <c r="E396" s="1316"/>
      <c r="F396" s="1671"/>
    </row>
    <row r="397" spans="5:6">
      <c r="E397" s="1316"/>
      <c r="F397" s="1671"/>
    </row>
    <row r="398" spans="5:6">
      <c r="E398" s="1316"/>
      <c r="F398" s="1671"/>
    </row>
    <row r="399" spans="5:6">
      <c r="E399" s="1316"/>
      <c r="F399" s="1671"/>
    </row>
    <row r="400" spans="5:6">
      <c r="E400" s="1316"/>
      <c r="F400" s="1671"/>
    </row>
    <row r="401" spans="1:22">
      <c r="E401" s="1316"/>
      <c r="F401" s="1671"/>
    </row>
    <row r="402" spans="1:22">
      <c r="E402" s="1316"/>
      <c r="F402" s="1671"/>
    </row>
    <row r="403" spans="1:22">
      <c r="E403" s="1316"/>
      <c r="F403" s="1671"/>
    </row>
    <row r="404" spans="1:22">
      <c r="E404" s="1316"/>
      <c r="F404" s="1671"/>
    </row>
    <row r="405" spans="1:22">
      <c r="E405" s="1316"/>
      <c r="F405" s="1671"/>
    </row>
    <row r="406" spans="1:22">
      <c r="E406" s="1316"/>
      <c r="F406" s="1671"/>
    </row>
    <row r="407" spans="1:22">
      <c r="E407" s="1316"/>
      <c r="F407" s="1671"/>
    </row>
    <row r="408" spans="1:22">
      <c r="E408" s="1316"/>
      <c r="F408" s="1671"/>
    </row>
    <row r="409" spans="1:22">
      <c r="E409" s="1316"/>
      <c r="F409" s="1671"/>
    </row>
    <row r="410" spans="1:22">
      <c r="E410" s="1316"/>
      <c r="F410" s="1671"/>
    </row>
    <row r="411" spans="1:22" ht="13.5" thickBot="1">
      <c r="E411" s="1316"/>
      <c r="F411" s="1671"/>
    </row>
    <row r="412" spans="1:22" ht="33.75">
      <c r="A412" s="1021"/>
      <c r="B412" s="1022" t="s">
        <v>89</v>
      </c>
      <c r="C412" s="1022"/>
      <c r="D412" s="1291"/>
      <c r="E412" s="1317"/>
      <c r="F412" s="1711"/>
      <c r="G412" s="1711"/>
      <c r="H412" s="1711"/>
      <c r="I412" s="1756"/>
      <c r="J412" s="1756"/>
      <c r="K412" s="1756"/>
      <c r="L412" s="1756"/>
      <c r="M412" s="1291"/>
      <c r="N412" s="1291"/>
      <c r="O412" s="1291"/>
      <c r="P412" s="1291"/>
      <c r="Q412" s="1291"/>
      <c r="R412" s="1291"/>
      <c r="S412" s="1291"/>
      <c r="T412" s="1291"/>
      <c r="U412" s="1291"/>
      <c r="V412" s="1292"/>
    </row>
    <row r="413" spans="1:22">
      <c r="A413" s="1023"/>
      <c r="B413" s="1123"/>
      <c r="C413" s="1123"/>
      <c r="D413" s="1123"/>
      <c r="E413" s="1316"/>
      <c r="F413" s="1671"/>
      <c r="G413" s="1671"/>
      <c r="H413" s="1671"/>
      <c r="I413" s="1757"/>
      <c r="J413" s="1757"/>
      <c r="K413" s="1757"/>
      <c r="L413" s="1757"/>
      <c r="M413" s="1123"/>
      <c r="N413" s="1123"/>
      <c r="O413" s="1123"/>
      <c r="P413" s="1123"/>
      <c r="Q413" s="1123"/>
      <c r="R413" s="1123"/>
      <c r="S413" s="1123"/>
      <c r="T413" s="1123"/>
      <c r="U413" s="1123"/>
      <c r="V413" s="1293"/>
    </row>
    <row r="414" spans="1:22">
      <c r="A414" s="1023"/>
      <c r="B414" s="1123"/>
      <c r="C414" s="1123"/>
      <c r="D414" s="1123"/>
      <c r="E414" s="1316"/>
      <c r="F414" s="1671"/>
      <c r="G414" s="1671"/>
      <c r="H414" s="1671"/>
      <c r="I414" s="1757"/>
      <c r="J414" s="1757"/>
      <c r="K414" s="1757"/>
      <c r="L414" s="1757"/>
      <c r="M414" s="1123"/>
      <c r="N414" s="1123"/>
      <c r="O414" s="1123"/>
      <c r="P414" s="1123"/>
      <c r="Q414" s="1123"/>
      <c r="R414" s="1123"/>
      <c r="S414" s="1123"/>
      <c r="T414" s="1123"/>
      <c r="U414" s="1123"/>
      <c r="V414" s="1293"/>
    </row>
    <row r="415" spans="1:22">
      <c r="A415" s="1023"/>
      <c r="B415" s="1123"/>
      <c r="C415" s="1123"/>
      <c r="D415" s="1123"/>
      <c r="E415" s="1316"/>
      <c r="F415" s="1671"/>
      <c r="G415" s="1671"/>
      <c r="H415" s="1671"/>
      <c r="I415" s="1757"/>
      <c r="J415" s="1757"/>
      <c r="K415" s="1757"/>
      <c r="L415" s="1757"/>
      <c r="M415" s="1123"/>
      <c r="N415" s="1123"/>
      <c r="O415" s="1123"/>
      <c r="P415" s="1123"/>
      <c r="Q415" s="1123"/>
      <c r="R415" s="1123"/>
      <c r="S415" s="1123"/>
      <c r="T415" s="1123"/>
      <c r="U415" s="1123"/>
      <c r="V415" s="1293"/>
    </row>
    <row r="416" spans="1:22">
      <c r="A416" s="1023"/>
      <c r="B416" s="1123"/>
      <c r="C416" s="1123"/>
      <c r="D416" s="1123"/>
      <c r="E416" s="1316"/>
      <c r="F416" s="1671"/>
      <c r="G416" s="1671"/>
      <c r="H416" s="1671"/>
      <c r="I416" s="1757"/>
      <c r="J416" s="1757"/>
      <c r="K416" s="1757"/>
      <c r="L416" s="1757"/>
      <c r="M416" s="1123"/>
      <c r="N416" s="1123"/>
      <c r="O416" s="1123"/>
      <c r="P416" s="1123"/>
      <c r="Q416" s="1123"/>
      <c r="R416" s="1123"/>
      <c r="S416" s="1123"/>
      <c r="T416" s="1123"/>
      <c r="U416" s="1123"/>
      <c r="V416" s="1293"/>
    </row>
    <row r="417" spans="1:22">
      <c r="A417" s="1023"/>
      <c r="B417" s="1123"/>
      <c r="C417" s="1123"/>
      <c r="D417" s="1123"/>
      <c r="E417" s="1316"/>
      <c r="F417" s="1671"/>
      <c r="G417" s="1671"/>
      <c r="H417" s="1671"/>
      <c r="I417" s="1757"/>
      <c r="J417" s="1757"/>
      <c r="K417" s="1757"/>
      <c r="L417" s="1757"/>
      <c r="M417" s="1123"/>
      <c r="N417" s="1123"/>
      <c r="O417" s="1123"/>
      <c r="P417" s="1123"/>
      <c r="Q417" s="1123"/>
      <c r="R417" s="1123"/>
      <c r="S417" s="1123"/>
      <c r="T417" s="1123"/>
      <c r="U417" s="1123"/>
      <c r="V417" s="1293"/>
    </row>
    <row r="418" spans="1:22">
      <c r="A418" s="1023"/>
      <c r="B418" s="1123"/>
      <c r="C418" s="1123"/>
      <c r="D418" s="1123"/>
      <c r="E418" s="1316"/>
      <c r="F418" s="1671"/>
      <c r="G418" s="1671"/>
      <c r="H418" s="1671"/>
      <c r="I418" s="1757"/>
      <c r="J418" s="1757"/>
      <c r="K418" s="1757"/>
      <c r="L418" s="1757"/>
      <c r="M418" s="1123"/>
      <c r="N418" s="1123"/>
      <c r="O418" s="1123"/>
      <c r="P418" s="1123"/>
      <c r="Q418" s="1123"/>
      <c r="R418" s="1123"/>
      <c r="S418" s="1123"/>
      <c r="T418" s="1123"/>
      <c r="U418" s="1123"/>
      <c r="V418" s="1293"/>
    </row>
    <row r="419" spans="1:22">
      <c r="A419" s="1023"/>
      <c r="B419" s="1123"/>
      <c r="C419" s="1123"/>
      <c r="D419" s="1123"/>
      <c r="E419" s="1316"/>
      <c r="F419" s="1671"/>
      <c r="G419" s="1671"/>
      <c r="H419" s="1671"/>
      <c r="I419" s="1757"/>
      <c r="J419" s="1757"/>
      <c r="K419" s="1757"/>
      <c r="L419" s="1757"/>
      <c r="M419" s="1123"/>
      <c r="N419" s="1123"/>
      <c r="O419" s="1123"/>
      <c r="P419" s="1123"/>
      <c r="Q419" s="1123"/>
      <c r="R419" s="1123"/>
      <c r="S419" s="1123"/>
      <c r="T419" s="1123"/>
      <c r="U419" s="1123"/>
      <c r="V419" s="1293"/>
    </row>
    <row r="420" spans="1:22">
      <c r="A420" s="1023"/>
      <c r="B420" s="1123"/>
      <c r="C420" s="1123"/>
      <c r="D420" s="1123"/>
      <c r="E420" s="1316"/>
      <c r="F420" s="1671"/>
      <c r="G420" s="1671"/>
      <c r="H420" s="1671"/>
      <c r="I420" s="1757"/>
      <c r="J420" s="1757"/>
      <c r="K420" s="1757"/>
      <c r="L420" s="1757"/>
      <c r="M420" s="1123"/>
      <c r="N420" s="1123"/>
      <c r="O420" s="1123"/>
      <c r="P420" s="1123"/>
      <c r="Q420" s="1123"/>
      <c r="R420" s="1123"/>
      <c r="S420" s="1123"/>
      <c r="T420" s="1123"/>
      <c r="U420" s="1123"/>
      <c r="V420" s="1293"/>
    </row>
    <row r="421" spans="1:22">
      <c r="A421" s="1023"/>
      <c r="B421" s="1123"/>
      <c r="C421" s="1123"/>
      <c r="D421" s="1123"/>
      <c r="E421" s="1316"/>
      <c r="F421" s="1671"/>
      <c r="G421" s="1671"/>
      <c r="H421" s="1671"/>
      <c r="I421" s="1757"/>
      <c r="J421" s="1757"/>
      <c r="K421" s="1757"/>
      <c r="L421" s="1757"/>
      <c r="M421" s="1123"/>
      <c r="N421" s="1123"/>
      <c r="O421" s="1123"/>
      <c r="P421" s="1123"/>
      <c r="Q421" s="1123"/>
      <c r="R421" s="1123"/>
      <c r="S421" s="1123"/>
      <c r="T421" s="1123"/>
      <c r="U421" s="1123"/>
      <c r="V421" s="1293"/>
    </row>
    <row r="422" spans="1:22">
      <c r="A422" s="1023"/>
      <c r="B422" s="1123"/>
      <c r="C422" s="1123"/>
      <c r="D422" s="1123"/>
      <c r="E422" s="1316"/>
      <c r="F422" s="1671"/>
      <c r="G422" s="1671"/>
      <c r="H422" s="1671"/>
      <c r="I422" s="1757"/>
      <c r="J422" s="1757"/>
      <c r="K422" s="1757"/>
      <c r="L422" s="1757"/>
      <c r="M422" s="1123"/>
      <c r="N422" s="1123"/>
      <c r="O422" s="1123"/>
      <c r="P422" s="1123"/>
      <c r="Q422" s="1123"/>
      <c r="R422" s="1123"/>
      <c r="S422" s="1123"/>
      <c r="T422" s="1123"/>
      <c r="U422" s="1123"/>
      <c r="V422" s="1293"/>
    </row>
    <row r="423" spans="1:22" ht="13.5" thickBot="1">
      <c r="A423" s="1024"/>
      <c r="B423" s="1294"/>
      <c r="C423" s="1294"/>
      <c r="D423" s="1294"/>
      <c r="E423" s="1318"/>
      <c r="F423" s="1712"/>
      <c r="G423" s="1712"/>
      <c r="H423" s="1712"/>
      <c r="I423" s="1758"/>
      <c r="J423" s="1758"/>
      <c r="K423" s="1758"/>
      <c r="L423" s="1758"/>
      <c r="M423" s="1294"/>
      <c r="N423" s="1294"/>
      <c r="O423" s="1294"/>
      <c r="P423" s="1294"/>
      <c r="Q423" s="1294"/>
      <c r="R423" s="1294"/>
      <c r="S423" s="1294"/>
      <c r="T423" s="1294"/>
      <c r="U423" s="1294"/>
      <c r="V423" s="1295"/>
    </row>
    <row r="424" spans="1:22">
      <c r="E424" s="1316"/>
      <c r="F424" s="1671"/>
    </row>
    <row r="425" spans="1:22">
      <c r="E425" s="1316"/>
      <c r="F425" s="1671"/>
    </row>
    <row r="426" spans="1:22">
      <c r="E426" s="1316"/>
      <c r="F426" s="1671"/>
    </row>
    <row r="427" spans="1:22">
      <c r="E427" s="1316"/>
      <c r="F427" s="1671"/>
    </row>
    <row r="428" spans="1:22">
      <c r="E428" s="1316"/>
      <c r="F428" s="1671"/>
    </row>
    <row r="429" spans="1:22">
      <c r="E429" s="1316"/>
      <c r="F429" s="1671"/>
    </row>
    <row r="430" spans="1:22">
      <c r="E430" s="1316"/>
      <c r="F430" s="1671"/>
    </row>
    <row r="431" spans="1:22">
      <c r="E431" s="1316"/>
      <c r="F431" s="1671"/>
    </row>
    <row r="432" spans="1:22">
      <c r="E432" s="1316"/>
      <c r="F432" s="1671"/>
    </row>
    <row r="433" spans="5:6">
      <c r="E433" s="1316"/>
      <c r="F433" s="1671"/>
    </row>
    <row r="434" spans="5:6">
      <c r="E434" s="1316"/>
      <c r="F434" s="1671"/>
    </row>
    <row r="435" spans="5:6">
      <c r="E435" s="1316"/>
      <c r="F435" s="1671"/>
    </row>
    <row r="436" spans="5:6">
      <c r="E436" s="1316"/>
      <c r="F436" s="1671"/>
    </row>
    <row r="437" spans="5:6">
      <c r="E437" s="1316"/>
      <c r="F437" s="1671"/>
    </row>
    <row r="438" spans="5:6">
      <c r="E438" s="1316"/>
      <c r="F438" s="1671"/>
    </row>
    <row r="439" spans="5:6">
      <c r="E439" s="1316"/>
      <c r="F439" s="1671"/>
    </row>
    <row r="440" spans="5:6">
      <c r="E440" s="1316"/>
      <c r="F440" s="1671"/>
    </row>
    <row r="441" spans="5:6">
      <c r="E441" s="1316"/>
      <c r="F441" s="1671"/>
    </row>
    <row r="442" spans="5:6">
      <c r="E442" s="1316"/>
      <c r="F442" s="1671"/>
    </row>
    <row r="443" spans="5:6">
      <c r="E443" s="1316"/>
      <c r="F443" s="1671"/>
    </row>
    <row r="444" spans="5:6">
      <c r="E444" s="1316"/>
      <c r="F444" s="1671"/>
    </row>
    <row r="445" spans="5:6">
      <c r="E445" s="1316"/>
      <c r="F445" s="1671"/>
    </row>
    <row r="446" spans="5:6">
      <c r="E446" s="1316"/>
      <c r="F446" s="1671"/>
    </row>
    <row r="447" spans="5:6">
      <c r="E447" s="1316"/>
      <c r="F447" s="1671"/>
    </row>
    <row r="448" spans="5:6">
      <c r="E448" s="1316"/>
      <c r="F448" s="1671"/>
    </row>
    <row r="449" spans="5:6">
      <c r="E449" s="1316"/>
      <c r="F449" s="1671"/>
    </row>
    <row r="450" spans="5:6">
      <c r="E450" s="1316"/>
      <c r="F450" s="1671"/>
    </row>
    <row r="451" spans="5:6">
      <c r="E451" s="1316"/>
      <c r="F451" s="1671"/>
    </row>
    <row r="452" spans="5:6">
      <c r="E452" s="1316"/>
      <c r="F452" s="1671"/>
    </row>
    <row r="453" spans="5:6">
      <c r="E453" s="1316"/>
      <c r="F453" s="1671"/>
    </row>
    <row r="454" spans="5:6">
      <c r="E454" s="1316"/>
      <c r="F454" s="1671"/>
    </row>
    <row r="455" spans="5:6">
      <c r="E455" s="1316"/>
      <c r="F455" s="1671"/>
    </row>
    <row r="456" spans="5:6">
      <c r="E456" s="1316"/>
      <c r="F456" s="1671"/>
    </row>
    <row r="457" spans="5:6">
      <c r="E457" s="1316"/>
      <c r="F457" s="1671"/>
    </row>
    <row r="458" spans="5:6">
      <c r="E458" s="1316"/>
      <c r="F458" s="1671"/>
    </row>
    <row r="459" spans="5:6">
      <c r="E459" s="1316"/>
      <c r="F459" s="1671"/>
    </row>
    <row r="460" spans="5:6">
      <c r="E460" s="1316"/>
      <c r="F460" s="1671"/>
    </row>
    <row r="461" spans="5:6">
      <c r="E461" s="1316"/>
      <c r="F461" s="1671"/>
    </row>
    <row r="462" spans="5:6">
      <c r="E462" s="1316"/>
      <c r="F462" s="1671"/>
    </row>
    <row r="463" spans="5:6">
      <c r="E463" s="1316"/>
      <c r="F463" s="1671"/>
    </row>
    <row r="464" spans="5:6">
      <c r="E464" s="1316"/>
      <c r="F464" s="1671"/>
    </row>
    <row r="465" spans="5:6">
      <c r="E465" s="1316"/>
      <c r="F465" s="1671"/>
    </row>
    <row r="466" spans="5:6">
      <c r="E466" s="1316"/>
      <c r="F466" s="1671"/>
    </row>
    <row r="467" spans="5:6">
      <c r="E467" s="1316"/>
      <c r="F467" s="1671"/>
    </row>
    <row r="468" spans="5:6">
      <c r="E468" s="1316"/>
      <c r="F468" s="1671"/>
    </row>
    <row r="469" spans="5:6">
      <c r="E469" s="1316"/>
      <c r="F469" s="1671"/>
    </row>
    <row r="470" spans="5:6">
      <c r="E470" s="1316"/>
      <c r="F470" s="1671"/>
    </row>
    <row r="471" spans="5:6">
      <c r="E471" s="1316"/>
      <c r="F471" s="1671"/>
    </row>
    <row r="472" spans="5:6">
      <c r="E472" s="1316"/>
      <c r="F472" s="1671"/>
    </row>
    <row r="473" spans="5:6">
      <c r="E473" s="1316"/>
      <c r="F473" s="1671"/>
    </row>
    <row r="474" spans="5:6">
      <c r="E474" s="1316"/>
      <c r="F474" s="1671"/>
    </row>
    <row r="475" spans="5:6">
      <c r="E475" s="1316"/>
      <c r="F475" s="1671"/>
    </row>
    <row r="476" spans="5:6">
      <c r="E476" s="1316"/>
      <c r="F476" s="1671"/>
    </row>
    <row r="477" spans="5:6">
      <c r="E477" s="1316"/>
      <c r="F477" s="1671"/>
    </row>
    <row r="478" spans="5:6">
      <c r="E478" s="1316"/>
      <c r="F478" s="1671"/>
    </row>
    <row r="479" spans="5:6">
      <c r="E479" s="1316"/>
      <c r="F479" s="1671"/>
    </row>
    <row r="480" spans="5:6">
      <c r="E480" s="1316"/>
      <c r="F480" s="1671"/>
    </row>
    <row r="481" spans="5:6">
      <c r="E481" s="1316"/>
      <c r="F481" s="1671"/>
    </row>
    <row r="482" spans="5:6">
      <c r="E482" s="1316"/>
      <c r="F482" s="1671"/>
    </row>
    <row r="483" spans="5:6">
      <c r="E483" s="1316"/>
      <c r="F483" s="1671"/>
    </row>
    <row r="484" spans="5:6">
      <c r="E484" s="1316"/>
      <c r="F484" s="1671"/>
    </row>
    <row r="485" spans="5:6">
      <c r="E485" s="1316"/>
      <c r="F485" s="1671"/>
    </row>
    <row r="486" spans="5:6">
      <c r="E486" s="1316"/>
      <c r="F486" s="1671"/>
    </row>
    <row r="487" spans="5:6">
      <c r="E487" s="1316"/>
      <c r="F487" s="1671"/>
    </row>
    <row r="488" spans="5:6">
      <c r="E488" s="1316"/>
      <c r="F488" s="1671"/>
    </row>
    <row r="489" spans="5:6">
      <c r="E489" s="1316"/>
      <c r="F489" s="1671"/>
    </row>
    <row r="490" spans="5:6">
      <c r="E490" s="1316"/>
      <c r="F490" s="1671"/>
    </row>
    <row r="491" spans="5:6">
      <c r="E491" s="1316"/>
      <c r="F491" s="1671"/>
    </row>
    <row r="492" spans="5:6">
      <c r="E492" s="1316"/>
      <c r="F492" s="1671"/>
    </row>
    <row r="493" spans="5:6">
      <c r="E493" s="1316"/>
      <c r="F493" s="1671"/>
    </row>
    <row r="494" spans="5:6">
      <c r="E494" s="1316"/>
      <c r="F494" s="1671"/>
    </row>
    <row r="495" spans="5:6">
      <c r="E495" s="1316"/>
      <c r="F495" s="1671"/>
    </row>
    <row r="496" spans="5:6">
      <c r="E496" s="1316"/>
      <c r="F496" s="1671"/>
    </row>
    <row r="497" spans="5:6">
      <c r="E497" s="1316"/>
      <c r="F497" s="1671"/>
    </row>
    <row r="498" spans="5:6">
      <c r="E498" s="1316"/>
      <c r="F498" s="1671"/>
    </row>
    <row r="499" spans="5:6">
      <c r="E499" s="1316"/>
      <c r="F499" s="1671"/>
    </row>
    <row r="500" spans="5:6">
      <c r="E500" s="1316"/>
      <c r="F500" s="1671"/>
    </row>
    <row r="501" spans="5:6">
      <c r="E501" s="1316"/>
      <c r="F501" s="1671"/>
    </row>
    <row r="502" spans="5:6">
      <c r="E502" s="1316"/>
      <c r="F502" s="1671"/>
    </row>
    <row r="503" spans="5:6">
      <c r="E503" s="1316"/>
      <c r="F503" s="1671"/>
    </row>
    <row r="504" spans="5:6">
      <c r="E504" s="1316"/>
      <c r="F504" s="1671"/>
    </row>
    <row r="505" spans="5:6">
      <c r="E505" s="1316"/>
      <c r="F505" s="1671"/>
    </row>
    <row r="506" spans="5:6">
      <c r="E506" s="1316"/>
      <c r="F506" s="1671"/>
    </row>
    <row r="507" spans="5:6">
      <c r="E507" s="1316"/>
      <c r="F507" s="1671"/>
    </row>
    <row r="508" spans="5:6">
      <c r="E508" s="1316"/>
      <c r="F508" s="1671"/>
    </row>
    <row r="509" spans="5:6">
      <c r="E509" s="1316"/>
      <c r="F509" s="1671"/>
    </row>
    <row r="510" spans="5:6">
      <c r="E510" s="1316"/>
      <c r="F510" s="1671"/>
    </row>
    <row r="511" spans="5:6">
      <c r="E511" s="1316"/>
      <c r="F511" s="1671"/>
    </row>
    <row r="512" spans="5:6">
      <c r="E512" s="1316"/>
      <c r="F512" s="1671"/>
    </row>
    <row r="513" spans="5:6">
      <c r="E513" s="1316"/>
      <c r="F513" s="1671"/>
    </row>
    <row r="514" spans="5:6">
      <c r="E514" s="1316"/>
      <c r="F514" s="1671"/>
    </row>
    <row r="515" spans="5:6">
      <c r="E515" s="1316"/>
      <c r="F515" s="1671"/>
    </row>
    <row r="516" spans="5:6">
      <c r="E516" s="1316"/>
      <c r="F516" s="1671"/>
    </row>
    <row r="517" spans="5:6">
      <c r="E517" s="1316"/>
      <c r="F517" s="1671"/>
    </row>
    <row r="518" spans="5:6">
      <c r="E518" s="1316"/>
      <c r="F518" s="1671"/>
    </row>
    <row r="519" spans="5:6">
      <c r="E519" s="1316"/>
      <c r="F519" s="1671"/>
    </row>
    <row r="520" spans="5:6">
      <c r="E520" s="1316"/>
      <c r="F520" s="1671"/>
    </row>
    <row r="521" spans="5:6">
      <c r="E521" s="1316"/>
      <c r="F521" s="1671"/>
    </row>
    <row r="522" spans="5:6">
      <c r="E522" s="1316"/>
      <c r="F522" s="1671"/>
    </row>
    <row r="523" spans="5:6">
      <c r="E523" s="1316"/>
      <c r="F523" s="1671"/>
    </row>
    <row r="524" spans="5:6">
      <c r="E524" s="1316"/>
      <c r="F524" s="1671"/>
    </row>
    <row r="525" spans="5:6">
      <c r="E525" s="1316"/>
      <c r="F525" s="1671"/>
    </row>
    <row r="526" spans="5:6">
      <c r="E526" s="1316"/>
      <c r="F526" s="1671"/>
    </row>
    <row r="527" spans="5:6">
      <c r="E527" s="1316"/>
      <c r="F527" s="1671"/>
    </row>
    <row r="528" spans="5:6">
      <c r="E528" s="1316"/>
      <c r="F528" s="1671"/>
    </row>
    <row r="529" spans="5:6">
      <c r="E529" s="1316"/>
      <c r="F529" s="1671"/>
    </row>
    <row r="530" spans="5:6">
      <c r="E530" s="1316"/>
      <c r="F530" s="1671"/>
    </row>
    <row r="531" spans="5:6">
      <c r="E531" s="1316"/>
      <c r="F531" s="1671"/>
    </row>
    <row r="532" spans="5:6">
      <c r="E532" s="1316"/>
      <c r="F532" s="1671"/>
    </row>
    <row r="533" spans="5:6">
      <c r="E533" s="1316"/>
      <c r="F533" s="1671"/>
    </row>
    <row r="534" spans="5:6">
      <c r="E534" s="1316"/>
      <c r="F534" s="1671"/>
    </row>
    <row r="535" spans="5:6">
      <c r="E535" s="1316"/>
      <c r="F535" s="1671"/>
    </row>
    <row r="536" spans="5:6">
      <c r="E536" s="1316"/>
      <c r="F536" s="1671"/>
    </row>
    <row r="537" spans="5:6">
      <c r="E537" s="1316"/>
      <c r="F537" s="1671"/>
    </row>
    <row r="538" spans="5:6">
      <c r="E538" s="1316"/>
      <c r="F538" s="1671"/>
    </row>
    <row r="539" spans="5:6">
      <c r="E539" s="1316"/>
      <c r="F539" s="1671"/>
    </row>
    <row r="540" spans="5:6">
      <c r="E540" s="1316"/>
      <c r="F540" s="1671"/>
    </row>
    <row r="541" spans="5:6">
      <c r="E541" s="1316"/>
      <c r="F541" s="1671"/>
    </row>
    <row r="542" spans="5:6">
      <c r="E542" s="1316"/>
      <c r="F542" s="1671"/>
    </row>
    <row r="543" spans="5:6">
      <c r="E543" s="1316"/>
      <c r="F543" s="1671"/>
    </row>
    <row r="544" spans="5:6">
      <c r="E544" s="1316"/>
      <c r="F544" s="1671"/>
    </row>
    <row r="545" spans="5:6">
      <c r="E545" s="1316"/>
      <c r="F545" s="1671"/>
    </row>
    <row r="546" spans="5:6">
      <c r="E546" s="1316"/>
      <c r="F546" s="1671"/>
    </row>
    <row r="547" spans="5:6">
      <c r="E547" s="1316"/>
      <c r="F547" s="1671"/>
    </row>
    <row r="548" spans="5:6">
      <c r="E548" s="1316"/>
      <c r="F548" s="1671"/>
    </row>
    <row r="549" spans="5:6">
      <c r="E549" s="1316"/>
      <c r="F549" s="1671"/>
    </row>
    <row r="550" spans="5:6">
      <c r="E550" s="1316"/>
      <c r="F550" s="1671"/>
    </row>
    <row r="551" spans="5:6">
      <c r="E551" s="1316"/>
      <c r="F551" s="1671"/>
    </row>
    <row r="552" spans="5:6">
      <c r="E552" s="1316"/>
      <c r="F552" s="1671"/>
    </row>
    <row r="553" spans="5:6">
      <c r="E553" s="1316"/>
      <c r="F553" s="1671"/>
    </row>
    <row r="554" spans="5:6">
      <c r="E554" s="1316"/>
      <c r="F554" s="1671"/>
    </row>
    <row r="555" spans="5:6">
      <c r="E555" s="1316"/>
      <c r="F555" s="1671"/>
    </row>
    <row r="556" spans="5:6">
      <c r="E556" s="1316"/>
      <c r="F556" s="1671"/>
    </row>
    <row r="557" spans="5:6">
      <c r="E557" s="1316"/>
      <c r="F557" s="1671"/>
    </row>
    <row r="558" spans="5:6">
      <c r="E558" s="1316"/>
      <c r="F558" s="1671"/>
    </row>
    <row r="559" spans="5:6">
      <c r="E559" s="1316"/>
      <c r="F559" s="1671"/>
    </row>
    <row r="560" spans="5:6">
      <c r="E560" s="1316"/>
      <c r="F560" s="1671"/>
    </row>
    <row r="561" spans="5:6">
      <c r="E561" s="1316"/>
      <c r="F561" s="1671"/>
    </row>
    <row r="562" spans="5:6">
      <c r="E562" s="1316"/>
      <c r="F562" s="1671"/>
    </row>
    <row r="563" spans="5:6">
      <c r="E563" s="1316"/>
      <c r="F563" s="1671"/>
    </row>
    <row r="564" spans="5:6">
      <c r="E564" s="1316"/>
      <c r="F564" s="1671"/>
    </row>
    <row r="565" spans="5:6">
      <c r="E565" s="1316"/>
      <c r="F565" s="1671"/>
    </row>
    <row r="566" spans="5:6">
      <c r="E566" s="1316"/>
      <c r="F566" s="1671"/>
    </row>
    <row r="567" spans="5:6">
      <c r="E567" s="1316"/>
      <c r="F567" s="1671"/>
    </row>
    <row r="568" spans="5:6">
      <c r="E568" s="1316"/>
      <c r="F568" s="1671"/>
    </row>
    <row r="569" spans="5:6">
      <c r="E569" s="1316"/>
      <c r="F569" s="1671"/>
    </row>
    <row r="570" spans="5:6">
      <c r="E570" s="1316"/>
      <c r="F570" s="1671"/>
    </row>
    <row r="571" spans="5:6">
      <c r="E571" s="1316"/>
      <c r="F571" s="1671"/>
    </row>
    <row r="572" spans="5:6">
      <c r="E572" s="1316"/>
      <c r="F572" s="1671"/>
    </row>
    <row r="573" spans="5:6">
      <c r="E573" s="1316"/>
      <c r="F573" s="1671"/>
    </row>
    <row r="574" spans="5:6">
      <c r="E574" s="1316"/>
      <c r="F574" s="1671"/>
    </row>
    <row r="575" spans="5:6">
      <c r="E575" s="1316"/>
      <c r="F575" s="1671"/>
    </row>
    <row r="576" spans="5:6">
      <c r="E576" s="1316"/>
      <c r="F576" s="1671"/>
    </row>
    <row r="577" spans="5:6">
      <c r="E577" s="1316"/>
      <c r="F577" s="1671"/>
    </row>
    <row r="578" spans="5:6">
      <c r="E578" s="1316"/>
      <c r="F578" s="1671"/>
    </row>
    <row r="579" spans="5:6">
      <c r="E579" s="1316"/>
      <c r="F579" s="1671"/>
    </row>
    <row r="580" spans="5:6">
      <c r="E580" s="1316"/>
      <c r="F580" s="1671"/>
    </row>
    <row r="581" spans="5:6">
      <c r="E581" s="1316"/>
      <c r="F581" s="1671"/>
    </row>
    <row r="582" spans="5:6">
      <c r="E582" s="1316"/>
      <c r="F582" s="1671"/>
    </row>
    <row r="583" spans="5:6">
      <c r="E583" s="1316"/>
      <c r="F583" s="1671"/>
    </row>
    <row r="584" spans="5:6">
      <c r="E584" s="1316"/>
      <c r="F584" s="1671"/>
    </row>
    <row r="585" spans="5:6">
      <c r="E585" s="1316"/>
      <c r="F585" s="1671"/>
    </row>
    <row r="586" spans="5:6">
      <c r="E586" s="1316"/>
      <c r="F586" s="1671"/>
    </row>
    <row r="587" spans="5:6">
      <c r="E587" s="1316"/>
      <c r="F587" s="1671"/>
    </row>
    <row r="588" spans="5:6">
      <c r="E588" s="1316"/>
      <c r="F588" s="1671"/>
    </row>
    <row r="589" spans="5:6">
      <c r="E589" s="1316"/>
      <c r="F589" s="1671"/>
    </row>
    <row r="590" spans="5:6">
      <c r="E590" s="1316"/>
      <c r="F590" s="1671"/>
    </row>
    <row r="591" spans="5:6">
      <c r="E591" s="1316"/>
      <c r="F591" s="1671"/>
    </row>
    <row r="592" spans="5:6">
      <c r="E592" s="1316"/>
      <c r="F592" s="1671"/>
    </row>
    <row r="593" spans="5:6">
      <c r="E593" s="1316"/>
      <c r="F593" s="1671"/>
    </row>
    <row r="594" spans="5:6">
      <c r="E594" s="1316"/>
      <c r="F594" s="1671"/>
    </row>
    <row r="595" spans="5:6">
      <c r="E595" s="1316"/>
      <c r="F595" s="1671"/>
    </row>
    <row r="596" spans="5:6">
      <c r="E596" s="1316"/>
      <c r="F596" s="1671"/>
    </row>
    <row r="597" spans="5:6">
      <c r="E597" s="1316"/>
      <c r="F597" s="1671"/>
    </row>
    <row r="598" spans="5:6">
      <c r="E598" s="1316"/>
      <c r="F598" s="1671"/>
    </row>
    <row r="599" spans="5:6">
      <c r="E599" s="1316"/>
      <c r="F599" s="1671"/>
    </row>
    <row r="600" spans="5:6">
      <c r="E600" s="1316"/>
      <c r="F600" s="1671"/>
    </row>
    <row r="601" spans="5:6">
      <c r="E601" s="1316"/>
      <c r="F601" s="1671"/>
    </row>
    <row r="602" spans="5:6">
      <c r="E602" s="1316"/>
      <c r="F602" s="1671"/>
    </row>
    <row r="603" spans="5:6">
      <c r="E603" s="1316"/>
      <c r="F603" s="1671"/>
    </row>
    <row r="604" spans="5:6">
      <c r="E604" s="1316"/>
      <c r="F604" s="1671"/>
    </row>
    <row r="605" spans="5:6">
      <c r="E605" s="1316"/>
      <c r="F605" s="1671"/>
    </row>
    <row r="606" spans="5:6">
      <c r="E606" s="1316"/>
      <c r="F606" s="1671"/>
    </row>
    <row r="607" spans="5:6">
      <c r="E607" s="1316"/>
      <c r="F607" s="1671"/>
    </row>
    <row r="608" spans="5:6">
      <c r="E608" s="1316"/>
      <c r="F608" s="1671"/>
    </row>
    <row r="609" spans="5:6">
      <c r="E609" s="1316"/>
      <c r="F609" s="1671"/>
    </row>
    <row r="610" spans="5:6">
      <c r="E610" s="1316"/>
      <c r="F610" s="1671"/>
    </row>
    <row r="611" spans="5:6">
      <c r="E611" s="1316"/>
      <c r="F611" s="1671"/>
    </row>
    <row r="612" spans="5:6">
      <c r="E612" s="1316"/>
      <c r="F612" s="1671"/>
    </row>
    <row r="613" spans="5:6">
      <c r="E613" s="1316"/>
      <c r="F613" s="1671"/>
    </row>
    <row r="614" spans="5:6">
      <c r="E614" s="1316"/>
      <c r="F614" s="1671"/>
    </row>
    <row r="615" spans="5:6">
      <c r="E615" s="1316"/>
      <c r="F615" s="1671"/>
    </row>
    <row r="616" spans="5:6">
      <c r="E616" s="1316"/>
      <c r="F616" s="1671"/>
    </row>
    <row r="617" spans="5:6">
      <c r="E617" s="1316"/>
      <c r="F617" s="1671"/>
    </row>
    <row r="618" spans="5:6">
      <c r="E618" s="1316"/>
      <c r="F618" s="1671"/>
    </row>
    <row r="619" spans="5:6">
      <c r="E619" s="1316"/>
      <c r="F619" s="1671"/>
    </row>
    <row r="620" spans="5:6">
      <c r="E620" s="1316"/>
      <c r="F620" s="1671"/>
    </row>
    <row r="621" spans="5:6">
      <c r="E621" s="1316"/>
      <c r="F621" s="1671"/>
    </row>
    <row r="622" spans="5:6">
      <c r="E622" s="1316"/>
      <c r="F622" s="1671"/>
    </row>
    <row r="623" spans="5:6">
      <c r="E623" s="1316"/>
      <c r="F623" s="1671"/>
    </row>
    <row r="624" spans="5:6">
      <c r="E624" s="1316"/>
      <c r="F624" s="1671"/>
    </row>
    <row r="625" spans="5:6">
      <c r="E625" s="1316"/>
      <c r="F625" s="1671"/>
    </row>
    <row r="626" spans="5:6">
      <c r="E626" s="1316"/>
      <c r="F626" s="1671"/>
    </row>
    <row r="627" spans="5:6">
      <c r="E627" s="1316"/>
      <c r="F627" s="1671"/>
    </row>
    <row r="628" spans="5:6">
      <c r="E628" s="1316"/>
      <c r="F628" s="1671"/>
    </row>
    <row r="629" spans="5:6">
      <c r="E629" s="1316"/>
      <c r="F629" s="1671"/>
    </row>
    <row r="630" spans="5:6">
      <c r="E630" s="1316"/>
      <c r="F630" s="1671"/>
    </row>
    <row r="631" spans="5:6">
      <c r="E631" s="1316"/>
      <c r="F631" s="1671"/>
    </row>
    <row r="632" spans="5:6">
      <c r="E632" s="1316"/>
      <c r="F632" s="1671"/>
    </row>
    <row r="633" spans="5:6">
      <c r="E633" s="1316"/>
      <c r="F633" s="1671"/>
    </row>
    <row r="634" spans="5:6">
      <c r="E634" s="1316"/>
      <c r="F634" s="1671"/>
    </row>
    <row r="635" spans="5:6">
      <c r="E635" s="1316"/>
      <c r="F635" s="1671"/>
    </row>
    <row r="636" spans="5:6">
      <c r="E636" s="1316"/>
      <c r="F636" s="1671"/>
    </row>
    <row r="637" spans="5:6">
      <c r="E637" s="1316"/>
      <c r="F637" s="1671"/>
    </row>
    <row r="638" spans="5:6">
      <c r="E638" s="1316"/>
      <c r="F638" s="1671"/>
    </row>
    <row r="639" spans="5:6">
      <c r="E639" s="1316"/>
      <c r="F639" s="1671"/>
    </row>
    <row r="640" spans="5:6">
      <c r="E640" s="1316"/>
      <c r="F640" s="1671"/>
    </row>
    <row r="641" spans="5:6">
      <c r="E641" s="1316"/>
      <c r="F641" s="1671"/>
    </row>
    <row r="642" spans="5:6">
      <c r="E642" s="1316"/>
      <c r="F642" s="1671"/>
    </row>
    <row r="643" spans="5:6">
      <c r="E643" s="1316"/>
      <c r="F643" s="1671"/>
    </row>
    <row r="644" spans="5:6">
      <c r="E644" s="1316"/>
      <c r="F644" s="1671"/>
    </row>
    <row r="645" spans="5:6">
      <c r="E645" s="1316"/>
      <c r="F645" s="1671"/>
    </row>
    <row r="646" spans="5:6">
      <c r="E646" s="1316"/>
      <c r="F646" s="1671"/>
    </row>
    <row r="647" spans="5:6">
      <c r="E647" s="1316"/>
      <c r="F647" s="1671"/>
    </row>
    <row r="648" spans="5:6">
      <c r="E648" s="1316"/>
      <c r="F648" s="1671"/>
    </row>
    <row r="649" spans="5:6">
      <c r="E649" s="1316"/>
      <c r="F649" s="1671"/>
    </row>
    <row r="650" spans="5:6">
      <c r="E650" s="1316"/>
      <c r="F650" s="1671"/>
    </row>
    <row r="651" spans="5:6">
      <c r="E651" s="1316"/>
      <c r="F651" s="1671"/>
    </row>
    <row r="652" spans="5:6">
      <c r="E652" s="1316"/>
      <c r="F652" s="1671"/>
    </row>
    <row r="653" spans="5:6">
      <c r="E653" s="1316"/>
      <c r="F653" s="1671"/>
    </row>
    <row r="654" spans="5:6">
      <c r="E654" s="1316"/>
      <c r="F654" s="1671"/>
    </row>
    <row r="655" spans="5:6">
      <c r="E655" s="1316"/>
      <c r="F655" s="1671"/>
    </row>
    <row r="656" spans="5:6">
      <c r="E656" s="1316"/>
      <c r="F656" s="1671"/>
    </row>
    <row r="657" spans="5:6">
      <c r="E657" s="1316"/>
      <c r="F657" s="1671"/>
    </row>
    <row r="658" spans="5:6">
      <c r="E658" s="1316"/>
      <c r="F658" s="1671"/>
    </row>
    <row r="659" spans="5:6">
      <c r="E659" s="1316"/>
      <c r="F659" s="1671"/>
    </row>
    <row r="660" spans="5:6">
      <c r="E660" s="1316"/>
      <c r="F660" s="1671"/>
    </row>
    <row r="661" spans="5:6">
      <c r="E661" s="1316"/>
      <c r="F661" s="1671"/>
    </row>
    <row r="662" spans="5:6">
      <c r="E662" s="1316"/>
      <c r="F662" s="1671"/>
    </row>
    <row r="663" spans="5:6">
      <c r="E663" s="1316"/>
      <c r="F663" s="1671"/>
    </row>
    <row r="664" spans="5:6">
      <c r="E664" s="1316"/>
      <c r="F664" s="1671"/>
    </row>
    <row r="665" spans="5:6">
      <c r="E665" s="1316"/>
      <c r="F665" s="1671"/>
    </row>
    <row r="666" spans="5:6">
      <c r="E666" s="1316"/>
      <c r="F666" s="1671"/>
    </row>
    <row r="667" spans="5:6">
      <c r="E667" s="1316"/>
      <c r="F667" s="1671"/>
    </row>
    <row r="668" spans="5:6">
      <c r="E668" s="1316"/>
      <c r="F668" s="1671"/>
    </row>
    <row r="669" spans="5:6">
      <c r="E669" s="1316"/>
      <c r="F669" s="1671"/>
    </row>
    <row r="670" spans="5:6">
      <c r="E670" s="1316"/>
      <c r="F670" s="1671"/>
    </row>
    <row r="671" spans="5:6">
      <c r="E671" s="1316"/>
      <c r="F671" s="1671"/>
    </row>
    <row r="672" spans="5:6">
      <c r="E672" s="1316"/>
      <c r="F672" s="1671"/>
    </row>
    <row r="673" spans="5:6">
      <c r="E673" s="1316"/>
      <c r="F673" s="1671"/>
    </row>
    <row r="674" spans="5:6">
      <c r="E674" s="1316"/>
      <c r="F674" s="1671"/>
    </row>
    <row r="675" spans="5:6">
      <c r="E675" s="1316"/>
      <c r="F675" s="1671"/>
    </row>
    <row r="676" spans="5:6">
      <c r="E676" s="1316"/>
      <c r="F676" s="1671"/>
    </row>
    <row r="677" spans="5:6">
      <c r="E677" s="1316"/>
      <c r="F677" s="1671"/>
    </row>
    <row r="678" spans="5:6">
      <c r="E678" s="1316"/>
      <c r="F678" s="1671"/>
    </row>
    <row r="679" spans="5:6">
      <c r="E679" s="1316"/>
      <c r="F679" s="1671"/>
    </row>
    <row r="680" spans="5:6">
      <c r="E680" s="1316"/>
      <c r="F680" s="1671"/>
    </row>
    <row r="681" spans="5:6">
      <c r="E681" s="1316"/>
      <c r="F681" s="1671"/>
    </row>
    <row r="682" spans="5:6">
      <c r="E682" s="1316"/>
      <c r="F682" s="1671"/>
    </row>
    <row r="683" spans="5:6">
      <c r="E683" s="1316"/>
      <c r="F683" s="1671"/>
    </row>
    <row r="684" spans="5:6">
      <c r="E684" s="1316"/>
      <c r="F684" s="1671"/>
    </row>
    <row r="685" spans="5:6">
      <c r="E685" s="1316"/>
      <c r="F685" s="1671"/>
    </row>
    <row r="686" spans="5:6">
      <c r="E686" s="1316"/>
      <c r="F686" s="1671"/>
    </row>
    <row r="687" spans="5:6">
      <c r="E687" s="1316"/>
      <c r="F687" s="1671"/>
    </row>
    <row r="688" spans="5:6">
      <c r="E688" s="1316"/>
      <c r="F688" s="1671"/>
    </row>
    <row r="689" spans="5:6">
      <c r="E689" s="1316"/>
      <c r="F689" s="1671"/>
    </row>
    <row r="690" spans="5:6">
      <c r="E690" s="1316"/>
      <c r="F690" s="1671"/>
    </row>
    <row r="691" spans="5:6">
      <c r="E691" s="1316"/>
      <c r="F691" s="1671"/>
    </row>
    <row r="692" spans="5:6">
      <c r="E692" s="1316"/>
      <c r="F692" s="1671"/>
    </row>
    <row r="693" spans="5:6">
      <c r="E693" s="1316"/>
      <c r="F693" s="1671"/>
    </row>
    <row r="694" spans="5:6">
      <c r="E694" s="1316"/>
      <c r="F694" s="1671"/>
    </row>
    <row r="695" spans="5:6">
      <c r="E695" s="1316"/>
      <c r="F695" s="1671"/>
    </row>
    <row r="696" spans="5:6">
      <c r="E696" s="1316"/>
      <c r="F696" s="1671"/>
    </row>
    <row r="697" spans="5:6">
      <c r="E697" s="1316"/>
      <c r="F697" s="1671"/>
    </row>
    <row r="698" spans="5:6">
      <c r="E698" s="1316"/>
      <c r="F698" s="1671"/>
    </row>
    <row r="699" spans="5:6">
      <c r="E699" s="1316"/>
      <c r="F699" s="1671"/>
    </row>
    <row r="700" spans="5:6">
      <c r="E700" s="1316"/>
      <c r="F700" s="1671"/>
    </row>
    <row r="701" spans="5:6">
      <c r="E701" s="1316"/>
      <c r="F701" s="1671"/>
    </row>
    <row r="702" spans="5:6">
      <c r="E702" s="1316"/>
      <c r="F702" s="1671"/>
    </row>
    <row r="703" spans="5:6">
      <c r="E703" s="1316"/>
      <c r="F703" s="1671"/>
    </row>
    <row r="704" spans="5:6">
      <c r="E704" s="1316"/>
      <c r="F704" s="1671"/>
    </row>
    <row r="705" spans="5:6">
      <c r="E705" s="1316"/>
      <c r="F705" s="1671"/>
    </row>
    <row r="706" spans="5:6">
      <c r="E706" s="1316"/>
      <c r="F706" s="1671"/>
    </row>
    <row r="707" spans="5:6">
      <c r="E707" s="1316"/>
      <c r="F707" s="1671"/>
    </row>
    <row r="708" spans="5:6">
      <c r="E708" s="1316"/>
      <c r="F708" s="1671"/>
    </row>
    <row r="709" spans="5:6">
      <c r="E709" s="1316"/>
      <c r="F709" s="1671"/>
    </row>
    <row r="710" spans="5:6">
      <c r="E710" s="1316"/>
      <c r="F710" s="1671"/>
    </row>
    <row r="711" spans="5:6">
      <c r="E711" s="1316"/>
      <c r="F711" s="1671"/>
    </row>
    <row r="712" spans="5:6">
      <c r="E712" s="1316"/>
      <c r="F712" s="1671"/>
    </row>
    <row r="713" spans="5:6">
      <c r="E713" s="1316"/>
      <c r="F713" s="1671"/>
    </row>
    <row r="714" spans="5:6">
      <c r="E714" s="1316"/>
      <c r="F714" s="1671"/>
    </row>
    <row r="715" spans="5:6">
      <c r="E715" s="1316"/>
      <c r="F715" s="1671"/>
    </row>
    <row r="716" spans="5:6">
      <c r="E716" s="1316"/>
      <c r="F716" s="1671"/>
    </row>
    <row r="717" spans="5:6">
      <c r="E717" s="1316"/>
      <c r="F717" s="1671"/>
    </row>
  </sheetData>
  <mergeCells count="64">
    <mergeCell ref="A126:A129"/>
    <mergeCell ref="V126:V129"/>
    <mergeCell ref="C128:C129"/>
    <mergeCell ref="A130:A137"/>
    <mergeCell ref="V130:V137"/>
    <mergeCell ref="C132:C134"/>
    <mergeCell ref="U135:U137"/>
    <mergeCell ref="C136:C137"/>
    <mergeCell ref="C124:C125"/>
    <mergeCell ref="A101:A109"/>
    <mergeCell ref="V101:V109"/>
    <mergeCell ref="C103:C106"/>
    <mergeCell ref="U107:U109"/>
    <mergeCell ref="C108:C109"/>
    <mergeCell ref="V112:V121"/>
    <mergeCell ref="C116:C118"/>
    <mergeCell ref="U119:U121"/>
    <mergeCell ref="C120:C121"/>
    <mergeCell ref="C37:C40"/>
    <mergeCell ref="C42:C45"/>
    <mergeCell ref="A90:A100"/>
    <mergeCell ref="V90:V100"/>
    <mergeCell ref="C92:C95"/>
    <mergeCell ref="U96:U100"/>
    <mergeCell ref="C97:C100"/>
    <mergeCell ref="U77:U79"/>
    <mergeCell ref="A35:A45"/>
    <mergeCell ref="V35:V45"/>
    <mergeCell ref="V46:V56"/>
    <mergeCell ref="C48:C51"/>
    <mergeCell ref="C53:C56"/>
    <mergeCell ref="U52:U56"/>
    <mergeCell ref="C70:C71"/>
    <mergeCell ref="A46:A56"/>
    <mergeCell ref="A5:V5"/>
    <mergeCell ref="B6:B8"/>
    <mergeCell ref="C6:C8"/>
    <mergeCell ref="D6:D8"/>
    <mergeCell ref="U6:U8"/>
    <mergeCell ref="V6:V8"/>
    <mergeCell ref="O6:T7"/>
    <mergeCell ref="E6:N7"/>
    <mergeCell ref="U19:U23"/>
    <mergeCell ref="A24:A34"/>
    <mergeCell ref="V24:V34"/>
    <mergeCell ref="C26:C29"/>
    <mergeCell ref="U30:U34"/>
    <mergeCell ref="C31:C34"/>
    <mergeCell ref="A139:V139"/>
    <mergeCell ref="A57:A67"/>
    <mergeCell ref="V57:V67"/>
    <mergeCell ref="C59:C62"/>
    <mergeCell ref="C64:C67"/>
    <mergeCell ref="U63:U67"/>
    <mergeCell ref="C78:C79"/>
    <mergeCell ref="A80:A89"/>
    <mergeCell ref="V80:V89"/>
    <mergeCell ref="C82:C83"/>
    <mergeCell ref="U87:U89"/>
    <mergeCell ref="C88:C89"/>
    <mergeCell ref="A68:A79"/>
    <mergeCell ref="V68:V79"/>
    <mergeCell ref="A122:A125"/>
    <mergeCell ref="V122:V125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43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</oddHeader>
    <oddFooter>&amp;C&amp;8&amp;P</oddFooter>
  </headerFooter>
  <rowBreaks count="2" manualBreakCount="2">
    <brk id="100" max="21" man="1"/>
    <brk id="13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435"/>
  <sheetViews>
    <sheetView showGridLines="0" zoomScaleNormal="100" zoomScaleSheetLayoutView="100" workbookViewId="0">
      <pane xSplit="3" ySplit="7" topLeftCell="D8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1.25"/>
  <cols>
    <col min="1" max="1" width="4.140625" style="1221" customWidth="1"/>
    <col min="2" max="2" width="57" style="1397" customWidth="1"/>
    <col min="3" max="3" width="10.5703125" style="1397" customWidth="1"/>
    <col min="4" max="4" width="13.140625" style="1397" customWidth="1"/>
    <col min="5" max="5" width="11.28515625" style="1397" hidden="1" customWidth="1"/>
    <col min="6" max="6" width="11.42578125" style="1397" hidden="1" customWidth="1"/>
    <col min="7" max="7" width="9.85546875" style="1397" hidden="1" customWidth="1"/>
    <col min="8" max="8" width="9.7109375" style="1397" hidden="1" customWidth="1"/>
    <col min="9" max="9" width="11.5703125" style="1397" hidden="1" customWidth="1"/>
    <col min="10" max="10" width="9.28515625" style="1397" hidden="1" customWidth="1"/>
    <col min="11" max="11" width="10.42578125" style="1397" hidden="1" customWidth="1"/>
    <col min="12" max="12" width="10.140625" style="1406" hidden="1" customWidth="1"/>
    <col min="13" max="13" width="10.140625" style="1398" customWidth="1"/>
    <col min="14" max="14" width="11.140625" style="1398" customWidth="1"/>
    <col min="15" max="15" width="10.42578125" style="1398" customWidth="1"/>
    <col min="16" max="16" width="7.85546875" style="1398" customWidth="1"/>
    <col min="17" max="17" width="6.7109375" style="1398" customWidth="1"/>
    <col min="18" max="20" width="7" style="1398" customWidth="1"/>
    <col min="21" max="21" width="12.42578125" style="1398" customWidth="1"/>
    <col min="22" max="22" width="15.28515625" style="1407" customWidth="1"/>
    <col min="23" max="23" width="3.28515625" style="1397" customWidth="1"/>
    <col min="24" max="36" width="18.28515625" style="1397" customWidth="1"/>
    <col min="37" max="78" width="3.28515625" style="1397" customWidth="1"/>
    <col min="79" max="16384" width="9.140625" style="1397"/>
  </cols>
  <sheetData>
    <row r="1" spans="1:79" s="1956" customFormat="1" ht="18" customHeight="1">
      <c r="A1" s="1319"/>
      <c r="B1" s="1320"/>
      <c r="C1" s="1319"/>
      <c r="D1" s="1319"/>
      <c r="E1" s="1321"/>
      <c r="F1" s="1319"/>
      <c r="G1" s="1319"/>
      <c r="H1" s="1319"/>
      <c r="I1" s="1319"/>
      <c r="J1" s="1319"/>
      <c r="K1" s="1319"/>
      <c r="L1" s="1319"/>
      <c r="M1" s="1319"/>
      <c r="N1" s="2211"/>
      <c r="O1" s="1322"/>
      <c r="P1" s="1319"/>
      <c r="Q1" s="1319"/>
      <c r="R1" s="1323" t="s">
        <v>309</v>
      </c>
      <c r="S1" s="1323"/>
      <c r="T1" s="1323"/>
      <c r="U1" s="377"/>
      <c r="V1" s="378"/>
      <c r="W1" s="1955"/>
      <c r="X1" s="1955"/>
      <c r="Y1" s="1955"/>
      <c r="Z1" s="1955"/>
      <c r="AA1" s="1955"/>
      <c r="AB1" s="1955"/>
      <c r="AC1" s="1955"/>
      <c r="AD1" s="1955"/>
      <c r="AE1" s="1955"/>
      <c r="AF1" s="1955"/>
      <c r="AG1" s="1955"/>
      <c r="AH1" s="1955"/>
      <c r="AI1" s="1955"/>
      <c r="AJ1" s="1955"/>
      <c r="AK1" s="1955"/>
      <c r="AL1" s="1955"/>
      <c r="AM1" s="1955"/>
      <c r="AN1" s="1955"/>
      <c r="AO1" s="1955"/>
      <c r="AP1" s="1955"/>
      <c r="AQ1" s="1955"/>
      <c r="AR1" s="1955"/>
      <c r="AS1" s="1955"/>
      <c r="AT1" s="1955"/>
      <c r="AU1" s="1955"/>
      <c r="AV1" s="1955"/>
      <c r="AW1" s="1955"/>
      <c r="AX1" s="1955"/>
      <c r="AY1" s="1955"/>
      <c r="AZ1" s="1955"/>
      <c r="BA1" s="1955"/>
      <c r="BB1" s="1955"/>
      <c r="BC1" s="1955"/>
      <c r="BD1" s="1955"/>
      <c r="BE1" s="1955"/>
      <c r="BF1" s="1955"/>
      <c r="BG1" s="1955"/>
      <c r="BH1" s="1955"/>
      <c r="BI1" s="1955"/>
      <c r="BJ1" s="1955"/>
      <c r="BK1" s="1955"/>
      <c r="BL1" s="1955"/>
      <c r="BM1" s="1955"/>
      <c r="BN1" s="1955"/>
      <c r="BO1" s="1955"/>
      <c r="BP1" s="1955"/>
      <c r="BQ1" s="1955"/>
      <c r="BR1" s="1955"/>
      <c r="BS1" s="1955"/>
      <c r="BT1" s="1955"/>
      <c r="BU1" s="1955"/>
      <c r="BV1" s="1955"/>
      <c r="BW1" s="1955"/>
      <c r="BX1" s="1955"/>
      <c r="BY1" s="1955"/>
      <c r="BZ1" s="1955"/>
      <c r="CA1" s="1400"/>
    </row>
    <row r="2" spans="1:79" s="1956" customFormat="1" ht="4.5" customHeight="1">
      <c r="A2" s="1324"/>
      <c r="B2" s="1320"/>
      <c r="C2" s="1319"/>
      <c r="D2" s="1325"/>
      <c r="E2" s="1321"/>
      <c r="F2" s="1319"/>
      <c r="G2" s="1319"/>
      <c r="H2" s="1319"/>
      <c r="I2" s="1319"/>
      <c r="J2" s="1319"/>
      <c r="K2" s="1319"/>
      <c r="L2" s="1319"/>
      <c r="M2" s="1319"/>
      <c r="N2" s="1326"/>
      <c r="O2" s="1326"/>
      <c r="P2" s="1326"/>
      <c r="Q2" s="1326"/>
      <c r="R2" s="1326"/>
      <c r="S2" s="1326"/>
      <c r="T2" s="1326"/>
      <c r="U2" s="377"/>
      <c r="V2" s="378"/>
      <c r="W2" s="1955"/>
      <c r="X2" s="1955"/>
      <c r="Y2" s="1955"/>
      <c r="Z2" s="1955"/>
      <c r="AA2" s="1955"/>
      <c r="AB2" s="1955"/>
      <c r="AC2" s="1955"/>
      <c r="AD2" s="1955"/>
      <c r="AE2" s="1955"/>
      <c r="AF2" s="1955"/>
      <c r="AG2" s="1955"/>
      <c r="AH2" s="1955"/>
      <c r="AI2" s="1955"/>
      <c r="AJ2" s="1955"/>
      <c r="AK2" s="1955"/>
      <c r="AL2" s="1955"/>
      <c r="AM2" s="1955"/>
      <c r="AN2" s="1955"/>
      <c r="AO2" s="1955"/>
      <c r="AP2" s="1955"/>
      <c r="AQ2" s="1955"/>
      <c r="AR2" s="1955"/>
      <c r="AS2" s="1955"/>
      <c r="AT2" s="1955"/>
      <c r="AU2" s="1955"/>
      <c r="AV2" s="1955"/>
      <c r="AW2" s="1955"/>
      <c r="AX2" s="1955"/>
      <c r="AY2" s="1955"/>
      <c r="AZ2" s="1955"/>
      <c r="BA2" s="1955"/>
      <c r="BB2" s="1955"/>
      <c r="BC2" s="1955"/>
      <c r="BD2" s="1955"/>
      <c r="BE2" s="1955"/>
      <c r="BF2" s="1955"/>
      <c r="BG2" s="1955"/>
      <c r="BH2" s="1955"/>
      <c r="BI2" s="1955"/>
      <c r="BJ2" s="1955"/>
      <c r="BK2" s="1955"/>
      <c r="BL2" s="1955"/>
      <c r="BM2" s="1955"/>
      <c r="BN2" s="1955"/>
      <c r="BO2" s="1955"/>
      <c r="BP2" s="1955"/>
      <c r="BQ2" s="1955"/>
      <c r="BR2" s="1955"/>
      <c r="BS2" s="1955"/>
      <c r="BT2" s="1955"/>
      <c r="BU2" s="1955"/>
      <c r="BV2" s="1955"/>
      <c r="BW2" s="1955"/>
      <c r="BX2" s="1955"/>
      <c r="BY2" s="1955"/>
      <c r="BZ2" s="1955"/>
      <c r="CA2" s="1400"/>
    </row>
    <row r="3" spans="1:79" s="1956" customFormat="1" ht="25.5" customHeight="1" thickBot="1">
      <c r="A3" s="1327" t="s">
        <v>254</v>
      </c>
      <c r="B3" s="1328"/>
      <c r="C3" s="1319"/>
      <c r="D3" s="1319"/>
      <c r="E3" s="1321"/>
      <c r="F3" s="1319"/>
      <c r="G3" s="1319"/>
      <c r="H3" s="1319"/>
      <c r="I3" s="1319"/>
      <c r="J3" s="1319"/>
      <c r="K3" s="1325"/>
      <c r="L3" s="1319"/>
      <c r="M3" s="1319"/>
      <c r="N3" s="1319"/>
      <c r="O3" s="1325"/>
      <c r="P3" s="1319"/>
      <c r="Q3" s="1319"/>
      <c r="R3" s="1319"/>
      <c r="S3" s="1319"/>
      <c r="T3" s="1319"/>
      <c r="U3" s="377"/>
      <c r="V3" s="378"/>
      <c r="W3" s="1955"/>
      <c r="X3" s="1955"/>
      <c r="Y3" s="1955"/>
      <c r="Z3" s="1955"/>
      <c r="AA3" s="1955"/>
      <c r="AB3" s="1955"/>
      <c r="AC3" s="1955"/>
      <c r="AD3" s="1955"/>
      <c r="AE3" s="1955"/>
      <c r="AF3" s="1955"/>
      <c r="AG3" s="1955"/>
      <c r="AH3" s="1955"/>
      <c r="AI3" s="1955"/>
      <c r="AJ3" s="1955"/>
      <c r="AK3" s="1955"/>
      <c r="AL3" s="1955"/>
      <c r="AM3" s="1955"/>
      <c r="AN3" s="1955"/>
      <c r="AO3" s="1955"/>
      <c r="AP3" s="1955"/>
      <c r="AQ3" s="1955"/>
      <c r="AR3" s="1955"/>
      <c r="AS3" s="1955"/>
      <c r="AT3" s="1955"/>
      <c r="AU3" s="1955"/>
      <c r="AV3" s="1955"/>
      <c r="AW3" s="1955"/>
      <c r="AX3" s="1955"/>
      <c r="AY3" s="1955"/>
      <c r="AZ3" s="1955"/>
      <c r="BA3" s="1955"/>
      <c r="BB3" s="1955"/>
      <c r="BC3" s="1955"/>
      <c r="BD3" s="1955"/>
      <c r="BE3" s="1955"/>
      <c r="BF3" s="1955"/>
      <c r="BG3" s="1955"/>
      <c r="BH3" s="1955"/>
      <c r="BI3" s="1955"/>
      <c r="BJ3" s="1955"/>
      <c r="BK3" s="1955"/>
      <c r="BL3" s="1955"/>
      <c r="BM3" s="1955"/>
      <c r="BN3" s="1955"/>
      <c r="BO3" s="1955"/>
      <c r="BP3" s="1955"/>
      <c r="BQ3" s="1955"/>
      <c r="BR3" s="1955"/>
      <c r="BS3" s="1955"/>
      <c r="BT3" s="1955"/>
      <c r="BU3" s="1955"/>
      <c r="BV3" s="1955"/>
      <c r="BW3" s="1955"/>
      <c r="BX3" s="1955"/>
      <c r="BY3" s="1955"/>
      <c r="BZ3" s="1955"/>
      <c r="CA3" s="1400"/>
    </row>
    <row r="4" spans="1:79" ht="40.5" customHeight="1" thickBot="1">
      <c r="A4" s="1329"/>
      <c r="B4" s="2746" t="s">
        <v>96</v>
      </c>
      <c r="C4" s="2747" t="s">
        <v>91</v>
      </c>
      <c r="D4" s="2370" t="s">
        <v>92</v>
      </c>
      <c r="E4" s="2463" t="s">
        <v>3</v>
      </c>
      <c r="F4" s="2464"/>
      <c r="G4" s="2464"/>
      <c r="H4" s="2464"/>
      <c r="I4" s="2464"/>
      <c r="J4" s="2464"/>
      <c r="K4" s="2464"/>
      <c r="L4" s="2464"/>
      <c r="M4" s="2464"/>
      <c r="N4" s="2465"/>
      <c r="O4" s="2373" t="s">
        <v>317</v>
      </c>
      <c r="P4" s="2374"/>
      <c r="Q4" s="2374"/>
      <c r="R4" s="2374"/>
      <c r="S4" s="2374"/>
      <c r="T4" s="2586"/>
      <c r="U4" s="2590" t="s">
        <v>318</v>
      </c>
      <c r="V4" s="2625" t="s">
        <v>94</v>
      </c>
      <c r="W4" s="1400"/>
      <c r="X4" s="1400"/>
      <c r="Y4" s="1400"/>
      <c r="Z4" s="1400"/>
      <c r="AA4" s="1400"/>
      <c r="AB4" s="1400"/>
      <c r="AC4" s="1400"/>
      <c r="AD4" s="1400"/>
      <c r="AE4" s="1400"/>
      <c r="AF4" s="1400"/>
      <c r="AG4" s="1400"/>
      <c r="AH4" s="1400"/>
      <c r="AI4" s="1400"/>
      <c r="AJ4" s="1400"/>
      <c r="AK4" s="1400"/>
      <c r="AL4" s="1400"/>
      <c r="AM4" s="1400"/>
      <c r="AN4" s="1400"/>
      <c r="AO4" s="1400"/>
      <c r="AP4" s="1400"/>
      <c r="AQ4" s="1400"/>
      <c r="AR4" s="1400"/>
      <c r="AS4" s="1400"/>
      <c r="AT4" s="1400"/>
      <c r="AU4" s="1400"/>
      <c r="AV4" s="1400"/>
      <c r="AW4" s="1400"/>
      <c r="AX4" s="1400"/>
      <c r="AY4" s="1400"/>
      <c r="AZ4" s="1400"/>
      <c r="BA4" s="1400"/>
      <c r="BB4" s="1400"/>
      <c r="BC4" s="1400"/>
      <c r="BD4" s="1400"/>
      <c r="BE4" s="1400"/>
      <c r="BF4" s="1400"/>
      <c r="BG4" s="1400"/>
      <c r="BH4" s="1400"/>
      <c r="BI4" s="1400"/>
      <c r="BJ4" s="1400"/>
      <c r="BK4" s="1400"/>
      <c r="BL4" s="1400"/>
      <c r="BM4" s="1400"/>
      <c r="BN4" s="1400"/>
      <c r="BO4" s="1400"/>
      <c r="BP4" s="1400"/>
      <c r="BQ4" s="1400"/>
      <c r="BR4" s="1400"/>
      <c r="BS4" s="1400"/>
      <c r="BT4" s="1400"/>
      <c r="BU4" s="1400"/>
      <c r="BV4" s="1400"/>
      <c r="BW4" s="1400"/>
      <c r="BX4" s="1400"/>
      <c r="BY4" s="1400"/>
      <c r="BZ4" s="1400"/>
      <c r="CA4" s="1400"/>
    </row>
    <row r="5" spans="1:79" ht="21.75" customHeight="1" thickBot="1">
      <c r="A5" s="1330" t="s">
        <v>95</v>
      </c>
      <c r="B5" s="2746"/>
      <c r="C5" s="2748"/>
      <c r="D5" s="2371"/>
      <c r="E5" s="2466"/>
      <c r="F5" s="2467"/>
      <c r="G5" s="2467"/>
      <c r="H5" s="2467"/>
      <c r="I5" s="2467"/>
      <c r="J5" s="2467"/>
      <c r="K5" s="2467"/>
      <c r="L5" s="2467"/>
      <c r="M5" s="2467"/>
      <c r="N5" s="2468"/>
      <c r="O5" s="2587"/>
      <c r="P5" s="2588"/>
      <c r="Q5" s="2588"/>
      <c r="R5" s="2588"/>
      <c r="S5" s="2588"/>
      <c r="T5" s="2589"/>
      <c r="U5" s="2591"/>
      <c r="V5" s="2626"/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0"/>
      <c r="AI5" s="1400"/>
      <c r="AJ5" s="1400"/>
      <c r="AK5" s="1400"/>
      <c r="AL5" s="1400"/>
      <c r="AM5" s="1400"/>
      <c r="AN5" s="1400"/>
      <c r="AO5" s="1400"/>
      <c r="AP5" s="1400"/>
      <c r="AQ5" s="1400"/>
      <c r="AR5" s="1400"/>
      <c r="AS5" s="1400"/>
      <c r="AT5" s="1400"/>
      <c r="AU5" s="1400"/>
      <c r="AV5" s="1400"/>
      <c r="AW5" s="1400"/>
      <c r="AX5" s="1400"/>
      <c r="AY5" s="1400"/>
      <c r="AZ5" s="1400"/>
      <c r="BA5" s="1400"/>
      <c r="BB5" s="1400"/>
      <c r="BC5" s="1400"/>
      <c r="BD5" s="1400"/>
      <c r="BE5" s="1400"/>
      <c r="BF5" s="1400"/>
      <c r="BG5" s="1400"/>
      <c r="BH5" s="1400"/>
      <c r="BI5" s="1400"/>
      <c r="BJ5" s="1400"/>
      <c r="BK5" s="1400"/>
      <c r="BL5" s="1400"/>
      <c r="BM5" s="1400"/>
      <c r="BN5" s="1400"/>
      <c r="BO5" s="1400"/>
      <c r="BP5" s="1400"/>
      <c r="BQ5" s="1400"/>
      <c r="BR5" s="1400"/>
      <c r="BS5" s="1400"/>
      <c r="BT5" s="1400"/>
      <c r="BU5" s="1400"/>
      <c r="BV5" s="1400"/>
      <c r="BW5" s="1400"/>
      <c r="BX5" s="1400"/>
      <c r="BY5" s="1400"/>
      <c r="BZ5" s="1400"/>
      <c r="CA5" s="1400"/>
    </row>
    <row r="6" spans="1:79" ht="30" customHeight="1" thickBot="1">
      <c r="A6" s="1330"/>
      <c r="B6" s="2746"/>
      <c r="C6" s="2749"/>
      <c r="D6" s="2372"/>
      <c r="E6" s="2208" t="s">
        <v>6</v>
      </c>
      <c r="F6" s="384" t="s">
        <v>7</v>
      </c>
      <c r="G6" s="384" t="s">
        <v>8</v>
      </c>
      <c r="H6" s="384" t="s">
        <v>9</v>
      </c>
      <c r="I6" s="2185" t="s">
        <v>10</v>
      </c>
      <c r="J6" s="2185" t="s">
        <v>11</v>
      </c>
      <c r="K6" s="2185" t="s">
        <v>12</v>
      </c>
      <c r="L6" s="2185" t="s">
        <v>13</v>
      </c>
      <c r="M6" s="2185" t="s">
        <v>321</v>
      </c>
      <c r="N6" s="2185" t="s">
        <v>14</v>
      </c>
      <c r="O6" s="2185" t="s">
        <v>15</v>
      </c>
      <c r="P6" s="2185" t="s">
        <v>16</v>
      </c>
      <c r="Q6" s="2185" t="s">
        <v>17</v>
      </c>
      <c r="R6" s="2185" t="s">
        <v>18</v>
      </c>
      <c r="S6" s="1666" t="s">
        <v>315</v>
      </c>
      <c r="T6" s="1666" t="s">
        <v>322</v>
      </c>
      <c r="U6" s="2592"/>
      <c r="V6" s="2627"/>
      <c r="W6" s="1400"/>
      <c r="X6" s="1400"/>
      <c r="Y6" s="1400"/>
      <c r="Z6" s="1400"/>
      <c r="AA6" s="1400"/>
      <c r="AB6" s="1400"/>
      <c r="AC6" s="1400"/>
      <c r="AD6" s="1400"/>
      <c r="AE6" s="1400"/>
      <c r="AF6" s="1400"/>
      <c r="AG6" s="1400"/>
      <c r="AH6" s="1400"/>
      <c r="AI6" s="1400"/>
      <c r="AJ6" s="1400"/>
      <c r="AK6" s="1400"/>
      <c r="AL6" s="1400"/>
      <c r="AM6" s="1400"/>
      <c r="AN6" s="1400"/>
      <c r="AO6" s="1400"/>
      <c r="AP6" s="1400"/>
      <c r="AQ6" s="1400"/>
      <c r="AR6" s="1400"/>
      <c r="AS6" s="1400"/>
      <c r="AT6" s="1400"/>
      <c r="AU6" s="1400"/>
      <c r="AV6" s="1400"/>
      <c r="AW6" s="1400"/>
      <c r="AX6" s="1400"/>
      <c r="AY6" s="1400"/>
      <c r="AZ6" s="1400"/>
      <c r="BA6" s="1400"/>
      <c r="BB6" s="1400"/>
      <c r="BC6" s="1400"/>
      <c r="BD6" s="1400"/>
      <c r="BE6" s="1400"/>
      <c r="BF6" s="1400"/>
      <c r="BG6" s="1400"/>
      <c r="BH6" s="1400"/>
      <c r="BI6" s="1400"/>
      <c r="BJ6" s="1400"/>
      <c r="BK6" s="1400"/>
      <c r="BL6" s="1400"/>
      <c r="BM6" s="1400"/>
      <c r="BN6" s="1400"/>
      <c r="BO6" s="1400"/>
      <c r="BP6" s="1400"/>
      <c r="BQ6" s="1400"/>
      <c r="BR6" s="1400"/>
      <c r="BS6" s="1400"/>
      <c r="BT6" s="1400"/>
      <c r="BU6" s="1400"/>
      <c r="BV6" s="1400"/>
      <c r="BW6" s="1400"/>
      <c r="BX6" s="1400"/>
      <c r="BY6" s="1400"/>
      <c r="BZ6" s="1400"/>
      <c r="CA6" s="1400"/>
    </row>
    <row r="7" spans="1:79" ht="14.25" customHeight="1">
      <c r="A7" s="1331">
        <v>1</v>
      </c>
      <c r="B7" s="1332">
        <v>2</v>
      </c>
      <c r="C7" s="1333" t="s">
        <v>159</v>
      </c>
      <c r="D7" s="1334" t="s">
        <v>160</v>
      </c>
      <c r="E7" s="1334"/>
      <c r="F7" s="1335"/>
      <c r="G7" s="1335"/>
      <c r="H7" s="1335"/>
      <c r="I7" s="1131"/>
      <c r="J7" s="1131"/>
      <c r="K7" s="1131"/>
      <c r="L7" s="1131"/>
      <c r="M7" s="1336">
        <v>5</v>
      </c>
      <c r="N7" s="1336">
        <v>6</v>
      </c>
      <c r="O7" s="1336">
        <v>7</v>
      </c>
      <c r="P7" s="1336">
        <v>8</v>
      </c>
      <c r="Q7" s="1336">
        <v>9</v>
      </c>
      <c r="R7" s="1336">
        <v>10</v>
      </c>
      <c r="S7" s="1336">
        <v>11</v>
      </c>
      <c r="T7" s="1336">
        <v>12</v>
      </c>
      <c r="U7" s="1337">
        <v>13</v>
      </c>
      <c r="V7" s="1338">
        <v>14</v>
      </c>
      <c r="W7" s="1400"/>
      <c r="X7" s="1400"/>
      <c r="Y7" s="1400"/>
      <c r="Z7" s="1400"/>
      <c r="AA7" s="1400"/>
      <c r="AB7" s="1400"/>
      <c r="AC7" s="1400"/>
      <c r="AD7" s="1400"/>
      <c r="AE7" s="1400"/>
      <c r="AF7" s="1400"/>
      <c r="AG7" s="1400"/>
      <c r="AH7" s="1400"/>
      <c r="AI7" s="1400"/>
      <c r="AJ7" s="1400"/>
      <c r="AK7" s="1400"/>
      <c r="AL7" s="1400"/>
      <c r="AM7" s="1400"/>
      <c r="AN7" s="1400"/>
      <c r="AO7" s="1400"/>
      <c r="AP7" s="1400"/>
      <c r="AQ7" s="1400"/>
      <c r="AR7" s="1400"/>
      <c r="AS7" s="1400"/>
      <c r="AT7" s="1400"/>
      <c r="AU7" s="1400"/>
      <c r="AV7" s="1400"/>
      <c r="AW7" s="1400"/>
      <c r="AX7" s="1400"/>
      <c r="AY7" s="1400"/>
      <c r="AZ7" s="1400"/>
      <c r="BA7" s="1400"/>
      <c r="BB7" s="1400"/>
      <c r="BC7" s="1400"/>
      <c r="BD7" s="1400"/>
      <c r="BE7" s="1400"/>
      <c r="BF7" s="1400"/>
      <c r="BG7" s="1400"/>
      <c r="BH7" s="1400"/>
      <c r="BI7" s="1400"/>
      <c r="BJ7" s="1400"/>
      <c r="BK7" s="1400"/>
      <c r="BL7" s="1400"/>
      <c r="BM7" s="1400"/>
      <c r="BN7" s="1400"/>
      <c r="BO7" s="1400"/>
      <c r="BP7" s="1400"/>
      <c r="BQ7" s="1400"/>
      <c r="BR7" s="1400"/>
      <c r="BS7" s="1400"/>
      <c r="BT7" s="1400"/>
      <c r="BU7" s="1400"/>
      <c r="BV7" s="1400"/>
      <c r="BW7" s="1400"/>
      <c r="BX7" s="1400"/>
      <c r="BY7" s="1400"/>
      <c r="BZ7" s="1400"/>
      <c r="CA7" s="1400"/>
    </row>
    <row r="8" spans="1:79" ht="14.25" customHeight="1">
      <c r="A8" s="1339"/>
      <c r="B8" s="1340" t="s">
        <v>97</v>
      </c>
      <c r="C8" s="1341"/>
      <c r="D8" s="1100">
        <f>+D10</f>
        <v>61073469</v>
      </c>
      <c r="E8" s="1100">
        <f t="shared" ref="E8:O8" si="0">+E10</f>
        <v>815947</v>
      </c>
      <c r="F8" s="1100">
        <f t="shared" si="0"/>
        <v>0</v>
      </c>
      <c r="G8" s="1100">
        <f t="shared" si="0"/>
        <v>0</v>
      </c>
      <c r="H8" s="1100">
        <f t="shared" si="0"/>
        <v>0</v>
      </c>
      <c r="I8" s="1100">
        <f t="shared" si="0"/>
        <v>1306315</v>
      </c>
      <c r="J8" s="1100">
        <f t="shared" si="0"/>
        <v>2257947</v>
      </c>
      <c r="K8" s="1100">
        <f t="shared" si="0"/>
        <v>5760142</v>
      </c>
      <c r="L8" s="1100">
        <f t="shared" si="0"/>
        <v>3742389</v>
      </c>
      <c r="M8" s="1100">
        <f t="shared" ref="M8:N8" si="1">+M10</f>
        <v>13882740</v>
      </c>
      <c r="N8" s="1100">
        <f t="shared" si="1"/>
        <v>13942707</v>
      </c>
      <c r="O8" s="1100">
        <f t="shared" si="0"/>
        <v>33248022</v>
      </c>
      <c r="P8" s="1100">
        <f t="shared" ref="P8:T8" si="2">+P10</f>
        <v>0</v>
      </c>
      <c r="Q8" s="1100">
        <f t="shared" si="2"/>
        <v>0</v>
      </c>
      <c r="R8" s="1100">
        <f t="shared" si="2"/>
        <v>0</v>
      </c>
      <c r="S8" s="1100">
        <f t="shared" si="2"/>
        <v>0</v>
      </c>
      <c r="T8" s="1100">
        <f t="shared" si="2"/>
        <v>0</v>
      </c>
      <c r="U8" s="843">
        <f>+U10</f>
        <v>33248022</v>
      </c>
      <c r="V8" s="1342"/>
      <c r="W8" s="1400"/>
      <c r="X8" s="1400"/>
      <c r="Y8" s="1400"/>
      <c r="Z8" s="1400"/>
      <c r="AA8" s="1400"/>
      <c r="AB8" s="1400"/>
      <c r="AC8" s="1400"/>
      <c r="AD8" s="1400"/>
      <c r="AE8" s="1400"/>
      <c r="AF8" s="1400"/>
      <c r="AG8" s="1400"/>
      <c r="AH8" s="1400"/>
      <c r="AI8" s="1400"/>
      <c r="AJ8" s="1400"/>
      <c r="AK8" s="1400"/>
      <c r="AL8" s="1400"/>
      <c r="AM8" s="1400"/>
      <c r="AN8" s="1400"/>
      <c r="AO8" s="1400"/>
      <c r="AP8" s="1400"/>
      <c r="AQ8" s="1400"/>
      <c r="AR8" s="1400"/>
      <c r="AS8" s="1400"/>
      <c r="AT8" s="1400"/>
      <c r="AU8" s="1400"/>
      <c r="AV8" s="1400"/>
      <c r="AW8" s="1400"/>
      <c r="AX8" s="1400"/>
      <c r="AY8" s="1400"/>
      <c r="AZ8" s="1400"/>
      <c r="BA8" s="1400"/>
      <c r="BB8" s="1400"/>
      <c r="BC8" s="1400"/>
      <c r="BD8" s="1400"/>
      <c r="BE8" s="1400"/>
      <c r="BF8" s="1400"/>
      <c r="BG8" s="1400"/>
      <c r="BH8" s="1400"/>
      <c r="BI8" s="1400"/>
      <c r="BJ8" s="1400"/>
      <c r="BK8" s="1400"/>
      <c r="BL8" s="1400"/>
      <c r="BM8" s="1400"/>
      <c r="BN8" s="1400"/>
      <c r="BO8" s="1400"/>
      <c r="BP8" s="1400"/>
      <c r="BQ8" s="1400"/>
      <c r="BR8" s="1400"/>
      <c r="BS8" s="1400"/>
      <c r="BT8" s="1400"/>
      <c r="BU8" s="1400"/>
      <c r="BV8" s="1400"/>
      <c r="BW8" s="1400"/>
      <c r="BX8" s="1400"/>
      <c r="BY8" s="1400"/>
      <c r="BZ8" s="1400"/>
      <c r="CA8" s="1400"/>
    </row>
    <row r="9" spans="1:79" ht="14.25" customHeight="1">
      <c r="A9" s="1339"/>
      <c r="B9" s="1343" t="s">
        <v>98</v>
      </c>
      <c r="C9" s="1344"/>
      <c r="D9" s="1095">
        <v>0</v>
      </c>
      <c r="E9" s="1095">
        <v>0</v>
      </c>
      <c r="F9" s="1095">
        <v>0</v>
      </c>
      <c r="G9" s="1095">
        <v>0</v>
      </c>
      <c r="H9" s="1095">
        <v>0</v>
      </c>
      <c r="I9" s="1095">
        <v>0</v>
      </c>
      <c r="J9" s="1095">
        <v>0</v>
      </c>
      <c r="K9" s="1095">
        <v>0</v>
      </c>
      <c r="L9" s="1095">
        <v>0</v>
      </c>
      <c r="M9" s="1095">
        <v>0</v>
      </c>
      <c r="N9" s="1095">
        <v>0</v>
      </c>
      <c r="O9" s="1095">
        <v>0</v>
      </c>
      <c r="P9" s="1095">
        <v>0</v>
      </c>
      <c r="Q9" s="1095">
        <v>0</v>
      </c>
      <c r="R9" s="1095">
        <v>0</v>
      </c>
      <c r="S9" s="1095">
        <v>0</v>
      </c>
      <c r="T9" s="1095">
        <v>0</v>
      </c>
      <c r="U9" s="400">
        <v>0</v>
      </c>
      <c r="V9" s="1342"/>
      <c r="W9" s="1400"/>
      <c r="X9" s="1400"/>
      <c r="Y9" s="1400"/>
      <c r="Z9" s="1400"/>
      <c r="AA9" s="1400"/>
      <c r="AB9" s="1400"/>
      <c r="AC9" s="1400"/>
      <c r="AD9" s="1400"/>
      <c r="AE9" s="1400"/>
      <c r="AF9" s="1400"/>
      <c r="AG9" s="1400"/>
      <c r="AH9" s="1400"/>
      <c r="AI9" s="1400"/>
      <c r="AJ9" s="1400"/>
      <c r="AK9" s="1400"/>
      <c r="AL9" s="1400"/>
      <c r="AM9" s="1400"/>
      <c r="AN9" s="1400"/>
      <c r="AO9" s="1400"/>
      <c r="AP9" s="1400"/>
      <c r="AQ9" s="1400"/>
      <c r="AR9" s="1400"/>
      <c r="AS9" s="1400"/>
      <c r="AT9" s="1400"/>
      <c r="AU9" s="1400"/>
      <c r="AV9" s="1400"/>
      <c r="AW9" s="1400"/>
      <c r="AX9" s="1400"/>
      <c r="AY9" s="1400"/>
      <c r="AZ9" s="1400"/>
      <c r="BA9" s="1400"/>
      <c r="BB9" s="1400"/>
      <c r="BC9" s="1400"/>
      <c r="BD9" s="1400"/>
      <c r="BE9" s="1400"/>
      <c r="BF9" s="1400"/>
      <c r="BG9" s="1400"/>
      <c r="BH9" s="1400"/>
      <c r="BI9" s="1400"/>
      <c r="BJ9" s="1400"/>
      <c r="BK9" s="1400"/>
      <c r="BL9" s="1400"/>
      <c r="BM9" s="1400"/>
      <c r="BN9" s="1400"/>
      <c r="BO9" s="1400"/>
      <c r="BP9" s="1400"/>
      <c r="BQ9" s="1400"/>
      <c r="BR9" s="1400"/>
      <c r="BS9" s="1400"/>
      <c r="BT9" s="1400"/>
      <c r="BU9" s="1400"/>
      <c r="BV9" s="1400"/>
      <c r="BW9" s="1400"/>
      <c r="BX9" s="1400"/>
      <c r="BY9" s="1400"/>
      <c r="BZ9" s="1400"/>
      <c r="CA9" s="1400"/>
    </row>
    <row r="10" spans="1:79" ht="14.25" customHeight="1" thickBot="1">
      <c r="A10" s="1339"/>
      <c r="B10" s="1345" t="s">
        <v>21</v>
      </c>
      <c r="C10" s="1346"/>
      <c r="D10" s="1120">
        <f>+D25+D35+D46+D58+D71+D82</f>
        <v>61073469</v>
      </c>
      <c r="E10" s="1120">
        <f>+E25+E35+E46+E58+E71+E82</f>
        <v>815947</v>
      </c>
      <c r="F10" s="1120">
        <f>+F25+F35+F46+F58+F71+F82</f>
        <v>0</v>
      </c>
      <c r="G10" s="1120">
        <f>+G25+G35+G46+G58+G71+G82</f>
        <v>0</v>
      </c>
      <c r="H10" s="1120">
        <f>+H25+H35+H46+H58+H71+H82</f>
        <v>0</v>
      </c>
      <c r="I10" s="1120">
        <f t="shared" ref="I10:O10" si="3">+I25+I35+I46+I58+I71+I82</f>
        <v>1306315</v>
      </c>
      <c r="J10" s="1120">
        <f t="shared" si="3"/>
        <v>2257947</v>
      </c>
      <c r="K10" s="1120">
        <f t="shared" si="3"/>
        <v>5760142</v>
      </c>
      <c r="L10" s="1120">
        <f t="shared" si="3"/>
        <v>3742389</v>
      </c>
      <c r="M10" s="1120">
        <f t="shared" ref="M10:N10" si="4">+M25+M35+M46+M58+M71+M82</f>
        <v>13882740</v>
      </c>
      <c r="N10" s="1120">
        <f t="shared" si="4"/>
        <v>13942707</v>
      </c>
      <c r="O10" s="1120">
        <f t="shared" si="3"/>
        <v>33248022</v>
      </c>
      <c r="P10" s="1120">
        <f t="shared" ref="P10:T10" si="5">+P25+P35+P46+P58+P71+P82</f>
        <v>0</v>
      </c>
      <c r="Q10" s="1120">
        <f t="shared" si="5"/>
        <v>0</v>
      </c>
      <c r="R10" s="1120">
        <f t="shared" si="5"/>
        <v>0</v>
      </c>
      <c r="S10" s="1120">
        <f t="shared" si="5"/>
        <v>0</v>
      </c>
      <c r="T10" s="1120">
        <f t="shared" si="5"/>
        <v>0</v>
      </c>
      <c r="U10" s="845">
        <f>+U25+U35+U46+U58+U71+U82</f>
        <v>33248022</v>
      </c>
      <c r="V10" s="1342"/>
      <c r="W10" s="1400"/>
      <c r="X10" s="1400"/>
      <c r="Y10" s="1400"/>
      <c r="Z10" s="1400"/>
      <c r="AA10" s="1400"/>
      <c r="AB10" s="1400"/>
      <c r="AC10" s="1400"/>
      <c r="AD10" s="1400"/>
      <c r="AE10" s="1400"/>
      <c r="AF10" s="1400"/>
      <c r="AG10" s="1400"/>
      <c r="AH10" s="1400"/>
      <c r="AI10" s="1400"/>
      <c r="AJ10" s="1400"/>
      <c r="AK10" s="1400"/>
      <c r="AL10" s="1400"/>
      <c r="AM10" s="1400"/>
      <c r="AN10" s="1400"/>
      <c r="AO10" s="1400"/>
      <c r="AP10" s="1400"/>
      <c r="AQ10" s="1400"/>
      <c r="AR10" s="1400"/>
      <c r="AS10" s="1400"/>
      <c r="AT10" s="1400"/>
      <c r="AU10" s="1400"/>
      <c r="AV10" s="1400"/>
      <c r="AW10" s="1400"/>
      <c r="AX10" s="1400"/>
      <c r="AY10" s="1400"/>
      <c r="AZ10" s="1400"/>
      <c r="BA10" s="1400"/>
      <c r="BB10" s="1400"/>
      <c r="BC10" s="1400"/>
      <c r="BD10" s="1400"/>
      <c r="BE10" s="1400"/>
      <c r="BF10" s="1400"/>
      <c r="BG10" s="1400"/>
      <c r="BH10" s="1400"/>
      <c r="BI10" s="1400"/>
      <c r="BJ10" s="1400"/>
      <c r="BK10" s="1400"/>
      <c r="BL10" s="1400"/>
      <c r="BM10" s="1400"/>
      <c r="BN10" s="1400"/>
      <c r="BO10" s="1400"/>
      <c r="BP10" s="1400"/>
      <c r="BQ10" s="1400"/>
      <c r="BR10" s="1400"/>
      <c r="BS10" s="1400"/>
      <c r="BT10" s="1400"/>
      <c r="BU10" s="1400"/>
      <c r="BV10" s="1400"/>
      <c r="BW10" s="1400"/>
      <c r="BX10" s="1400"/>
      <c r="BY10" s="1400"/>
      <c r="BZ10" s="1400"/>
      <c r="CA10" s="1400"/>
    </row>
    <row r="11" spans="1:79" s="1957" customFormat="1" ht="15" customHeight="1">
      <c r="A11" s="1339"/>
      <c r="B11" s="1085" t="s">
        <v>22</v>
      </c>
      <c r="C11" s="1085"/>
      <c r="D11" s="1347">
        <f>+D12+D15</f>
        <v>148109405</v>
      </c>
      <c r="E11" s="1347">
        <f>+E12+E15</f>
        <v>843563</v>
      </c>
      <c r="F11" s="1347">
        <f t="shared" ref="F11:O11" si="6">+F12+F15</f>
        <v>0</v>
      </c>
      <c r="G11" s="1347">
        <f t="shared" si="6"/>
        <v>0</v>
      </c>
      <c r="H11" s="1347">
        <f t="shared" si="6"/>
        <v>0</v>
      </c>
      <c r="I11" s="1347">
        <f t="shared" si="6"/>
        <v>1517797</v>
      </c>
      <c r="J11" s="1347">
        <f t="shared" si="6"/>
        <v>2317557</v>
      </c>
      <c r="K11" s="1347">
        <f t="shared" si="6"/>
        <v>11724676</v>
      </c>
      <c r="L11" s="1347">
        <f t="shared" si="6"/>
        <v>9610275</v>
      </c>
      <c r="M11" s="1347">
        <f t="shared" ref="M11:N11" si="7">+M12+M15</f>
        <v>26013868</v>
      </c>
      <c r="N11" s="1347">
        <f t="shared" si="7"/>
        <v>22179225</v>
      </c>
      <c r="O11" s="1347">
        <f t="shared" si="6"/>
        <v>99916312</v>
      </c>
      <c r="P11" s="1347">
        <f t="shared" ref="P11:T11" si="8">+P12+P15</f>
        <v>0</v>
      </c>
      <c r="Q11" s="1347">
        <f t="shared" si="8"/>
        <v>0</v>
      </c>
      <c r="R11" s="1347">
        <f t="shared" si="8"/>
        <v>0</v>
      </c>
      <c r="S11" s="1347">
        <f t="shared" si="8"/>
        <v>0</v>
      </c>
      <c r="T11" s="1347">
        <f t="shared" si="8"/>
        <v>0</v>
      </c>
      <c r="U11" s="950">
        <f>+U12</f>
        <v>33248022</v>
      </c>
      <c r="V11" s="275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1400"/>
      <c r="AG11" s="1400"/>
      <c r="AH11" s="1400"/>
      <c r="AI11" s="1400"/>
      <c r="AJ11" s="1400"/>
      <c r="AK11" s="1400"/>
      <c r="AL11" s="1400"/>
      <c r="AM11" s="1400"/>
      <c r="AN11" s="1400"/>
      <c r="AO11" s="1400"/>
      <c r="AP11" s="1400"/>
      <c r="AQ11" s="1400"/>
      <c r="AR11" s="1400"/>
      <c r="AS11" s="1400"/>
      <c r="AT11" s="1400"/>
      <c r="AU11" s="1400"/>
      <c r="AV11" s="140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  <c r="BO11" s="1400"/>
      <c r="BP11" s="1400"/>
      <c r="BQ11" s="1400"/>
      <c r="BR11" s="1400"/>
      <c r="BS11" s="1400"/>
      <c r="BT11" s="1400"/>
      <c r="BU11" s="1400"/>
      <c r="BV11" s="1400"/>
      <c r="BW11" s="1400"/>
      <c r="BX11" s="1400"/>
      <c r="BY11" s="1400"/>
      <c r="BZ11" s="1400"/>
      <c r="CA11" s="1400"/>
    </row>
    <row r="12" spans="1:79" s="1957" customFormat="1" ht="14.1" customHeight="1">
      <c r="A12" s="1339"/>
      <c r="B12" s="1348" t="s">
        <v>23</v>
      </c>
      <c r="C12" s="2752" t="s">
        <v>77</v>
      </c>
      <c r="D12" s="1036">
        <f>+D13+D14</f>
        <v>62024005</v>
      </c>
      <c r="E12" s="1036">
        <f t="shared" ref="E12:O12" si="9">+E13+E14</f>
        <v>843563</v>
      </c>
      <c r="F12" s="1036">
        <f t="shared" si="9"/>
        <v>0</v>
      </c>
      <c r="G12" s="1036">
        <f t="shared" si="9"/>
        <v>0</v>
      </c>
      <c r="H12" s="1036">
        <f t="shared" si="9"/>
        <v>0</v>
      </c>
      <c r="I12" s="1036">
        <f t="shared" si="9"/>
        <v>1517797</v>
      </c>
      <c r="J12" s="1036">
        <f t="shared" si="9"/>
        <v>2317557</v>
      </c>
      <c r="K12" s="1036">
        <f t="shared" si="9"/>
        <v>5764530</v>
      </c>
      <c r="L12" s="1036">
        <f t="shared" si="9"/>
        <v>3871621</v>
      </c>
      <c r="M12" s="1036">
        <f t="shared" ref="M12:N12" si="10">+M13+M14</f>
        <v>14315068</v>
      </c>
      <c r="N12" s="1036">
        <f t="shared" si="10"/>
        <v>14317981</v>
      </c>
      <c r="O12" s="1036">
        <f t="shared" si="9"/>
        <v>33390956</v>
      </c>
      <c r="P12" s="1036">
        <f t="shared" ref="P12:T12" si="11">+P13+P14</f>
        <v>0</v>
      </c>
      <c r="Q12" s="1036">
        <f t="shared" si="11"/>
        <v>0</v>
      </c>
      <c r="R12" s="1036">
        <f t="shared" si="11"/>
        <v>0</v>
      </c>
      <c r="S12" s="1036">
        <f t="shared" si="11"/>
        <v>0</v>
      </c>
      <c r="T12" s="1036">
        <f t="shared" si="11"/>
        <v>0</v>
      </c>
      <c r="U12" s="922">
        <f>+U14</f>
        <v>33248022</v>
      </c>
      <c r="V12" s="275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1400"/>
      <c r="AG12" s="1400"/>
      <c r="AH12" s="1400"/>
      <c r="AI12" s="1400"/>
      <c r="AJ12" s="1400"/>
      <c r="AK12" s="1400"/>
      <c r="AL12" s="1400"/>
      <c r="AM12" s="1400"/>
      <c r="AN12" s="1400"/>
      <c r="AO12" s="1400"/>
      <c r="AP12" s="1400"/>
      <c r="AQ12" s="1400"/>
      <c r="AR12" s="1400"/>
      <c r="AS12" s="1400"/>
      <c r="AT12" s="1400"/>
      <c r="AU12" s="1400"/>
      <c r="AV12" s="1400"/>
      <c r="AW12" s="1400"/>
      <c r="AX12" s="1400"/>
      <c r="AY12" s="1400"/>
      <c r="AZ12" s="1400"/>
      <c r="BA12" s="1400"/>
      <c r="BB12" s="1400"/>
      <c r="BC12" s="1400"/>
      <c r="BD12" s="1400"/>
      <c r="BE12" s="1400"/>
      <c r="BF12" s="1400"/>
      <c r="BG12" s="1400"/>
      <c r="BH12" s="1400"/>
      <c r="BI12" s="1400"/>
      <c r="BJ12" s="1400"/>
      <c r="BK12" s="1400"/>
      <c r="BL12" s="1400"/>
      <c r="BM12" s="1400"/>
      <c r="BN12" s="1400"/>
      <c r="BO12" s="1400"/>
      <c r="BP12" s="1400"/>
      <c r="BQ12" s="1400"/>
      <c r="BR12" s="1400"/>
      <c r="BS12" s="1400"/>
      <c r="BT12" s="1400"/>
      <c r="BU12" s="1400"/>
      <c r="BV12" s="1400"/>
      <c r="BW12" s="1400"/>
      <c r="BX12" s="1400"/>
      <c r="BY12" s="1400"/>
      <c r="BZ12" s="1400"/>
      <c r="CA12" s="1400"/>
    </row>
    <row r="13" spans="1:79" s="1957" customFormat="1" ht="12">
      <c r="A13" s="1339"/>
      <c r="B13" s="1349" t="s">
        <v>45</v>
      </c>
      <c r="C13" s="2752"/>
      <c r="D13" s="1350">
        <f>+D70+D34+D47+D59</f>
        <v>950536</v>
      </c>
      <c r="E13" s="1350">
        <f t="shared" ref="E13:O13" si="12">+E70+E34+E47+E59</f>
        <v>27616</v>
      </c>
      <c r="F13" s="1350">
        <f t="shared" si="12"/>
        <v>0</v>
      </c>
      <c r="G13" s="1350">
        <f t="shared" si="12"/>
        <v>0</v>
      </c>
      <c r="H13" s="1350">
        <f t="shared" si="12"/>
        <v>0</v>
      </c>
      <c r="I13" s="1350">
        <f t="shared" si="12"/>
        <v>211482</v>
      </c>
      <c r="J13" s="1350">
        <f t="shared" si="12"/>
        <v>59610</v>
      </c>
      <c r="K13" s="1350">
        <f t="shared" si="12"/>
        <v>4388</v>
      </c>
      <c r="L13" s="1350">
        <f t="shared" si="12"/>
        <v>129232</v>
      </c>
      <c r="M13" s="1350">
        <f t="shared" ref="M13:N13" si="13">+M70+M34+M47+M59</f>
        <v>432328</v>
      </c>
      <c r="N13" s="1350">
        <f t="shared" si="13"/>
        <v>375274</v>
      </c>
      <c r="O13" s="1350">
        <f t="shared" si="12"/>
        <v>142934</v>
      </c>
      <c r="P13" s="1350">
        <f t="shared" ref="P13:T13" si="14">+P70+P34+P47+P59</f>
        <v>0</v>
      </c>
      <c r="Q13" s="1350">
        <f t="shared" si="14"/>
        <v>0</v>
      </c>
      <c r="R13" s="1350">
        <f t="shared" si="14"/>
        <v>0</v>
      </c>
      <c r="S13" s="1350">
        <f t="shared" si="14"/>
        <v>0</v>
      </c>
      <c r="T13" s="1350">
        <f t="shared" si="14"/>
        <v>0</v>
      </c>
      <c r="U13" s="1351" t="s">
        <v>77</v>
      </c>
      <c r="V13" s="2750"/>
      <c r="W13" s="1400"/>
      <c r="X13" s="1400"/>
      <c r="Y13" s="1400"/>
      <c r="Z13" s="1400"/>
      <c r="AA13" s="1400"/>
      <c r="AB13" s="1400"/>
      <c r="AC13" s="1400"/>
      <c r="AD13" s="1400"/>
      <c r="AE13" s="1400"/>
      <c r="AF13" s="1400"/>
      <c r="AG13" s="1400"/>
      <c r="AH13" s="1400"/>
      <c r="AI13" s="1400"/>
      <c r="AJ13" s="1400"/>
      <c r="AK13" s="1400"/>
      <c r="AL13" s="1400"/>
      <c r="AM13" s="1400"/>
      <c r="AN13" s="1400"/>
      <c r="AO13" s="1400"/>
      <c r="AP13" s="1400"/>
      <c r="AQ13" s="1400"/>
      <c r="AR13" s="1400"/>
      <c r="AS13" s="1400"/>
      <c r="AT13" s="1400"/>
      <c r="AU13" s="1400"/>
      <c r="AV13" s="1400"/>
      <c r="AW13" s="1400"/>
      <c r="AX13" s="1400"/>
      <c r="AY13" s="1400"/>
      <c r="AZ13" s="1400"/>
      <c r="BA13" s="1400"/>
      <c r="BB13" s="1400"/>
      <c r="BC13" s="1400"/>
      <c r="BD13" s="1400"/>
      <c r="BE13" s="1400"/>
      <c r="BF13" s="1400"/>
      <c r="BG13" s="1400"/>
      <c r="BH13" s="1400"/>
      <c r="BI13" s="1400"/>
      <c r="BJ13" s="1400"/>
      <c r="BK13" s="1400"/>
      <c r="BL13" s="1400"/>
      <c r="BM13" s="1400"/>
      <c r="BN13" s="1400"/>
      <c r="BO13" s="1400"/>
      <c r="BP13" s="1400"/>
      <c r="BQ13" s="1400"/>
      <c r="BR13" s="1400"/>
      <c r="BS13" s="1400"/>
      <c r="BT13" s="1400"/>
      <c r="BU13" s="1400"/>
      <c r="BV13" s="1400"/>
      <c r="BW13" s="1400"/>
      <c r="BX13" s="1400"/>
      <c r="BY13" s="1400"/>
      <c r="BZ13" s="1400"/>
      <c r="CA13" s="1400"/>
    </row>
    <row r="14" spans="1:79" s="1957" customFormat="1" ht="12">
      <c r="A14" s="1339"/>
      <c r="B14" s="1349" t="s">
        <v>255</v>
      </c>
      <c r="C14" s="2752"/>
      <c r="D14" s="937">
        <f>+D25+D35+D46+D58+D82+D71</f>
        <v>61073469</v>
      </c>
      <c r="E14" s="937">
        <f>+E25+E35+E46+E58+E82+E71</f>
        <v>815947</v>
      </c>
      <c r="F14" s="937">
        <f>+F25+F35+F46+F58+F82+F71</f>
        <v>0</v>
      </c>
      <c r="G14" s="937">
        <f>+G25+G35+G46+G58+G82+G71</f>
        <v>0</v>
      </c>
      <c r="H14" s="937">
        <f>+H25+H35+H46+H58+H82+H71</f>
        <v>0</v>
      </c>
      <c r="I14" s="937">
        <f t="shared" ref="I14:O14" si="15">+I25+I35+I46+I58+I82+I71</f>
        <v>1306315</v>
      </c>
      <c r="J14" s="937">
        <f t="shared" si="15"/>
        <v>2257947</v>
      </c>
      <c r="K14" s="937">
        <f t="shared" si="15"/>
        <v>5760142</v>
      </c>
      <c r="L14" s="937">
        <f t="shared" si="15"/>
        <v>3742389</v>
      </c>
      <c r="M14" s="937">
        <f t="shared" ref="M14:N14" si="16">+M25+M35+M46+M58+M82+M71</f>
        <v>13882740</v>
      </c>
      <c r="N14" s="937">
        <f t="shared" si="16"/>
        <v>13942707</v>
      </c>
      <c r="O14" s="937">
        <f t="shared" si="15"/>
        <v>33248022</v>
      </c>
      <c r="P14" s="937">
        <f t="shared" ref="P14:T14" si="17">+P25+P35+P46+P58+P82+P71</f>
        <v>0</v>
      </c>
      <c r="Q14" s="937">
        <f t="shared" si="17"/>
        <v>0</v>
      </c>
      <c r="R14" s="937">
        <f t="shared" si="17"/>
        <v>0</v>
      </c>
      <c r="S14" s="937">
        <f t="shared" si="17"/>
        <v>0</v>
      </c>
      <c r="T14" s="937">
        <f t="shared" si="17"/>
        <v>0</v>
      </c>
      <c r="U14" s="1153">
        <f>+O14+P14+Q14+R14</f>
        <v>33248022</v>
      </c>
      <c r="V14" s="2750"/>
      <c r="W14" s="1400"/>
      <c r="X14" s="1400"/>
      <c r="Y14" s="1400"/>
      <c r="Z14" s="1400"/>
      <c r="AA14" s="1400"/>
      <c r="AB14" s="1400"/>
      <c r="AC14" s="1400"/>
      <c r="AD14" s="1400"/>
      <c r="AE14" s="1400"/>
      <c r="AF14" s="1400"/>
      <c r="AG14" s="1400"/>
      <c r="AH14" s="1400"/>
      <c r="AI14" s="1400"/>
      <c r="AJ14" s="1400"/>
      <c r="AK14" s="1400"/>
      <c r="AL14" s="1400"/>
      <c r="AM14" s="1400"/>
      <c r="AN14" s="1400"/>
      <c r="AO14" s="1400"/>
      <c r="AP14" s="1400"/>
      <c r="AQ14" s="1400"/>
      <c r="AR14" s="1400"/>
      <c r="AS14" s="1400"/>
      <c r="AT14" s="1400"/>
      <c r="AU14" s="1400"/>
      <c r="AV14" s="1400"/>
      <c r="AW14" s="1400"/>
      <c r="AX14" s="1400"/>
      <c r="AY14" s="1400"/>
      <c r="AZ14" s="1400"/>
      <c r="BA14" s="1400"/>
      <c r="BB14" s="1400"/>
      <c r="BC14" s="1400"/>
      <c r="BD14" s="1400"/>
      <c r="BE14" s="1400"/>
      <c r="BF14" s="1400"/>
      <c r="BG14" s="1400"/>
      <c r="BH14" s="1400"/>
      <c r="BI14" s="1400"/>
      <c r="BJ14" s="1400"/>
      <c r="BK14" s="1400"/>
      <c r="BL14" s="1400"/>
      <c r="BM14" s="1400"/>
      <c r="BN14" s="1400"/>
      <c r="BO14" s="1400"/>
      <c r="BP14" s="1400"/>
      <c r="BQ14" s="1400"/>
      <c r="BR14" s="1400"/>
      <c r="BS14" s="1400"/>
      <c r="BT14" s="1400"/>
      <c r="BU14" s="1400"/>
      <c r="BV14" s="1400"/>
      <c r="BW14" s="1400"/>
      <c r="BX14" s="1400"/>
      <c r="BY14" s="1400"/>
      <c r="BZ14" s="1400"/>
      <c r="CA14" s="1400"/>
    </row>
    <row r="15" spans="1:79" s="1957" customFormat="1" ht="12">
      <c r="A15" s="1339"/>
      <c r="B15" s="1348" t="s">
        <v>30</v>
      </c>
      <c r="C15" s="2752"/>
      <c r="D15" s="1036">
        <f>+D16</f>
        <v>86085400</v>
      </c>
      <c r="E15" s="1036">
        <f>+E16</f>
        <v>0</v>
      </c>
      <c r="F15" s="1036">
        <f>F26+F36+F48+F83+F72</f>
        <v>0</v>
      </c>
      <c r="G15" s="1036">
        <f>G26+G36+G48+G83+G72</f>
        <v>0</v>
      </c>
      <c r="H15" s="1036">
        <f>H26+H36+H48+H83+H72</f>
        <v>0</v>
      </c>
      <c r="I15" s="1036">
        <f t="shared" ref="I15:T15" si="18">+I16</f>
        <v>0</v>
      </c>
      <c r="J15" s="1036">
        <f t="shared" si="18"/>
        <v>0</v>
      </c>
      <c r="K15" s="1036">
        <f t="shared" si="18"/>
        <v>5960146</v>
      </c>
      <c r="L15" s="1036">
        <f t="shared" si="18"/>
        <v>5738654</v>
      </c>
      <c r="M15" s="1036">
        <f t="shared" si="18"/>
        <v>11698800</v>
      </c>
      <c r="N15" s="1036">
        <f t="shared" si="18"/>
        <v>7861244</v>
      </c>
      <c r="O15" s="1036">
        <f t="shared" si="18"/>
        <v>66525356</v>
      </c>
      <c r="P15" s="1036">
        <f t="shared" si="18"/>
        <v>0</v>
      </c>
      <c r="Q15" s="1036">
        <f t="shared" si="18"/>
        <v>0</v>
      </c>
      <c r="R15" s="1036">
        <f t="shared" si="18"/>
        <v>0</v>
      </c>
      <c r="S15" s="1036">
        <f t="shared" si="18"/>
        <v>0</v>
      </c>
      <c r="T15" s="1036">
        <f t="shared" si="18"/>
        <v>0</v>
      </c>
      <c r="U15" s="1352" t="str">
        <f>+U16</f>
        <v>x</v>
      </c>
      <c r="V15" s="2750"/>
      <c r="W15" s="1400"/>
      <c r="X15" s="1400"/>
      <c r="Y15" s="1400"/>
      <c r="Z15" s="1400"/>
      <c r="AA15" s="1400"/>
      <c r="AB15" s="1400"/>
      <c r="AC15" s="1400"/>
      <c r="AD15" s="1400"/>
      <c r="AE15" s="1400"/>
      <c r="AF15" s="1400"/>
      <c r="AG15" s="1400"/>
      <c r="AH15" s="1400"/>
      <c r="AI15" s="1400"/>
      <c r="AJ15" s="1400"/>
      <c r="AK15" s="1400"/>
      <c r="AL15" s="1400"/>
      <c r="AM15" s="1400"/>
      <c r="AN15" s="1400"/>
      <c r="AO15" s="1400"/>
      <c r="AP15" s="1400"/>
      <c r="AQ15" s="1400"/>
      <c r="AR15" s="1400"/>
      <c r="AS15" s="1400"/>
      <c r="AT15" s="1400"/>
      <c r="AU15" s="1400"/>
      <c r="AV15" s="1400"/>
      <c r="AW15" s="1400"/>
      <c r="AX15" s="1400"/>
      <c r="AY15" s="1400"/>
      <c r="AZ15" s="1400"/>
      <c r="BA15" s="1400"/>
      <c r="BB15" s="1400"/>
      <c r="BC15" s="1400"/>
      <c r="BD15" s="1400"/>
      <c r="BE15" s="1400"/>
      <c r="BF15" s="1400"/>
      <c r="BG15" s="1400"/>
      <c r="BH15" s="1400"/>
      <c r="BI15" s="1400"/>
      <c r="BJ15" s="1400"/>
      <c r="BK15" s="1400"/>
      <c r="BL15" s="1400"/>
      <c r="BM15" s="1400"/>
      <c r="BN15" s="1400"/>
      <c r="BO15" s="1400"/>
      <c r="BP15" s="1400"/>
      <c r="BQ15" s="1400"/>
      <c r="BR15" s="1400"/>
      <c r="BS15" s="1400"/>
      <c r="BT15" s="1400"/>
      <c r="BU15" s="1400"/>
      <c r="BV15" s="1400"/>
      <c r="BW15" s="1400"/>
      <c r="BX15" s="1400"/>
      <c r="BY15" s="1400"/>
      <c r="BZ15" s="1400"/>
      <c r="CA15" s="1400"/>
    </row>
    <row r="16" spans="1:79" s="1957" customFormat="1" ht="12">
      <c r="A16" s="1339"/>
      <c r="B16" s="1353" t="s">
        <v>48</v>
      </c>
      <c r="C16" s="2752"/>
      <c r="D16" s="937">
        <f t="shared" ref="D16:O16" si="19">D27+D37+D49+D73+D84+D61</f>
        <v>86085400</v>
      </c>
      <c r="E16" s="937">
        <f t="shared" si="19"/>
        <v>0</v>
      </c>
      <c r="F16" s="937">
        <f t="shared" si="19"/>
        <v>0</v>
      </c>
      <c r="G16" s="937">
        <f t="shared" si="19"/>
        <v>0</v>
      </c>
      <c r="H16" s="937">
        <f t="shared" si="19"/>
        <v>0</v>
      </c>
      <c r="I16" s="937">
        <f t="shared" si="19"/>
        <v>0</v>
      </c>
      <c r="J16" s="937">
        <f t="shared" si="19"/>
        <v>0</v>
      </c>
      <c r="K16" s="937">
        <f t="shared" si="19"/>
        <v>5960146</v>
      </c>
      <c r="L16" s="937">
        <f t="shared" si="19"/>
        <v>5738654</v>
      </c>
      <c r="M16" s="937">
        <f t="shared" ref="M16:N16" si="20">M27+M37+M49+M73+M84+M61</f>
        <v>11698800</v>
      </c>
      <c r="N16" s="937">
        <f t="shared" si="20"/>
        <v>7861244</v>
      </c>
      <c r="O16" s="937">
        <f t="shared" si="19"/>
        <v>66525356</v>
      </c>
      <c r="P16" s="937">
        <f t="shared" ref="P16:T16" si="21">P27+P37+P49+P73+P84+P61</f>
        <v>0</v>
      </c>
      <c r="Q16" s="937">
        <f t="shared" si="21"/>
        <v>0</v>
      </c>
      <c r="R16" s="937">
        <f t="shared" si="21"/>
        <v>0</v>
      </c>
      <c r="S16" s="937">
        <f t="shared" si="21"/>
        <v>0</v>
      </c>
      <c r="T16" s="937">
        <f t="shared" si="21"/>
        <v>0</v>
      </c>
      <c r="U16" s="1354" t="s">
        <v>77</v>
      </c>
      <c r="V16" s="2750"/>
      <c r="W16" s="1400"/>
      <c r="X16" s="1400"/>
      <c r="Y16" s="1400"/>
      <c r="Z16" s="1400"/>
      <c r="AA16" s="1400"/>
      <c r="AB16" s="1400"/>
      <c r="AC16" s="1400"/>
      <c r="AD16" s="1400"/>
      <c r="AE16" s="1400"/>
      <c r="AF16" s="1400"/>
      <c r="AG16" s="1400"/>
      <c r="AH16" s="1400"/>
      <c r="AI16" s="1400"/>
      <c r="AJ16" s="1400"/>
      <c r="AK16" s="1400"/>
      <c r="AL16" s="1400"/>
      <c r="AM16" s="1400"/>
      <c r="AN16" s="1400"/>
      <c r="AO16" s="1400"/>
      <c r="AP16" s="1400"/>
      <c r="AQ16" s="1400"/>
      <c r="AR16" s="1400"/>
      <c r="AS16" s="1400"/>
      <c r="AT16" s="1400"/>
      <c r="AU16" s="1400"/>
      <c r="AV16" s="1400"/>
      <c r="AW16" s="1400"/>
      <c r="AX16" s="1400"/>
      <c r="AY16" s="1400"/>
      <c r="AZ16" s="1400"/>
      <c r="BA16" s="1400"/>
      <c r="BB16" s="1400"/>
      <c r="BC16" s="1400"/>
      <c r="BD16" s="1400"/>
      <c r="BE16" s="1400"/>
      <c r="BF16" s="1400"/>
      <c r="BG16" s="1400"/>
      <c r="BH16" s="1400"/>
      <c r="BI16" s="1400"/>
      <c r="BJ16" s="1400"/>
      <c r="BK16" s="1400"/>
      <c r="BL16" s="1400"/>
      <c r="BM16" s="1400"/>
      <c r="BN16" s="1400"/>
      <c r="BO16" s="1400"/>
      <c r="BP16" s="1400"/>
      <c r="BQ16" s="1400"/>
      <c r="BR16" s="1400"/>
      <c r="BS16" s="1400"/>
      <c r="BT16" s="1400"/>
      <c r="BU16" s="1400"/>
      <c r="BV16" s="1400"/>
      <c r="BW16" s="1400"/>
      <c r="BX16" s="1400"/>
      <c r="BY16" s="1400"/>
      <c r="BZ16" s="1400"/>
      <c r="CA16" s="1400"/>
    </row>
    <row r="17" spans="1:79" s="1957" customFormat="1" ht="12.75" customHeight="1">
      <c r="A17" s="1339"/>
      <c r="B17" s="1083" t="s">
        <v>34</v>
      </c>
      <c r="C17" s="1083"/>
      <c r="D17" s="897">
        <f>+D18+D20</f>
        <v>112472088</v>
      </c>
      <c r="E17" s="897">
        <f t="shared" ref="E17:O17" si="22">+E18+E20</f>
        <v>0</v>
      </c>
      <c r="F17" s="897">
        <f t="shared" si="22"/>
        <v>0</v>
      </c>
      <c r="G17" s="897">
        <f t="shared" si="22"/>
        <v>0</v>
      </c>
      <c r="H17" s="897">
        <f t="shared" si="22"/>
        <v>0</v>
      </c>
      <c r="I17" s="897">
        <f t="shared" si="22"/>
        <v>101937</v>
      </c>
      <c r="J17" s="897">
        <f t="shared" si="22"/>
        <v>220330</v>
      </c>
      <c r="K17" s="897">
        <f t="shared" si="22"/>
        <v>9142238</v>
      </c>
      <c r="L17" s="897">
        <f t="shared" si="22"/>
        <v>6616804</v>
      </c>
      <c r="M17" s="897">
        <f t="shared" ref="M17:N17" si="23">+M18+M20</f>
        <v>16081309</v>
      </c>
      <c r="N17" s="897">
        <f t="shared" si="23"/>
        <v>10412473</v>
      </c>
      <c r="O17" s="897">
        <f t="shared" si="22"/>
        <v>85978306</v>
      </c>
      <c r="P17" s="897">
        <f t="shared" ref="P17:T17" si="24">+P18+P20</f>
        <v>0</v>
      </c>
      <c r="Q17" s="897">
        <f t="shared" si="24"/>
        <v>0</v>
      </c>
      <c r="R17" s="897">
        <f t="shared" si="24"/>
        <v>0</v>
      </c>
      <c r="S17" s="897">
        <f t="shared" si="24"/>
        <v>0</v>
      </c>
      <c r="T17" s="897">
        <f t="shared" si="24"/>
        <v>0</v>
      </c>
      <c r="U17" s="2753" t="s">
        <v>77</v>
      </c>
      <c r="V17" s="2750"/>
      <c r="W17" s="1400"/>
      <c r="X17" s="1400"/>
      <c r="Y17" s="1400"/>
      <c r="Z17" s="1400"/>
      <c r="AA17" s="1400"/>
      <c r="AB17" s="1400"/>
      <c r="AC17" s="1400"/>
      <c r="AD17" s="1400"/>
      <c r="AE17" s="1400"/>
      <c r="AF17" s="1400"/>
      <c r="AG17" s="1400"/>
      <c r="AH17" s="1400"/>
      <c r="AI17" s="1400"/>
      <c r="AJ17" s="1400"/>
      <c r="AK17" s="1400"/>
      <c r="AL17" s="1400"/>
      <c r="AM17" s="1400"/>
      <c r="AN17" s="1400"/>
      <c r="AO17" s="1400"/>
      <c r="AP17" s="1400"/>
      <c r="AQ17" s="1400"/>
      <c r="AR17" s="1400"/>
      <c r="AS17" s="1400"/>
      <c r="AT17" s="1400"/>
      <c r="AU17" s="1400"/>
      <c r="AV17" s="1400"/>
      <c r="AW17" s="1400"/>
      <c r="AX17" s="1400"/>
      <c r="AY17" s="1400"/>
      <c r="AZ17" s="1400"/>
      <c r="BA17" s="1400"/>
      <c r="BB17" s="1400"/>
      <c r="BC17" s="1400"/>
      <c r="BD17" s="1400"/>
      <c r="BE17" s="1400"/>
      <c r="BF17" s="1400"/>
      <c r="BG17" s="1400"/>
      <c r="BH17" s="1400"/>
      <c r="BI17" s="1400"/>
      <c r="BJ17" s="1400"/>
      <c r="BK17" s="1400"/>
      <c r="BL17" s="1400"/>
      <c r="BM17" s="1400"/>
      <c r="BN17" s="1400"/>
      <c r="BO17" s="1400"/>
      <c r="BP17" s="1400"/>
      <c r="BQ17" s="1400"/>
      <c r="BR17" s="1400"/>
      <c r="BS17" s="1400"/>
      <c r="BT17" s="1400"/>
      <c r="BU17" s="1400"/>
      <c r="BV17" s="1400"/>
      <c r="BW17" s="1400"/>
      <c r="BX17" s="1400"/>
      <c r="BY17" s="1400"/>
      <c r="BZ17" s="1400"/>
      <c r="CA17" s="1400"/>
    </row>
    <row r="18" spans="1:79" s="1957" customFormat="1" ht="12">
      <c r="A18" s="1339"/>
      <c r="B18" s="1348" t="s">
        <v>36</v>
      </c>
      <c r="C18" s="2756" t="s">
        <v>77</v>
      </c>
      <c r="D18" s="1036">
        <f>+D19</f>
        <v>26386688</v>
      </c>
      <c r="E18" s="1036">
        <f>+E19</f>
        <v>0</v>
      </c>
      <c r="F18" s="1036">
        <f t="shared" ref="F18:H19" si="25">+F51+F86+F39+F63</f>
        <v>0</v>
      </c>
      <c r="G18" s="1036">
        <f t="shared" si="25"/>
        <v>0</v>
      </c>
      <c r="H18" s="1036">
        <f t="shared" si="25"/>
        <v>0</v>
      </c>
      <c r="I18" s="1036">
        <f t="shared" ref="I18:T18" si="26">+I19</f>
        <v>101937</v>
      </c>
      <c r="J18" s="1036">
        <f t="shared" si="26"/>
        <v>220330</v>
      </c>
      <c r="K18" s="1036">
        <f t="shared" si="26"/>
        <v>1345053</v>
      </c>
      <c r="L18" s="1036">
        <f t="shared" si="26"/>
        <v>2037072</v>
      </c>
      <c r="M18" s="1036">
        <f t="shared" si="26"/>
        <v>3704392</v>
      </c>
      <c r="N18" s="1036">
        <f t="shared" si="26"/>
        <v>3378141</v>
      </c>
      <c r="O18" s="1036">
        <f t="shared" si="26"/>
        <v>19304155</v>
      </c>
      <c r="P18" s="1036">
        <f t="shared" si="26"/>
        <v>0</v>
      </c>
      <c r="Q18" s="1036">
        <f t="shared" si="26"/>
        <v>0</v>
      </c>
      <c r="R18" s="1036">
        <f t="shared" si="26"/>
        <v>0</v>
      </c>
      <c r="S18" s="1036">
        <f t="shared" si="26"/>
        <v>0</v>
      </c>
      <c r="T18" s="1036">
        <f t="shared" si="26"/>
        <v>0</v>
      </c>
      <c r="U18" s="2754"/>
      <c r="V18" s="2750"/>
      <c r="W18" s="1400"/>
      <c r="X18" s="1400"/>
      <c r="Y18" s="1400"/>
      <c r="Z18" s="1400"/>
      <c r="AA18" s="1400"/>
      <c r="AB18" s="1400"/>
      <c r="AC18" s="1400"/>
      <c r="AD18" s="1400"/>
      <c r="AE18" s="1400"/>
      <c r="AF18" s="1400"/>
      <c r="AG18" s="1400"/>
      <c r="AH18" s="1400"/>
      <c r="AI18" s="1400"/>
      <c r="AJ18" s="1400"/>
      <c r="AK18" s="1400"/>
      <c r="AL18" s="1400"/>
      <c r="AM18" s="1400"/>
      <c r="AN18" s="1400"/>
      <c r="AO18" s="1400"/>
      <c r="AP18" s="1400"/>
      <c r="AQ18" s="1400"/>
      <c r="AR18" s="1400"/>
      <c r="AS18" s="1400"/>
      <c r="AT18" s="1400"/>
      <c r="AU18" s="1400"/>
      <c r="AV18" s="1400"/>
      <c r="AW18" s="1400"/>
      <c r="AX18" s="1400"/>
      <c r="AY18" s="1400"/>
      <c r="AZ18" s="1400"/>
      <c r="BA18" s="1400"/>
      <c r="BB18" s="1400"/>
      <c r="BC18" s="1400"/>
      <c r="BD18" s="1400"/>
      <c r="BE18" s="1400"/>
      <c r="BF18" s="1400"/>
      <c r="BG18" s="1400"/>
      <c r="BH18" s="1400"/>
      <c r="BI18" s="1400"/>
      <c r="BJ18" s="1400"/>
      <c r="BK18" s="1400"/>
      <c r="BL18" s="1400"/>
      <c r="BM18" s="1400"/>
      <c r="BN18" s="1400"/>
      <c r="BO18" s="1400"/>
      <c r="BP18" s="1400"/>
      <c r="BQ18" s="1400"/>
      <c r="BR18" s="1400"/>
      <c r="BS18" s="1400"/>
      <c r="BT18" s="1400"/>
      <c r="BU18" s="1400"/>
      <c r="BV18" s="1400"/>
      <c r="BW18" s="1400"/>
      <c r="BX18" s="1400"/>
      <c r="BY18" s="1400"/>
      <c r="BZ18" s="1400"/>
      <c r="CA18" s="1400"/>
    </row>
    <row r="19" spans="1:79" s="1957" customFormat="1" ht="12">
      <c r="A19" s="1339"/>
      <c r="B19" s="1353" t="s">
        <v>221</v>
      </c>
      <c r="C19" s="2757"/>
      <c r="D19" s="937">
        <f>+D52+D87+D40+D64+D76</f>
        <v>26386688</v>
      </c>
      <c r="E19" s="937">
        <f>+E52+E87+E40+E64+E76</f>
        <v>0</v>
      </c>
      <c r="F19" s="937">
        <f t="shared" si="25"/>
        <v>0</v>
      </c>
      <c r="G19" s="937">
        <f t="shared" si="25"/>
        <v>0</v>
      </c>
      <c r="H19" s="937">
        <f t="shared" si="25"/>
        <v>0</v>
      </c>
      <c r="I19" s="937">
        <f t="shared" ref="I19:O19" si="27">+I52+I87+I40+I64+I76</f>
        <v>101937</v>
      </c>
      <c r="J19" s="937">
        <f t="shared" si="27"/>
        <v>220330</v>
      </c>
      <c r="K19" s="937">
        <f t="shared" si="27"/>
        <v>1345053</v>
      </c>
      <c r="L19" s="937">
        <f t="shared" si="27"/>
        <v>2037072</v>
      </c>
      <c r="M19" s="937">
        <f t="shared" ref="M19:N19" si="28">+M52+M87+M40+M64+M76</f>
        <v>3704392</v>
      </c>
      <c r="N19" s="937">
        <f t="shared" si="28"/>
        <v>3378141</v>
      </c>
      <c r="O19" s="937">
        <f t="shared" si="27"/>
        <v>19304155</v>
      </c>
      <c r="P19" s="937">
        <f t="shared" ref="P19:T19" si="29">+P52+P87+P40+P64+P76</f>
        <v>0</v>
      </c>
      <c r="Q19" s="937">
        <f t="shared" si="29"/>
        <v>0</v>
      </c>
      <c r="R19" s="937">
        <f t="shared" si="29"/>
        <v>0</v>
      </c>
      <c r="S19" s="937">
        <f t="shared" si="29"/>
        <v>0</v>
      </c>
      <c r="T19" s="937">
        <f t="shared" si="29"/>
        <v>0</v>
      </c>
      <c r="U19" s="2754"/>
      <c r="V19" s="2750"/>
      <c r="W19" s="1400"/>
      <c r="X19" s="1400"/>
      <c r="Y19" s="1400"/>
      <c r="Z19" s="1400"/>
      <c r="AA19" s="1400"/>
      <c r="AB19" s="1400"/>
      <c r="AC19" s="1400"/>
      <c r="AD19" s="1400"/>
      <c r="AE19" s="1400"/>
      <c r="AF19" s="1400"/>
      <c r="AG19" s="1400"/>
      <c r="AH19" s="1400"/>
      <c r="AI19" s="1400"/>
      <c r="AJ19" s="1400"/>
      <c r="AK19" s="1400"/>
      <c r="AL19" s="1400"/>
      <c r="AM19" s="1400"/>
      <c r="AN19" s="1400"/>
      <c r="AO19" s="1400"/>
      <c r="AP19" s="1400"/>
      <c r="AQ19" s="1400"/>
      <c r="AR19" s="1400"/>
      <c r="AS19" s="1400"/>
      <c r="AT19" s="1400"/>
      <c r="AU19" s="1400"/>
      <c r="AV19" s="1400"/>
      <c r="AW19" s="1400"/>
      <c r="AX19" s="1400"/>
      <c r="AY19" s="1400"/>
      <c r="AZ19" s="1400"/>
      <c r="BA19" s="1400"/>
      <c r="BB19" s="1400"/>
      <c r="BC19" s="1400"/>
      <c r="BD19" s="1400"/>
      <c r="BE19" s="1400"/>
      <c r="BF19" s="1400"/>
      <c r="BG19" s="1400"/>
      <c r="BH19" s="1400"/>
      <c r="BI19" s="1400"/>
      <c r="BJ19" s="1400"/>
      <c r="BK19" s="1400"/>
      <c r="BL19" s="1400"/>
      <c r="BM19" s="1400"/>
      <c r="BN19" s="1400"/>
      <c r="BO19" s="1400"/>
      <c r="BP19" s="1400"/>
      <c r="BQ19" s="1400"/>
      <c r="BR19" s="1400"/>
      <c r="BS19" s="1400"/>
      <c r="BT19" s="1400"/>
      <c r="BU19" s="1400"/>
      <c r="BV19" s="1400"/>
      <c r="BW19" s="1400"/>
      <c r="BX19" s="1400"/>
      <c r="BY19" s="1400"/>
      <c r="BZ19" s="1400"/>
      <c r="CA19" s="1400"/>
    </row>
    <row r="20" spans="1:79" s="1957" customFormat="1" ht="12">
      <c r="A20" s="1339"/>
      <c r="B20" s="1355" t="s">
        <v>30</v>
      </c>
      <c r="C20" s="2757"/>
      <c r="D20" s="1356">
        <f>+D21</f>
        <v>86085400</v>
      </c>
      <c r="E20" s="1356">
        <f>+E21</f>
        <v>0</v>
      </c>
      <c r="F20" s="1356">
        <f>F29+F41+F53+F88+F77</f>
        <v>0</v>
      </c>
      <c r="G20" s="1356">
        <f>G29+G41+G53+G88+G77</f>
        <v>0</v>
      </c>
      <c r="H20" s="1356">
        <f>H29+H41+H53+H88+H77</f>
        <v>0</v>
      </c>
      <c r="I20" s="1356">
        <f t="shared" ref="I20:T20" si="30">+I21</f>
        <v>0</v>
      </c>
      <c r="J20" s="1356">
        <f t="shared" si="30"/>
        <v>0</v>
      </c>
      <c r="K20" s="1356">
        <f t="shared" si="30"/>
        <v>7797185</v>
      </c>
      <c r="L20" s="1356">
        <f t="shared" si="30"/>
        <v>4579732</v>
      </c>
      <c r="M20" s="1356">
        <f t="shared" si="30"/>
        <v>12376917</v>
      </c>
      <c r="N20" s="1356">
        <f t="shared" si="30"/>
        <v>7034332</v>
      </c>
      <c r="O20" s="1356">
        <f t="shared" si="30"/>
        <v>66674151</v>
      </c>
      <c r="P20" s="1356">
        <f t="shared" si="30"/>
        <v>0</v>
      </c>
      <c r="Q20" s="1356">
        <f t="shared" si="30"/>
        <v>0</v>
      </c>
      <c r="R20" s="1356">
        <f t="shared" si="30"/>
        <v>0</v>
      </c>
      <c r="S20" s="1356">
        <f t="shared" si="30"/>
        <v>0</v>
      </c>
      <c r="T20" s="1356">
        <f t="shared" si="30"/>
        <v>0</v>
      </c>
      <c r="U20" s="2754"/>
      <c r="V20" s="2750"/>
      <c r="W20" s="1400"/>
      <c r="X20" s="1400"/>
      <c r="Y20" s="1400"/>
      <c r="Z20" s="1400"/>
      <c r="AA20" s="1400"/>
      <c r="AB20" s="1400"/>
      <c r="AC20" s="1400"/>
      <c r="AD20" s="1400"/>
      <c r="AE20" s="1400"/>
      <c r="AF20" s="1400"/>
      <c r="AG20" s="1400"/>
      <c r="AH20" s="1400"/>
      <c r="AI20" s="1400"/>
      <c r="AJ20" s="1400"/>
      <c r="AK20" s="1400"/>
      <c r="AL20" s="1400"/>
      <c r="AM20" s="1400"/>
      <c r="AN20" s="1400"/>
      <c r="AO20" s="1400"/>
      <c r="AP20" s="1400"/>
      <c r="AQ20" s="1400"/>
      <c r="AR20" s="1400"/>
      <c r="AS20" s="1400"/>
      <c r="AT20" s="1400"/>
      <c r="AU20" s="1400"/>
      <c r="AV20" s="1400"/>
      <c r="AW20" s="1400"/>
      <c r="AX20" s="1400"/>
      <c r="AY20" s="1400"/>
      <c r="AZ20" s="1400"/>
      <c r="BA20" s="1400"/>
      <c r="BB20" s="1400"/>
      <c r="BC20" s="1400"/>
      <c r="BD20" s="1400"/>
      <c r="BE20" s="1400"/>
      <c r="BF20" s="1400"/>
      <c r="BG20" s="1400"/>
      <c r="BH20" s="1400"/>
      <c r="BI20" s="1400"/>
      <c r="BJ20" s="1400"/>
      <c r="BK20" s="1400"/>
      <c r="BL20" s="1400"/>
      <c r="BM20" s="1400"/>
      <c r="BN20" s="1400"/>
      <c r="BO20" s="1400"/>
      <c r="BP20" s="1400"/>
      <c r="BQ20" s="1400"/>
      <c r="BR20" s="1400"/>
      <c r="BS20" s="1400"/>
      <c r="BT20" s="1400"/>
      <c r="BU20" s="1400"/>
      <c r="BV20" s="1400"/>
      <c r="BW20" s="1400"/>
      <c r="BX20" s="1400"/>
      <c r="BY20" s="1400"/>
      <c r="BZ20" s="1400"/>
      <c r="CA20" s="1400"/>
    </row>
    <row r="21" spans="1:79" s="1957" customFormat="1" ht="14.1" customHeight="1" thickBot="1">
      <c r="A21" s="1357"/>
      <c r="B21" s="1358" t="s">
        <v>48</v>
      </c>
      <c r="C21" s="2758"/>
      <c r="D21" s="1165">
        <f t="shared" ref="D21:O21" si="31">D30+D42+D54+D89+D78+D66</f>
        <v>86085400</v>
      </c>
      <c r="E21" s="1165">
        <f t="shared" si="31"/>
        <v>0</v>
      </c>
      <c r="F21" s="1165">
        <f t="shared" si="31"/>
        <v>0</v>
      </c>
      <c r="G21" s="1165">
        <f t="shared" si="31"/>
        <v>0</v>
      </c>
      <c r="H21" s="1165">
        <f t="shared" si="31"/>
        <v>0</v>
      </c>
      <c r="I21" s="1165">
        <f t="shared" si="31"/>
        <v>0</v>
      </c>
      <c r="J21" s="1165">
        <f t="shared" si="31"/>
        <v>0</v>
      </c>
      <c r="K21" s="1165">
        <f t="shared" si="31"/>
        <v>7797185</v>
      </c>
      <c r="L21" s="1165">
        <f t="shared" si="31"/>
        <v>4579732</v>
      </c>
      <c r="M21" s="1165">
        <f t="shared" ref="M21:N21" si="32">M30+M42+M54+M89+M78+M66</f>
        <v>12376917</v>
      </c>
      <c r="N21" s="1165">
        <f t="shared" si="32"/>
        <v>7034332</v>
      </c>
      <c r="O21" s="1165">
        <f t="shared" si="31"/>
        <v>66674151</v>
      </c>
      <c r="P21" s="1165">
        <f t="shared" ref="P21:T21" si="33">P30+P42+P54+P89+P78+P66</f>
        <v>0</v>
      </c>
      <c r="Q21" s="1165">
        <f t="shared" si="33"/>
        <v>0</v>
      </c>
      <c r="R21" s="1165">
        <f t="shared" si="33"/>
        <v>0</v>
      </c>
      <c r="S21" s="1165">
        <f t="shared" si="33"/>
        <v>0</v>
      </c>
      <c r="T21" s="1165">
        <f t="shared" si="33"/>
        <v>0</v>
      </c>
      <c r="U21" s="2755"/>
      <c r="V21" s="2751"/>
      <c r="W21" s="1400"/>
      <c r="X21" s="1400"/>
      <c r="Y21" s="1400"/>
      <c r="Z21" s="1400"/>
      <c r="AA21" s="1400"/>
      <c r="AB21" s="1400"/>
      <c r="AC21" s="1400"/>
      <c r="AD21" s="1400"/>
      <c r="AE21" s="1400"/>
      <c r="AF21" s="1400"/>
      <c r="AG21" s="1400"/>
      <c r="AH21" s="1400"/>
      <c r="AI21" s="1400"/>
      <c r="AJ21" s="1400"/>
      <c r="AK21" s="1400"/>
      <c r="AL21" s="1400"/>
      <c r="AM21" s="1400"/>
      <c r="AN21" s="1400"/>
      <c r="AO21" s="1400"/>
      <c r="AP21" s="1400"/>
      <c r="AQ21" s="1400"/>
      <c r="AR21" s="1400"/>
      <c r="AS21" s="1400"/>
      <c r="AT21" s="1400"/>
      <c r="AU21" s="1400"/>
      <c r="AV21" s="1400"/>
      <c r="AW21" s="1400"/>
      <c r="AX21" s="1400"/>
      <c r="AY21" s="1400"/>
      <c r="AZ21" s="1400"/>
      <c r="BA21" s="1400"/>
      <c r="BB21" s="1400"/>
      <c r="BC21" s="1400"/>
      <c r="BD21" s="1400"/>
      <c r="BE21" s="1400"/>
      <c r="BF21" s="1400"/>
      <c r="BG21" s="1400"/>
      <c r="BH21" s="1400"/>
      <c r="BI21" s="1400"/>
      <c r="BJ21" s="1400"/>
      <c r="BK21" s="1400"/>
      <c r="BL21" s="1400"/>
      <c r="BM21" s="1400"/>
      <c r="BN21" s="1400"/>
      <c r="BO21" s="1400"/>
      <c r="BP21" s="1400"/>
      <c r="BQ21" s="1400"/>
      <c r="BR21" s="1400"/>
      <c r="BS21" s="1400"/>
      <c r="BT21" s="1400"/>
      <c r="BU21" s="1400"/>
      <c r="BV21" s="1400"/>
      <c r="BW21" s="1400"/>
      <c r="BX21" s="1400"/>
      <c r="BY21" s="1400"/>
      <c r="BZ21" s="1400"/>
      <c r="CA21" s="1400"/>
    </row>
    <row r="22" spans="1:79" s="1400" customFormat="1" ht="15" customHeight="1">
      <c r="A22" s="2759" t="s">
        <v>82</v>
      </c>
      <c r="B22" s="1359" t="s">
        <v>344</v>
      </c>
      <c r="C22" s="1360" t="s">
        <v>102</v>
      </c>
      <c r="D22" s="1361"/>
      <c r="E22" s="1362"/>
      <c r="F22" s="1362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832"/>
      <c r="T22" s="1832"/>
      <c r="U22" s="1364"/>
      <c r="V22" s="2762" t="s">
        <v>256</v>
      </c>
      <c r="W22" s="1916"/>
      <c r="X22" s="1916"/>
      <c r="Y22" s="1916"/>
      <c r="Z22" s="1916"/>
      <c r="AA22" s="1916"/>
      <c r="AB22" s="1916"/>
      <c r="AC22" s="1916"/>
      <c r="AD22" s="1916"/>
      <c r="AE22" s="1916"/>
      <c r="AF22" s="1916"/>
      <c r="AG22" s="1916"/>
      <c r="AH22" s="1916"/>
      <c r="AI22" s="1916"/>
      <c r="AJ22" s="1916"/>
      <c r="AK22" s="1916"/>
      <c r="AL22" s="1916"/>
      <c r="AM22" s="1916"/>
      <c r="AN22" s="1916"/>
      <c r="AO22" s="1916"/>
      <c r="AP22" s="1916"/>
      <c r="AQ22" s="1916"/>
      <c r="AR22" s="1916"/>
      <c r="AS22" s="1916"/>
      <c r="AT22" s="1916"/>
      <c r="AU22" s="1916"/>
      <c r="AV22" s="1916"/>
      <c r="AW22" s="1916"/>
      <c r="AX22" s="1916"/>
      <c r="AY22" s="1916"/>
      <c r="AZ22" s="1916"/>
      <c r="BA22" s="1916"/>
      <c r="BB22" s="1916"/>
      <c r="BC22" s="1916"/>
      <c r="BD22" s="1916"/>
      <c r="BE22" s="1916"/>
      <c r="BF22" s="1916"/>
      <c r="BG22" s="1916"/>
      <c r="BH22" s="1916"/>
      <c r="BI22" s="1916"/>
      <c r="BJ22" s="1916"/>
      <c r="BK22" s="1916"/>
      <c r="BL22" s="1916"/>
      <c r="BM22" s="1916"/>
      <c r="BN22" s="1916"/>
      <c r="BO22" s="1916"/>
      <c r="BP22" s="1916"/>
      <c r="BQ22" s="1916"/>
      <c r="BR22" s="1916"/>
      <c r="BS22" s="1916"/>
      <c r="BT22" s="1916"/>
      <c r="BU22" s="1916"/>
      <c r="BV22" s="1916"/>
      <c r="BW22" s="1916"/>
      <c r="BX22" s="1916"/>
      <c r="BY22" s="1916"/>
      <c r="BZ22" s="1916"/>
    </row>
    <row r="23" spans="1:79" s="1400" customFormat="1" ht="14.1" customHeight="1">
      <c r="A23" s="2760"/>
      <c r="B23" s="1083" t="s">
        <v>22</v>
      </c>
      <c r="C23" s="1083"/>
      <c r="D23" s="897">
        <f t="shared" ref="D23:L23" si="34">+D24+D26</f>
        <v>2536207</v>
      </c>
      <c r="E23" s="897">
        <f t="shared" si="34"/>
        <v>0</v>
      </c>
      <c r="F23" s="897"/>
      <c r="G23" s="897"/>
      <c r="H23" s="897"/>
      <c r="I23" s="897">
        <f t="shared" si="34"/>
        <v>0</v>
      </c>
      <c r="J23" s="897">
        <f>+J24+J26</f>
        <v>256207</v>
      </c>
      <c r="K23" s="897">
        <f t="shared" si="34"/>
        <v>0</v>
      </c>
      <c r="L23" s="897">
        <f t="shared" si="34"/>
        <v>0</v>
      </c>
      <c r="M23" s="897">
        <f t="shared" ref="M23" si="35">+M24+M26</f>
        <v>256207</v>
      </c>
      <c r="N23" s="897">
        <f t="shared" ref="N23:U23" si="36">+N24</f>
        <v>0</v>
      </c>
      <c r="O23" s="897">
        <f t="shared" si="36"/>
        <v>2280000</v>
      </c>
      <c r="P23" s="897">
        <f t="shared" si="36"/>
        <v>0</v>
      </c>
      <c r="Q23" s="897">
        <f t="shared" si="36"/>
        <v>0</v>
      </c>
      <c r="R23" s="897">
        <f t="shared" si="36"/>
        <v>0</v>
      </c>
      <c r="S23" s="897">
        <f t="shared" si="36"/>
        <v>0</v>
      </c>
      <c r="T23" s="897">
        <f t="shared" si="36"/>
        <v>0</v>
      </c>
      <c r="U23" s="885">
        <f t="shared" si="36"/>
        <v>2280000</v>
      </c>
      <c r="V23" s="2700"/>
      <c r="W23" s="1916"/>
      <c r="X23" s="1916"/>
      <c r="Y23" s="1916"/>
      <c r="Z23" s="1916"/>
      <c r="AA23" s="1916"/>
      <c r="AB23" s="1916"/>
      <c r="AC23" s="1916"/>
      <c r="AD23" s="1916"/>
      <c r="AE23" s="1916"/>
      <c r="AF23" s="1916"/>
      <c r="AG23" s="1916"/>
      <c r="AH23" s="1916"/>
      <c r="AI23" s="1916"/>
      <c r="AJ23" s="1916"/>
      <c r="AK23" s="1916"/>
      <c r="AL23" s="1916"/>
      <c r="AM23" s="1916"/>
      <c r="AN23" s="1916"/>
      <c r="AO23" s="1916"/>
      <c r="AP23" s="1916"/>
      <c r="AQ23" s="1916"/>
      <c r="AR23" s="1916"/>
      <c r="AS23" s="1916"/>
      <c r="AT23" s="1916"/>
      <c r="AU23" s="1916"/>
      <c r="AV23" s="1916"/>
      <c r="AW23" s="1916"/>
      <c r="AX23" s="1916"/>
      <c r="AY23" s="1916"/>
      <c r="AZ23" s="1916"/>
      <c r="BA23" s="1916"/>
      <c r="BB23" s="1916"/>
      <c r="BC23" s="1916"/>
      <c r="BD23" s="1916"/>
      <c r="BE23" s="1916"/>
      <c r="BF23" s="1916"/>
      <c r="BG23" s="1916"/>
      <c r="BH23" s="1916"/>
      <c r="BI23" s="1916"/>
      <c r="BJ23" s="1916"/>
      <c r="BK23" s="1916"/>
      <c r="BL23" s="1916"/>
      <c r="BM23" s="1916"/>
      <c r="BN23" s="1916"/>
      <c r="BO23" s="1916"/>
      <c r="BP23" s="1916"/>
      <c r="BQ23" s="1916"/>
      <c r="BR23" s="1916"/>
      <c r="BS23" s="1916"/>
      <c r="BT23" s="1916"/>
      <c r="BU23" s="1916"/>
      <c r="BV23" s="1916"/>
      <c r="BW23" s="1916"/>
      <c r="BX23" s="1916"/>
      <c r="BY23" s="1916"/>
      <c r="BZ23" s="1916"/>
    </row>
    <row r="24" spans="1:79" s="1400" customFormat="1" ht="14.1" customHeight="1">
      <c r="A24" s="2760"/>
      <c r="B24" s="1365" t="s">
        <v>36</v>
      </c>
      <c r="C24" s="2763" t="s">
        <v>257</v>
      </c>
      <c r="D24" s="902">
        <f>D25</f>
        <v>2536207</v>
      </c>
      <c r="E24" s="902">
        <f t="shared" ref="E24:T24" si="37">E25</f>
        <v>0</v>
      </c>
      <c r="F24" s="902"/>
      <c r="G24" s="902"/>
      <c r="H24" s="902"/>
      <c r="I24" s="902">
        <f t="shared" si="37"/>
        <v>0</v>
      </c>
      <c r="J24" s="902">
        <f t="shared" si="37"/>
        <v>256207</v>
      </c>
      <c r="K24" s="902">
        <f t="shared" si="37"/>
        <v>0</v>
      </c>
      <c r="L24" s="902">
        <f t="shared" si="37"/>
        <v>0</v>
      </c>
      <c r="M24" s="902">
        <f t="shared" si="37"/>
        <v>256207</v>
      </c>
      <c r="N24" s="902">
        <f t="shared" si="37"/>
        <v>0</v>
      </c>
      <c r="O24" s="902">
        <f t="shared" si="37"/>
        <v>2280000</v>
      </c>
      <c r="P24" s="902">
        <f t="shared" si="37"/>
        <v>0</v>
      </c>
      <c r="Q24" s="902">
        <f t="shared" si="37"/>
        <v>0</v>
      </c>
      <c r="R24" s="902">
        <f t="shared" si="37"/>
        <v>0</v>
      </c>
      <c r="S24" s="902">
        <f t="shared" si="37"/>
        <v>0</v>
      </c>
      <c r="T24" s="902">
        <f t="shared" si="37"/>
        <v>0</v>
      </c>
      <c r="U24" s="888">
        <f>+U25</f>
        <v>2280000</v>
      </c>
      <c r="V24" s="2700"/>
      <c r="W24" s="1916"/>
      <c r="X24" s="1916"/>
      <c r="Y24" s="1916"/>
      <c r="Z24" s="1916"/>
      <c r="AA24" s="1916"/>
      <c r="AB24" s="1916"/>
      <c r="AC24" s="1916"/>
      <c r="AD24" s="1916"/>
      <c r="AE24" s="1916"/>
      <c r="AF24" s="1916"/>
      <c r="AG24" s="1916"/>
      <c r="AH24" s="1916"/>
      <c r="AI24" s="1916"/>
      <c r="AJ24" s="1916"/>
      <c r="AK24" s="1916"/>
      <c r="AL24" s="1916"/>
      <c r="AM24" s="1916"/>
      <c r="AN24" s="1916"/>
      <c r="AO24" s="1916"/>
      <c r="AP24" s="1916"/>
      <c r="AQ24" s="1916"/>
      <c r="AR24" s="1916"/>
      <c r="AS24" s="1916"/>
      <c r="AT24" s="1916"/>
      <c r="AU24" s="1916"/>
      <c r="AV24" s="1916"/>
      <c r="AW24" s="1916"/>
      <c r="AX24" s="1916"/>
      <c r="AY24" s="1916"/>
      <c r="AZ24" s="1916"/>
      <c r="BA24" s="1916"/>
      <c r="BB24" s="1916"/>
      <c r="BC24" s="1916"/>
      <c r="BD24" s="1916"/>
      <c r="BE24" s="1916"/>
      <c r="BF24" s="1916"/>
      <c r="BG24" s="1916"/>
      <c r="BH24" s="1916"/>
      <c r="BI24" s="1916"/>
      <c r="BJ24" s="1916"/>
      <c r="BK24" s="1916"/>
      <c r="BL24" s="1916"/>
      <c r="BM24" s="1916"/>
      <c r="BN24" s="1916"/>
      <c r="BO24" s="1916"/>
      <c r="BP24" s="1916"/>
      <c r="BQ24" s="1916"/>
      <c r="BR24" s="1916"/>
      <c r="BS24" s="1916"/>
      <c r="BT24" s="1916"/>
      <c r="BU24" s="1916"/>
      <c r="BV24" s="1916"/>
      <c r="BW24" s="1916"/>
      <c r="BX24" s="1916"/>
      <c r="BY24" s="1916"/>
      <c r="BZ24" s="1916"/>
    </row>
    <row r="25" spans="1:79" s="1400" customFormat="1" ht="12.75" thickBot="1">
      <c r="A25" s="2761"/>
      <c r="B25" s="1366" t="s">
        <v>193</v>
      </c>
      <c r="C25" s="2764"/>
      <c r="D25" s="903">
        <f>+E25+I25+J25+K25+L25+N25+O25+P25+Q25</f>
        <v>2536207</v>
      </c>
      <c r="E25" s="903">
        <f>+F25+G25+H25</f>
        <v>0</v>
      </c>
      <c r="F25" s="903"/>
      <c r="G25" s="903"/>
      <c r="H25" s="903"/>
      <c r="I25" s="903">
        <v>0</v>
      </c>
      <c r="J25" s="903">
        <f>2500000-2243000-793</f>
        <v>256207</v>
      </c>
      <c r="K25" s="903">
        <f>4500000-3800000-700000</f>
        <v>0</v>
      </c>
      <c r="L25" s="903">
        <f>3323200-1743200+700000-2280000</f>
        <v>0</v>
      </c>
      <c r="M25" s="903">
        <f>+E25+I25+J25+K25+L25</f>
        <v>256207</v>
      </c>
      <c r="N25" s="903">
        <f>0+2280000-2280000</f>
        <v>0</v>
      </c>
      <c r="O25" s="903">
        <f>0+2280000</f>
        <v>2280000</v>
      </c>
      <c r="P25" s="903">
        <v>0</v>
      </c>
      <c r="Q25" s="903">
        <v>0</v>
      </c>
      <c r="R25" s="903">
        <v>0</v>
      </c>
      <c r="S25" s="903">
        <v>0</v>
      </c>
      <c r="T25" s="903">
        <v>0</v>
      </c>
      <c r="U25" s="1153">
        <f>+O25+P25+Q25+R25</f>
        <v>2280000</v>
      </c>
      <c r="V25" s="2700"/>
      <c r="W25" s="1916"/>
      <c r="X25" s="1916"/>
      <c r="Y25" s="1916"/>
      <c r="Z25" s="1916"/>
      <c r="AA25" s="1916"/>
      <c r="AB25" s="1916"/>
      <c r="AC25" s="1916"/>
      <c r="AD25" s="1916"/>
      <c r="AE25" s="1916"/>
      <c r="AF25" s="1916"/>
      <c r="AG25" s="1916"/>
      <c r="AH25" s="1916"/>
      <c r="AI25" s="1916"/>
      <c r="AJ25" s="1916"/>
      <c r="AK25" s="1916"/>
      <c r="AL25" s="1916"/>
      <c r="AM25" s="1916"/>
      <c r="AN25" s="1916"/>
      <c r="AO25" s="1916"/>
      <c r="AP25" s="1916"/>
      <c r="AQ25" s="1916"/>
      <c r="AR25" s="1916"/>
      <c r="AS25" s="1916"/>
      <c r="AT25" s="1916"/>
      <c r="AU25" s="1916"/>
      <c r="AV25" s="1916"/>
      <c r="AW25" s="1916"/>
      <c r="AX25" s="1916"/>
      <c r="AY25" s="1916"/>
      <c r="AZ25" s="1916"/>
      <c r="BA25" s="1916"/>
      <c r="BB25" s="1916"/>
      <c r="BC25" s="1916"/>
      <c r="BD25" s="1916"/>
      <c r="BE25" s="1916"/>
      <c r="BF25" s="1916"/>
      <c r="BG25" s="1916"/>
      <c r="BH25" s="1916"/>
      <c r="BI25" s="1916"/>
      <c r="BJ25" s="1916"/>
      <c r="BK25" s="1916"/>
      <c r="BL25" s="1916"/>
      <c r="BM25" s="1916"/>
      <c r="BN25" s="1916"/>
      <c r="BO25" s="1916"/>
      <c r="BP25" s="1916"/>
      <c r="BQ25" s="1916"/>
      <c r="BR25" s="1916"/>
      <c r="BS25" s="1916"/>
      <c r="BT25" s="1916"/>
      <c r="BU25" s="1916"/>
      <c r="BV25" s="1916"/>
      <c r="BW25" s="1916"/>
      <c r="BX25" s="1916"/>
      <c r="BY25" s="1916"/>
      <c r="BZ25" s="1916"/>
    </row>
    <row r="26" spans="1:79" s="1400" customFormat="1" ht="5.25" hidden="1" customHeight="1">
      <c r="A26" s="1367"/>
      <c r="B26" s="1368" t="s">
        <v>30</v>
      </c>
      <c r="C26" s="2764"/>
      <c r="D26" s="1369">
        <f>+D27</f>
        <v>0</v>
      </c>
      <c r="E26" s="1369">
        <f>+E27</f>
        <v>0</v>
      </c>
      <c r="F26" s="1369"/>
      <c r="G26" s="1369"/>
      <c r="H26" s="1369"/>
      <c r="I26" s="1369">
        <f>+I27</f>
        <v>0</v>
      </c>
      <c r="J26" s="1369">
        <f>+J27</f>
        <v>0</v>
      </c>
      <c r="K26" s="1369">
        <f>+K27</f>
        <v>0</v>
      </c>
      <c r="L26" s="1369">
        <f>+L27</f>
        <v>0</v>
      </c>
      <c r="M26" s="1369"/>
      <c r="N26" s="1369">
        <v>0</v>
      </c>
      <c r="O26" s="1369">
        <v>0</v>
      </c>
      <c r="P26" s="1369">
        <v>0</v>
      </c>
      <c r="Q26" s="1369"/>
      <c r="R26" s="1369"/>
      <c r="S26" s="1369"/>
      <c r="T26" s="1369"/>
      <c r="U26" s="1370" t="str">
        <f>+U27</f>
        <v>x</v>
      </c>
      <c r="V26" s="2700"/>
      <c r="W26" s="1916"/>
      <c r="X26" s="1916"/>
      <c r="Y26" s="1916"/>
      <c r="Z26" s="1916"/>
      <c r="AA26" s="1916"/>
      <c r="AB26" s="1916"/>
      <c r="AC26" s="1916"/>
      <c r="AD26" s="1916"/>
      <c r="AE26" s="1916"/>
      <c r="AF26" s="1916"/>
      <c r="AG26" s="1916"/>
      <c r="AH26" s="1916"/>
      <c r="AI26" s="1916"/>
      <c r="AJ26" s="1916"/>
      <c r="AK26" s="1916"/>
      <c r="AL26" s="1916"/>
      <c r="AM26" s="1916"/>
      <c r="AN26" s="1916"/>
      <c r="AO26" s="1916"/>
      <c r="AP26" s="1916"/>
      <c r="AQ26" s="1916"/>
      <c r="AR26" s="1916"/>
      <c r="AS26" s="1916"/>
      <c r="AT26" s="1916"/>
      <c r="AU26" s="1916"/>
      <c r="AV26" s="1916"/>
      <c r="AW26" s="1916"/>
      <c r="AX26" s="1916"/>
      <c r="AY26" s="1916"/>
      <c r="AZ26" s="1916"/>
      <c r="BA26" s="1916"/>
      <c r="BB26" s="1916"/>
      <c r="BC26" s="1916"/>
      <c r="BD26" s="1916"/>
      <c r="BE26" s="1916"/>
      <c r="BF26" s="1916"/>
      <c r="BG26" s="1916"/>
      <c r="BH26" s="1916"/>
      <c r="BI26" s="1916"/>
      <c r="BJ26" s="1916"/>
      <c r="BK26" s="1916"/>
      <c r="BL26" s="1916"/>
      <c r="BM26" s="1916"/>
      <c r="BN26" s="1916"/>
      <c r="BO26" s="1916"/>
      <c r="BP26" s="1916"/>
      <c r="BQ26" s="1916"/>
      <c r="BR26" s="1916"/>
      <c r="BS26" s="1916"/>
      <c r="BT26" s="1916"/>
      <c r="BU26" s="1916"/>
      <c r="BV26" s="1916"/>
      <c r="BW26" s="1916"/>
      <c r="BX26" s="1916"/>
      <c r="BY26" s="1916"/>
      <c r="BZ26" s="1916"/>
    </row>
    <row r="27" spans="1:79" s="1400" customFormat="1" ht="5.25" hidden="1" customHeight="1" thickBot="1">
      <c r="A27" s="1367"/>
      <c r="B27" s="1371" t="s">
        <v>48</v>
      </c>
      <c r="C27" s="2765"/>
      <c r="D27" s="903">
        <f>+E27+I27+J27+K27+L27</f>
        <v>0</v>
      </c>
      <c r="E27" s="903">
        <v>0</v>
      </c>
      <c r="F27" s="903"/>
      <c r="G27" s="903"/>
      <c r="H27" s="903"/>
      <c r="I27" s="903">
        <v>0</v>
      </c>
      <c r="J27" s="903">
        <f>7500000-7500000</f>
        <v>0</v>
      </c>
      <c r="K27" s="903">
        <f>13500000-13500000</f>
        <v>0</v>
      </c>
      <c r="L27" s="903">
        <f>9969600-9969600</f>
        <v>0</v>
      </c>
      <c r="M27" s="903"/>
      <c r="N27" s="903">
        <v>0</v>
      </c>
      <c r="O27" s="903">
        <v>0</v>
      </c>
      <c r="P27" s="903">
        <v>0</v>
      </c>
      <c r="Q27" s="903"/>
      <c r="R27" s="903"/>
      <c r="S27" s="903"/>
      <c r="T27" s="903"/>
      <c r="U27" s="1372" t="s">
        <v>77</v>
      </c>
      <c r="V27" s="2700"/>
      <c r="W27" s="1916"/>
      <c r="X27" s="1916"/>
      <c r="Y27" s="1916"/>
      <c r="Z27" s="1916"/>
      <c r="AA27" s="1916"/>
      <c r="AB27" s="1916"/>
      <c r="AC27" s="1916"/>
      <c r="AD27" s="1916"/>
      <c r="AE27" s="1916"/>
      <c r="AF27" s="1916"/>
      <c r="AG27" s="1916"/>
      <c r="AH27" s="1916"/>
      <c r="AI27" s="1916"/>
      <c r="AJ27" s="1916"/>
      <c r="AK27" s="1916"/>
      <c r="AL27" s="1916"/>
      <c r="AM27" s="1916"/>
      <c r="AN27" s="1916"/>
      <c r="AO27" s="1916"/>
      <c r="AP27" s="1916"/>
      <c r="AQ27" s="1916"/>
      <c r="AR27" s="1916"/>
      <c r="AS27" s="1916"/>
      <c r="AT27" s="1916"/>
      <c r="AU27" s="1916"/>
      <c r="AV27" s="1916"/>
      <c r="AW27" s="1916"/>
      <c r="AX27" s="1916"/>
      <c r="AY27" s="1916"/>
      <c r="AZ27" s="1916"/>
      <c r="BA27" s="1916"/>
      <c r="BB27" s="1916"/>
      <c r="BC27" s="1916"/>
      <c r="BD27" s="1916"/>
      <c r="BE27" s="1916"/>
      <c r="BF27" s="1916"/>
      <c r="BG27" s="1916"/>
      <c r="BH27" s="1916"/>
      <c r="BI27" s="1916"/>
      <c r="BJ27" s="1916"/>
      <c r="BK27" s="1916"/>
      <c r="BL27" s="1916"/>
      <c r="BM27" s="1916"/>
      <c r="BN27" s="1916"/>
      <c r="BO27" s="1916"/>
      <c r="BP27" s="1916"/>
      <c r="BQ27" s="1916"/>
      <c r="BR27" s="1916"/>
      <c r="BS27" s="1916"/>
      <c r="BT27" s="1916"/>
      <c r="BU27" s="1916"/>
      <c r="BV27" s="1916"/>
      <c r="BW27" s="1916"/>
      <c r="BX27" s="1916"/>
      <c r="BY27" s="1916"/>
      <c r="BZ27" s="1916"/>
    </row>
    <row r="28" spans="1:79" s="1959" customFormat="1" ht="9" hidden="1" customHeight="1">
      <c r="A28" s="1367"/>
      <c r="B28" s="1085" t="s">
        <v>34</v>
      </c>
      <c r="C28" s="1373"/>
      <c r="D28" s="1347">
        <f>D29</f>
        <v>0</v>
      </c>
      <c r="E28" s="1347">
        <f t="shared" ref="E28:J28" si="38">E29</f>
        <v>0</v>
      </c>
      <c r="F28" s="1347"/>
      <c r="G28" s="1347"/>
      <c r="H28" s="1347"/>
      <c r="I28" s="1347">
        <f t="shared" si="38"/>
        <v>0</v>
      </c>
      <c r="J28" s="1347">
        <f t="shared" si="38"/>
        <v>0</v>
      </c>
      <c r="K28" s="1347">
        <f>K29</f>
        <v>0</v>
      </c>
      <c r="L28" s="1347">
        <f>L29</f>
        <v>0</v>
      </c>
      <c r="M28" s="1347"/>
      <c r="N28" s="1347">
        <f>N29</f>
        <v>0</v>
      </c>
      <c r="O28" s="1347">
        <f>O29</f>
        <v>0</v>
      </c>
      <c r="P28" s="1347">
        <f>P29</f>
        <v>0</v>
      </c>
      <c r="Q28" s="1347"/>
      <c r="R28" s="1347"/>
      <c r="S28" s="1347"/>
      <c r="T28" s="1347"/>
      <c r="U28" s="950"/>
      <c r="V28" s="2700"/>
      <c r="W28" s="1958"/>
      <c r="X28" s="1958"/>
      <c r="Y28" s="1958"/>
      <c r="Z28" s="1958"/>
      <c r="AA28" s="1958"/>
      <c r="AB28" s="1958"/>
      <c r="AC28" s="1958"/>
      <c r="AD28" s="1958"/>
      <c r="AE28" s="1958"/>
      <c r="AF28" s="1958"/>
      <c r="AG28" s="1958"/>
      <c r="AH28" s="1958"/>
      <c r="AI28" s="1958"/>
      <c r="AJ28" s="1958"/>
      <c r="AK28" s="1958"/>
      <c r="AL28" s="1958"/>
      <c r="AM28" s="1958"/>
      <c r="AN28" s="1958"/>
      <c r="AO28" s="1958"/>
      <c r="AP28" s="1958"/>
      <c r="AQ28" s="1958"/>
      <c r="AR28" s="1958"/>
      <c r="AS28" s="1958"/>
      <c r="AT28" s="1958"/>
      <c r="AU28" s="1958"/>
      <c r="AV28" s="1958"/>
      <c r="AW28" s="1958"/>
      <c r="AX28" s="1958"/>
      <c r="AY28" s="1958"/>
      <c r="AZ28" s="1958"/>
      <c r="BA28" s="1958"/>
      <c r="BB28" s="1958"/>
      <c r="BC28" s="1958"/>
      <c r="BD28" s="1958"/>
      <c r="BE28" s="1958"/>
      <c r="BF28" s="1958"/>
      <c r="BG28" s="1958"/>
      <c r="BH28" s="1958"/>
      <c r="BI28" s="1958"/>
      <c r="BJ28" s="1958"/>
      <c r="BK28" s="1958"/>
      <c r="BL28" s="1958"/>
      <c r="BM28" s="1958"/>
      <c r="BN28" s="1958"/>
      <c r="BO28" s="1958"/>
      <c r="BP28" s="1958"/>
      <c r="BQ28" s="1958"/>
      <c r="BR28" s="1958"/>
      <c r="BS28" s="1958"/>
      <c r="BT28" s="1958"/>
      <c r="BU28" s="1958"/>
      <c r="BV28" s="1958"/>
      <c r="BW28" s="1958"/>
      <c r="BX28" s="1958"/>
      <c r="BY28" s="1958"/>
      <c r="BZ28" s="1958"/>
    </row>
    <row r="29" spans="1:79" s="1400" customFormat="1" ht="7.5" hidden="1" customHeight="1">
      <c r="A29" s="1367"/>
      <c r="B29" s="2211" t="s">
        <v>30</v>
      </c>
      <c r="C29" s="2763" t="s">
        <v>35</v>
      </c>
      <c r="D29" s="902">
        <f>+D30</f>
        <v>0</v>
      </c>
      <c r="E29" s="902">
        <f t="shared" ref="E29:L29" si="39">+E30</f>
        <v>0</v>
      </c>
      <c r="F29" s="902"/>
      <c r="G29" s="902"/>
      <c r="H29" s="902"/>
      <c r="I29" s="902">
        <f t="shared" si="39"/>
        <v>0</v>
      </c>
      <c r="J29" s="902">
        <f t="shared" si="39"/>
        <v>0</v>
      </c>
      <c r="K29" s="902">
        <f t="shared" si="39"/>
        <v>0</v>
      </c>
      <c r="L29" s="902">
        <f t="shared" si="39"/>
        <v>0</v>
      </c>
      <c r="M29" s="902"/>
      <c r="N29" s="902">
        <v>0</v>
      </c>
      <c r="O29" s="902">
        <v>0</v>
      </c>
      <c r="P29" s="902">
        <v>0</v>
      </c>
      <c r="Q29" s="2211"/>
      <c r="R29" s="2211"/>
      <c r="S29" s="2211"/>
      <c r="T29" s="2211"/>
      <c r="U29" s="2737" t="s">
        <v>77</v>
      </c>
      <c r="V29" s="2700"/>
      <c r="W29" s="1916"/>
      <c r="X29" s="1916"/>
      <c r="Y29" s="1916"/>
      <c r="Z29" s="1916"/>
      <c r="AA29" s="1916"/>
      <c r="AB29" s="1916"/>
      <c r="AC29" s="1916"/>
      <c r="AD29" s="1916"/>
      <c r="AE29" s="1916"/>
      <c r="AF29" s="1916"/>
      <c r="AG29" s="1916"/>
      <c r="AH29" s="1916"/>
      <c r="AI29" s="1916"/>
      <c r="AJ29" s="1916"/>
      <c r="AK29" s="1916"/>
      <c r="AL29" s="1916"/>
      <c r="AM29" s="1916"/>
      <c r="AN29" s="1916"/>
      <c r="AO29" s="1916"/>
      <c r="AP29" s="1916"/>
      <c r="AQ29" s="1916"/>
      <c r="AR29" s="1916"/>
      <c r="AS29" s="1916"/>
      <c r="AT29" s="1916"/>
      <c r="AU29" s="1916"/>
      <c r="AV29" s="1916"/>
      <c r="AW29" s="1916"/>
      <c r="AX29" s="1916"/>
      <c r="AY29" s="1916"/>
      <c r="AZ29" s="1916"/>
      <c r="BA29" s="1916"/>
      <c r="BB29" s="1916"/>
      <c r="BC29" s="1916"/>
      <c r="BD29" s="1916"/>
      <c r="BE29" s="1916"/>
      <c r="BF29" s="1916"/>
      <c r="BG29" s="1916"/>
      <c r="BH29" s="1916"/>
      <c r="BI29" s="1916"/>
      <c r="BJ29" s="1916"/>
      <c r="BK29" s="1916"/>
      <c r="BL29" s="1916"/>
      <c r="BM29" s="1916"/>
      <c r="BN29" s="1916"/>
      <c r="BO29" s="1916"/>
      <c r="BP29" s="1916"/>
      <c r="BQ29" s="1916"/>
      <c r="BR29" s="1916"/>
      <c r="BS29" s="1916"/>
      <c r="BT29" s="1916"/>
      <c r="BU29" s="1916"/>
      <c r="BV29" s="1916"/>
      <c r="BW29" s="1916"/>
      <c r="BX29" s="1916"/>
      <c r="BY29" s="1916"/>
      <c r="BZ29" s="1916"/>
    </row>
    <row r="30" spans="1:79" s="1400" customFormat="1" ht="4.5" hidden="1" customHeight="1" thickBot="1">
      <c r="A30" s="1374"/>
      <c r="B30" s="1371" t="s">
        <v>48</v>
      </c>
      <c r="C30" s="2737"/>
      <c r="D30" s="903">
        <f>+E30+I30+J30+K30+L30</f>
        <v>0</v>
      </c>
      <c r="E30" s="903">
        <v>0</v>
      </c>
      <c r="F30" s="903"/>
      <c r="G30" s="903"/>
      <c r="H30" s="903"/>
      <c r="I30" s="903">
        <v>0</v>
      </c>
      <c r="J30" s="903">
        <f>7500000-7500000</f>
        <v>0</v>
      </c>
      <c r="K30" s="903">
        <f>13500000-13500000</f>
        <v>0</v>
      </c>
      <c r="L30" s="903">
        <f>9969600-9969600</f>
        <v>0</v>
      </c>
      <c r="M30" s="903"/>
      <c r="N30" s="903">
        <v>0</v>
      </c>
      <c r="O30" s="903">
        <v>0</v>
      </c>
      <c r="P30" s="903">
        <v>0</v>
      </c>
      <c r="Q30" s="2211"/>
      <c r="R30" s="2211"/>
      <c r="S30" s="2211"/>
      <c r="T30" s="2211"/>
      <c r="U30" s="2737"/>
      <c r="V30" s="2737"/>
      <c r="W30" s="1916"/>
      <c r="X30" s="1916"/>
      <c r="Y30" s="1916"/>
      <c r="Z30" s="1916"/>
      <c r="AA30" s="1916"/>
      <c r="AB30" s="1916"/>
      <c r="AC30" s="1916"/>
      <c r="AD30" s="1916"/>
      <c r="AE30" s="1916"/>
      <c r="AF30" s="1916"/>
      <c r="AG30" s="1916"/>
      <c r="AH30" s="1916"/>
      <c r="AI30" s="1916"/>
      <c r="AJ30" s="1916"/>
      <c r="AK30" s="1916"/>
      <c r="AL30" s="1916"/>
      <c r="AM30" s="1916"/>
      <c r="AN30" s="1916"/>
      <c r="AO30" s="1916"/>
      <c r="AP30" s="1916"/>
      <c r="AQ30" s="1916"/>
      <c r="AR30" s="1916"/>
      <c r="AS30" s="1916"/>
      <c r="AT30" s="1916"/>
      <c r="AU30" s="1916"/>
      <c r="AV30" s="1916"/>
      <c r="AW30" s="1916"/>
      <c r="AX30" s="1916"/>
      <c r="AY30" s="1916"/>
      <c r="AZ30" s="1916"/>
      <c r="BA30" s="1916"/>
      <c r="BB30" s="1916"/>
      <c r="BC30" s="1916"/>
      <c r="BD30" s="1916"/>
      <c r="BE30" s="1916"/>
      <c r="BF30" s="1916"/>
      <c r="BG30" s="1916"/>
      <c r="BH30" s="1916"/>
      <c r="BI30" s="1916"/>
      <c r="BJ30" s="1916"/>
      <c r="BK30" s="1916"/>
      <c r="BL30" s="1916"/>
      <c r="BM30" s="1916"/>
      <c r="BN30" s="1916"/>
      <c r="BO30" s="1916"/>
      <c r="BP30" s="1916"/>
      <c r="BQ30" s="1916"/>
      <c r="BR30" s="1916"/>
      <c r="BS30" s="1916"/>
      <c r="BT30" s="1916"/>
      <c r="BU30" s="1916"/>
      <c r="BV30" s="1916"/>
      <c r="BW30" s="1916"/>
      <c r="BX30" s="1916"/>
      <c r="BY30" s="1916"/>
      <c r="BZ30" s="1916"/>
    </row>
    <row r="31" spans="1:79" s="1400" customFormat="1" ht="38.25" customHeight="1">
      <c r="A31" s="2766" t="s">
        <v>83</v>
      </c>
      <c r="B31" s="1375" t="s">
        <v>384</v>
      </c>
      <c r="C31" s="1376" t="s">
        <v>102</v>
      </c>
      <c r="D31" s="1206"/>
      <c r="E31" s="1206"/>
      <c r="F31" s="1362"/>
      <c r="G31" s="1362"/>
      <c r="H31" s="1362"/>
      <c r="I31" s="1362"/>
      <c r="J31" s="1362"/>
      <c r="K31" s="1362"/>
      <c r="L31" s="1362"/>
      <c r="M31" s="1362"/>
      <c r="N31" s="1362"/>
      <c r="O31" s="1362"/>
      <c r="P31" s="1362"/>
      <c r="Q31" s="1362"/>
      <c r="R31" s="1362"/>
      <c r="S31" s="1362"/>
      <c r="T31" s="1362"/>
      <c r="U31" s="1363"/>
      <c r="V31" s="2762" t="s">
        <v>256</v>
      </c>
      <c r="W31" s="1916"/>
      <c r="X31" s="1916"/>
      <c r="Y31" s="1916"/>
      <c r="Z31" s="1916"/>
      <c r="AA31" s="1916"/>
      <c r="AB31" s="1916"/>
      <c r="AC31" s="1916"/>
      <c r="AD31" s="1916"/>
      <c r="AE31" s="1916"/>
      <c r="AF31" s="1916"/>
      <c r="AG31" s="1916"/>
      <c r="AH31" s="1916"/>
      <c r="AI31" s="1916"/>
      <c r="AJ31" s="1916"/>
      <c r="AK31" s="1916"/>
      <c r="AL31" s="1916"/>
      <c r="AM31" s="1916"/>
      <c r="AN31" s="1916"/>
      <c r="AO31" s="1916"/>
      <c r="AP31" s="1916"/>
      <c r="AQ31" s="1916"/>
      <c r="AR31" s="1916"/>
      <c r="AS31" s="1916"/>
      <c r="AT31" s="1916"/>
      <c r="AU31" s="1916"/>
      <c r="AV31" s="1916"/>
      <c r="AW31" s="1916"/>
      <c r="AX31" s="1916"/>
      <c r="AY31" s="1916"/>
      <c r="AZ31" s="1916"/>
      <c r="BA31" s="1916"/>
      <c r="BB31" s="1916"/>
      <c r="BC31" s="1916"/>
      <c r="BD31" s="1916"/>
      <c r="BE31" s="1916"/>
      <c r="BF31" s="1916"/>
      <c r="BG31" s="1916"/>
      <c r="BH31" s="1916"/>
      <c r="BI31" s="1916"/>
      <c r="BJ31" s="1916"/>
      <c r="BK31" s="1916"/>
      <c r="BL31" s="1916"/>
      <c r="BM31" s="1916"/>
      <c r="BN31" s="1916"/>
      <c r="BO31" s="1916"/>
      <c r="BP31" s="1916"/>
      <c r="BQ31" s="1916"/>
      <c r="BR31" s="1916"/>
      <c r="BS31" s="1916"/>
      <c r="BT31" s="1916"/>
      <c r="BU31" s="1916"/>
      <c r="BV31" s="1916"/>
      <c r="BW31" s="1916"/>
      <c r="BX31" s="1916"/>
      <c r="BY31" s="1916"/>
      <c r="BZ31" s="1916"/>
    </row>
    <row r="32" spans="1:79" s="1400" customFormat="1" ht="11.25" customHeight="1">
      <c r="A32" s="2767"/>
      <c r="B32" s="1083" t="s">
        <v>22</v>
      </c>
      <c r="C32" s="1377"/>
      <c r="D32" s="897">
        <f>+D33+D36</f>
        <v>27076462</v>
      </c>
      <c r="E32" s="897">
        <f t="shared" ref="E32:R32" si="40">+E33+E36</f>
        <v>217616</v>
      </c>
      <c r="F32" s="897">
        <f t="shared" si="40"/>
        <v>0</v>
      </c>
      <c r="G32" s="897">
        <f t="shared" si="40"/>
        <v>0</v>
      </c>
      <c r="H32" s="897">
        <f t="shared" si="40"/>
        <v>0</v>
      </c>
      <c r="I32" s="897">
        <f>+I33+I36</f>
        <v>267797</v>
      </c>
      <c r="J32" s="897">
        <f t="shared" si="40"/>
        <v>254610</v>
      </c>
      <c r="K32" s="897">
        <f t="shared" si="40"/>
        <v>6576172</v>
      </c>
      <c r="L32" s="897">
        <f t="shared" si="40"/>
        <v>5822432</v>
      </c>
      <c r="M32" s="897">
        <f t="shared" ref="M32" si="41">+M33+M36</f>
        <v>13138627</v>
      </c>
      <c r="N32" s="897">
        <f t="shared" si="40"/>
        <v>4324160</v>
      </c>
      <c r="O32" s="897">
        <f t="shared" si="40"/>
        <v>9613675</v>
      </c>
      <c r="P32" s="897">
        <f>+P33+P36</f>
        <v>0</v>
      </c>
      <c r="Q32" s="897">
        <f t="shared" si="40"/>
        <v>0</v>
      </c>
      <c r="R32" s="897">
        <f t="shared" si="40"/>
        <v>0</v>
      </c>
      <c r="S32" s="897">
        <f t="shared" ref="S32:T32" si="42">+S33+S36</f>
        <v>0</v>
      </c>
      <c r="T32" s="897">
        <f t="shared" si="42"/>
        <v>0</v>
      </c>
      <c r="U32" s="885">
        <f>+U33</f>
        <v>3160417</v>
      </c>
      <c r="V32" s="2700"/>
      <c r="W32" s="1916"/>
      <c r="X32" s="1916"/>
      <c r="Y32" s="1916"/>
      <c r="Z32" s="1916"/>
      <c r="AA32" s="1916"/>
      <c r="AB32" s="1916"/>
      <c r="AC32" s="1916"/>
      <c r="AD32" s="1916"/>
      <c r="AE32" s="1916"/>
      <c r="AF32" s="1916"/>
      <c r="AG32" s="1916"/>
      <c r="AH32" s="1916"/>
      <c r="AI32" s="1916"/>
      <c r="AJ32" s="1916"/>
      <c r="AK32" s="1916"/>
      <c r="AL32" s="1916"/>
      <c r="AM32" s="1916"/>
      <c r="AN32" s="1916"/>
      <c r="AO32" s="1916"/>
      <c r="AP32" s="1916"/>
      <c r="AQ32" s="1916"/>
      <c r="AR32" s="1916"/>
      <c r="AS32" s="1916"/>
      <c r="AT32" s="1916"/>
      <c r="AU32" s="1916"/>
      <c r="AV32" s="1916"/>
      <c r="AW32" s="1916"/>
      <c r="AX32" s="1916"/>
      <c r="AY32" s="1916"/>
      <c r="AZ32" s="1916"/>
      <c r="BA32" s="1916"/>
      <c r="BB32" s="1916"/>
      <c r="BC32" s="1916"/>
      <c r="BD32" s="1916"/>
      <c r="BE32" s="1916"/>
      <c r="BF32" s="1916"/>
      <c r="BG32" s="1916"/>
      <c r="BH32" s="1916"/>
      <c r="BI32" s="1916"/>
      <c r="BJ32" s="1916"/>
      <c r="BK32" s="1916"/>
      <c r="BL32" s="1916"/>
      <c r="BM32" s="1916"/>
      <c r="BN32" s="1916"/>
      <c r="BO32" s="1916"/>
      <c r="BP32" s="1916"/>
      <c r="BQ32" s="1916"/>
      <c r="BR32" s="1916"/>
      <c r="BS32" s="1916"/>
      <c r="BT32" s="1916"/>
      <c r="BU32" s="1916"/>
      <c r="BV32" s="1916"/>
      <c r="BW32" s="1916"/>
      <c r="BX32" s="1916"/>
      <c r="BY32" s="1916"/>
      <c r="BZ32" s="1916"/>
    </row>
    <row r="33" spans="1:79" s="1400" customFormat="1" ht="13.5" customHeight="1">
      <c r="A33" s="2767"/>
      <c r="B33" s="1378" t="s">
        <v>36</v>
      </c>
      <c r="C33" s="2769" t="s">
        <v>35</v>
      </c>
      <c r="D33" s="902">
        <f>D35+D34</f>
        <v>10866528</v>
      </c>
      <c r="E33" s="902">
        <f>E35+E34</f>
        <v>217616</v>
      </c>
      <c r="F33" s="902">
        <f t="shared" ref="F33:L33" si="43">F35+F34</f>
        <v>0</v>
      </c>
      <c r="G33" s="902">
        <f t="shared" si="43"/>
        <v>0</v>
      </c>
      <c r="H33" s="902">
        <f t="shared" si="43"/>
        <v>0</v>
      </c>
      <c r="I33" s="902">
        <f t="shared" si="43"/>
        <v>267797</v>
      </c>
      <c r="J33" s="902">
        <f t="shared" si="43"/>
        <v>254610</v>
      </c>
      <c r="K33" s="902">
        <f t="shared" si="43"/>
        <v>2422410</v>
      </c>
      <c r="L33" s="902">
        <f t="shared" si="43"/>
        <v>2313652</v>
      </c>
      <c r="M33" s="902">
        <f t="shared" ref="M33" si="44">M35+M34</f>
        <v>5476085</v>
      </c>
      <c r="N33" s="902">
        <f t="shared" ref="N33:T33" si="45">N35+N34</f>
        <v>2159003</v>
      </c>
      <c r="O33" s="902">
        <f t="shared" si="45"/>
        <v>3231440</v>
      </c>
      <c r="P33" s="902">
        <f t="shared" si="45"/>
        <v>0</v>
      </c>
      <c r="Q33" s="902">
        <f t="shared" si="45"/>
        <v>0</v>
      </c>
      <c r="R33" s="902">
        <f t="shared" si="45"/>
        <v>0</v>
      </c>
      <c r="S33" s="902">
        <f t="shared" si="45"/>
        <v>0</v>
      </c>
      <c r="T33" s="902">
        <f t="shared" si="45"/>
        <v>0</v>
      </c>
      <c r="U33" s="888">
        <f>+U35</f>
        <v>3160417</v>
      </c>
      <c r="V33" s="2700"/>
      <c r="W33" s="1916"/>
      <c r="X33" s="1916"/>
      <c r="Y33" s="1916"/>
      <c r="Z33" s="1916"/>
      <c r="AA33" s="1916"/>
      <c r="AB33" s="1916"/>
      <c r="AC33" s="1916"/>
      <c r="AD33" s="1916"/>
      <c r="AE33" s="1916"/>
      <c r="AF33" s="1916"/>
      <c r="AG33" s="1916"/>
      <c r="AH33" s="1916"/>
      <c r="AI33" s="1916"/>
      <c r="AJ33" s="1916"/>
      <c r="AK33" s="1916"/>
      <c r="AL33" s="1916"/>
      <c r="AM33" s="1916"/>
      <c r="AN33" s="1916"/>
      <c r="AO33" s="1916"/>
      <c r="AP33" s="1916"/>
      <c r="AQ33" s="1916"/>
      <c r="AR33" s="1916"/>
      <c r="AS33" s="1916"/>
      <c r="AT33" s="1916"/>
      <c r="AU33" s="1916"/>
      <c r="AV33" s="1916"/>
      <c r="AW33" s="1916"/>
      <c r="AX33" s="1916"/>
      <c r="AY33" s="1916"/>
      <c r="AZ33" s="1916"/>
      <c r="BA33" s="1916"/>
      <c r="BB33" s="1916"/>
      <c r="BC33" s="1916"/>
      <c r="BD33" s="1916"/>
      <c r="BE33" s="1916"/>
      <c r="BF33" s="1916"/>
      <c r="BG33" s="1916"/>
      <c r="BH33" s="1916"/>
      <c r="BI33" s="1916"/>
      <c r="BJ33" s="1916"/>
      <c r="BK33" s="1916"/>
      <c r="BL33" s="1916"/>
      <c r="BM33" s="1916"/>
      <c r="BN33" s="1916"/>
      <c r="BO33" s="1916"/>
      <c r="BP33" s="1916"/>
      <c r="BQ33" s="1916"/>
      <c r="BR33" s="1916"/>
      <c r="BS33" s="1916"/>
      <c r="BT33" s="1916"/>
      <c r="BU33" s="1916"/>
      <c r="BV33" s="1916"/>
      <c r="BW33" s="1916"/>
      <c r="BX33" s="1916"/>
      <c r="BY33" s="1916"/>
      <c r="BZ33" s="1916"/>
    </row>
    <row r="34" spans="1:79" s="1400" customFormat="1" ht="12">
      <c r="A34" s="2767"/>
      <c r="B34" s="1379" t="s">
        <v>45</v>
      </c>
      <c r="C34" s="2770"/>
      <c r="D34" s="1380">
        <f>SUM(M34:T34)</f>
        <v>585072</v>
      </c>
      <c r="E34" s="900">
        <f>41869-2933-11320</f>
        <v>27616</v>
      </c>
      <c r="F34" s="900"/>
      <c r="G34" s="900"/>
      <c r="H34" s="900"/>
      <c r="I34" s="1380">
        <f>12320+35915+163247</f>
        <v>211482</v>
      </c>
      <c r="J34" s="1380">
        <f>130649-20782-50257</f>
        <v>59610</v>
      </c>
      <c r="K34" s="1380">
        <f>0+33883-33883+4388</f>
        <v>4388</v>
      </c>
      <c r="L34" s="1380">
        <f>6328+2160</f>
        <v>8488</v>
      </c>
      <c r="M34" s="900">
        <f>+E34+I34+J34+K34+L34</f>
        <v>311584</v>
      </c>
      <c r="N34" s="1380">
        <f>0+275648-2160-273488+273488-273488+209789-7324</f>
        <v>202465</v>
      </c>
      <c r="O34" s="1380">
        <f>0+273488-209789+7324</f>
        <v>71023</v>
      </c>
      <c r="P34" s="1380">
        <v>0</v>
      </c>
      <c r="Q34" s="1380">
        <v>0</v>
      </c>
      <c r="R34" s="1380">
        <v>0</v>
      </c>
      <c r="S34" s="1380">
        <v>0</v>
      </c>
      <c r="T34" s="1380">
        <v>0</v>
      </c>
      <c r="U34" s="1370" t="s">
        <v>77</v>
      </c>
      <c r="V34" s="2700"/>
      <c r="W34" s="1916"/>
      <c r="X34" s="1916"/>
      <c r="Y34" s="1916"/>
      <c r="Z34" s="1916"/>
      <c r="AA34" s="1916"/>
      <c r="AB34" s="1916"/>
      <c r="AC34" s="1916"/>
      <c r="AD34" s="1916"/>
      <c r="AE34" s="1916"/>
      <c r="AF34" s="1916"/>
      <c r="AG34" s="1916"/>
      <c r="AH34" s="1916"/>
      <c r="AI34" s="1916"/>
      <c r="AJ34" s="1916"/>
      <c r="AK34" s="1916"/>
      <c r="AL34" s="1916"/>
      <c r="AM34" s="1916"/>
      <c r="AN34" s="1916"/>
      <c r="AO34" s="1916"/>
      <c r="AP34" s="1916"/>
      <c r="AQ34" s="1916"/>
      <c r="AR34" s="1916"/>
      <c r="AS34" s="1916"/>
      <c r="AT34" s="1916"/>
      <c r="AU34" s="1916"/>
      <c r="AV34" s="1916"/>
      <c r="AW34" s="1916"/>
      <c r="AX34" s="1916"/>
      <c r="AY34" s="1916"/>
      <c r="AZ34" s="1916"/>
      <c r="BA34" s="1916"/>
      <c r="BB34" s="1916"/>
      <c r="BC34" s="1916"/>
      <c r="BD34" s="1916"/>
      <c r="BE34" s="1916"/>
      <c r="BF34" s="1916"/>
      <c r="BG34" s="1916"/>
      <c r="BH34" s="1916"/>
      <c r="BI34" s="1916"/>
      <c r="BJ34" s="1916"/>
      <c r="BK34" s="1916"/>
      <c r="BL34" s="1916"/>
      <c r="BM34" s="1916"/>
      <c r="BN34" s="1916"/>
      <c r="BO34" s="1916"/>
      <c r="BP34" s="1916"/>
      <c r="BQ34" s="1916"/>
      <c r="BR34" s="1916"/>
      <c r="BS34" s="1916"/>
      <c r="BT34" s="1916"/>
      <c r="BU34" s="1916"/>
      <c r="BV34" s="1916"/>
      <c r="BW34" s="1916"/>
      <c r="BX34" s="1916"/>
      <c r="BY34" s="1916"/>
      <c r="BZ34" s="1916"/>
    </row>
    <row r="35" spans="1:79" s="1400" customFormat="1" ht="27" customHeight="1">
      <c r="A35" s="2767"/>
      <c r="B35" s="1381" t="s">
        <v>193</v>
      </c>
      <c r="C35" s="2213" t="s">
        <v>257</v>
      </c>
      <c r="D35" s="1285">
        <f>SUM(M35:T35)</f>
        <v>10281456</v>
      </c>
      <c r="E35" s="1213">
        <v>190000</v>
      </c>
      <c r="F35" s="1213"/>
      <c r="G35" s="1213"/>
      <c r="H35" s="1213"/>
      <c r="I35" s="1285">
        <v>56315</v>
      </c>
      <c r="J35" s="1285">
        <f>1734227-554657-984570</f>
        <v>195000</v>
      </c>
      <c r="K35" s="1285">
        <f>1353518+313690-478123+2496121-457790-758617-50777</f>
        <v>2418022</v>
      </c>
      <c r="L35" s="1285">
        <f>3458679+1703969-494138-110323+177575-2430598</f>
        <v>2305164</v>
      </c>
      <c r="M35" s="1799">
        <f>+E35+I35+J35+K35+L35</f>
        <v>5164501</v>
      </c>
      <c r="N35" s="1285">
        <f>972710+868940-126798+2430598-546151-1537785-104976</f>
        <v>1956538</v>
      </c>
      <c r="O35" s="1285">
        <f>0+1565656+1489785+104976</f>
        <v>3160417</v>
      </c>
      <c r="P35" s="1285">
        <v>0</v>
      </c>
      <c r="Q35" s="1285">
        <v>0</v>
      </c>
      <c r="R35" s="1285">
        <v>0</v>
      </c>
      <c r="S35" s="1285">
        <v>0</v>
      </c>
      <c r="T35" s="1285">
        <v>0</v>
      </c>
      <c r="U35" s="1006">
        <f>+O35+P35+Q35+R35</f>
        <v>3160417</v>
      </c>
      <c r="V35" s="2700"/>
      <c r="W35" s="1916"/>
      <c r="X35" s="1916"/>
      <c r="Y35" s="1916"/>
      <c r="Z35" s="1916"/>
      <c r="AA35" s="1916"/>
      <c r="AB35" s="1916"/>
      <c r="AC35" s="1916"/>
      <c r="AD35" s="1916"/>
      <c r="AE35" s="1916"/>
      <c r="AF35" s="1916"/>
      <c r="AG35" s="1916"/>
      <c r="AH35" s="1916"/>
      <c r="AI35" s="1916"/>
      <c r="AJ35" s="1916"/>
      <c r="AK35" s="1916"/>
      <c r="AL35" s="1916"/>
      <c r="AM35" s="1916"/>
      <c r="AN35" s="1916"/>
      <c r="AO35" s="1916"/>
      <c r="AP35" s="1916"/>
      <c r="AQ35" s="1916"/>
      <c r="AR35" s="1916"/>
      <c r="AS35" s="1916"/>
      <c r="AT35" s="1916"/>
      <c r="AU35" s="1916"/>
      <c r="AV35" s="1916"/>
      <c r="AW35" s="1916"/>
      <c r="AX35" s="1916"/>
      <c r="AY35" s="1916"/>
      <c r="AZ35" s="1916"/>
      <c r="BA35" s="1916"/>
      <c r="BB35" s="1916"/>
      <c r="BC35" s="1916"/>
      <c r="BD35" s="1916"/>
      <c r="BE35" s="1916"/>
      <c r="BF35" s="1916"/>
      <c r="BG35" s="1916"/>
      <c r="BH35" s="1916"/>
      <c r="BI35" s="1916"/>
      <c r="BJ35" s="1916"/>
      <c r="BK35" s="1916"/>
      <c r="BL35" s="1916"/>
      <c r="BM35" s="1916"/>
      <c r="BN35" s="1916"/>
      <c r="BO35" s="1916"/>
      <c r="BP35" s="1916"/>
      <c r="BQ35" s="1916"/>
      <c r="BR35" s="1916"/>
      <c r="BS35" s="1916"/>
      <c r="BT35" s="1916"/>
      <c r="BU35" s="1916"/>
      <c r="BV35" s="1916"/>
      <c r="BW35" s="1916"/>
      <c r="BX35" s="1916"/>
      <c r="BY35" s="1916"/>
      <c r="BZ35" s="1916"/>
    </row>
    <row r="36" spans="1:79" s="1947" customFormat="1" ht="13.5" customHeight="1">
      <c r="A36" s="2767"/>
      <c r="B36" s="1890" t="s">
        <v>30</v>
      </c>
      <c r="C36" s="2769" t="s">
        <v>35</v>
      </c>
      <c r="D36" s="1891">
        <f>+D37</f>
        <v>16209934</v>
      </c>
      <c r="E36" s="1891">
        <f>+E37</f>
        <v>0</v>
      </c>
      <c r="F36" s="1891"/>
      <c r="G36" s="1891"/>
      <c r="H36" s="1891"/>
      <c r="I36" s="1891">
        <f t="shared" ref="I36:U36" si="46">+I37</f>
        <v>0</v>
      </c>
      <c r="J36" s="1891">
        <f t="shared" si="46"/>
        <v>0</v>
      </c>
      <c r="K36" s="1891">
        <f t="shared" si="46"/>
        <v>4153762</v>
      </c>
      <c r="L36" s="1891">
        <f t="shared" si="46"/>
        <v>3508780</v>
      </c>
      <c r="M36" s="1891">
        <f t="shared" si="46"/>
        <v>7662542</v>
      </c>
      <c r="N36" s="1891">
        <f t="shared" si="46"/>
        <v>2165157</v>
      </c>
      <c r="O36" s="1891">
        <f t="shared" si="46"/>
        <v>6382235</v>
      </c>
      <c r="P36" s="1891">
        <f t="shared" si="46"/>
        <v>0</v>
      </c>
      <c r="Q36" s="1891">
        <f t="shared" si="46"/>
        <v>0</v>
      </c>
      <c r="R36" s="1891">
        <f t="shared" si="46"/>
        <v>0</v>
      </c>
      <c r="S36" s="1891">
        <f t="shared" si="46"/>
        <v>0</v>
      </c>
      <c r="T36" s="1891">
        <f t="shared" si="46"/>
        <v>0</v>
      </c>
      <c r="U36" s="1892" t="str">
        <f t="shared" si="46"/>
        <v>x</v>
      </c>
      <c r="V36" s="2700"/>
      <c r="W36" s="1917"/>
      <c r="X36" s="1917"/>
      <c r="Y36" s="1917"/>
      <c r="Z36" s="1917"/>
      <c r="AA36" s="1917"/>
      <c r="AB36" s="1917"/>
      <c r="AC36" s="1917"/>
      <c r="AD36" s="1917"/>
      <c r="AE36" s="1917"/>
      <c r="AF36" s="1917"/>
      <c r="AG36" s="1917"/>
      <c r="AH36" s="1917"/>
      <c r="AI36" s="1917"/>
      <c r="AJ36" s="1917"/>
      <c r="AK36" s="1917"/>
      <c r="AL36" s="1917"/>
      <c r="AM36" s="1917"/>
      <c r="AN36" s="1917"/>
      <c r="AO36" s="1917"/>
      <c r="AP36" s="1917"/>
      <c r="AQ36" s="1917"/>
      <c r="AR36" s="1917"/>
      <c r="AS36" s="1917"/>
      <c r="AT36" s="1917"/>
      <c r="AU36" s="1917"/>
      <c r="AV36" s="1917"/>
      <c r="AW36" s="1917"/>
      <c r="AX36" s="1917"/>
      <c r="AY36" s="1917"/>
      <c r="AZ36" s="1917"/>
      <c r="BA36" s="1917"/>
      <c r="BB36" s="1917"/>
      <c r="BC36" s="1917"/>
      <c r="BD36" s="1917"/>
      <c r="BE36" s="1917"/>
      <c r="BF36" s="1917"/>
      <c r="BG36" s="1917"/>
      <c r="BH36" s="1917"/>
      <c r="BI36" s="1917"/>
      <c r="BJ36" s="1917"/>
      <c r="BK36" s="1917"/>
      <c r="BL36" s="1917"/>
      <c r="BM36" s="1917"/>
      <c r="BN36" s="1917"/>
      <c r="BO36" s="1917"/>
      <c r="BP36" s="1917"/>
      <c r="BQ36" s="1917"/>
      <c r="BR36" s="1917"/>
      <c r="BS36" s="1917"/>
      <c r="BT36" s="1917"/>
      <c r="BU36" s="1917"/>
      <c r="BV36" s="1917"/>
      <c r="BW36" s="1917"/>
      <c r="BX36" s="1917"/>
      <c r="BY36" s="1917"/>
      <c r="BZ36" s="1917"/>
    </row>
    <row r="37" spans="1:79" s="1947" customFormat="1" ht="13.5" customHeight="1">
      <c r="A37" s="2767"/>
      <c r="B37" s="1381" t="s">
        <v>48</v>
      </c>
      <c r="C37" s="2770"/>
      <c r="D37" s="1285">
        <f>SUM(M37:T37)</f>
        <v>16209934</v>
      </c>
      <c r="E37" s="1213">
        <f>+F37+G37+H37</f>
        <v>0</v>
      </c>
      <c r="F37" s="1213"/>
      <c r="G37" s="1213"/>
      <c r="H37" s="1213"/>
      <c r="I37" s="1285">
        <f>0+227853-227853</f>
        <v>0</v>
      </c>
      <c r="J37" s="1213">
        <f>7290734-7290734+155250-155250</f>
        <v>0</v>
      </c>
      <c r="K37" s="1213">
        <f>3652516+4042558-1104084-1150036-1214385-72807</f>
        <v>4153762</v>
      </c>
      <c r="L37" s="1213">
        <f>10376035-2275067-762048-167205+257118-3798601-121452</f>
        <v>3508780</v>
      </c>
      <c r="M37" s="1213">
        <f>+E37+I37+J37+K37+L37</f>
        <v>7662542</v>
      </c>
      <c r="N37" s="1213">
        <f>0+1528981+1764693-184311+3798601+121452-1428819-2608065-827375</f>
        <v>2165157</v>
      </c>
      <c r="O37" s="1213">
        <f>0+3021795+2533065+827375</f>
        <v>6382235</v>
      </c>
      <c r="P37" s="1213">
        <v>0</v>
      </c>
      <c r="Q37" s="1213">
        <v>0</v>
      </c>
      <c r="R37" s="1213">
        <v>0</v>
      </c>
      <c r="S37" s="1213">
        <v>0</v>
      </c>
      <c r="T37" s="1213">
        <v>0</v>
      </c>
      <c r="U37" s="1892" t="s">
        <v>77</v>
      </c>
      <c r="V37" s="2700"/>
      <c r="W37" s="1917"/>
      <c r="X37" s="1917"/>
      <c r="Y37" s="1917"/>
      <c r="Z37" s="1917"/>
      <c r="AA37" s="1917"/>
      <c r="AB37" s="1917"/>
      <c r="AC37" s="1917"/>
      <c r="AD37" s="1917"/>
      <c r="AE37" s="1917"/>
      <c r="AF37" s="1917"/>
      <c r="AG37" s="1917"/>
      <c r="AH37" s="1917"/>
      <c r="AI37" s="1917"/>
      <c r="AJ37" s="1917"/>
      <c r="AK37" s="1917"/>
      <c r="AL37" s="1917"/>
      <c r="AM37" s="1917"/>
      <c r="AN37" s="1917"/>
      <c r="AO37" s="1917"/>
      <c r="AP37" s="1917"/>
      <c r="AQ37" s="1917"/>
      <c r="AR37" s="1917"/>
      <c r="AS37" s="1917"/>
      <c r="AT37" s="1917"/>
      <c r="AU37" s="1917"/>
      <c r="AV37" s="1917"/>
      <c r="AW37" s="1917"/>
      <c r="AX37" s="1917"/>
      <c r="AY37" s="1917"/>
      <c r="AZ37" s="1917"/>
      <c r="BA37" s="1917"/>
      <c r="BB37" s="1917"/>
      <c r="BC37" s="1917"/>
      <c r="BD37" s="1917"/>
      <c r="BE37" s="1917"/>
      <c r="BF37" s="1917"/>
      <c r="BG37" s="1917"/>
      <c r="BH37" s="1917"/>
      <c r="BI37" s="1917"/>
      <c r="BJ37" s="1917"/>
      <c r="BK37" s="1917"/>
      <c r="BL37" s="1917"/>
      <c r="BM37" s="1917"/>
      <c r="BN37" s="1917"/>
      <c r="BO37" s="1917"/>
      <c r="BP37" s="1917"/>
      <c r="BQ37" s="1917"/>
      <c r="BR37" s="1917"/>
      <c r="BS37" s="1917"/>
      <c r="BT37" s="1917"/>
      <c r="BU37" s="1917"/>
      <c r="BV37" s="1917"/>
      <c r="BW37" s="1917"/>
      <c r="BX37" s="1917"/>
      <c r="BY37" s="1917"/>
      <c r="BZ37" s="1917"/>
    </row>
    <row r="38" spans="1:79" s="1961" customFormat="1" ht="13.5" customHeight="1">
      <c r="A38" s="2767"/>
      <c r="B38" s="1083" t="s">
        <v>34</v>
      </c>
      <c r="C38" s="1893"/>
      <c r="D38" s="1598">
        <f>D41+D39</f>
        <v>21021412</v>
      </c>
      <c r="E38" s="1598">
        <f t="shared" ref="E38:R38" si="47">E41+E39</f>
        <v>0</v>
      </c>
      <c r="F38" s="1598">
        <f t="shared" si="47"/>
        <v>0</v>
      </c>
      <c r="G38" s="1598">
        <f t="shared" si="47"/>
        <v>0</v>
      </c>
      <c r="H38" s="1598">
        <f t="shared" si="47"/>
        <v>0</v>
      </c>
      <c r="I38" s="1598">
        <f t="shared" si="47"/>
        <v>0</v>
      </c>
      <c r="J38" s="1598">
        <f t="shared" si="47"/>
        <v>0</v>
      </c>
      <c r="K38" s="1598">
        <f t="shared" si="47"/>
        <v>6370013</v>
      </c>
      <c r="L38" s="1598">
        <f t="shared" si="47"/>
        <v>4222638</v>
      </c>
      <c r="M38" s="1598">
        <f t="shared" ref="M38" si="48">M41+M39</f>
        <v>10592651</v>
      </c>
      <c r="N38" s="1598">
        <f t="shared" si="47"/>
        <v>1929174</v>
      </c>
      <c r="O38" s="1598">
        <f t="shared" si="47"/>
        <v>8499587</v>
      </c>
      <c r="P38" s="1598">
        <f t="shared" si="47"/>
        <v>0</v>
      </c>
      <c r="Q38" s="1598">
        <f t="shared" si="47"/>
        <v>0</v>
      </c>
      <c r="R38" s="1598">
        <f t="shared" si="47"/>
        <v>0</v>
      </c>
      <c r="S38" s="1598">
        <f t="shared" ref="S38:T38" si="49">S41+S39</f>
        <v>0</v>
      </c>
      <c r="T38" s="1598">
        <f t="shared" si="49"/>
        <v>0</v>
      </c>
      <c r="U38" s="1894"/>
      <c r="V38" s="2700"/>
      <c r="W38" s="1960"/>
      <c r="X38" s="1960"/>
      <c r="Y38" s="1960"/>
      <c r="Z38" s="1960"/>
      <c r="AA38" s="1960"/>
      <c r="AB38" s="1960"/>
      <c r="AC38" s="1960"/>
      <c r="AD38" s="1960"/>
      <c r="AE38" s="1960"/>
      <c r="AF38" s="1960"/>
      <c r="AG38" s="1960"/>
      <c r="AH38" s="1960"/>
      <c r="AI38" s="1960"/>
      <c r="AJ38" s="1960"/>
      <c r="AK38" s="1960"/>
      <c r="AL38" s="1960"/>
      <c r="AM38" s="1960"/>
      <c r="AN38" s="1960"/>
      <c r="AO38" s="1960"/>
      <c r="AP38" s="1960"/>
      <c r="AQ38" s="1960"/>
      <c r="AR38" s="1960"/>
      <c r="AS38" s="1960"/>
      <c r="AT38" s="1960"/>
      <c r="AU38" s="1960"/>
      <c r="AV38" s="1960"/>
      <c r="AW38" s="1960"/>
      <c r="AX38" s="1960"/>
      <c r="AY38" s="1960"/>
      <c r="AZ38" s="1960"/>
      <c r="BA38" s="1960"/>
      <c r="BB38" s="1960"/>
      <c r="BC38" s="1960"/>
      <c r="BD38" s="1960"/>
      <c r="BE38" s="1960"/>
      <c r="BF38" s="1960"/>
      <c r="BG38" s="1960"/>
      <c r="BH38" s="1960"/>
      <c r="BI38" s="1960"/>
      <c r="BJ38" s="1960"/>
      <c r="BK38" s="1960"/>
      <c r="BL38" s="1960"/>
      <c r="BM38" s="1960"/>
      <c r="BN38" s="1960"/>
      <c r="BO38" s="1960"/>
      <c r="BP38" s="1960"/>
      <c r="BQ38" s="1960"/>
      <c r="BR38" s="1960"/>
      <c r="BS38" s="1960"/>
      <c r="BT38" s="1960"/>
      <c r="BU38" s="1960"/>
      <c r="BV38" s="1960"/>
      <c r="BW38" s="1960"/>
      <c r="BX38" s="1960"/>
      <c r="BY38" s="1960"/>
      <c r="BZ38" s="1960"/>
    </row>
    <row r="39" spans="1:79" s="1961" customFormat="1" ht="13.5" customHeight="1">
      <c r="A39" s="2767"/>
      <c r="B39" s="1886" t="s">
        <v>36</v>
      </c>
      <c r="C39" s="2771" t="s">
        <v>257</v>
      </c>
      <c r="D39" s="1895">
        <f>+D40</f>
        <v>4811478</v>
      </c>
      <c r="E39" s="1895">
        <f t="shared" ref="E39:T39" si="50">+E40</f>
        <v>0</v>
      </c>
      <c r="F39" s="1895">
        <f t="shared" si="50"/>
        <v>0</v>
      </c>
      <c r="G39" s="1895">
        <f t="shared" si="50"/>
        <v>0</v>
      </c>
      <c r="H39" s="1895">
        <f t="shared" si="50"/>
        <v>0</v>
      </c>
      <c r="I39" s="1895">
        <f t="shared" si="50"/>
        <v>0</v>
      </c>
      <c r="J39" s="1895">
        <f t="shared" si="50"/>
        <v>0</v>
      </c>
      <c r="K39" s="1895">
        <f t="shared" si="50"/>
        <v>379212</v>
      </c>
      <c r="L39" s="1895">
        <f t="shared" si="50"/>
        <v>1552364</v>
      </c>
      <c r="M39" s="1895">
        <f t="shared" si="50"/>
        <v>1931576</v>
      </c>
      <c r="N39" s="1895">
        <f t="shared" si="50"/>
        <v>989343</v>
      </c>
      <c r="O39" s="1895">
        <f t="shared" si="50"/>
        <v>1890559</v>
      </c>
      <c r="P39" s="1895">
        <f t="shared" si="50"/>
        <v>0</v>
      </c>
      <c r="Q39" s="1895">
        <f t="shared" si="50"/>
        <v>0</v>
      </c>
      <c r="R39" s="1895">
        <f t="shared" si="50"/>
        <v>0</v>
      </c>
      <c r="S39" s="1895">
        <f t="shared" si="50"/>
        <v>0</v>
      </c>
      <c r="T39" s="1895">
        <f t="shared" si="50"/>
        <v>0</v>
      </c>
      <c r="U39" s="2773" t="s">
        <v>77</v>
      </c>
      <c r="V39" s="2700"/>
      <c r="W39" s="1960"/>
      <c r="X39" s="1960"/>
      <c r="Y39" s="1960"/>
      <c r="Z39" s="1960"/>
      <c r="AA39" s="1960"/>
      <c r="AB39" s="1960"/>
      <c r="AC39" s="1960"/>
      <c r="AD39" s="1960"/>
      <c r="AE39" s="1960"/>
      <c r="AF39" s="1960"/>
      <c r="AG39" s="1960"/>
      <c r="AH39" s="1960"/>
      <c r="AI39" s="1960"/>
      <c r="AJ39" s="1960"/>
      <c r="AK39" s="1960"/>
      <c r="AL39" s="1960"/>
      <c r="AM39" s="1960"/>
      <c r="AN39" s="1960"/>
      <c r="AO39" s="1960"/>
      <c r="AP39" s="1960"/>
      <c r="AQ39" s="1960"/>
      <c r="AR39" s="1960"/>
      <c r="AS39" s="1960"/>
      <c r="AT39" s="1960"/>
      <c r="AU39" s="1960"/>
      <c r="AV39" s="1960"/>
      <c r="AW39" s="1960"/>
      <c r="AX39" s="1960"/>
      <c r="AY39" s="1960"/>
      <c r="AZ39" s="1960"/>
      <c r="BA39" s="1960"/>
      <c r="BB39" s="1960"/>
      <c r="BC39" s="1960"/>
      <c r="BD39" s="1960"/>
      <c r="BE39" s="1960"/>
      <c r="BF39" s="1960"/>
      <c r="BG39" s="1960"/>
      <c r="BH39" s="1960"/>
      <c r="BI39" s="1960"/>
      <c r="BJ39" s="1960"/>
      <c r="BK39" s="1960"/>
      <c r="BL39" s="1960"/>
      <c r="BM39" s="1960"/>
      <c r="BN39" s="1960"/>
      <c r="BO39" s="1960"/>
      <c r="BP39" s="1960"/>
      <c r="BQ39" s="1960"/>
      <c r="BR39" s="1960"/>
      <c r="BS39" s="1960"/>
      <c r="BT39" s="1960"/>
      <c r="BU39" s="1960"/>
      <c r="BV39" s="1960"/>
      <c r="BW39" s="1960"/>
      <c r="BX39" s="1960"/>
      <c r="BY39" s="1960"/>
      <c r="BZ39" s="1960"/>
    </row>
    <row r="40" spans="1:79" s="1961" customFormat="1" ht="13.5" customHeight="1">
      <c r="A40" s="2767"/>
      <c r="B40" s="1381" t="s">
        <v>221</v>
      </c>
      <c r="C40" s="2772"/>
      <c r="D40" s="1285">
        <f>SUM(M40:T40)</f>
        <v>4811478</v>
      </c>
      <c r="E40" s="1285">
        <v>0</v>
      </c>
      <c r="F40" s="1285"/>
      <c r="G40" s="1285"/>
      <c r="H40" s="1285"/>
      <c r="I40" s="1285">
        <v>0</v>
      </c>
      <c r="J40" s="1285">
        <v>0</v>
      </c>
      <c r="K40" s="1285">
        <f>1612862-650514-577547-5589</f>
        <v>379212</v>
      </c>
      <c r="L40" s="1285">
        <f>2719795-556712-20925+153120-742914</f>
        <v>1552364</v>
      </c>
      <c r="M40" s="1799">
        <f>+E40+I40+J40+K40+L40</f>
        <v>1931576</v>
      </c>
      <c r="N40" s="1285">
        <f>0+1214198+604808-147531+742914-978578-773907+327439</f>
        <v>989343</v>
      </c>
      <c r="O40" s="1285">
        <f>0+1467091+750907-327439</f>
        <v>1890559</v>
      </c>
      <c r="P40" s="1285">
        <v>0</v>
      </c>
      <c r="Q40" s="1285">
        <v>0</v>
      </c>
      <c r="R40" s="1285">
        <v>0</v>
      </c>
      <c r="S40" s="1285">
        <v>0</v>
      </c>
      <c r="T40" s="1285">
        <v>0</v>
      </c>
      <c r="U40" s="2774"/>
      <c r="V40" s="2700"/>
      <c r="W40" s="1960"/>
      <c r="X40" s="1960"/>
      <c r="Y40" s="1960"/>
      <c r="Z40" s="1960"/>
      <c r="AA40" s="1960"/>
      <c r="AB40" s="1960"/>
      <c r="AC40" s="1960"/>
      <c r="AD40" s="1960"/>
      <c r="AE40" s="1960"/>
      <c r="AF40" s="1960"/>
      <c r="AG40" s="1960"/>
      <c r="AH40" s="1960"/>
      <c r="AI40" s="1960"/>
      <c r="AJ40" s="1960"/>
      <c r="AK40" s="1960"/>
      <c r="AL40" s="1960"/>
      <c r="AM40" s="1960"/>
      <c r="AN40" s="1960"/>
      <c r="AO40" s="1960"/>
      <c r="AP40" s="1960"/>
      <c r="AQ40" s="1960"/>
      <c r="AR40" s="1960"/>
      <c r="AS40" s="1960"/>
      <c r="AT40" s="1960"/>
      <c r="AU40" s="1960"/>
      <c r="AV40" s="1960"/>
      <c r="AW40" s="1960"/>
      <c r="AX40" s="1960"/>
      <c r="AY40" s="1960"/>
      <c r="AZ40" s="1960"/>
      <c r="BA40" s="1960"/>
      <c r="BB40" s="1960"/>
      <c r="BC40" s="1960"/>
      <c r="BD40" s="1960"/>
      <c r="BE40" s="1960"/>
      <c r="BF40" s="1960"/>
      <c r="BG40" s="1960"/>
      <c r="BH40" s="1960"/>
      <c r="BI40" s="1960"/>
      <c r="BJ40" s="1960"/>
      <c r="BK40" s="1960"/>
      <c r="BL40" s="1960"/>
      <c r="BM40" s="1960"/>
      <c r="BN40" s="1960"/>
      <c r="BO40" s="1960"/>
      <c r="BP40" s="1960"/>
      <c r="BQ40" s="1960"/>
      <c r="BR40" s="1960"/>
      <c r="BS40" s="1960"/>
      <c r="BT40" s="1960"/>
      <c r="BU40" s="1960"/>
      <c r="BV40" s="1960"/>
      <c r="BW40" s="1960"/>
      <c r="BX40" s="1960"/>
      <c r="BY40" s="1960"/>
      <c r="BZ40" s="1960"/>
    </row>
    <row r="41" spans="1:79" s="1947" customFormat="1" ht="13.5" customHeight="1">
      <c r="A41" s="2767"/>
      <c r="B41" s="1890" t="s">
        <v>30</v>
      </c>
      <c r="C41" s="2769" t="s">
        <v>35</v>
      </c>
      <c r="D41" s="1891">
        <f>+D42</f>
        <v>16209934</v>
      </c>
      <c r="E41" s="1891">
        <f>+E42</f>
        <v>0</v>
      </c>
      <c r="F41" s="1891"/>
      <c r="G41" s="1891"/>
      <c r="H41" s="1891"/>
      <c r="I41" s="1891">
        <f t="shared" ref="I41:T41" si="51">+I42</f>
        <v>0</v>
      </c>
      <c r="J41" s="1891">
        <f t="shared" si="51"/>
        <v>0</v>
      </c>
      <c r="K41" s="1891">
        <f t="shared" si="51"/>
        <v>5990801</v>
      </c>
      <c r="L41" s="1891">
        <f t="shared" si="51"/>
        <v>2670274</v>
      </c>
      <c r="M41" s="1891">
        <f t="shared" si="51"/>
        <v>8661075</v>
      </c>
      <c r="N41" s="1891">
        <f t="shared" si="51"/>
        <v>939831</v>
      </c>
      <c r="O41" s="1891">
        <f t="shared" si="51"/>
        <v>6609028</v>
      </c>
      <c r="P41" s="1891">
        <f t="shared" si="51"/>
        <v>0</v>
      </c>
      <c r="Q41" s="1891">
        <f t="shared" si="51"/>
        <v>0</v>
      </c>
      <c r="R41" s="1891">
        <f t="shared" si="51"/>
        <v>0</v>
      </c>
      <c r="S41" s="1891">
        <f t="shared" si="51"/>
        <v>0</v>
      </c>
      <c r="T41" s="1891">
        <f t="shared" si="51"/>
        <v>0</v>
      </c>
      <c r="U41" s="2774"/>
      <c r="V41" s="2700"/>
      <c r="W41" s="1917"/>
      <c r="X41" s="1917"/>
      <c r="Y41" s="1917"/>
      <c r="Z41" s="1917"/>
      <c r="AA41" s="1917"/>
      <c r="AB41" s="1917"/>
      <c r="AC41" s="1917"/>
      <c r="AD41" s="1917"/>
      <c r="AE41" s="1917"/>
      <c r="AF41" s="1917"/>
      <c r="AG41" s="1917"/>
      <c r="AH41" s="1917"/>
      <c r="AI41" s="1917"/>
      <c r="AJ41" s="1917"/>
      <c r="AK41" s="1917"/>
      <c r="AL41" s="1917"/>
      <c r="AM41" s="1917"/>
      <c r="AN41" s="1917"/>
      <c r="AO41" s="1917"/>
      <c r="AP41" s="1917"/>
      <c r="AQ41" s="1917"/>
      <c r="AR41" s="1917"/>
      <c r="AS41" s="1917"/>
      <c r="AT41" s="1917"/>
      <c r="AU41" s="1917"/>
      <c r="AV41" s="1917"/>
      <c r="AW41" s="1917"/>
      <c r="AX41" s="1917"/>
      <c r="AY41" s="1917"/>
      <c r="AZ41" s="1917"/>
      <c r="BA41" s="1917"/>
      <c r="BB41" s="1917"/>
      <c r="BC41" s="1917"/>
      <c r="BD41" s="1917"/>
      <c r="BE41" s="1917"/>
      <c r="BF41" s="1917"/>
      <c r="BG41" s="1917"/>
      <c r="BH41" s="1917"/>
      <c r="BI41" s="1917"/>
      <c r="BJ41" s="1917"/>
      <c r="BK41" s="1917"/>
      <c r="BL41" s="1917"/>
      <c r="BM41" s="1917"/>
      <c r="BN41" s="1917"/>
      <c r="BO41" s="1917"/>
      <c r="BP41" s="1917"/>
      <c r="BQ41" s="1917"/>
      <c r="BR41" s="1917"/>
      <c r="BS41" s="1917"/>
      <c r="BT41" s="1917"/>
      <c r="BU41" s="1917"/>
      <c r="BV41" s="1917"/>
      <c r="BW41" s="1917"/>
      <c r="BX41" s="1917"/>
      <c r="BY41" s="1917"/>
      <c r="BZ41" s="1917"/>
    </row>
    <row r="42" spans="1:79" s="1947" customFormat="1" ht="13.5" customHeight="1" thickBot="1">
      <c r="A42" s="2768"/>
      <c r="B42" s="1381" t="s">
        <v>48</v>
      </c>
      <c r="C42" s="2770"/>
      <c r="D42" s="1285">
        <f>SUM(M42:T42)</f>
        <v>16209934</v>
      </c>
      <c r="E42" s="1220">
        <f>+F42+G42+H42</f>
        <v>0</v>
      </c>
      <c r="F42" s="1220"/>
      <c r="G42" s="1220"/>
      <c r="H42" s="1220"/>
      <c r="I42" s="1220">
        <v>0</v>
      </c>
      <c r="J42" s="1220">
        <f>7290734-7290734</f>
        <v>0</v>
      </c>
      <c r="K42" s="1220">
        <f>3652516+4042558-1104084-766932-1597488+1764231</f>
        <v>5990801</v>
      </c>
      <c r="L42" s="1220">
        <f>10376035-2275067-762048-167205-1579921-2920991-529</f>
        <v>2670274</v>
      </c>
      <c r="M42" s="1220">
        <f>+E42+I42+J42+K42+L42</f>
        <v>8661075</v>
      </c>
      <c r="N42" s="1220">
        <f>0+1528980+1764693-184310+2920991+529-1277548-3605490-208014</f>
        <v>939831</v>
      </c>
      <c r="O42" s="1220">
        <f>0+2870524+3530490+208014</f>
        <v>6609028</v>
      </c>
      <c r="P42" s="1220">
        <v>0</v>
      </c>
      <c r="Q42" s="1220">
        <v>0</v>
      </c>
      <c r="R42" s="1220">
        <v>0</v>
      </c>
      <c r="S42" s="1220">
        <v>0</v>
      </c>
      <c r="T42" s="1220">
        <v>0</v>
      </c>
      <c r="U42" s="2775"/>
      <c r="V42" s="2701"/>
      <c r="W42" s="1917"/>
      <c r="X42" s="1917"/>
      <c r="Y42" s="1917"/>
      <c r="Z42" s="1917"/>
      <c r="AA42" s="1917"/>
      <c r="AB42" s="1917"/>
      <c r="AC42" s="1917"/>
      <c r="AD42" s="1917"/>
      <c r="AE42" s="1917"/>
      <c r="AF42" s="1917"/>
      <c r="AG42" s="1917"/>
      <c r="AH42" s="1917"/>
      <c r="AI42" s="1917"/>
      <c r="AJ42" s="1917"/>
      <c r="AK42" s="1917"/>
      <c r="AL42" s="1917"/>
      <c r="AM42" s="1917"/>
      <c r="AN42" s="1917"/>
      <c r="AO42" s="1917"/>
      <c r="AP42" s="1917"/>
      <c r="AQ42" s="1917"/>
      <c r="AR42" s="1917"/>
      <c r="AS42" s="1917"/>
      <c r="AT42" s="1917"/>
      <c r="AU42" s="1917"/>
      <c r="AV42" s="1917"/>
      <c r="AW42" s="1917"/>
      <c r="AX42" s="1917"/>
      <c r="AY42" s="1917"/>
      <c r="AZ42" s="1917"/>
      <c r="BA42" s="1917"/>
      <c r="BB42" s="1917"/>
      <c r="BC42" s="1917"/>
      <c r="BD42" s="1917"/>
      <c r="BE42" s="1917"/>
      <c r="BF42" s="1917"/>
      <c r="BG42" s="1917"/>
      <c r="BH42" s="1917"/>
      <c r="BI42" s="1917"/>
      <c r="BJ42" s="1917"/>
      <c r="BK42" s="1917"/>
      <c r="BL42" s="1917"/>
      <c r="BM42" s="1917"/>
      <c r="BN42" s="1917"/>
      <c r="BO42" s="1917"/>
      <c r="BP42" s="1917"/>
      <c r="BQ42" s="1917"/>
      <c r="BR42" s="1917"/>
      <c r="BS42" s="1917"/>
      <c r="BT42" s="1917"/>
      <c r="BU42" s="1917"/>
      <c r="BV42" s="1917"/>
      <c r="BW42" s="1917"/>
      <c r="BX42" s="1917"/>
      <c r="BY42" s="1917"/>
      <c r="BZ42" s="1917"/>
    </row>
    <row r="43" spans="1:79" s="1916" customFormat="1" ht="27" customHeight="1">
      <c r="A43" s="2766" t="s">
        <v>84</v>
      </c>
      <c r="B43" s="1375" t="s">
        <v>383</v>
      </c>
      <c r="C43" s="1376" t="s">
        <v>102</v>
      </c>
      <c r="D43" s="1010"/>
      <c r="E43" s="1383"/>
      <c r="F43" s="1010"/>
      <c r="G43" s="1010"/>
      <c r="H43" s="1010"/>
      <c r="I43" s="1383"/>
      <c r="J43" s="1010"/>
      <c r="K43" s="1010"/>
      <c r="L43" s="1383"/>
      <c r="M43" s="1383"/>
      <c r="N43" s="1383"/>
      <c r="O43" s="1383"/>
      <c r="P43" s="1383"/>
      <c r="Q43" s="1383"/>
      <c r="R43" s="1383"/>
      <c r="S43" s="1833"/>
      <c r="T43" s="1833"/>
      <c r="U43" s="1384"/>
      <c r="V43" s="2762" t="s">
        <v>258</v>
      </c>
      <c r="CA43" s="1958"/>
    </row>
    <row r="44" spans="1:79" s="1916" customFormat="1" ht="14.25" customHeight="1">
      <c r="A44" s="2767"/>
      <c r="B44" s="1083" t="s">
        <v>22</v>
      </c>
      <c r="C44" s="1377"/>
      <c r="D44" s="897">
        <f>+D45+D48</f>
        <v>79413573</v>
      </c>
      <c r="E44" s="897">
        <f t="shared" ref="E44:L44" si="52">+E45+E48</f>
        <v>625947</v>
      </c>
      <c r="F44" s="897"/>
      <c r="G44" s="897"/>
      <c r="H44" s="897"/>
      <c r="I44" s="897">
        <f t="shared" si="52"/>
        <v>1250000</v>
      </c>
      <c r="J44" s="897">
        <f t="shared" si="52"/>
        <v>1806740</v>
      </c>
      <c r="K44" s="897">
        <f t="shared" si="52"/>
        <v>4223669</v>
      </c>
      <c r="L44" s="897">
        <f t="shared" si="52"/>
        <v>3088525</v>
      </c>
      <c r="M44" s="897">
        <f t="shared" ref="M44" si="53">+M45+M48</f>
        <v>10994881</v>
      </c>
      <c r="N44" s="897">
        <f t="shared" ref="N44:T44" si="54">+N45+N48</f>
        <v>13530517</v>
      </c>
      <c r="O44" s="897">
        <f t="shared" si="54"/>
        <v>54888175</v>
      </c>
      <c r="P44" s="897">
        <f t="shared" si="54"/>
        <v>0</v>
      </c>
      <c r="Q44" s="897">
        <f t="shared" si="54"/>
        <v>0</v>
      </c>
      <c r="R44" s="897">
        <f t="shared" si="54"/>
        <v>0</v>
      </c>
      <c r="S44" s="897">
        <f t="shared" si="54"/>
        <v>0</v>
      </c>
      <c r="T44" s="897">
        <f t="shared" si="54"/>
        <v>0</v>
      </c>
      <c r="U44" s="885">
        <f>+U45</f>
        <v>15155949</v>
      </c>
      <c r="V44" s="2700"/>
    </row>
    <row r="45" spans="1:79" s="1916" customFormat="1" ht="14.25" customHeight="1">
      <c r="A45" s="2767"/>
      <c r="B45" s="1886" t="s">
        <v>36</v>
      </c>
      <c r="C45" s="2763" t="s">
        <v>259</v>
      </c>
      <c r="D45" s="902">
        <f>D46+D47</f>
        <v>33121915</v>
      </c>
      <c r="E45" s="902">
        <f>E46</f>
        <v>625947</v>
      </c>
      <c r="F45" s="902"/>
      <c r="G45" s="902"/>
      <c r="H45" s="902"/>
      <c r="I45" s="902">
        <f>I46</f>
        <v>1250000</v>
      </c>
      <c r="J45" s="902">
        <f>J46</f>
        <v>1806740</v>
      </c>
      <c r="K45" s="902">
        <f>K46</f>
        <v>2417285</v>
      </c>
      <c r="L45" s="902">
        <f t="shared" ref="L45:R45" si="55">L46+L47</f>
        <v>1179067</v>
      </c>
      <c r="M45" s="902">
        <f t="shared" ref="M45" si="56">M46+M47</f>
        <v>7279039</v>
      </c>
      <c r="N45" s="902">
        <f t="shared" si="55"/>
        <v>10619616</v>
      </c>
      <c r="O45" s="902">
        <f t="shared" si="55"/>
        <v>15223260</v>
      </c>
      <c r="P45" s="902">
        <f t="shared" si="55"/>
        <v>0</v>
      </c>
      <c r="Q45" s="902">
        <f t="shared" si="55"/>
        <v>0</v>
      </c>
      <c r="R45" s="902">
        <f t="shared" si="55"/>
        <v>0</v>
      </c>
      <c r="S45" s="902">
        <f t="shared" ref="S45:T45" si="57">S46+S47</f>
        <v>0</v>
      </c>
      <c r="T45" s="902">
        <f t="shared" si="57"/>
        <v>0</v>
      </c>
      <c r="U45" s="888">
        <f>+U46</f>
        <v>15155949</v>
      </c>
      <c r="V45" s="2700"/>
    </row>
    <row r="46" spans="1:79" s="1400" customFormat="1" ht="14.25" customHeight="1">
      <c r="A46" s="2767"/>
      <c r="B46" s="1381" t="s">
        <v>193</v>
      </c>
      <c r="C46" s="2776"/>
      <c r="D46" s="1285">
        <f t="shared" ref="D46:D47" si="58">SUM(M46:T46)</f>
        <v>32830371</v>
      </c>
      <c r="E46" s="900">
        <f>524010+101937</f>
        <v>625947</v>
      </c>
      <c r="F46" s="900"/>
      <c r="G46" s="900"/>
      <c r="H46" s="900"/>
      <c r="I46" s="900">
        <f>1250000</f>
        <v>1250000</v>
      </c>
      <c r="J46" s="900">
        <v>1806740</v>
      </c>
      <c r="K46" s="900">
        <f>6626221+3165475-6867368-507043</f>
        <v>2417285</v>
      </c>
      <c r="L46" s="900">
        <f>10000000+3190347-33690+1111636-9977427-3183343</f>
        <v>1107523</v>
      </c>
      <c r="M46" s="1799">
        <f t="shared" ref="M46:M47" si="59">+E46+I46+J46+K46+L46</f>
        <v>7207495</v>
      </c>
      <c r="N46" s="900">
        <f>0+5755732+507043+12753787+3183343-5402276-6330702</f>
        <v>10466927</v>
      </c>
      <c r="O46" s="900">
        <f>0+5402276+3422971+6330702</f>
        <v>15155949</v>
      </c>
      <c r="P46" s="900">
        <v>0</v>
      </c>
      <c r="Q46" s="900">
        <v>0</v>
      </c>
      <c r="R46" s="900">
        <v>0</v>
      </c>
      <c r="S46" s="900">
        <v>0</v>
      </c>
      <c r="T46" s="900">
        <v>0</v>
      </c>
      <c r="U46" s="1153">
        <f>+O46+P46+Q46+R46</f>
        <v>15155949</v>
      </c>
      <c r="V46" s="2700"/>
      <c r="W46" s="1916"/>
      <c r="X46" s="1916"/>
      <c r="Y46" s="1916"/>
      <c r="Z46" s="1916"/>
      <c r="AA46" s="1916"/>
      <c r="AB46" s="1916"/>
      <c r="AC46" s="1916"/>
      <c r="AD46" s="1916"/>
      <c r="AE46" s="1916"/>
      <c r="AF46" s="1916"/>
      <c r="AG46" s="1916"/>
      <c r="AH46" s="1916"/>
      <c r="AI46" s="1916"/>
      <c r="AJ46" s="1916"/>
      <c r="AK46" s="1916"/>
      <c r="AL46" s="1916"/>
      <c r="AM46" s="1916"/>
      <c r="AN46" s="1916"/>
      <c r="AO46" s="1916"/>
      <c r="AP46" s="1916"/>
      <c r="AQ46" s="1916"/>
      <c r="AR46" s="1916"/>
      <c r="AS46" s="1916"/>
      <c r="AT46" s="1916"/>
      <c r="AU46" s="1916"/>
      <c r="AV46" s="1916"/>
      <c r="AW46" s="1916"/>
      <c r="AX46" s="1916"/>
      <c r="AY46" s="1916"/>
      <c r="AZ46" s="1916"/>
      <c r="BA46" s="1916"/>
      <c r="BB46" s="1916"/>
      <c r="BC46" s="1916"/>
      <c r="BD46" s="1916"/>
      <c r="BE46" s="1916"/>
      <c r="BF46" s="1916"/>
      <c r="BG46" s="1916"/>
      <c r="BH46" s="1916"/>
      <c r="BI46" s="1916"/>
      <c r="BJ46" s="1916"/>
      <c r="BK46" s="1916"/>
      <c r="BL46" s="1916"/>
      <c r="BM46" s="1916"/>
      <c r="BN46" s="1916"/>
      <c r="BO46" s="1916"/>
      <c r="BP46" s="1916"/>
      <c r="BQ46" s="1916"/>
      <c r="BR46" s="1916"/>
      <c r="BS46" s="1916"/>
      <c r="BT46" s="1916"/>
      <c r="BU46" s="1916"/>
      <c r="BV46" s="1916"/>
      <c r="BW46" s="1916"/>
      <c r="BX46" s="1916"/>
      <c r="BY46" s="1916"/>
      <c r="BZ46" s="1916"/>
    </row>
    <row r="47" spans="1:79" s="1400" customFormat="1" ht="14.25" customHeight="1">
      <c r="A47" s="2767"/>
      <c r="B47" s="1887" t="s">
        <v>45</v>
      </c>
      <c r="C47" s="2769" t="s">
        <v>35</v>
      </c>
      <c r="D47" s="1285">
        <f t="shared" si="58"/>
        <v>291544</v>
      </c>
      <c r="E47" s="1385">
        <v>0</v>
      </c>
      <c r="F47" s="1385"/>
      <c r="G47" s="1385"/>
      <c r="H47" s="1385"/>
      <c r="I47" s="1385">
        <v>0</v>
      </c>
      <c r="J47" s="1385">
        <v>0</v>
      </c>
      <c r="K47" s="1385">
        <v>0</v>
      </c>
      <c r="L47" s="1385">
        <v>71544</v>
      </c>
      <c r="M47" s="1799">
        <f t="shared" si="59"/>
        <v>71544</v>
      </c>
      <c r="N47" s="1385">
        <f>220000-67311</f>
        <v>152689</v>
      </c>
      <c r="O47" s="1385">
        <f>0+67311</f>
        <v>67311</v>
      </c>
      <c r="P47" s="1385">
        <v>0</v>
      </c>
      <c r="Q47" s="1385">
        <v>0</v>
      </c>
      <c r="R47" s="1385">
        <v>0</v>
      </c>
      <c r="S47" s="1385">
        <v>0</v>
      </c>
      <c r="T47" s="1385">
        <v>0</v>
      </c>
      <c r="U47" s="1363"/>
      <c r="V47" s="2700"/>
      <c r="W47" s="1916"/>
      <c r="X47" s="1916"/>
      <c r="Y47" s="1916"/>
      <c r="Z47" s="1916"/>
      <c r="AA47" s="1916"/>
      <c r="AB47" s="1916"/>
      <c r="AC47" s="1916"/>
      <c r="AD47" s="1916"/>
      <c r="AE47" s="1916"/>
      <c r="AF47" s="1916"/>
      <c r="AG47" s="1916"/>
      <c r="AH47" s="1916"/>
      <c r="AI47" s="1916"/>
      <c r="AJ47" s="1916"/>
      <c r="AK47" s="1916"/>
      <c r="AL47" s="1916"/>
      <c r="AM47" s="1916"/>
      <c r="AN47" s="1916"/>
      <c r="AO47" s="1916"/>
      <c r="AP47" s="1916"/>
      <c r="AQ47" s="1916"/>
      <c r="AR47" s="1916"/>
      <c r="AS47" s="1916"/>
      <c r="AT47" s="1916"/>
      <c r="AU47" s="1916"/>
      <c r="AV47" s="1916"/>
      <c r="AW47" s="1916"/>
      <c r="AX47" s="1916"/>
      <c r="AY47" s="1916"/>
      <c r="AZ47" s="1916"/>
      <c r="BA47" s="1916"/>
      <c r="BB47" s="1916"/>
      <c r="BC47" s="1916"/>
      <c r="BD47" s="1916"/>
      <c r="BE47" s="1916"/>
      <c r="BF47" s="1916"/>
      <c r="BG47" s="1916"/>
      <c r="BH47" s="1916"/>
      <c r="BI47" s="1916"/>
      <c r="BJ47" s="1916"/>
      <c r="BK47" s="1916"/>
      <c r="BL47" s="1916"/>
      <c r="BM47" s="1916"/>
      <c r="BN47" s="1916"/>
      <c r="BO47" s="1916"/>
      <c r="BP47" s="1916"/>
      <c r="BQ47" s="1916"/>
      <c r="BR47" s="1916"/>
      <c r="BS47" s="1916"/>
      <c r="BT47" s="1916"/>
      <c r="BU47" s="1916"/>
      <c r="BV47" s="1916"/>
      <c r="BW47" s="1916"/>
      <c r="BX47" s="1916"/>
      <c r="BY47" s="1916"/>
      <c r="BZ47" s="1916"/>
    </row>
    <row r="48" spans="1:79" s="1400" customFormat="1" ht="14.25" customHeight="1">
      <c r="A48" s="2767"/>
      <c r="B48" s="1888" t="s">
        <v>30</v>
      </c>
      <c r="C48" s="2777"/>
      <c r="D48" s="1369">
        <f>+D49</f>
        <v>46291658</v>
      </c>
      <c r="E48" s="1369">
        <f>+E49</f>
        <v>0</v>
      </c>
      <c r="F48" s="1369"/>
      <c r="G48" s="1369"/>
      <c r="H48" s="1369"/>
      <c r="I48" s="1369">
        <f t="shared" ref="I48:U48" si="60">+I49</f>
        <v>0</v>
      </c>
      <c r="J48" s="1369">
        <f t="shared" si="60"/>
        <v>0</v>
      </c>
      <c r="K48" s="1369">
        <f t="shared" si="60"/>
        <v>1806384</v>
      </c>
      <c r="L48" s="1369">
        <f t="shared" si="60"/>
        <v>1909458</v>
      </c>
      <c r="M48" s="1369">
        <f t="shared" si="60"/>
        <v>3715842</v>
      </c>
      <c r="N48" s="1369">
        <f t="shared" si="60"/>
        <v>2910901</v>
      </c>
      <c r="O48" s="1369">
        <f t="shared" si="60"/>
        <v>39664915</v>
      </c>
      <c r="P48" s="1369">
        <f t="shared" si="60"/>
        <v>0</v>
      </c>
      <c r="Q48" s="1369">
        <f t="shared" si="60"/>
        <v>0</v>
      </c>
      <c r="R48" s="1369">
        <f t="shared" si="60"/>
        <v>0</v>
      </c>
      <c r="S48" s="1369">
        <f t="shared" si="60"/>
        <v>0</v>
      </c>
      <c r="T48" s="1369">
        <f t="shared" si="60"/>
        <v>0</v>
      </c>
      <c r="U48" s="1370" t="str">
        <f t="shared" si="60"/>
        <v>x</v>
      </c>
      <c r="V48" s="2700"/>
      <c r="W48" s="1916"/>
      <c r="X48" s="1916"/>
      <c r="Y48" s="1916"/>
      <c r="Z48" s="1916"/>
      <c r="AA48" s="1916"/>
      <c r="AB48" s="1916"/>
      <c r="AC48" s="1916"/>
      <c r="AD48" s="1916"/>
      <c r="AE48" s="1916"/>
      <c r="AF48" s="1916"/>
      <c r="AG48" s="1916"/>
      <c r="AH48" s="1916"/>
      <c r="AI48" s="1916"/>
      <c r="AJ48" s="1916"/>
      <c r="AK48" s="1916"/>
      <c r="AL48" s="1916"/>
      <c r="AM48" s="1916"/>
      <c r="AN48" s="1916"/>
      <c r="AO48" s="1916"/>
      <c r="AP48" s="1916"/>
      <c r="AQ48" s="1916"/>
      <c r="AR48" s="1916"/>
      <c r="AS48" s="1916"/>
      <c r="AT48" s="1916"/>
      <c r="AU48" s="1916"/>
      <c r="AV48" s="1916"/>
      <c r="AW48" s="1916"/>
      <c r="AX48" s="1916"/>
      <c r="AY48" s="1916"/>
      <c r="AZ48" s="1916"/>
      <c r="BA48" s="1916"/>
      <c r="BB48" s="1916"/>
      <c r="BC48" s="1916"/>
      <c r="BD48" s="1916"/>
      <c r="BE48" s="1916"/>
      <c r="BF48" s="1916"/>
      <c r="BG48" s="1916"/>
      <c r="BH48" s="1916"/>
      <c r="BI48" s="1916"/>
      <c r="BJ48" s="1916"/>
      <c r="BK48" s="1916"/>
      <c r="BL48" s="1916"/>
      <c r="BM48" s="1916"/>
      <c r="BN48" s="1916"/>
      <c r="BO48" s="1916"/>
      <c r="BP48" s="1916"/>
      <c r="BQ48" s="1916"/>
      <c r="BR48" s="1916"/>
      <c r="BS48" s="1916"/>
      <c r="BT48" s="1916"/>
      <c r="BU48" s="1916"/>
      <c r="BV48" s="1916"/>
      <c r="BW48" s="1916"/>
      <c r="BX48" s="1916"/>
      <c r="BY48" s="1916"/>
      <c r="BZ48" s="1916"/>
    </row>
    <row r="49" spans="1:79" s="1916" customFormat="1" ht="14.25" customHeight="1">
      <c r="A49" s="2767"/>
      <c r="B49" s="1887" t="s">
        <v>48</v>
      </c>
      <c r="C49" s="2770"/>
      <c r="D49" s="1285">
        <f>SUM(M49:T49)</f>
        <v>46291658</v>
      </c>
      <c r="E49" s="900">
        <f>+F49+G49+H49</f>
        <v>0</v>
      </c>
      <c r="F49" s="900"/>
      <c r="G49" s="900"/>
      <c r="H49" s="900"/>
      <c r="I49" s="900">
        <v>0</v>
      </c>
      <c r="J49" s="900">
        <v>0</v>
      </c>
      <c r="K49" s="900">
        <f>20555625-18749241</f>
        <v>1806384</v>
      </c>
      <c r="L49" s="900">
        <f>21180830-449123-18531707-290542</f>
        <v>1909458</v>
      </c>
      <c r="M49" s="1799">
        <f>+E49+I49+J49+K49+L49</f>
        <v>3715842</v>
      </c>
      <c r="N49" s="900">
        <f>0+18372065+18531707+290542-16928889-17354524</f>
        <v>2910901</v>
      </c>
      <c r="O49" s="900">
        <f>0+16928889+5405892+17330134</f>
        <v>39664915</v>
      </c>
      <c r="P49" s="900">
        <v>0</v>
      </c>
      <c r="Q49" s="900">
        <v>0</v>
      </c>
      <c r="R49" s="900">
        <v>0</v>
      </c>
      <c r="S49" s="900">
        <v>0</v>
      </c>
      <c r="T49" s="900">
        <v>0</v>
      </c>
      <c r="U49" s="1151" t="s">
        <v>77</v>
      </c>
      <c r="V49" s="2700"/>
      <c r="CA49" s="1400"/>
    </row>
    <row r="50" spans="1:79" s="1959" customFormat="1" ht="14.25" customHeight="1">
      <c r="A50" s="2767"/>
      <c r="B50" s="1083" t="s">
        <v>34</v>
      </c>
      <c r="C50" s="1377"/>
      <c r="D50" s="897">
        <f>D53+D51</f>
        <v>60868453</v>
      </c>
      <c r="E50" s="897">
        <f t="shared" ref="E50:P50" si="61">E53+E51</f>
        <v>0</v>
      </c>
      <c r="F50" s="897">
        <f t="shared" si="61"/>
        <v>0</v>
      </c>
      <c r="G50" s="897">
        <f t="shared" si="61"/>
        <v>0</v>
      </c>
      <c r="H50" s="897">
        <f t="shared" si="61"/>
        <v>0</v>
      </c>
      <c r="I50" s="897">
        <f t="shared" si="61"/>
        <v>101937</v>
      </c>
      <c r="J50" s="897">
        <f t="shared" si="61"/>
        <v>220330</v>
      </c>
      <c r="K50" s="897">
        <f t="shared" si="61"/>
        <v>2712892</v>
      </c>
      <c r="L50" s="897">
        <f t="shared" si="61"/>
        <v>2180016</v>
      </c>
      <c r="M50" s="897">
        <f t="shared" ref="M50" si="62">M53+M51</f>
        <v>5215175</v>
      </c>
      <c r="N50" s="897">
        <f t="shared" si="61"/>
        <v>4515742</v>
      </c>
      <c r="O50" s="897">
        <f t="shared" si="61"/>
        <v>51137536</v>
      </c>
      <c r="P50" s="897">
        <f t="shared" si="61"/>
        <v>0</v>
      </c>
      <c r="Q50" s="897">
        <f>Q53+Q51</f>
        <v>0</v>
      </c>
      <c r="R50" s="897">
        <f>R53+R51</f>
        <v>0</v>
      </c>
      <c r="S50" s="897">
        <f>S53+S51</f>
        <v>0</v>
      </c>
      <c r="T50" s="897">
        <f>T53+T51</f>
        <v>0</v>
      </c>
      <c r="U50" s="885"/>
      <c r="V50" s="2700"/>
      <c r="W50" s="1958"/>
      <c r="X50" s="1958"/>
      <c r="Y50" s="1958"/>
      <c r="Z50" s="1958"/>
      <c r="AA50" s="1958"/>
      <c r="AB50" s="1958"/>
      <c r="AC50" s="1958"/>
      <c r="AD50" s="1958"/>
      <c r="AE50" s="1958"/>
      <c r="AF50" s="1958"/>
      <c r="AG50" s="1958"/>
      <c r="AH50" s="1958"/>
      <c r="AI50" s="1958"/>
      <c r="AJ50" s="1958"/>
      <c r="AK50" s="1958"/>
      <c r="AL50" s="1958"/>
      <c r="AM50" s="1958"/>
      <c r="AN50" s="1958"/>
      <c r="AO50" s="1958"/>
      <c r="AP50" s="1958"/>
      <c r="AQ50" s="1958"/>
      <c r="AR50" s="1958"/>
      <c r="AS50" s="1958"/>
      <c r="AT50" s="1958"/>
      <c r="AU50" s="1958"/>
      <c r="AV50" s="1958"/>
      <c r="AW50" s="1958"/>
      <c r="AX50" s="1958"/>
      <c r="AY50" s="1958"/>
      <c r="AZ50" s="1958"/>
      <c r="BA50" s="1958"/>
      <c r="BB50" s="1958"/>
      <c r="BC50" s="1958"/>
      <c r="BD50" s="1958"/>
      <c r="BE50" s="1958"/>
      <c r="BF50" s="1958"/>
      <c r="BG50" s="1958"/>
      <c r="BH50" s="1958"/>
      <c r="BI50" s="1958"/>
      <c r="BJ50" s="1958"/>
      <c r="BK50" s="1958"/>
      <c r="BL50" s="1958"/>
      <c r="BM50" s="1958"/>
      <c r="BN50" s="1958"/>
      <c r="BO50" s="1958"/>
      <c r="BP50" s="1958"/>
      <c r="BQ50" s="1958"/>
      <c r="BR50" s="1958"/>
      <c r="BS50" s="1958"/>
      <c r="BT50" s="1958"/>
      <c r="BU50" s="1958"/>
      <c r="BV50" s="1958"/>
      <c r="BW50" s="1958"/>
      <c r="BX50" s="1958"/>
      <c r="BY50" s="1958"/>
      <c r="BZ50" s="1958"/>
    </row>
    <row r="51" spans="1:79" s="1959" customFormat="1" ht="14.25" customHeight="1">
      <c r="A51" s="2767"/>
      <c r="B51" s="1886" t="s">
        <v>36</v>
      </c>
      <c r="C51" s="2763" t="s">
        <v>259</v>
      </c>
      <c r="D51" s="1386">
        <f t="shared" ref="D51:T51" si="63">+D52</f>
        <v>14576795</v>
      </c>
      <c r="E51" s="1386">
        <f t="shared" si="63"/>
        <v>0</v>
      </c>
      <c r="F51" s="1386">
        <f t="shared" si="63"/>
        <v>0</v>
      </c>
      <c r="G51" s="1386">
        <f t="shared" si="63"/>
        <v>0</v>
      </c>
      <c r="H51" s="1386">
        <f t="shared" si="63"/>
        <v>0</v>
      </c>
      <c r="I51" s="1386">
        <f t="shared" si="63"/>
        <v>101937</v>
      </c>
      <c r="J51" s="1386">
        <f t="shared" si="63"/>
        <v>220330</v>
      </c>
      <c r="K51" s="1386">
        <f t="shared" si="63"/>
        <v>906508</v>
      </c>
      <c r="L51" s="1386">
        <f t="shared" si="63"/>
        <v>270558</v>
      </c>
      <c r="M51" s="1386">
        <f t="shared" si="63"/>
        <v>1499333</v>
      </c>
      <c r="N51" s="1386">
        <f t="shared" si="63"/>
        <v>1604841</v>
      </c>
      <c r="O51" s="1386">
        <f t="shared" si="63"/>
        <v>11472621</v>
      </c>
      <c r="P51" s="1386">
        <f t="shared" si="63"/>
        <v>0</v>
      </c>
      <c r="Q51" s="1386">
        <f t="shared" si="63"/>
        <v>0</v>
      </c>
      <c r="R51" s="1386">
        <f t="shared" si="63"/>
        <v>0</v>
      </c>
      <c r="S51" s="1386">
        <f t="shared" si="63"/>
        <v>0</v>
      </c>
      <c r="T51" s="1386">
        <f t="shared" si="63"/>
        <v>0</v>
      </c>
      <c r="U51" s="2773" t="s">
        <v>77</v>
      </c>
      <c r="V51" s="2700"/>
      <c r="W51" s="1958"/>
      <c r="X51" s="1958"/>
      <c r="Y51" s="1958"/>
      <c r="Z51" s="1958"/>
      <c r="AA51" s="1958"/>
      <c r="AB51" s="1958"/>
      <c r="AC51" s="1958"/>
      <c r="AD51" s="1958"/>
      <c r="AE51" s="1958"/>
      <c r="AF51" s="1958"/>
      <c r="AG51" s="1958"/>
      <c r="AH51" s="1958"/>
      <c r="AI51" s="1958"/>
      <c r="AJ51" s="1958"/>
      <c r="AK51" s="1958"/>
      <c r="AL51" s="1958"/>
      <c r="AM51" s="1958"/>
      <c r="AN51" s="1958"/>
      <c r="AO51" s="1958"/>
      <c r="AP51" s="1958"/>
      <c r="AQ51" s="1958"/>
      <c r="AR51" s="1958"/>
      <c r="AS51" s="1958"/>
      <c r="AT51" s="1958"/>
      <c r="AU51" s="1958"/>
      <c r="AV51" s="1958"/>
      <c r="AW51" s="1958"/>
      <c r="AX51" s="1958"/>
      <c r="AY51" s="1958"/>
      <c r="AZ51" s="1958"/>
      <c r="BA51" s="1958"/>
      <c r="BB51" s="1958"/>
      <c r="BC51" s="1958"/>
      <c r="BD51" s="1958"/>
      <c r="BE51" s="1958"/>
      <c r="BF51" s="1958"/>
      <c r="BG51" s="1958"/>
      <c r="BH51" s="1958"/>
      <c r="BI51" s="1958"/>
      <c r="BJ51" s="1958"/>
      <c r="BK51" s="1958"/>
      <c r="BL51" s="1958"/>
      <c r="BM51" s="1958"/>
      <c r="BN51" s="1958"/>
      <c r="BO51" s="1958"/>
      <c r="BP51" s="1958"/>
      <c r="BQ51" s="1958"/>
      <c r="BR51" s="1958"/>
      <c r="BS51" s="1958"/>
      <c r="BT51" s="1958"/>
      <c r="BU51" s="1958"/>
      <c r="BV51" s="1958"/>
      <c r="BW51" s="1958"/>
      <c r="BX51" s="1958"/>
      <c r="BY51" s="1958"/>
      <c r="BZ51" s="1958"/>
    </row>
    <row r="52" spans="1:79" s="1959" customFormat="1" ht="14.25" customHeight="1">
      <c r="A52" s="2767"/>
      <c r="B52" s="1887" t="s">
        <v>221</v>
      </c>
      <c r="C52" s="2776"/>
      <c r="D52" s="1285">
        <f>SUM(M52:T52)</f>
        <v>14576795</v>
      </c>
      <c r="E52" s="900">
        <v>0</v>
      </c>
      <c r="F52" s="900"/>
      <c r="G52" s="900"/>
      <c r="H52" s="900"/>
      <c r="I52" s="900">
        <v>101937</v>
      </c>
      <c r="J52" s="900">
        <v>220330</v>
      </c>
      <c r="K52" s="900">
        <f>337846+568662</f>
        <v>906508</v>
      </c>
      <c r="L52" s="900">
        <f>5898044-2464898-3112529-50059</f>
        <v>270558</v>
      </c>
      <c r="M52" s="1799">
        <f>+E52+I52+J52+K52+L52</f>
        <v>1499333</v>
      </c>
      <c r="N52" s="900">
        <f>6167169+1616891+3622336+50059-7140695-2710919</f>
        <v>1604841</v>
      </c>
      <c r="O52" s="900">
        <f>0+7140695+1621007+2710919</f>
        <v>11472621</v>
      </c>
      <c r="P52" s="900">
        <v>0</v>
      </c>
      <c r="Q52" s="900">
        <v>0</v>
      </c>
      <c r="R52" s="900">
        <v>0</v>
      </c>
      <c r="S52" s="900">
        <v>0</v>
      </c>
      <c r="T52" s="900">
        <v>0</v>
      </c>
      <c r="U52" s="2778"/>
      <c r="V52" s="2700"/>
      <c r="W52" s="1958"/>
      <c r="X52" s="1958"/>
      <c r="Y52" s="1958"/>
      <c r="Z52" s="1958"/>
      <c r="AA52" s="1958"/>
      <c r="AB52" s="1958"/>
      <c r="AC52" s="1958"/>
      <c r="AD52" s="1958"/>
      <c r="AE52" s="1958"/>
      <c r="AF52" s="1958"/>
      <c r="AG52" s="1958"/>
      <c r="AH52" s="1958"/>
      <c r="AI52" s="1958"/>
      <c r="AJ52" s="1958"/>
      <c r="AK52" s="1958"/>
      <c r="AL52" s="1958"/>
      <c r="AM52" s="1958"/>
      <c r="AN52" s="1958"/>
      <c r="AO52" s="1958"/>
      <c r="AP52" s="1958"/>
      <c r="AQ52" s="1958"/>
      <c r="AR52" s="1958"/>
      <c r="AS52" s="1958"/>
      <c r="AT52" s="1958"/>
      <c r="AU52" s="1958"/>
      <c r="AV52" s="1958"/>
      <c r="AW52" s="1958"/>
      <c r="AX52" s="1958"/>
      <c r="AY52" s="1958"/>
      <c r="AZ52" s="1958"/>
      <c r="BA52" s="1958"/>
      <c r="BB52" s="1958"/>
      <c r="BC52" s="1958"/>
      <c r="BD52" s="1958"/>
      <c r="BE52" s="1958"/>
      <c r="BF52" s="1958"/>
      <c r="BG52" s="1958"/>
      <c r="BH52" s="1958"/>
      <c r="BI52" s="1958"/>
      <c r="BJ52" s="1958"/>
      <c r="BK52" s="1958"/>
      <c r="BL52" s="1958"/>
      <c r="BM52" s="1958"/>
      <c r="BN52" s="1958"/>
      <c r="BO52" s="1958"/>
      <c r="BP52" s="1958"/>
      <c r="BQ52" s="1958"/>
      <c r="BR52" s="1958"/>
      <c r="BS52" s="1958"/>
      <c r="BT52" s="1958"/>
      <c r="BU52" s="1958"/>
      <c r="BV52" s="1958"/>
      <c r="BW52" s="1958"/>
      <c r="BX52" s="1958"/>
      <c r="BY52" s="1958"/>
      <c r="BZ52" s="1958"/>
    </row>
    <row r="53" spans="1:79" s="1400" customFormat="1" ht="14.25" customHeight="1">
      <c r="A53" s="2767"/>
      <c r="B53" s="1888" t="s">
        <v>30</v>
      </c>
      <c r="C53" s="2769" t="s">
        <v>35</v>
      </c>
      <c r="D53" s="902">
        <f>+D54</f>
        <v>46291658</v>
      </c>
      <c r="E53" s="902">
        <f t="shared" ref="E53:M53" si="64">+E54</f>
        <v>0</v>
      </c>
      <c r="F53" s="902"/>
      <c r="G53" s="902"/>
      <c r="H53" s="902"/>
      <c r="I53" s="902">
        <f t="shared" si="64"/>
        <v>0</v>
      </c>
      <c r="J53" s="902">
        <f t="shared" si="64"/>
        <v>0</v>
      </c>
      <c r="K53" s="902">
        <f t="shared" si="64"/>
        <v>1806384</v>
      </c>
      <c r="L53" s="902">
        <f t="shared" si="64"/>
        <v>1909458</v>
      </c>
      <c r="M53" s="902">
        <f t="shared" si="64"/>
        <v>3715842</v>
      </c>
      <c r="N53" s="902">
        <f t="shared" ref="N53:T53" si="65">+N54</f>
        <v>2910901</v>
      </c>
      <c r="O53" s="902">
        <f t="shared" si="65"/>
        <v>39664915</v>
      </c>
      <c r="P53" s="902">
        <f t="shared" si="65"/>
        <v>0</v>
      </c>
      <c r="Q53" s="902">
        <f t="shared" si="65"/>
        <v>0</v>
      </c>
      <c r="R53" s="902">
        <f t="shared" si="65"/>
        <v>0</v>
      </c>
      <c r="S53" s="902">
        <f t="shared" si="65"/>
        <v>0</v>
      </c>
      <c r="T53" s="902">
        <f t="shared" si="65"/>
        <v>0</v>
      </c>
      <c r="U53" s="2778"/>
      <c r="V53" s="2700"/>
      <c r="W53" s="1916"/>
      <c r="X53" s="1916"/>
      <c r="Y53" s="1916"/>
      <c r="Z53" s="1916"/>
      <c r="AA53" s="1916"/>
      <c r="AB53" s="1916"/>
      <c r="AC53" s="1916"/>
      <c r="AD53" s="1916"/>
      <c r="AE53" s="1916"/>
      <c r="AF53" s="1916"/>
      <c r="AG53" s="1916"/>
      <c r="AH53" s="1916"/>
      <c r="AI53" s="1916"/>
      <c r="AJ53" s="1916"/>
      <c r="AK53" s="1916"/>
      <c r="AL53" s="1916"/>
      <c r="AM53" s="1916"/>
      <c r="AN53" s="1916"/>
      <c r="AO53" s="1916"/>
      <c r="AP53" s="1916"/>
      <c r="AQ53" s="1916"/>
      <c r="AR53" s="1916"/>
      <c r="AS53" s="1916"/>
      <c r="AT53" s="1916"/>
      <c r="AU53" s="1916"/>
      <c r="AV53" s="1916"/>
      <c r="AW53" s="1916"/>
      <c r="AX53" s="1916"/>
      <c r="AY53" s="1916"/>
      <c r="AZ53" s="1916"/>
      <c r="BA53" s="1916"/>
      <c r="BB53" s="1916"/>
      <c r="BC53" s="1916"/>
      <c r="BD53" s="1916"/>
      <c r="BE53" s="1916"/>
      <c r="BF53" s="1916"/>
      <c r="BG53" s="1916"/>
      <c r="BH53" s="1916"/>
      <c r="BI53" s="1916"/>
      <c r="BJ53" s="1916"/>
      <c r="BK53" s="1916"/>
      <c r="BL53" s="1916"/>
      <c r="BM53" s="1916"/>
      <c r="BN53" s="1916"/>
      <c r="BO53" s="1916"/>
      <c r="BP53" s="1916"/>
      <c r="BQ53" s="1916"/>
      <c r="BR53" s="1916"/>
      <c r="BS53" s="1916"/>
      <c r="BT53" s="1916"/>
      <c r="BU53" s="1916"/>
      <c r="BV53" s="1916"/>
      <c r="BW53" s="1916"/>
      <c r="BX53" s="1916"/>
      <c r="BY53" s="1916"/>
      <c r="BZ53" s="1916"/>
    </row>
    <row r="54" spans="1:79" s="1400" customFormat="1" ht="14.25" customHeight="1" thickBot="1">
      <c r="A54" s="2768"/>
      <c r="B54" s="1889" t="s">
        <v>48</v>
      </c>
      <c r="C54" s="2779"/>
      <c r="D54" s="2087">
        <f>SUM(M54:T54)</f>
        <v>46291658</v>
      </c>
      <c r="E54" s="903">
        <f>+F54+G54+H54</f>
        <v>0</v>
      </c>
      <c r="F54" s="903"/>
      <c r="G54" s="903"/>
      <c r="H54" s="903"/>
      <c r="I54" s="903">
        <v>0</v>
      </c>
      <c r="J54" s="903">
        <v>0</v>
      </c>
      <c r="K54" s="903">
        <f>20555625-18749241</f>
        <v>1806384</v>
      </c>
      <c r="L54" s="903">
        <f>21180830-449123-18531707-290542</f>
        <v>1909458</v>
      </c>
      <c r="M54" s="903">
        <f>+E54+I54+J54+K54+L54</f>
        <v>3715842</v>
      </c>
      <c r="N54" s="903">
        <f>18372065+18531707+290542-16928889-17354524</f>
        <v>2910901</v>
      </c>
      <c r="O54" s="903">
        <f>0+16928889+5405892+17330134</f>
        <v>39664915</v>
      </c>
      <c r="P54" s="903">
        <v>0</v>
      </c>
      <c r="Q54" s="903">
        <v>0</v>
      </c>
      <c r="R54" s="903">
        <v>0</v>
      </c>
      <c r="S54" s="903">
        <v>0</v>
      </c>
      <c r="T54" s="903">
        <v>0</v>
      </c>
      <c r="U54" s="2775"/>
      <c r="V54" s="2701"/>
      <c r="W54" s="1916"/>
      <c r="X54" s="1916"/>
      <c r="Y54" s="1916"/>
      <c r="Z54" s="1916"/>
      <c r="AA54" s="1916"/>
      <c r="AB54" s="1916"/>
      <c r="AC54" s="1916"/>
      <c r="AD54" s="1916"/>
      <c r="AE54" s="1916"/>
      <c r="AF54" s="1916"/>
      <c r="AG54" s="1916"/>
      <c r="AH54" s="1916"/>
      <c r="AI54" s="1916"/>
      <c r="AJ54" s="1916"/>
      <c r="AK54" s="1916"/>
      <c r="AL54" s="1916"/>
      <c r="AM54" s="1916"/>
      <c r="AN54" s="1916"/>
      <c r="AO54" s="1916"/>
      <c r="AP54" s="1916"/>
      <c r="AQ54" s="1916"/>
      <c r="AR54" s="1916"/>
      <c r="AS54" s="1916"/>
      <c r="AT54" s="1916"/>
      <c r="AU54" s="1916"/>
      <c r="AV54" s="1916"/>
      <c r="AW54" s="1916"/>
      <c r="AX54" s="1916"/>
      <c r="AY54" s="1916"/>
      <c r="AZ54" s="1916"/>
      <c r="BA54" s="1916"/>
      <c r="BB54" s="1916"/>
      <c r="BC54" s="1916"/>
      <c r="BD54" s="1916"/>
      <c r="BE54" s="1916"/>
      <c r="BF54" s="1916"/>
      <c r="BG54" s="1916"/>
      <c r="BH54" s="1916"/>
      <c r="BI54" s="1916"/>
      <c r="BJ54" s="1916"/>
      <c r="BK54" s="1916"/>
      <c r="BL54" s="1916"/>
      <c r="BM54" s="1916"/>
      <c r="BN54" s="1916"/>
      <c r="BO54" s="1916"/>
      <c r="BP54" s="1916"/>
      <c r="BQ54" s="1916"/>
      <c r="BR54" s="1916"/>
      <c r="BS54" s="1916"/>
      <c r="BT54" s="1916"/>
      <c r="BU54" s="1916"/>
      <c r="BV54" s="1916"/>
      <c r="BW54" s="1916"/>
      <c r="BX54" s="1916"/>
      <c r="BY54" s="1916"/>
      <c r="BZ54" s="1916"/>
    </row>
    <row r="55" spans="1:79" s="1916" customFormat="1" ht="39" customHeight="1">
      <c r="A55" s="2766" t="s">
        <v>85</v>
      </c>
      <c r="B55" s="1375" t="s">
        <v>381</v>
      </c>
      <c r="C55" s="1376" t="s">
        <v>102</v>
      </c>
      <c r="D55" s="1010"/>
      <c r="E55" s="1010"/>
      <c r="F55" s="1010"/>
      <c r="G55" s="1010"/>
      <c r="H55" s="1010"/>
      <c r="I55" s="1010"/>
      <c r="J55" s="1010"/>
      <c r="K55" s="1010"/>
      <c r="L55" s="1383"/>
      <c r="M55" s="1383"/>
      <c r="N55" s="1383"/>
      <c r="O55" s="1383"/>
      <c r="P55" s="1383"/>
      <c r="Q55" s="1383"/>
      <c r="R55" s="1383"/>
      <c r="S55" s="1833"/>
      <c r="T55" s="1833"/>
      <c r="U55" s="1387"/>
      <c r="V55" s="2762" t="s">
        <v>260</v>
      </c>
      <c r="CA55" s="1958"/>
    </row>
    <row r="56" spans="1:79" s="1916" customFormat="1" ht="13.5" customHeight="1">
      <c r="A56" s="2767"/>
      <c r="B56" s="1083" t="s">
        <v>22</v>
      </c>
      <c r="C56" s="1377"/>
      <c r="D56" s="897">
        <f>+D57+D60</f>
        <v>2994808</v>
      </c>
      <c r="E56" s="897">
        <f t="shared" ref="E56:L56" si="66">+E57+E60</f>
        <v>0</v>
      </c>
      <c r="F56" s="897">
        <f t="shared" si="66"/>
        <v>0</v>
      </c>
      <c r="G56" s="897">
        <f t="shared" si="66"/>
        <v>0</v>
      </c>
      <c r="H56" s="897">
        <f t="shared" si="66"/>
        <v>0</v>
      </c>
      <c r="I56" s="897">
        <f t="shared" si="66"/>
        <v>0</v>
      </c>
      <c r="J56" s="897">
        <f t="shared" si="66"/>
        <v>0</v>
      </c>
      <c r="K56" s="897">
        <f t="shared" si="66"/>
        <v>779744</v>
      </c>
      <c r="L56" s="897">
        <f t="shared" si="66"/>
        <v>256006</v>
      </c>
      <c r="M56" s="897">
        <f t="shared" ref="M56" si="67">+M57+M60</f>
        <v>1035750</v>
      </c>
      <c r="N56" s="897">
        <f t="shared" ref="N56:T56" si="68">+N57+N60</f>
        <v>722708</v>
      </c>
      <c r="O56" s="897">
        <f t="shared" si="68"/>
        <v>1236350</v>
      </c>
      <c r="P56" s="897">
        <f t="shared" si="68"/>
        <v>0</v>
      </c>
      <c r="Q56" s="897">
        <f t="shared" si="68"/>
        <v>0</v>
      </c>
      <c r="R56" s="897">
        <f t="shared" si="68"/>
        <v>0</v>
      </c>
      <c r="S56" s="897">
        <f t="shared" si="68"/>
        <v>0</v>
      </c>
      <c r="T56" s="897">
        <f t="shared" si="68"/>
        <v>0</v>
      </c>
      <c r="U56" s="885">
        <f>+U57</f>
        <v>226588</v>
      </c>
      <c r="V56" s="2700"/>
    </row>
    <row r="57" spans="1:79" s="1916" customFormat="1" ht="13.5" customHeight="1">
      <c r="A57" s="2767"/>
      <c r="B57" s="1365" t="s">
        <v>36</v>
      </c>
      <c r="C57" s="2763" t="s">
        <v>259</v>
      </c>
      <c r="D57" s="902">
        <f>+D58+D59</f>
        <v>1409070</v>
      </c>
      <c r="E57" s="902">
        <f t="shared" ref="E57:R57" si="69">+E58+E59</f>
        <v>0</v>
      </c>
      <c r="F57" s="902">
        <f t="shared" si="69"/>
        <v>0</v>
      </c>
      <c r="G57" s="902">
        <f t="shared" si="69"/>
        <v>0</v>
      </c>
      <c r="H57" s="902">
        <f t="shared" si="69"/>
        <v>0</v>
      </c>
      <c r="I57" s="902">
        <f t="shared" si="69"/>
        <v>0</v>
      </c>
      <c r="J57" s="902">
        <f t="shared" si="69"/>
        <v>0</v>
      </c>
      <c r="K57" s="902">
        <f t="shared" si="69"/>
        <v>779744</v>
      </c>
      <c r="L57" s="902">
        <f t="shared" si="69"/>
        <v>256006</v>
      </c>
      <c r="M57" s="902">
        <f t="shared" ref="M57" si="70">+M58+M59</f>
        <v>1035750</v>
      </c>
      <c r="N57" s="902">
        <f t="shared" si="69"/>
        <v>142132</v>
      </c>
      <c r="O57" s="902">
        <f t="shared" si="69"/>
        <v>231188</v>
      </c>
      <c r="P57" s="902">
        <f t="shared" si="69"/>
        <v>0</v>
      </c>
      <c r="Q57" s="902">
        <f t="shared" si="69"/>
        <v>0</v>
      </c>
      <c r="R57" s="902">
        <f t="shared" si="69"/>
        <v>0</v>
      </c>
      <c r="S57" s="902">
        <f t="shared" ref="S57:T57" si="71">+S58+S59</f>
        <v>0</v>
      </c>
      <c r="T57" s="902">
        <f t="shared" si="71"/>
        <v>0</v>
      </c>
      <c r="U57" s="982">
        <f>+U58</f>
        <v>226588</v>
      </c>
      <c r="V57" s="2700"/>
    </row>
    <row r="58" spans="1:79" s="1400" customFormat="1" ht="13.5" customHeight="1">
      <c r="A58" s="2767"/>
      <c r="B58" s="1388" t="s">
        <v>193</v>
      </c>
      <c r="C58" s="2776"/>
      <c r="D58" s="1285">
        <f t="shared" ref="D58:D61" si="72">SUM(M58:T58)</f>
        <v>1384350</v>
      </c>
      <c r="E58" s="900">
        <v>0</v>
      </c>
      <c r="F58" s="900"/>
      <c r="G58" s="900"/>
      <c r="H58" s="900"/>
      <c r="I58" s="900">
        <v>0</v>
      </c>
      <c r="J58" s="900">
        <v>0</v>
      </c>
      <c r="K58" s="900">
        <f>1305000+435000-900000-60256</f>
        <v>779744</v>
      </c>
      <c r="L58" s="900">
        <f>1160000+900000+60256-1864250</f>
        <v>256006</v>
      </c>
      <c r="M58" s="1799">
        <f t="shared" ref="M58:M61" si="73">+E58+I58+J58+K58+L58</f>
        <v>1035750</v>
      </c>
      <c r="N58" s="900">
        <f>348600-226588</f>
        <v>122012</v>
      </c>
      <c r="O58" s="900">
        <f>0+226588</f>
        <v>226588</v>
      </c>
      <c r="P58" s="900">
        <v>0</v>
      </c>
      <c r="Q58" s="900">
        <v>0</v>
      </c>
      <c r="R58" s="900">
        <v>0</v>
      </c>
      <c r="S58" s="900">
        <v>0</v>
      </c>
      <c r="T58" s="900">
        <v>0</v>
      </c>
      <c r="U58" s="1153">
        <f>+O58+P58+Q58+R58</f>
        <v>226588</v>
      </c>
      <c r="V58" s="2700"/>
      <c r="W58" s="1916"/>
      <c r="X58" s="1916"/>
      <c r="Y58" s="1916"/>
      <c r="Z58" s="1916"/>
      <c r="AA58" s="1916"/>
      <c r="AB58" s="1916"/>
      <c r="AC58" s="1916"/>
      <c r="AD58" s="1916"/>
      <c r="AE58" s="1916"/>
      <c r="AF58" s="1916"/>
      <c r="AG58" s="1916"/>
      <c r="AH58" s="1916"/>
      <c r="AI58" s="1916"/>
      <c r="AJ58" s="1916"/>
      <c r="AK58" s="1916"/>
      <c r="AL58" s="1916"/>
      <c r="AM58" s="1916"/>
      <c r="AN58" s="1916"/>
      <c r="AO58" s="1916"/>
      <c r="AP58" s="1916"/>
      <c r="AQ58" s="1916"/>
      <c r="AR58" s="1916"/>
      <c r="AS58" s="1916"/>
      <c r="AT58" s="1916"/>
      <c r="AU58" s="1916"/>
      <c r="AV58" s="1916"/>
      <c r="AW58" s="1916"/>
      <c r="AX58" s="1916"/>
      <c r="AY58" s="1916"/>
      <c r="AZ58" s="1916"/>
      <c r="BA58" s="1916"/>
      <c r="BB58" s="1916"/>
      <c r="BC58" s="1916"/>
      <c r="BD58" s="1916"/>
      <c r="BE58" s="1916"/>
      <c r="BF58" s="1916"/>
      <c r="BG58" s="1916"/>
      <c r="BH58" s="1916"/>
      <c r="BI58" s="1916"/>
      <c r="BJ58" s="1916"/>
      <c r="BK58" s="1916"/>
      <c r="BL58" s="1916"/>
      <c r="BM58" s="1916"/>
      <c r="BN58" s="1916"/>
      <c r="BO58" s="1916"/>
      <c r="BP58" s="1916"/>
      <c r="BQ58" s="1916"/>
      <c r="BR58" s="1916"/>
      <c r="BS58" s="1916"/>
      <c r="BT58" s="1916"/>
      <c r="BU58" s="1916"/>
      <c r="BV58" s="1916"/>
      <c r="BW58" s="1916"/>
      <c r="BX58" s="1916"/>
      <c r="BY58" s="1916"/>
      <c r="BZ58" s="1916"/>
    </row>
    <row r="59" spans="1:79" s="1400" customFormat="1" ht="13.5" customHeight="1">
      <c r="A59" s="2767"/>
      <c r="B59" s="1379" t="s">
        <v>45</v>
      </c>
      <c r="C59" s="2212"/>
      <c r="D59" s="1285">
        <f t="shared" si="72"/>
        <v>24720</v>
      </c>
      <c r="E59" s="900">
        <v>0</v>
      </c>
      <c r="F59" s="900"/>
      <c r="G59" s="900"/>
      <c r="H59" s="900"/>
      <c r="I59" s="900">
        <v>0</v>
      </c>
      <c r="J59" s="900">
        <v>0</v>
      </c>
      <c r="K59" s="900">
        <v>0</v>
      </c>
      <c r="L59" s="900">
        <v>0</v>
      </c>
      <c r="M59" s="1799">
        <f t="shared" si="73"/>
        <v>0</v>
      </c>
      <c r="N59" s="900">
        <v>20120</v>
      </c>
      <c r="O59" s="900">
        <v>4600</v>
      </c>
      <c r="P59" s="900"/>
      <c r="Q59" s="900"/>
      <c r="R59" s="900"/>
      <c r="S59" s="900"/>
      <c r="T59" s="900"/>
      <c r="U59" s="1363"/>
      <c r="V59" s="2700"/>
      <c r="W59" s="1916"/>
      <c r="X59" s="1916"/>
      <c r="Y59" s="1916"/>
      <c r="Z59" s="1916"/>
      <c r="AA59" s="1916"/>
      <c r="AB59" s="1916"/>
      <c r="AC59" s="1916"/>
      <c r="AD59" s="1916"/>
      <c r="AE59" s="1916"/>
      <c r="AF59" s="1916"/>
      <c r="AG59" s="1916"/>
      <c r="AH59" s="1916"/>
      <c r="AI59" s="1916"/>
      <c r="AJ59" s="1916"/>
      <c r="AK59" s="1916"/>
      <c r="AL59" s="1916"/>
      <c r="AM59" s="1916"/>
      <c r="AN59" s="1916"/>
      <c r="AO59" s="1916"/>
      <c r="AP59" s="1916"/>
      <c r="AQ59" s="1916"/>
      <c r="AR59" s="1916"/>
      <c r="AS59" s="1916"/>
      <c r="AT59" s="1916"/>
      <c r="AU59" s="1916"/>
      <c r="AV59" s="1916"/>
      <c r="AW59" s="1916"/>
      <c r="AX59" s="1916"/>
      <c r="AY59" s="1916"/>
      <c r="AZ59" s="1916"/>
      <c r="BA59" s="1916"/>
      <c r="BB59" s="1916"/>
      <c r="BC59" s="1916"/>
      <c r="BD59" s="1916"/>
      <c r="BE59" s="1916"/>
      <c r="BF59" s="1916"/>
      <c r="BG59" s="1916"/>
      <c r="BH59" s="1916"/>
      <c r="BI59" s="1916"/>
      <c r="BJ59" s="1916"/>
      <c r="BK59" s="1916"/>
      <c r="BL59" s="1916"/>
      <c r="BM59" s="1916"/>
      <c r="BN59" s="1916"/>
      <c r="BO59" s="1916"/>
      <c r="BP59" s="1916"/>
      <c r="BQ59" s="1916"/>
      <c r="BR59" s="1916"/>
      <c r="BS59" s="1916"/>
      <c r="BT59" s="1916"/>
      <c r="BU59" s="1916"/>
      <c r="BV59" s="1916"/>
      <c r="BW59" s="1916"/>
      <c r="BX59" s="1916"/>
      <c r="BY59" s="1916"/>
      <c r="BZ59" s="1916"/>
    </row>
    <row r="60" spans="1:79" s="1400" customFormat="1" ht="13.5" customHeight="1">
      <c r="A60" s="2767"/>
      <c r="B60" s="1368" t="s">
        <v>30</v>
      </c>
      <c r="C60" s="2769" t="s">
        <v>35</v>
      </c>
      <c r="D60" s="1386">
        <f>+D61</f>
        <v>1585738</v>
      </c>
      <c r="E60" s="1386">
        <f t="shared" ref="E60:U60" si="74">+E61</f>
        <v>0</v>
      </c>
      <c r="F60" s="1386">
        <f t="shared" si="74"/>
        <v>0</v>
      </c>
      <c r="G60" s="1386">
        <f t="shared" si="74"/>
        <v>0</v>
      </c>
      <c r="H60" s="1386">
        <f t="shared" si="74"/>
        <v>0</v>
      </c>
      <c r="I60" s="1386">
        <f t="shared" si="74"/>
        <v>0</v>
      </c>
      <c r="J60" s="1386">
        <f t="shared" si="74"/>
        <v>0</v>
      </c>
      <c r="K60" s="1386">
        <f t="shared" si="74"/>
        <v>0</v>
      </c>
      <c r="L60" s="1386">
        <f t="shared" si="74"/>
        <v>0</v>
      </c>
      <c r="M60" s="1386">
        <f t="shared" si="74"/>
        <v>0</v>
      </c>
      <c r="N60" s="1386">
        <f t="shared" si="74"/>
        <v>580576</v>
      </c>
      <c r="O60" s="1386">
        <f t="shared" si="74"/>
        <v>1005162</v>
      </c>
      <c r="P60" s="1386">
        <f t="shared" si="74"/>
        <v>0</v>
      </c>
      <c r="Q60" s="1386">
        <f t="shared" si="74"/>
        <v>0</v>
      </c>
      <c r="R60" s="1386">
        <f t="shared" si="74"/>
        <v>0</v>
      </c>
      <c r="S60" s="1386">
        <f t="shared" si="74"/>
        <v>0</v>
      </c>
      <c r="T60" s="1386">
        <f t="shared" si="74"/>
        <v>0</v>
      </c>
      <c r="U60" s="1370" t="str">
        <f t="shared" si="74"/>
        <v>x</v>
      </c>
      <c r="V60" s="2700"/>
      <c r="W60" s="1916"/>
      <c r="X60" s="1916"/>
      <c r="Y60" s="1916"/>
      <c r="Z60" s="1916"/>
      <c r="AA60" s="1916"/>
      <c r="AB60" s="1916"/>
      <c r="AC60" s="1916"/>
      <c r="AD60" s="1916"/>
      <c r="AE60" s="1916"/>
      <c r="AF60" s="1916"/>
      <c r="AG60" s="1916"/>
      <c r="AH60" s="1916"/>
      <c r="AI60" s="1916"/>
      <c r="AJ60" s="1916"/>
      <c r="AK60" s="1916"/>
      <c r="AL60" s="1916"/>
      <c r="AM60" s="1916"/>
      <c r="AN60" s="1916"/>
      <c r="AO60" s="1916"/>
      <c r="AP60" s="1916"/>
      <c r="AQ60" s="1916"/>
      <c r="AR60" s="1916"/>
      <c r="AS60" s="1916"/>
      <c r="AT60" s="1916"/>
      <c r="AU60" s="1916"/>
      <c r="AV60" s="1916"/>
      <c r="AW60" s="1916"/>
      <c r="AX60" s="1916"/>
      <c r="AY60" s="1916"/>
      <c r="AZ60" s="1916"/>
      <c r="BA60" s="1916"/>
      <c r="BB60" s="1916"/>
      <c r="BC60" s="1916"/>
      <c r="BD60" s="1916"/>
      <c r="BE60" s="1916"/>
      <c r="BF60" s="1916"/>
      <c r="BG60" s="1916"/>
      <c r="BH60" s="1916"/>
      <c r="BI60" s="1916"/>
      <c r="BJ60" s="1916"/>
      <c r="BK60" s="1916"/>
      <c r="BL60" s="1916"/>
      <c r="BM60" s="1916"/>
      <c r="BN60" s="1916"/>
      <c r="BO60" s="1916"/>
      <c r="BP60" s="1916"/>
      <c r="BQ60" s="1916"/>
      <c r="BR60" s="1916"/>
      <c r="BS60" s="1916"/>
      <c r="BT60" s="1916"/>
      <c r="BU60" s="1916"/>
      <c r="BV60" s="1916"/>
      <c r="BW60" s="1916"/>
      <c r="BX60" s="1916"/>
      <c r="BY60" s="1916"/>
      <c r="BZ60" s="1916"/>
    </row>
    <row r="61" spans="1:79" s="1400" customFormat="1" ht="13.5" customHeight="1">
      <c r="A61" s="2767"/>
      <c r="B61" s="1389" t="s">
        <v>48</v>
      </c>
      <c r="C61" s="2770"/>
      <c r="D61" s="1285">
        <f t="shared" si="72"/>
        <v>1585738</v>
      </c>
      <c r="E61" s="900">
        <v>0</v>
      </c>
      <c r="F61" s="900"/>
      <c r="G61" s="900"/>
      <c r="H61" s="900"/>
      <c r="I61" s="900">
        <v>0</v>
      </c>
      <c r="J61" s="900">
        <v>0</v>
      </c>
      <c r="K61" s="900">
        <v>0</v>
      </c>
      <c r="L61" s="900">
        <v>0</v>
      </c>
      <c r="M61" s="1799">
        <f t="shared" si="73"/>
        <v>0</v>
      </c>
      <c r="N61" s="900">
        <f>1515650-935074</f>
        <v>580576</v>
      </c>
      <c r="O61" s="900">
        <f>0+1005162</f>
        <v>1005162</v>
      </c>
      <c r="P61" s="900">
        <v>0</v>
      </c>
      <c r="Q61" s="900">
        <v>0</v>
      </c>
      <c r="R61" s="900">
        <v>0</v>
      </c>
      <c r="S61" s="900">
        <v>0</v>
      </c>
      <c r="T61" s="900">
        <v>0</v>
      </c>
      <c r="U61" s="1151" t="s">
        <v>77</v>
      </c>
      <c r="V61" s="2700"/>
      <c r="W61" s="1916"/>
      <c r="X61" s="1916"/>
      <c r="Y61" s="1916"/>
      <c r="Z61" s="1916"/>
      <c r="AA61" s="1916"/>
      <c r="AB61" s="1916"/>
      <c r="AC61" s="1916"/>
      <c r="AD61" s="1916"/>
      <c r="AE61" s="1916"/>
      <c r="AF61" s="1916"/>
      <c r="AG61" s="1916"/>
      <c r="AH61" s="1916"/>
      <c r="AI61" s="1916"/>
      <c r="AJ61" s="1916"/>
      <c r="AK61" s="1916"/>
      <c r="AL61" s="1916"/>
      <c r="AM61" s="1916"/>
      <c r="AN61" s="1916"/>
      <c r="AO61" s="1916"/>
      <c r="AP61" s="1916"/>
      <c r="AQ61" s="1916"/>
      <c r="AR61" s="1916"/>
      <c r="AS61" s="1916"/>
      <c r="AT61" s="1916"/>
      <c r="AU61" s="1916"/>
      <c r="AV61" s="1916"/>
      <c r="AW61" s="1916"/>
      <c r="AX61" s="1916"/>
      <c r="AY61" s="1916"/>
      <c r="AZ61" s="1916"/>
      <c r="BA61" s="1916"/>
      <c r="BB61" s="1916"/>
      <c r="BC61" s="1916"/>
      <c r="BD61" s="1916"/>
      <c r="BE61" s="1916"/>
      <c r="BF61" s="1916"/>
      <c r="BG61" s="1916"/>
      <c r="BH61" s="1916"/>
      <c r="BI61" s="1916"/>
      <c r="BJ61" s="1916"/>
      <c r="BK61" s="1916"/>
      <c r="BL61" s="1916"/>
      <c r="BM61" s="1916"/>
      <c r="BN61" s="1916"/>
      <c r="BO61" s="1916"/>
      <c r="BP61" s="1916"/>
      <c r="BQ61" s="1916"/>
      <c r="BR61" s="1916"/>
      <c r="BS61" s="1916"/>
      <c r="BT61" s="1916"/>
      <c r="BU61" s="1916"/>
      <c r="BV61" s="1916"/>
      <c r="BW61" s="1916"/>
      <c r="BX61" s="1916"/>
      <c r="BY61" s="1916"/>
      <c r="BZ61" s="1916"/>
    </row>
    <row r="62" spans="1:79" s="1400" customFormat="1" ht="13.5" customHeight="1">
      <c r="A62" s="2767"/>
      <c r="B62" s="1083" t="s">
        <v>34</v>
      </c>
      <c r="C62" s="1390"/>
      <c r="D62" s="897">
        <f>+D63+D65</f>
        <v>2104871</v>
      </c>
      <c r="E62" s="897">
        <f t="shared" ref="E62:R62" si="75">+E63+E65</f>
        <v>0</v>
      </c>
      <c r="F62" s="897">
        <f t="shared" si="75"/>
        <v>0</v>
      </c>
      <c r="G62" s="897">
        <f t="shared" si="75"/>
        <v>0</v>
      </c>
      <c r="H62" s="897">
        <f t="shared" si="75"/>
        <v>0</v>
      </c>
      <c r="I62" s="897">
        <f t="shared" si="75"/>
        <v>0</v>
      </c>
      <c r="J62" s="897">
        <f t="shared" si="75"/>
        <v>0</v>
      </c>
      <c r="K62" s="897">
        <f t="shared" si="75"/>
        <v>52889</v>
      </c>
      <c r="L62" s="897">
        <f t="shared" si="75"/>
        <v>124808</v>
      </c>
      <c r="M62" s="897">
        <f t="shared" ref="M62" si="76">+M63+M65</f>
        <v>177697</v>
      </c>
      <c r="N62" s="897">
        <f>+N63+N65</f>
        <v>704488</v>
      </c>
      <c r="O62" s="897">
        <f t="shared" si="75"/>
        <v>1222686</v>
      </c>
      <c r="P62" s="897">
        <f t="shared" si="75"/>
        <v>0</v>
      </c>
      <c r="Q62" s="897">
        <f t="shared" si="75"/>
        <v>0</v>
      </c>
      <c r="R62" s="897">
        <f t="shared" si="75"/>
        <v>0</v>
      </c>
      <c r="S62" s="897">
        <f t="shared" ref="S62:T62" si="77">+S63+S65</f>
        <v>0</v>
      </c>
      <c r="T62" s="897">
        <f t="shared" si="77"/>
        <v>0</v>
      </c>
      <c r="U62" s="2707" t="s">
        <v>77</v>
      </c>
      <c r="V62" s="2700"/>
      <c r="W62" s="1916"/>
      <c r="X62" s="1916"/>
      <c r="Y62" s="1916"/>
      <c r="Z62" s="1916"/>
      <c r="AA62" s="1916"/>
      <c r="AB62" s="1916"/>
      <c r="AC62" s="1916"/>
      <c r="AD62" s="1916"/>
      <c r="AE62" s="1916"/>
      <c r="AF62" s="1916"/>
      <c r="AG62" s="1916"/>
      <c r="AH62" s="1916"/>
      <c r="AI62" s="1916"/>
      <c r="AJ62" s="1916"/>
      <c r="AK62" s="1916"/>
      <c r="AL62" s="1916"/>
      <c r="AM62" s="1916"/>
      <c r="AN62" s="1916"/>
      <c r="AO62" s="1916"/>
      <c r="AP62" s="1916"/>
      <c r="AQ62" s="1916"/>
      <c r="AR62" s="1916"/>
      <c r="AS62" s="1916"/>
      <c r="AT62" s="1916"/>
      <c r="AU62" s="1916"/>
      <c r="AV62" s="1916"/>
      <c r="AW62" s="1916"/>
      <c r="AX62" s="1916"/>
      <c r="AY62" s="1916"/>
      <c r="AZ62" s="1916"/>
      <c r="BA62" s="1916"/>
      <c r="BB62" s="1916"/>
      <c r="BC62" s="1916"/>
      <c r="BD62" s="1916"/>
      <c r="BE62" s="1916"/>
      <c r="BF62" s="1916"/>
      <c r="BG62" s="1916"/>
      <c r="BH62" s="1916"/>
      <c r="BI62" s="1916"/>
      <c r="BJ62" s="1916"/>
      <c r="BK62" s="1916"/>
      <c r="BL62" s="1916"/>
      <c r="BM62" s="1916"/>
      <c r="BN62" s="1916"/>
      <c r="BO62" s="1916"/>
      <c r="BP62" s="1916"/>
      <c r="BQ62" s="1916"/>
      <c r="BR62" s="1916"/>
      <c r="BS62" s="1916"/>
      <c r="BT62" s="1916"/>
      <c r="BU62" s="1916"/>
      <c r="BV62" s="1916"/>
      <c r="BW62" s="1916"/>
      <c r="BX62" s="1916"/>
      <c r="BY62" s="1916"/>
      <c r="BZ62" s="1916"/>
    </row>
    <row r="63" spans="1:79" s="1400" customFormat="1" ht="13.5" customHeight="1">
      <c r="A63" s="2767"/>
      <c r="B63" s="1365" t="s">
        <v>36</v>
      </c>
      <c r="C63" s="2763" t="s">
        <v>259</v>
      </c>
      <c r="D63" s="1386">
        <f>+D64</f>
        <v>519133</v>
      </c>
      <c r="E63" s="902">
        <v>0</v>
      </c>
      <c r="F63" s="902"/>
      <c r="G63" s="902"/>
      <c r="H63" s="902"/>
      <c r="I63" s="902">
        <v>0</v>
      </c>
      <c r="J63" s="902">
        <f>J64</f>
        <v>0</v>
      </c>
      <c r="K63" s="902">
        <f>K64</f>
        <v>52889</v>
      </c>
      <c r="L63" s="902">
        <f>L64</f>
        <v>124808</v>
      </c>
      <c r="M63" s="902">
        <f>M64</f>
        <v>177697</v>
      </c>
      <c r="N63" s="902">
        <f t="shared" ref="N63:T63" si="78">+N64</f>
        <v>123912</v>
      </c>
      <c r="O63" s="902">
        <f t="shared" si="78"/>
        <v>217524</v>
      </c>
      <c r="P63" s="902">
        <f t="shared" si="78"/>
        <v>0</v>
      </c>
      <c r="Q63" s="902">
        <f t="shared" si="78"/>
        <v>0</v>
      </c>
      <c r="R63" s="902">
        <f t="shared" si="78"/>
        <v>0</v>
      </c>
      <c r="S63" s="902">
        <f t="shared" si="78"/>
        <v>0</v>
      </c>
      <c r="T63" s="902">
        <f t="shared" si="78"/>
        <v>0</v>
      </c>
      <c r="U63" s="2708"/>
      <c r="V63" s="2700"/>
      <c r="W63" s="1916"/>
      <c r="X63" s="1916"/>
      <c r="Y63" s="1916"/>
      <c r="Z63" s="1916"/>
      <c r="AA63" s="1916"/>
      <c r="AB63" s="1916"/>
      <c r="AC63" s="1916"/>
      <c r="AD63" s="1916"/>
      <c r="AE63" s="1916"/>
      <c r="AF63" s="1916"/>
      <c r="AG63" s="1916"/>
      <c r="AH63" s="1916"/>
      <c r="AI63" s="1916"/>
      <c r="AJ63" s="1916"/>
      <c r="AK63" s="1916"/>
      <c r="AL63" s="1916"/>
      <c r="AM63" s="1916"/>
      <c r="AN63" s="1916"/>
      <c r="AO63" s="1916"/>
      <c r="AP63" s="1916"/>
      <c r="AQ63" s="1916"/>
      <c r="AR63" s="1916"/>
      <c r="AS63" s="1916"/>
      <c r="AT63" s="1916"/>
      <c r="AU63" s="1916"/>
      <c r="AV63" s="1916"/>
      <c r="AW63" s="1916"/>
      <c r="AX63" s="1916"/>
      <c r="AY63" s="1916"/>
      <c r="AZ63" s="1916"/>
      <c r="BA63" s="1916"/>
      <c r="BB63" s="1916"/>
      <c r="BC63" s="1916"/>
      <c r="BD63" s="1916"/>
      <c r="BE63" s="1916"/>
      <c r="BF63" s="1916"/>
      <c r="BG63" s="1916"/>
      <c r="BH63" s="1916"/>
      <c r="BI63" s="1916"/>
      <c r="BJ63" s="1916"/>
      <c r="BK63" s="1916"/>
      <c r="BL63" s="1916"/>
      <c r="BM63" s="1916"/>
      <c r="BN63" s="1916"/>
      <c r="BO63" s="1916"/>
      <c r="BP63" s="1916"/>
      <c r="BQ63" s="1916"/>
      <c r="BR63" s="1916"/>
      <c r="BS63" s="1916"/>
      <c r="BT63" s="1916"/>
      <c r="BU63" s="1916"/>
      <c r="BV63" s="1916"/>
      <c r="BW63" s="1916"/>
      <c r="BX63" s="1916"/>
      <c r="BY63" s="1916"/>
      <c r="BZ63" s="1916"/>
    </row>
    <row r="64" spans="1:79" s="1400" customFormat="1" ht="13.5" customHeight="1">
      <c r="A64" s="2767"/>
      <c r="B64" s="1389" t="s">
        <v>221</v>
      </c>
      <c r="C64" s="2776"/>
      <c r="D64" s="1285">
        <f t="shared" ref="D64" si="79">SUM(M64:T64)</f>
        <v>519133</v>
      </c>
      <c r="E64" s="900">
        <v>0</v>
      </c>
      <c r="F64" s="900"/>
      <c r="G64" s="900"/>
      <c r="H64" s="900"/>
      <c r="I64" s="900">
        <v>0</v>
      </c>
      <c r="J64" s="900">
        <v>0</v>
      </c>
      <c r="K64" s="900">
        <v>52889</v>
      </c>
      <c r="L64" s="900">
        <f>462758-337950</f>
        <v>124808</v>
      </c>
      <c r="M64" s="1799">
        <f t="shared" ref="M64" si="80">+E64+I64+J64+K64+L64</f>
        <v>177697</v>
      </c>
      <c r="N64" s="900">
        <f>331170-207258</f>
        <v>123912</v>
      </c>
      <c r="O64" s="900">
        <f>0+217524</f>
        <v>217524</v>
      </c>
      <c r="P64" s="900">
        <v>0</v>
      </c>
      <c r="Q64" s="900">
        <v>0</v>
      </c>
      <c r="R64" s="900">
        <v>0</v>
      </c>
      <c r="S64" s="900">
        <v>0</v>
      </c>
      <c r="T64" s="900">
        <v>0</v>
      </c>
      <c r="U64" s="2708"/>
      <c r="V64" s="2700"/>
      <c r="W64" s="1916"/>
      <c r="X64" s="1916"/>
      <c r="Y64" s="1916"/>
      <c r="Z64" s="1916"/>
      <c r="AA64" s="1916"/>
      <c r="AB64" s="1916"/>
      <c r="AC64" s="1916"/>
      <c r="AD64" s="1916"/>
      <c r="AE64" s="1916"/>
      <c r="AF64" s="1916"/>
      <c r="AG64" s="1916"/>
      <c r="AH64" s="1916"/>
      <c r="AI64" s="1916"/>
      <c r="AJ64" s="1916"/>
      <c r="AK64" s="1916"/>
      <c r="AL64" s="1916"/>
      <c r="AM64" s="1916"/>
      <c r="AN64" s="1916"/>
      <c r="AO64" s="1916"/>
      <c r="AP64" s="1916"/>
      <c r="AQ64" s="1916"/>
      <c r="AR64" s="1916"/>
      <c r="AS64" s="1916"/>
      <c r="AT64" s="1916"/>
      <c r="AU64" s="1916"/>
      <c r="AV64" s="1916"/>
      <c r="AW64" s="1916"/>
      <c r="AX64" s="1916"/>
      <c r="AY64" s="1916"/>
      <c r="AZ64" s="1916"/>
      <c r="BA64" s="1916"/>
      <c r="BB64" s="1916"/>
      <c r="BC64" s="1916"/>
      <c r="BD64" s="1916"/>
      <c r="BE64" s="1916"/>
      <c r="BF64" s="1916"/>
      <c r="BG64" s="1916"/>
      <c r="BH64" s="1916"/>
      <c r="BI64" s="1916"/>
      <c r="BJ64" s="1916"/>
      <c r="BK64" s="1916"/>
      <c r="BL64" s="1916"/>
      <c r="BM64" s="1916"/>
      <c r="BN64" s="1916"/>
      <c r="BO64" s="1916"/>
      <c r="BP64" s="1916"/>
      <c r="BQ64" s="1916"/>
      <c r="BR64" s="1916"/>
      <c r="BS64" s="1916"/>
      <c r="BT64" s="1916"/>
      <c r="BU64" s="1916"/>
      <c r="BV64" s="1916"/>
      <c r="BW64" s="1916"/>
      <c r="BX64" s="1916"/>
      <c r="BY64" s="1916"/>
      <c r="BZ64" s="1916"/>
    </row>
    <row r="65" spans="1:78" s="1400" customFormat="1" ht="13.5" customHeight="1">
      <c r="A65" s="2767"/>
      <c r="B65" s="1391" t="s">
        <v>30</v>
      </c>
      <c r="C65" s="2769" t="s">
        <v>35</v>
      </c>
      <c r="D65" s="1386">
        <f>+D66</f>
        <v>1585738</v>
      </c>
      <c r="E65" s="1386">
        <f>+E66</f>
        <v>0</v>
      </c>
      <c r="F65" s="1386">
        <f t="shared" ref="F65:T65" si="81">+F66</f>
        <v>0</v>
      </c>
      <c r="G65" s="1386">
        <f t="shared" si="81"/>
        <v>0</v>
      </c>
      <c r="H65" s="1386">
        <f t="shared" si="81"/>
        <v>0</v>
      </c>
      <c r="I65" s="1386">
        <f t="shared" si="81"/>
        <v>0</v>
      </c>
      <c r="J65" s="1386">
        <f t="shared" si="81"/>
        <v>0</v>
      </c>
      <c r="K65" s="1386">
        <f t="shared" si="81"/>
        <v>0</v>
      </c>
      <c r="L65" s="1386">
        <f t="shared" si="81"/>
        <v>0</v>
      </c>
      <c r="M65" s="1386">
        <f t="shared" si="81"/>
        <v>0</v>
      </c>
      <c r="N65" s="1386">
        <f t="shared" si="81"/>
        <v>580576</v>
      </c>
      <c r="O65" s="1386">
        <f t="shared" si="81"/>
        <v>1005162</v>
      </c>
      <c r="P65" s="1386">
        <f t="shared" si="81"/>
        <v>0</v>
      </c>
      <c r="Q65" s="1386">
        <f t="shared" si="81"/>
        <v>0</v>
      </c>
      <c r="R65" s="1386">
        <f t="shared" si="81"/>
        <v>0</v>
      </c>
      <c r="S65" s="1386">
        <f t="shared" si="81"/>
        <v>0</v>
      </c>
      <c r="T65" s="1386">
        <f t="shared" si="81"/>
        <v>0</v>
      </c>
      <c r="U65" s="2708"/>
      <c r="V65" s="2700"/>
      <c r="W65" s="1916"/>
      <c r="X65" s="1916"/>
      <c r="Y65" s="1916"/>
      <c r="Z65" s="1916"/>
      <c r="AA65" s="1916"/>
      <c r="AB65" s="1916"/>
      <c r="AC65" s="1916"/>
      <c r="AD65" s="1916"/>
      <c r="AE65" s="1916"/>
      <c r="AF65" s="1916"/>
      <c r="AG65" s="1916"/>
      <c r="AH65" s="1916"/>
      <c r="AI65" s="1916"/>
      <c r="AJ65" s="1916"/>
      <c r="AK65" s="1916"/>
      <c r="AL65" s="1916"/>
      <c r="AM65" s="1916"/>
      <c r="AN65" s="1916"/>
      <c r="AO65" s="1916"/>
      <c r="AP65" s="1916"/>
      <c r="AQ65" s="1916"/>
      <c r="AR65" s="1916"/>
      <c r="AS65" s="1916"/>
      <c r="AT65" s="1916"/>
      <c r="AU65" s="1916"/>
      <c r="AV65" s="1916"/>
      <c r="AW65" s="1916"/>
      <c r="AX65" s="1916"/>
      <c r="AY65" s="1916"/>
      <c r="AZ65" s="1916"/>
      <c r="BA65" s="1916"/>
      <c r="BB65" s="1916"/>
      <c r="BC65" s="1916"/>
      <c r="BD65" s="1916"/>
      <c r="BE65" s="1916"/>
      <c r="BF65" s="1916"/>
      <c r="BG65" s="1916"/>
      <c r="BH65" s="1916"/>
      <c r="BI65" s="1916"/>
      <c r="BJ65" s="1916"/>
      <c r="BK65" s="1916"/>
      <c r="BL65" s="1916"/>
      <c r="BM65" s="1916"/>
      <c r="BN65" s="1916"/>
      <c r="BO65" s="1916"/>
      <c r="BP65" s="1916"/>
      <c r="BQ65" s="1916"/>
      <c r="BR65" s="1916"/>
      <c r="BS65" s="1916"/>
      <c r="BT65" s="1916"/>
      <c r="BU65" s="1916"/>
      <c r="BV65" s="1916"/>
      <c r="BW65" s="1916"/>
      <c r="BX65" s="1916"/>
      <c r="BY65" s="1916"/>
      <c r="BZ65" s="1916"/>
    </row>
    <row r="66" spans="1:78" s="1400" customFormat="1" ht="13.5" customHeight="1" thickBot="1">
      <c r="A66" s="2768"/>
      <c r="B66" s="1392" t="s">
        <v>48</v>
      </c>
      <c r="C66" s="2770"/>
      <c r="D66" s="1285">
        <f>SUM(M66:T66)</f>
        <v>1585738</v>
      </c>
      <c r="E66" s="1198">
        <v>0</v>
      </c>
      <c r="F66" s="1198"/>
      <c r="G66" s="1198"/>
      <c r="H66" s="1198"/>
      <c r="I66" s="1198">
        <v>0</v>
      </c>
      <c r="J66" s="1198">
        <v>0</v>
      </c>
      <c r="K66" s="1198">
        <v>0</v>
      </c>
      <c r="L66" s="1198">
        <v>0</v>
      </c>
      <c r="M66" s="903">
        <f>+E66+I66+J66+K66+L66</f>
        <v>0</v>
      </c>
      <c r="N66" s="1198">
        <f>1515650-935074</f>
        <v>580576</v>
      </c>
      <c r="O66" s="1198">
        <f>0+1005162</f>
        <v>1005162</v>
      </c>
      <c r="P66" s="1198">
        <v>0</v>
      </c>
      <c r="Q66" s="1198">
        <v>0</v>
      </c>
      <c r="R66" s="1198">
        <v>0</v>
      </c>
      <c r="S66" s="1198">
        <v>0</v>
      </c>
      <c r="T66" s="1198">
        <v>0</v>
      </c>
      <c r="U66" s="2709"/>
      <c r="V66" s="2701"/>
      <c r="W66" s="1916"/>
      <c r="X66" s="1916"/>
      <c r="Y66" s="1916"/>
      <c r="Z66" s="1916"/>
      <c r="AA66" s="1916"/>
      <c r="AB66" s="1916"/>
      <c r="AC66" s="1916"/>
      <c r="AD66" s="1916"/>
      <c r="AE66" s="1916"/>
      <c r="AF66" s="1916"/>
      <c r="AG66" s="1916"/>
      <c r="AH66" s="1916"/>
      <c r="AI66" s="1916"/>
      <c r="AJ66" s="1916"/>
      <c r="AK66" s="1916"/>
      <c r="AL66" s="1916"/>
      <c r="AM66" s="1916"/>
      <c r="AN66" s="1916"/>
      <c r="AO66" s="1916"/>
      <c r="AP66" s="1916"/>
      <c r="AQ66" s="1916"/>
      <c r="AR66" s="1916"/>
      <c r="AS66" s="1916"/>
      <c r="AT66" s="1916"/>
      <c r="AU66" s="1916"/>
      <c r="AV66" s="1916"/>
      <c r="AW66" s="1916"/>
      <c r="AX66" s="1916"/>
      <c r="AY66" s="1916"/>
      <c r="AZ66" s="1916"/>
      <c r="BA66" s="1916"/>
      <c r="BB66" s="1916"/>
      <c r="BC66" s="1916"/>
      <c r="BD66" s="1916"/>
      <c r="BE66" s="1916"/>
      <c r="BF66" s="1916"/>
      <c r="BG66" s="1916"/>
      <c r="BH66" s="1916"/>
      <c r="BI66" s="1916"/>
      <c r="BJ66" s="1916"/>
      <c r="BK66" s="1916"/>
      <c r="BL66" s="1916"/>
      <c r="BM66" s="1916"/>
      <c r="BN66" s="1916"/>
      <c r="BO66" s="1916"/>
      <c r="BP66" s="1916"/>
      <c r="BQ66" s="1916"/>
      <c r="BR66" s="1916"/>
      <c r="BS66" s="1916"/>
      <c r="BT66" s="1916"/>
      <c r="BU66" s="1916"/>
      <c r="BV66" s="1916"/>
      <c r="BW66" s="1916"/>
      <c r="BX66" s="1916"/>
      <c r="BY66" s="1916"/>
      <c r="BZ66" s="1916"/>
    </row>
    <row r="67" spans="1:78" s="1400" customFormat="1" ht="27.75" customHeight="1">
      <c r="A67" s="2766" t="s">
        <v>86</v>
      </c>
      <c r="B67" s="1375" t="s">
        <v>382</v>
      </c>
      <c r="C67" s="1376" t="s">
        <v>102</v>
      </c>
      <c r="D67" s="1010"/>
      <c r="E67" s="1010"/>
      <c r="F67" s="1010"/>
      <c r="G67" s="1010"/>
      <c r="H67" s="1010"/>
      <c r="I67" s="1010"/>
      <c r="J67" s="1010"/>
      <c r="K67" s="1010"/>
      <c r="L67" s="1383"/>
      <c r="M67" s="1383"/>
      <c r="N67" s="1383"/>
      <c r="O67" s="1383"/>
      <c r="P67" s="1383"/>
      <c r="Q67" s="1383"/>
      <c r="R67" s="1383"/>
      <c r="S67" s="1833"/>
      <c r="T67" s="1833"/>
      <c r="U67" s="1387"/>
      <c r="V67" s="2762" t="s">
        <v>256</v>
      </c>
      <c r="W67" s="1916"/>
      <c r="X67" s="1916"/>
      <c r="Y67" s="1916"/>
      <c r="Z67" s="1916"/>
      <c r="AA67" s="1916"/>
      <c r="AB67" s="1916"/>
      <c r="AC67" s="1916"/>
      <c r="AD67" s="1916"/>
      <c r="AE67" s="1916"/>
      <c r="AF67" s="1916"/>
      <c r="AG67" s="1916"/>
      <c r="AH67" s="1916"/>
      <c r="AI67" s="1916"/>
      <c r="AJ67" s="1916"/>
      <c r="AK67" s="1916"/>
      <c r="AL67" s="1916"/>
      <c r="AM67" s="1916"/>
      <c r="AN67" s="1916"/>
      <c r="AO67" s="1916"/>
      <c r="AP67" s="1916"/>
      <c r="AQ67" s="1916"/>
      <c r="AR67" s="1916"/>
      <c r="AS67" s="1916"/>
      <c r="AT67" s="1916"/>
      <c r="AU67" s="1916"/>
      <c r="AV67" s="1916"/>
      <c r="AW67" s="1916"/>
      <c r="AX67" s="1916"/>
      <c r="AY67" s="1916"/>
      <c r="AZ67" s="1916"/>
      <c r="BA67" s="1916"/>
      <c r="BB67" s="1916"/>
      <c r="BC67" s="1916"/>
      <c r="BD67" s="1916"/>
      <c r="BE67" s="1916"/>
      <c r="BF67" s="1916"/>
      <c r="BG67" s="1916"/>
      <c r="BH67" s="1916"/>
      <c r="BI67" s="1916"/>
      <c r="BJ67" s="1916"/>
      <c r="BK67" s="1916"/>
      <c r="BL67" s="1916"/>
      <c r="BM67" s="1916"/>
      <c r="BN67" s="1916"/>
      <c r="BO67" s="1916"/>
      <c r="BP67" s="1916"/>
      <c r="BQ67" s="1916"/>
      <c r="BR67" s="1916"/>
      <c r="BS67" s="1916"/>
      <c r="BT67" s="1916"/>
      <c r="BU67" s="1916"/>
      <c r="BV67" s="1916"/>
      <c r="BW67" s="1916"/>
      <c r="BX67" s="1916"/>
      <c r="BY67" s="1916"/>
      <c r="BZ67" s="1916"/>
    </row>
    <row r="68" spans="1:78" s="1400" customFormat="1" ht="13.5" customHeight="1">
      <c r="A68" s="2767"/>
      <c r="B68" s="1083" t="s">
        <v>22</v>
      </c>
      <c r="C68" s="1390"/>
      <c r="D68" s="897">
        <f>+D69+D72</f>
        <v>8456935</v>
      </c>
      <c r="E68" s="897">
        <f>+E69+E72</f>
        <v>0</v>
      </c>
      <c r="F68" s="897"/>
      <c r="G68" s="897"/>
      <c r="H68" s="897"/>
      <c r="I68" s="897">
        <f t="shared" ref="I68:O68" si="82">+I69+I72</f>
        <v>0</v>
      </c>
      <c r="J68" s="897">
        <f t="shared" si="82"/>
        <v>0</v>
      </c>
      <c r="K68" s="897">
        <f t="shared" si="82"/>
        <v>0</v>
      </c>
      <c r="L68" s="897">
        <f t="shared" si="82"/>
        <v>49200</v>
      </c>
      <c r="M68" s="897">
        <f t="shared" ref="M68" si="83">+M69+M72</f>
        <v>49200</v>
      </c>
      <c r="N68" s="897">
        <f t="shared" si="82"/>
        <v>0</v>
      </c>
      <c r="O68" s="897">
        <f t="shared" si="82"/>
        <v>8407735</v>
      </c>
      <c r="P68" s="897">
        <f>+P69+P72</f>
        <v>0</v>
      </c>
      <c r="Q68" s="897">
        <f>+Q69+Q72</f>
        <v>0</v>
      </c>
      <c r="R68" s="897">
        <f>+R69+R72</f>
        <v>0</v>
      </c>
      <c r="S68" s="897">
        <f>+S69+S72</f>
        <v>0</v>
      </c>
      <c r="T68" s="897">
        <f>+T69+T72</f>
        <v>0</v>
      </c>
      <c r="U68" s="885">
        <f>+U69</f>
        <v>3263098</v>
      </c>
      <c r="V68" s="2700"/>
      <c r="W68" s="1916"/>
      <c r="X68" s="1916"/>
      <c r="Y68" s="1916"/>
      <c r="Z68" s="1916"/>
      <c r="AA68" s="1916"/>
      <c r="AB68" s="1916"/>
      <c r="AC68" s="1916"/>
      <c r="AD68" s="1916"/>
      <c r="AE68" s="1916"/>
      <c r="AF68" s="1916"/>
      <c r="AG68" s="1916"/>
      <c r="AH68" s="1916"/>
      <c r="AI68" s="1916"/>
      <c r="AJ68" s="1916"/>
      <c r="AK68" s="1916"/>
      <c r="AL68" s="1916"/>
      <c r="AM68" s="1916"/>
      <c r="AN68" s="1916"/>
      <c r="AO68" s="1916"/>
      <c r="AP68" s="1916"/>
      <c r="AQ68" s="1916"/>
      <c r="AR68" s="1916"/>
      <c r="AS68" s="1916"/>
      <c r="AT68" s="1916"/>
      <c r="AU68" s="1916"/>
      <c r="AV68" s="1916"/>
      <c r="AW68" s="1916"/>
      <c r="AX68" s="1916"/>
      <c r="AY68" s="1916"/>
      <c r="AZ68" s="1916"/>
      <c r="BA68" s="1916"/>
      <c r="BB68" s="1916"/>
      <c r="BC68" s="1916"/>
      <c r="BD68" s="1916"/>
      <c r="BE68" s="1916"/>
      <c r="BF68" s="1916"/>
      <c r="BG68" s="1916"/>
      <c r="BH68" s="1916"/>
      <c r="BI68" s="1916"/>
      <c r="BJ68" s="1916"/>
      <c r="BK68" s="1916"/>
      <c r="BL68" s="1916"/>
      <c r="BM68" s="1916"/>
      <c r="BN68" s="1916"/>
      <c r="BO68" s="1916"/>
      <c r="BP68" s="1916"/>
      <c r="BQ68" s="1916"/>
      <c r="BR68" s="1916"/>
      <c r="BS68" s="1916"/>
      <c r="BT68" s="1916"/>
      <c r="BU68" s="1916"/>
      <c r="BV68" s="1916"/>
      <c r="BW68" s="1916"/>
      <c r="BX68" s="1916"/>
      <c r="BY68" s="1916"/>
      <c r="BZ68" s="1916"/>
    </row>
    <row r="69" spans="1:78" s="1400" customFormat="1" ht="13.5" customHeight="1">
      <c r="A69" s="2767"/>
      <c r="B69" s="1365" t="s">
        <v>36</v>
      </c>
      <c r="C69" s="2769" t="s">
        <v>35</v>
      </c>
      <c r="D69" s="902">
        <f>D71+D70</f>
        <v>3312298</v>
      </c>
      <c r="E69" s="902">
        <f>E71+E70</f>
        <v>0</v>
      </c>
      <c r="F69" s="902">
        <f t="shared" ref="F69:O69" si="84">F71+F70</f>
        <v>0</v>
      </c>
      <c r="G69" s="902">
        <f t="shared" si="84"/>
        <v>0</v>
      </c>
      <c r="H69" s="902">
        <f t="shared" si="84"/>
        <v>0</v>
      </c>
      <c r="I69" s="902">
        <f>I71+I70</f>
        <v>0</v>
      </c>
      <c r="J69" s="902">
        <f t="shared" si="84"/>
        <v>0</v>
      </c>
      <c r="K69" s="902">
        <f t="shared" si="84"/>
        <v>0</v>
      </c>
      <c r="L69" s="902">
        <f t="shared" si="84"/>
        <v>49200</v>
      </c>
      <c r="M69" s="902">
        <f t="shared" ref="M69" si="85">M71+M70</f>
        <v>49200</v>
      </c>
      <c r="N69" s="902">
        <f t="shared" si="84"/>
        <v>0</v>
      </c>
      <c r="O69" s="902">
        <f t="shared" si="84"/>
        <v>3263098</v>
      </c>
      <c r="P69" s="902">
        <f>P71+P70</f>
        <v>0</v>
      </c>
      <c r="Q69" s="902">
        <f>Q71+Q70</f>
        <v>0</v>
      </c>
      <c r="R69" s="902">
        <f>R71+R70</f>
        <v>0</v>
      </c>
      <c r="S69" s="902">
        <f>S71+S70</f>
        <v>0</v>
      </c>
      <c r="T69" s="902">
        <f>T71+T70</f>
        <v>0</v>
      </c>
      <c r="U69" s="888">
        <f>+U71</f>
        <v>3263098</v>
      </c>
      <c r="V69" s="2700"/>
      <c r="W69" s="1916"/>
      <c r="X69" s="1916"/>
      <c r="Y69" s="1916"/>
      <c r="Z69" s="1916"/>
      <c r="AA69" s="1916"/>
      <c r="AB69" s="1916"/>
      <c r="AC69" s="1916"/>
      <c r="AD69" s="1916"/>
      <c r="AE69" s="1916"/>
      <c r="AF69" s="1916"/>
      <c r="AG69" s="1916"/>
      <c r="AH69" s="1916"/>
      <c r="AI69" s="1916"/>
      <c r="AJ69" s="1916"/>
      <c r="AK69" s="1916"/>
      <c r="AL69" s="1916"/>
      <c r="AM69" s="1916"/>
      <c r="AN69" s="1916"/>
      <c r="AO69" s="1916"/>
      <c r="AP69" s="1916"/>
      <c r="AQ69" s="1916"/>
      <c r="AR69" s="1916"/>
      <c r="AS69" s="1916"/>
      <c r="AT69" s="1916"/>
      <c r="AU69" s="1916"/>
      <c r="AV69" s="1916"/>
      <c r="AW69" s="1916"/>
      <c r="AX69" s="1916"/>
      <c r="AY69" s="1916"/>
      <c r="AZ69" s="1916"/>
      <c r="BA69" s="1916"/>
      <c r="BB69" s="1916"/>
      <c r="BC69" s="1916"/>
      <c r="BD69" s="1916"/>
      <c r="BE69" s="1916"/>
      <c r="BF69" s="1916"/>
      <c r="BG69" s="1916"/>
      <c r="BH69" s="1916"/>
      <c r="BI69" s="1916"/>
      <c r="BJ69" s="1916"/>
      <c r="BK69" s="1916"/>
      <c r="BL69" s="1916"/>
      <c r="BM69" s="1916"/>
      <c r="BN69" s="1916"/>
      <c r="BO69" s="1916"/>
      <c r="BP69" s="1916"/>
      <c r="BQ69" s="1916"/>
      <c r="BR69" s="1916"/>
      <c r="BS69" s="1916"/>
      <c r="BT69" s="1916"/>
      <c r="BU69" s="1916"/>
      <c r="BV69" s="1916"/>
      <c r="BW69" s="1916"/>
      <c r="BX69" s="1916"/>
      <c r="BY69" s="1916"/>
      <c r="BZ69" s="1916"/>
    </row>
    <row r="70" spans="1:78" s="1400" customFormat="1" ht="13.5" customHeight="1">
      <c r="A70" s="2767"/>
      <c r="B70" s="1388" t="s">
        <v>45</v>
      </c>
      <c r="C70" s="2770"/>
      <c r="D70" s="1285">
        <f t="shared" ref="D70:D71" si="86">SUM(M70:T70)</f>
        <v>49200</v>
      </c>
      <c r="E70" s="1380">
        <v>0</v>
      </c>
      <c r="F70" s="1380"/>
      <c r="G70" s="1380"/>
      <c r="H70" s="1380"/>
      <c r="I70" s="1380">
        <v>0</v>
      </c>
      <c r="J70" s="1380">
        <v>0</v>
      </c>
      <c r="K70" s="1380">
        <v>0</v>
      </c>
      <c r="L70" s="1380">
        <v>49200</v>
      </c>
      <c r="M70" s="1799">
        <f t="shared" ref="M70:M73" si="87">+E70+I70+J70+K70+L70</f>
        <v>49200</v>
      </c>
      <c r="N70" s="1380">
        <v>0</v>
      </c>
      <c r="O70" s="1380">
        <v>0</v>
      </c>
      <c r="P70" s="1380">
        <v>0</v>
      </c>
      <c r="Q70" s="1380">
        <v>0</v>
      </c>
      <c r="R70" s="1380">
        <v>0</v>
      </c>
      <c r="S70" s="1380">
        <v>0</v>
      </c>
      <c r="T70" s="1380">
        <v>0</v>
      </c>
      <c r="U70" s="1151" t="s">
        <v>77</v>
      </c>
      <c r="V70" s="2700"/>
      <c r="W70" s="1916"/>
      <c r="X70" s="1916"/>
      <c r="Y70" s="1916"/>
      <c r="Z70" s="1916"/>
      <c r="AA70" s="1916"/>
      <c r="AB70" s="1916"/>
      <c r="AC70" s="1916"/>
      <c r="AD70" s="1916"/>
      <c r="AE70" s="1916"/>
      <c r="AF70" s="1916"/>
      <c r="AG70" s="1916"/>
      <c r="AH70" s="1916"/>
      <c r="AI70" s="1916"/>
      <c r="AJ70" s="1916"/>
      <c r="AK70" s="1916"/>
      <c r="AL70" s="1916"/>
      <c r="AM70" s="1916"/>
      <c r="AN70" s="1916"/>
      <c r="AO70" s="1916"/>
      <c r="AP70" s="1916"/>
      <c r="AQ70" s="1916"/>
      <c r="AR70" s="1916"/>
      <c r="AS70" s="1916"/>
      <c r="AT70" s="1916"/>
      <c r="AU70" s="1916"/>
      <c r="AV70" s="1916"/>
      <c r="AW70" s="1916"/>
      <c r="AX70" s="1916"/>
      <c r="AY70" s="1916"/>
      <c r="AZ70" s="1916"/>
      <c r="BA70" s="1916"/>
      <c r="BB70" s="1916"/>
      <c r="BC70" s="1916"/>
      <c r="BD70" s="1916"/>
      <c r="BE70" s="1916"/>
      <c r="BF70" s="1916"/>
      <c r="BG70" s="1916"/>
      <c r="BH70" s="1916"/>
      <c r="BI70" s="1916"/>
      <c r="BJ70" s="1916"/>
      <c r="BK70" s="1916"/>
      <c r="BL70" s="1916"/>
      <c r="BM70" s="1916"/>
      <c r="BN70" s="1916"/>
      <c r="BO70" s="1916"/>
      <c r="BP70" s="1916"/>
      <c r="BQ70" s="1916"/>
      <c r="BR70" s="1916"/>
      <c r="BS70" s="1916"/>
      <c r="BT70" s="1916"/>
      <c r="BU70" s="1916"/>
      <c r="BV70" s="1916"/>
      <c r="BW70" s="1916"/>
      <c r="BX70" s="1916"/>
      <c r="BY70" s="1916"/>
      <c r="BZ70" s="1916"/>
    </row>
    <row r="71" spans="1:78" s="1400" customFormat="1" ht="22.5" customHeight="1">
      <c r="A71" s="2767"/>
      <c r="B71" s="1393" t="s">
        <v>193</v>
      </c>
      <c r="C71" s="1394" t="s">
        <v>257</v>
      </c>
      <c r="D71" s="1285">
        <f t="shared" si="86"/>
        <v>3263098</v>
      </c>
      <c r="E71" s="1380">
        <v>0</v>
      </c>
      <c r="F71" s="1380"/>
      <c r="G71" s="1380"/>
      <c r="H71" s="1380"/>
      <c r="I71" s="1380">
        <v>0</v>
      </c>
      <c r="J71" s="1380">
        <v>0</v>
      </c>
      <c r="K71" s="1380">
        <v>0</v>
      </c>
      <c r="L71" s="1380">
        <v>0</v>
      </c>
      <c r="M71" s="1799">
        <f t="shared" si="87"/>
        <v>0</v>
      </c>
      <c r="N71" s="1380">
        <f>1600026-1600026</f>
        <v>0</v>
      </c>
      <c r="O71" s="1285">
        <f>1663072+1600026</f>
        <v>3263098</v>
      </c>
      <c r="P71" s="1285">
        <v>0</v>
      </c>
      <c r="Q71" s="1285">
        <v>0</v>
      </c>
      <c r="R71" s="1285">
        <v>0</v>
      </c>
      <c r="S71" s="1285">
        <v>0</v>
      </c>
      <c r="T71" s="1285">
        <v>0</v>
      </c>
      <c r="U71" s="1006">
        <f>+O71+P71+Q71+R71</f>
        <v>3263098</v>
      </c>
      <c r="V71" s="2700"/>
      <c r="W71" s="1916"/>
      <c r="X71" s="1916"/>
      <c r="Y71" s="1916"/>
      <c r="Z71" s="1916"/>
      <c r="AA71" s="1916"/>
      <c r="AB71" s="1916"/>
      <c r="AC71" s="1916"/>
      <c r="AD71" s="1916"/>
      <c r="AE71" s="1916"/>
      <c r="AF71" s="1916"/>
      <c r="AG71" s="1916"/>
      <c r="AH71" s="1916"/>
      <c r="AI71" s="1916"/>
      <c r="AJ71" s="1916"/>
      <c r="AK71" s="1916"/>
      <c r="AL71" s="1916"/>
      <c r="AM71" s="1916"/>
      <c r="AN71" s="1916"/>
      <c r="AO71" s="1916"/>
      <c r="AP71" s="1916"/>
      <c r="AQ71" s="1916"/>
      <c r="AR71" s="1916"/>
      <c r="AS71" s="1916"/>
      <c r="AT71" s="1916"/>
      <c r="AU71" s="1916"/>
      <c r="AV71" s="1916"/>
      <c r="AW71" s="1916"/>
      <c r="AX71" s="1916"/>
      <c r="AY71" s="1916"/>
      <c r="AZ71" s="1916"/>
      <c r="BA71" s="1916"/>
      <c r="BB71" s="1916"/>
      <c r="BC71" s="1916"/>
      <c r="BD71" s="1916"/>
      <c r="BE71" s="1916"/>
      <c r="BF71" s="1916"/>
      <c r="BG71" s="1916"/>
      <c r="BH71" s="1916"/>
      <c r="BI71" s="1916"/>
      <c r="BJ71" s="1916"/>
      <c r="BK71" s="1916"/>
      <c r="BL71" s="1916"/>
      <c r="BM71" s="1916"/>
      <c r="BN71" s="1916"/>
      <c r="BO71" s="1916"/>
      <c r="BP71" s="1916"/>
      <c r="BQ71" s="1916"/>
      <c r="BR71" s="1916"/>
      <c r="BS71" s="1916"/>
      <c r="BT71" s="1916"/>
      <c r="BU71" s="1916"/>
      <c r="BV71" s="1916"/>
      <c r="BW71" s="1916"/>
      <c r="BX71" s="1916"/>
      <c r="BY71" s="1916"/>
      <c r="BZ71" s="1916"/>
    </row>
    <row r="72" spans="1:78" s="1400" customFormat="1" ht="13.5" customHeight="1">
      <c r="A72" s="2767"/>
      <c r="B72" s="1395" t="s">
        <v>30</v>
      </c>
      <c r="C72" s="2769" t="s">
        <v>35</v>
      </c>
      <c r="D72" s="902">
        <f>+D73</f>
        <v>5144637</v>
      </c>
      <c r="E72" s="902">
        <f>+E73</f>
        <v>0</v>
      </c>
      <c r="F72" s="902"/>
      <c r="G72" s="902"/>
      <c r="H72" s="902"/>
      <c r="I72" s="902">
        <f t="shared" ref="I72:U72" si="88">+I73</f>
        <v>0</v>
      </c>
      <c r="J72" s="902">
        <f t="shared" si="88"/>
        <v>0</v>
      </c>
      <c r="K72" s="902">
        <f t="shared" si="88"/>
        <v>0</v>
      </c>
      <c r="L72" s="902">
        <f t="shared" si="88"/>
        <v>0</v>
      </c>
      <c r="M72" s="902">
        <f t="shared" si="88"/>
        <v>0</v>
      </c>
      <c r="N72" s="902">
        <f t="shared" si="88"/>
        <v>0</v>
      </c>
      <c r="O72" s="902">
        <f t="shared" si="88"/>
        <v>5144637</v>
      </c>
      <c r="P72" s="902">
        <f t="shared" si="88"/>
        <v>0</v>
      </c>
      <c r="Q72" s="902">
        <f t="shared" si="88"/>
        <v>0</v>
      </c>
      <c r="R72" s="902">
        <f t="shared" si="88"/>
        <v>0</v>
      </c>
      <c r="S72" s="902">
        <f t="shared" si="88"/>
        <v>0</v>
      </c>
      <c r="T72" s="902">
        <f t="shared" si="88"/>
        <v>0</v>
      </c>
      <c r="U72" s="1370" t="str">
        <f t="shared" si="88"/>
        <v>x</v>
      </c>
      <c r="V72" s="2700"/>
      <c r="W72" s="1916"/>
      <c r="X72" s="1916"/>
      <c r="Y72" s="1916"/>
      <c r="Z72" s="1916"/>
      <c r="AA72" s="1916"/>
      <c r="AB72" s="1916"/>
      <c r="AC72" s="1916"/>
      <c r="AD72" s="1916"/>
      <c r="AE72" s="1916"/>
      <c r="AF72" s="1916"/>
      <c r="AG72" s="1916"/>
      <c r="AH72" s="1916"/>
      <c r="AI72" s="1916"/>
      <c r="AJ72" s="1916"/>
      <c r="AK72" s="1916"/>
      <c r="AL72" s="1916"/>
      <c r="AM72" s="1916"/>
      <c r="AN72" s="1916"/>
      <c r="AO72" s="1916"/>
      <c r="AP72" s="1916"/>
      <c r="AQ72" s="1916"/>
      <c r="AR72" s="1916"/>
      <c r="AS72" s="1916"/>
      <c r="AT72" s="1916"/>
      <c r="AU72" s="1916"/>
      <c r="AV72" s="1916"/>
      <c r="AW72" s="1916"/>
      <c r="AX72" s="1916"/>
      <c r="AY72" s="1916"/>
      <c r="AZ72" s="1916"/>
      <c r="BA72" s="1916"/>
      <c r="BB72" s="1916"/>
      <c r="BC72" s="1916"/>
      <c r="BD72" s="1916"/>
      <c r="BE72" s="1916"/>
      <c r="BF72" s="1916"/>
      <c r="BG72" s="1916"/>
      <c r="BH72" s="1916"/>
      <c r="BI72" s="1916"/>
      <c r="BJ72" s="1916"/>
      <c r="BK72" s="1916"/>
      <c r="BL72" s="1916"/>
      <c r="BM72" s="1916"/>
      <c r="BN72" s="1916"/>
      <c r="BO72" s="1916"/>
      <c r="BP72" s="1916"/>
      <c r="BQ72" s="1916"/>
      <c r="BR72" s="1916"/>
      <c r="BS72" s="1916"/>
      <c r="BT72" s="1916"/>
      <c r="BU72" s="1916"/>
      <c r="BV72" s="1916"/>
      <c r="BW72" s="1916"/>
      <c r="BX72" s="1916"/>
      <c r="BY72" s="1916"/>
      <c r="BZ72" s="1916"/>
    </row>
    <row r="73" spans="1:78" s="1400" customFormat="1" ht="12">
      <c r="A73" s="2767"/>
      <c r="B73" s="1388" t="s">
        <v>48</v>
      </c>
      <c r="C73" s="2770"/>
      <c r="D73" s="1285">
        <f t="shared" ref="D73" si="89">SUM(M73:T73)</f>
        <v>5144637</v>
      </c>
      <c r="E73" s="1380">
        <v>0</v>
      </c>
      <c r="F73" s="1380"/>
      <c r="G73" s="1380"/>
      <c r="H73" s="1380"/>
      <c r="I73" s="1380">
        <v>0</v>
      </c>
      <c r="J73" s="1380">
        <v>0</v>
      </c>
      <c r="K73" s="1380">
        <v>0</v>
      </c>
      <c r="L73" s="1380">
        <v>0</v>
      </c>
      <c r="M73" s="1799">
        <f t="shared" si="87"/>
        <v>0</v>
      </c>
      <c r="N73" s="1380">
        <f>2462025-2462025</f>
        <v>0</v>
      </c>
      <c r="O73" s="1380">
        <f>2682612+2462025</f>
        <v>5144637</v>
      </c>
      <c r="P73" s="1380">
        <v>0</v>
      </c>
      <c r="Q73" s="1380">
        <v>0</v>
      </c>
      <c r="R73" s="1380">
        <v>0</v>
      </c>
      <c r="S73" s="1380">
        <v>0</v>
      </c>
      <c r="T73" s="1380">
        <v>0</v>
      </c>
      <c r="U73" s="1151" t="s">
        <v>77</v>
      </c>
      <c r="V73" s="2700"/>
      <c r="W73" s="1916"/>
      <c r="X73" s="1916"/>
      <c r="Y73" s="1916"/>
      <c r="Z73" s="1916"/>
      <c r="AA73" s="1916"/>
      <c r="AB73" s="1916"/>
      <c r="AC73" s="1916"/>
      <c r="AD73" s="1916"/>
      <c r="AE73" s="1916"/>
      <c r="AF73" s="1916"/>
      <c r="AG73" s="1916"/>
      <c r="AH73" s="1916"/>
      <c r="AI73" s="1916"/>
      <c r="AJ73" s="1916"/>
      <c r="AK73" s="1916"/>
      <c r="AL73" s="1916"/>
      <c r="AM73" s="1916"/>
      <c r="AN73" s="1916"/>
      <c r="AO73" s="1916"/>
      <c r="AP73" s="1916"/>
      <c r="AQ73" s="1916"/>
      <c r="AR73" s="1916"/>
      <c r="AS73" s="1916"/>
      <c r="AT73" s="1916"/>
      <c r="AU73" s="1916"/>
      <c r="AV73" s="1916"/>
      <c r="AW73" s="1916"/>
      <c r="AX73" s="1916"/>
      <c r="AY73" s="1916"/>
      <c r="AZ73" s="1916"/>
      <c r="BA73" s="1916"/>
      <c r="BB73" s="1916"/>
      <c r="BC73" s="1916"/>
      <c r="BD73" s="1916"/>
      <c r="BE73" s="1916"/>
      <c r="BF73" s="1916"/>
      <c r="BG73" s="1916"/>
      <c r="BH73" s="1916"/>
      <c r="BI73" s="1916"/>
      <c r="BJ73" s="1916"/>
      <c r="BK73" s="1916"/>
      <c r="BL73" s="1916"/>
      <c r="BM73" s="1916"/>
      <c r="BN73" s="1916"/>
      <c r="BO73" s="1916"/>
      <c r="BP73" s="1916"/>
      <c r="BQ73" s="1916"/>
      <c r="BR73" s="1916"/>
      <c r="BS73" s="1916"/>
      <c r="BT73" s="1916"/>
      <c r="BU73" s="1916"/>
      <c r="BV73" s="1916"/>
      <c r="BW73" s="1916"/>
      <c r="BX73" s="1916"/>
      <c r="BY73" s="1916"/>
      <c r="BZ73" s="1916"/>
    </row>
    <row r="74" spans="1:78" s="1400" customFormat="1" ht="13.5" customHeight="1">
      <c r="A74" s="2767"/>
      <c r="B74" s="1083" t="s">
        <v>34</v>
      </c>
      <c r="C74" s="1390"/>
      <c r="D74" s="897">
        <f>D77+D75</f>
        <v>6701856</v>
      </c>
      <c r="E74" s="897">
        <f t="shared" ref="E74:P74" si="90">E77+E75</f>
        <v>0</v>
      </c>
      <c r="F74" s="897">
        <f t="shared" si="90"/>
        <v>0</v>
      </c>
      <c r="G74" s="897">
        <f t="shared" si="90"/>
        <v>0</v>
      </c>
      <c r="H74" s="897">
        <f t="shared" si="90"/>
        <v>0</v>
      </c>
      <c r="I74" s="897">
        <f t="shared" si="90"/>
        <v>0</v>
      </c>
      <c r="J74" s="897">
        <f t="shared" si="90"/>
        <v>0</v>
      </c>
      <c r="K74" s="897">
        <f t="shared" si="90"/>
        <v>0</v>
      </c>
      <c r="L74" s="897">
        <f t="shared" si="90"/>
        <v>0</v>
      </c>
      <c r="M74" s="897">
        <f t="shared" ref="M74" si="91">M77+M75</f>
        <v>0</v>
      </c>
      <c r="N74" s="897">
        <f t="shared" si="90"/>
        <v>0</v>
      </c>
      <c r="O74" s="897">
        <f t="shared" si="90"/>
        <v>6701856</v>
      </c>
      <c r="P74" s="897">
        <f t="shared" si="90"/>
        <v>0</v>
      </c>
      <c r="Q74" s="897">
        <f>+Q75+Q77</f>
        <v>0</v>
      </c>
      <c r="R74" s="897">
        <f>+R75+R77</f>
        <v>0</v>
      </c>
      <c r="S74" s="897">
        <f>+S75+S77</f>
        <v>0</v>
      </c>
      <c r="T74" s="897">
        <f>+T75+T77</f>
        <v>0</v>
      </c>
      <c r="U74" s="897"/>
      <c r="V74" s="2700"/>
      <c r="W74" s="1916"/>
      <c r="X74" s="1916"/>
      <c r="Y74" s="1916"/>
      <c r="Z74" s="1916"/>
      <c r="AA74" s="1916"/>
      <c r="AB74" s="1916"/>
      <c r="AC74" s="1916"/>
      <c r="AD74" s="1916"/>
      <c r="AE74" s="1916"/>
      <c r="AF74" s="1916"/>
      <c r="AG74" s="1916"/>
      <c r="AH74" s="1916"/>
      <c r="AI74" s="1916"/>
      <c r="AJ74" s="1916"/>
      <c r="AK74" s="1916"/>
      <c r="AL74" s="1916"/>
      <c r="AM74" s="1916"/>
      <c r="AN74" s="1916"/>
      <c r="AO74" s="1916"/>
      <c r="AP74" s="1916"/>
      <c r="AQ74" s="1916"/>
      <c r="AR74" s="1916"/>
      <c r="AS74" s="1916"/>
      <c r="AT74" s="1916"/>
      <c r="AU74" s="1916"/>
      <c r="AV74" s="1916"/>
      <c r="AW74" s="1916"/>
      <c r="AX74" s="1916"/>
      <c r="AY74" s="1916"/>
      <c r="AZ74" s="1916"/>
      <c r="BA74" s="1916"/>
      <c r="BB74" s="1916"/>
      <c r="BC74" s="1916"/>
      <c r="BD74" s="1916"/>
      <c r="BE74" s="1916"/>
      <c r="BF74" s="1916"/>
      <c r="BG74" s="1916"/>
      <c r="BH74" s="1916"/>
      <c r="BI74" s="1916"/>
      <c r="BJ74" s="1916"/>
      <c r="BK74" s="1916"/>
      <c r="BL74" s="1916"/>
      <c r="BM74" s="1916"/>
      <c r="BN74" s="1916"/>
      <c r="BO74" s="1916"/>
      <c r="BP74" s="1916"/>
      <c r="BQ74" s="1916"/>
      <c r="BR74" s="1916"/>
      <c r="BS74" s="1916"/>
      <c r="BT74" s="1916"/>
      <c r="BU74" s="1916"/>
      <c r="BV74" s="1916"/>
      <c r="BW74" s="1916"/>
      <c r="BX74" s="1916"/>
      <c r="BY74" s="1916"/>
      <c r="BZ74" s="1916"/>
    </row>
    <row r="75" spans="1:78" s="1400" customFormat="1" ht="13.5" customHeight="1">
      <c r="A75" s="2767"/>
      <c r="B75" s="1365" t="s">
        <v>36</v>
      </c>
      <c r="C75" s="2763" t="s">
        <v>257</v>
      </c>
      <c r="D75" s="1382">
        <f>+D76</f>
        <v>1557219</v>
      </c>
      <c r="E75" s="1382">
        <f>+E76</f>
        <v>0</v>
      </c>
      <c r="F75" s="1382"/>
      <c r="G75" s="1382"/>
      <c r="H75" s="1382"/>
      <c r="I75" s="1382">
        <f t="shared" ref="I75:T75" si="92">+I76</f>
        <v>0</v>
      </c>
      <c r="J75" s="1382">
        <f t="shared" si="92"/>
        <v>0</v>
      </c>
      <c r="K75" s="1382">
        <f t="shared" si="92"/>
        <v>0</v>
      </c>
      <c r="L75" s="1382">
        <f t="shared" si="92"/>
        <v>0</v>
      </c>
      <c r="M75" s="1382">
        <f t="shared" si="92"/>
        <v>0</v>
      </c>
      <c r="N75" s="1382">
        <f t="shared" si="92"/>
        <v>0</v>
      </c>
      <c r="O75" s="1382">
        <f t="shared" si="92"/>
        <v>1557219</v>
      </c>
      <c r="P75" s="1382">
        <f t="shared" si="92"/>
        <v>0</v>
      </c>
      <c r="Q75" s="1382">
        <f t="shared" si="92"/>
        <v>0</v>
      </c>
      <c r="R75" s="1382">
        <f t="shared" si="92"/>
        <v>0</v>
      </c>
      <c r="S75" s="1382">
        <f t="shared" si="92"/>
        <v>0</v>
      </c>
      <c r="T75" s="1382">
        <f t="shared" si="92"/>
        <v>0</v>
      </c>
      <c r="U75" s="2707" t="s">
        <v>77</v>
      </c>
      <c r="V75" s="2780"/>
      <c r="W75" s="1916"/>
      <c r="X75" s="1916"/>
      <c r="Y75" s="1916"/>
      <c r="Z75" s="1916"/>
      <c r="AA75" s="1916"/>
      <c r="AB75" s="1916"/>
      <c r="AC75" s="1916"/>
      <c r="AD75" s="1916"/>
      <c r="AE75" s="1916"/>
      <c r="AF75" s="1916"/>
      <c r="AG75" s="1916"/>
      <c r="AH75" s="1916"/>
      <c r="AI75" s="1916"/>
      <c r="AJ75" s="1916"/>
      <c r="AK75" s="1916"/>
      <c r="AL75" s="1916"/>
      <c r="AM75" s="1916"/>
      <c r="AN75" s="1916"/>
      <c r="AO75" s="1916"/>
      <c r="AP75" s="1916"/>
      <c r="AQ75" s="1916"/>
      <c r="AR75" s="1916"/>
      <c r="AS75" s="1916"/>
      <c r="AT75" s="1916"/>
      <c r="AU75" s="1916"/>
      <c r="AV75" s="1916"/>
      <c r="AW75" s="1916"/>
      <c r="AX75" s="1916"/>
      <c r="AY75" s="1916"/>
      <c r="AZ75" s="1916"/>
      <c r="BA75" s="1916"/>
      <c r="BB75" s="1916"/>
      <c r="BC75" s="1916"/>
      <c r="BD75" s="1916"/>
      <c r="BE75" s="1916"/>
      <c r="BF75" s="1916"/>
      <c r="BG75" s="1916"/>
      <c r="BH75" s="1916"/>
      <c r="BI75" s="1916"/>
      <c r="BJ75" s="1916"/>
      <c r="BK75" s="1916"/>
      <c r="BL75" s="1916"/>
      <c r="BM75" s="1916"/>
      <c r="BN75" s="1916"/>
      <c r="BO75" s="1916"/>
      <c r="BP75" s="1916"/>
      <c r="BQ75" s="1916"/>
      <c r="BR75" s="1916"/>
      <c r="BS75" s="1916"/>
      <c r="BT75" s="1916"/>
      <c r="BU75" s="1916"/>
      <c r="BV75" s="1916"/>
      <c r="BW75" s="1916"/>
      <c r="BX75" s="1916"/>
      <c r="BY75" s="1916"/>
      <c r="BZ75" s="1916"/>
    </row>
    <row r="76" spans="1:78" s="1400" customFormat="1" ht="13.5" customHeight="1">
      <c r="A76" s="2767"/>
      <c r="B76" s="1388" t="s">
        <v>221</v>
      </c>
      <c r="C76" s="2776"/>
      <c r="D76" s="1285">
        <f t="shared" ref="D76" si="93">SUM(M76:T76)</f>
        <v>1557219</v>
      </c>
      <c r="E76" s="1380">
        <v>0</v>
      </c>
      <c r="F76" s="1380"/>
      <c r="G76" s="1380"/>
      <c r="H76" s="1380"/>
      <c r="I76" s="1380">
        <v>0</v>
      </c>
      <c r="J76" s="1380">
        <v>0</v>
      </c>
      <c r="K76" s="1380">
        <v>0</v>
      </c>
      <c r="L76" s="1380">
        <v>0</v>
      </c>
      <c r="M76" s="1799">
        <f t="shared" ref="M76" si="94">+E76+I76+J76+K76+L76</f>
        <v>0</v>
      </c>
      <c r="N76" s="1380">
        <f>748351-748351</f>
        <v>0</v>
      </c>
      <c r="O76" s="1380">
        <f>808868+748351</f>
        <v>1557219</v>
      </c>
      <c r="P76" s="1380">
        <v>0</v>
      </c>
      <c r="Q76" s="1380">
        <v>0</v>
      </c>
      <c r="R76" s="1380">
        <v>0</v>
      </c>
      <c r="S76" s="1380">
        <v>0</v>
      </c>
      <c r="T76" s="1380">
        <v>0</v>
      </c>
      <c r="U76" s="2708"/>
      <c r="V76" s="2780"/>
      <c r="W76" s="1916"/>
      <c r="X76" s="1916"/>
      <c r="Y76" s="1916"/>
      <c r="Z76" s="1916"/>
      <c r="AA76" s="1916"/>
      <c r="AB76" s="1916"/>
      <c r="AC76" s="1916"/>
      <c r="AD76" s="1916"/>
      <c r="AE76" s="1916"/>
      <c r="AF76" s="1916"/>
      <c r="AG76" s="1916"/>
      <c r="AH76" s="1916"/>
      <c r="AI76" s="1916"/>
      <c r="AJ76" s="1916"/>
      <c r="AK76" s="1916"/>
      <c r="AL76" s="1916"/>
      <c r="AM76" s="1916"/>
      <c r="AN76" s="1916"/>
      <c r="AO76" s="1916"/>
      <c r="AP76" s="1916"/>
      <c r="AQ76" s="1916"/>
      <c r="AR76" s="1916"/>
      <c r="AS76" s="1916"/>
      <c r="AT76" s="1916"/>
      <c r="AU76" s="1916"/>
      <c r="AV76" s="1916"/>
      <c r="AW76" s="1916"/>
      <c r="AX76" s="1916"/>
      <c r="AY76" s="1916"/>
      <c r="AZ76" s="1916"/>
      <c r="BA76" s="1916"/>
      <c r="BB76" s="1916"/>
      <c r="BC76" s="1916"/>
      <c r="BD76" s="1916"/>
      <c r="BE76" s="1916"/>
      <c r="BF76" s="1916"/>
      <c r="BG76" s="1916"/>
      <c r="BH76" s="1916"/>
      <c r="BI76" s="1916"/>
      <c r="BJ76" s="1916"/>
      <c r="BK76" s="1916"/>
      <c r="BL76" s="1916"/>
      <c r="BM76" s="1916"/>
      <c r="BN76" s="1916"/>
      <c r="BO76" s="1916"/>
      <c r="BP76" s="1916"/>
      <c r="BQ76" s="1916"/>
      <c r="BR76" s="1916"/>
      <c r="BS76" s="1916"/>
      <c r="BT76" s="1916"/>
      <c r="BU76" s="1916"/>
      <c r="BV76" s="1916"/>
      <c r="BW76" s="1916"/>
      <c r="BX76" s="1916"/>
      <c r="BY76" s="1916"/>
      <c r="BZ76" s="1916"/>
    </row>
    <row r="77" spans="1:78" s="1400" customFormat="1" ht="13.5" customHeight="1">
      <c r="A77" s="2767"/>
      <c r="B77" s="1388" t="s">
        <v>30</v>
      </c>
      <c r="C77" s="2769" t="s">
        <v>35</v>
      </c>
      <c r="D77" s="902">
        <f>+D78</f>
        <v>5144637</v>
      </c>
      <c r="E77" s="902">
        <f>+E78</f>
        <v>0</v>
      </c>
      <c r="F77" s="902"/>
      <c r="G77" s="902"/>
      <c r="H77" s="902"/>
      <c r="I77" s="902">
        <f t="shared" ref="I77:T77" si="95">+I78</f>
        <v>0</v>
      </c>
      <c r="J77" s="902">
        <f t="shared" si="95"/>
        <v>0</v>
      </c>
      <c r="K77" s="902">
        <f t="shared" si="95"/>
        <v>0</v>
      </c>
      <c r="L77" s="902">
        <f t="shared" si="95"/>
        <v>0</v>
      </c>
      <c r="M77" s="902">
        <f t="shared" si="95"/>
        <v>0</v>
      </c>
      <c r="N77" s="902">
        <f t="shared" si="95"/>
        <v>0</v>
      </c>
      <c r="O77" s="902">
        <f t="shared" si="95"/>
        <v>5144637</v>
      </c>
      <c r="P77" s="902">
        <f t="shared" si="95"/>
        <v>0</v>
      </c>
      <c r="Q77" s="902">
        <f t="shared" si="95"/>
        <v>0</v>
      </c>
      <c r="R77" s="902">
        <f t="shared" si="95"/>
        <v>0</v>
      </c>
      <c r="S77" s="902">
        <f t="shared" si="95"/>
        <v>0</v>
      </c>
      <c r="T77" s="902">
        <f t="shared" si="95"/>
        <v>0</v>
      </c>
      <c r="U77" s="2708"/>
      <c r="V77" s="2780"/>
      <c r="W77" s="1916"/>
      <c r="X77" s="1916"/>
      <c r="Y77" s="1916"/>
      <c r="Z77" s="1916"/>
      <c r="AA77" s="1916"/>
      <c r="AB77" s="1916"/>
      <c r="AC77" s="1916"/>
      <c r="AD77" s="1916"/>
      <c r="AE77" s="1916"/>
      <c r="AF77" s="1916"/>
      <c r="AG77" s="1916"/>
      <c r="AH77" s="1916"/>
      <c r="AI77" s="1916"/>
      <c r="AJ77" s="1916"/>
      <c r="AK77" s="1916"/>
      <c r="AL77" s="1916"/>
      <c r="AM77" s="1916"/>
      <c r="AN77" s="1916"/>
      <c r="AO77" s="1916"/>
      <c r="AP77" s="1916"/>
      <c r="AQ77" s="1916"/>
      <c r="AR77" s="1916"/>
      <c r="AS77" s="1916"/>
      <c r="AT77" s="1916"/>
      <c r="AU77" s="1916"/>
      <c r="AV77" s="1916"/>
      <c r="AW77" s="1916"/>
      <c r="AX77" s="1916"/>
      <c r="AY77" s="1916"/>
      <c r="AZ77" s="1916"/>
      <c r="BA77" s="1916"/>
      <c r="BB77" s="1916"/>
      <c r="BC77" s="1916"/>
      <c r="BD77" s="1916"/>
      <c r="BE77" s="1916"/>
      <c r="BF77" s="1916"/>
      <c r="BG77" s="1916"/>
      <c r="BH77" s="1916"/>
      <c r="BI77" s="1916"/>
      <c r="BJ77" s="1916"/>
      <c r="BK77" s="1916"/>
      <c r="BL77" s="1916"/>
      <c r="BM77" s="1916"/>
      <c r="BN77" s="1916"/>
      <c r="BO77" s="1916"/>
      <c r="BP77" s="1916"/>
      <c r="BQ77" s="1916"/>
      <c r="BR77" s="1916"/>
      <c r="BS77" s="1916"/>
      <c r="BT77" s="1916"/>
      <c r="BU77" s="1916"/>
      <c r="BV77" s="1916"/>
      <c r="BW77" s="1916"/>
      <c r="BX77" s="1916"/>
      <c r="BY77" s="1916"/>
      <c r="BZ77" s="1916"/>
    </row>
    <row r="78" spans="1:78" s="1400" customFormat="1" ht="13.5" customHeight="1" thickBot="1">
      <c r="A78" s="2633"/>
      <c r="B78" s="1371" t="s">
        <v>48</v>
      </c>
      <c r="C78" s="2770"/>
      <c r="D78" s="1285">
        <f>SUM(M78:T78)</f>
        <v>5144637</v>
      </c>
      <c r="E78" s="903">
        <v>0</v>
      </c>
      <c r="F78" s="903"/>
      <c r="G78" s="903"/>
      <c r="H78" s="903"/>
      <c r="I78" s="903">
        <v>0</v>
      </c>
      <c r="J78" s="903">
        <v>0</v>
      </c>
      <c r="K78" s="903">
        <v>0</v>
      </c>
      <c r="L78" s="903">
        <v>0</v>
      </c>
      <c r="M78" s="903">
        <f>+E78+I78+J78+K78+L78</f>
        <v>0</v>
      </c>
      <c r="N78" s="903">
        <f>2492025-2492025</f>
        <v>0</v>
      </c>
      <c r="O78" s="903">
        <f>2652612+2492025</f>
        <v>5144637</v>
      </c>
      <c r="P78" s="903">
        <v>0</v>
      </c>
      <c r="Q78" s="903">
        <v>0</v>
      </c>
      <c r="R78" s="903">
        <v>0</v>
      </c>
      <c r="S78" s="903">
        <v>0</v>
      </c>
      <c r="T78" s="903">
        <v>0</v>
      </c>
      <c r="U78" s="2708"/>
      <c r="V78" s="2743"/>
      <c r="W78" s="1916"/>
      <c r="X78" s="1916"/>
      <c r="Y78" s="1916"/>
      <c r="Z78" s="1916"/>
      <c r="AA78" s="1916"/>
      <c r="AB78" s="1916"/>
      <c r="AC78" s="1916"/>
      <c r="AD78" s="1916"/>
      <c r="AE78" s="1916"/>
      <c r="AF78" s="1916"/>
      <c r="AG78" s="1916"/>
      <c r="AH78" s="1916"/>
      <c r="AI78" s="1916"/>
      <c r="AJ78" s="1916"/>
      <c r="AK78" s="1916"/>
      <c r="AL78" s="1916"/>
      <c r="AM78" s="1916"/>
      <c r="AN78" s="1916"/>
      <c r="AO78" s="1916"/>
      <c r="AP78" s="1916"/>
      <c r="AQ78" s="1916"/>
      <c r="AR78" s="1916"/>
      <c r="AS78" s="1916"/>
      <c r="AT78" s="1916"/>
      <c r="AU78" s="1916"/>
      <c r="AV78" s="1916"/>
      <c r="AW78" s="1916"/>
      <c r="AX78" s="1916"/>
      <c r="AY78" s="1916"/>
      <c r="AZ78" s="1916"/>
      <c r="BA78" s="1916"/>
      <c r="BB78" s="1916"/>
      <c r="BC78" s="1916"/>
      <c r="BD78" s="1916"/>
      <c r="BE78" s="1916"/>
      <c r="BF78" s="1916"/>
      <c r="BG78" s="1916"/>
      <c r="BH78" s="1916"/>
      <c r="BI78" s="1916"/>
      <c r="BJ78" s="1916"/>
      <c r="BK78" s="1916"/>
      <c r="BL78" s="1916"/>
      <c r="BM78" s="1916"/>
      <c r="BN78" s="1916"/>
      <c r="BO78" s="1916"/>
      <c r="BP78" s="1916"/>
      <c r="BQ78" s="1916"/>
      <c r="BR78" s="1916"/>
      <c r="BS78" s="1916"/>
      <c r="BT78" s="1916"/>
      <c r="BU78" s="1916"/>
      <c r="BV78" s="1916"/>
      <c r="BW78" s="1916"/>
      <c r="BX78" s="1916"/>
      <c r="BY78" s="1916"/>
      <c r="BZ78" s="1916"/>
    </row>
    <row r="79" spans="1:78" s="1400" customFormat="1" ht="39" customHeight="1">
      <c r="A79" s="2781" t="s">
        <v>149</v>
      </c>
      <c r="B79" s="1375" t="s">
        <v>434</v>
      </c>
      <c r="C79" s="1376" t="s">
        <v>102</v>
      </c>
      <c r="D79" s="1010"/>
      <c r="E79" s="1010"/>
      <c r="F79" s="1383"/>
      <c r="G79" s="1383"/>
      <c r="H79" s="1383"/>
      <c r="I79" s="1383"/>
      <c r="J79" s="1383"/>
      <c r="K79" s="1383"/>
      <c r="L79" s="1383"/>
      <c r="M79" s="1383"/>
      <c r="N79" s="1383"/>
      <c r="O79" s="1383"/>
      <c r="P79" s="1383"/>
      <c r="Q79" s="1383"/>
      <c r="R79" s="1383"/>
      <c r="S79" s="1833"/>
      <c r="T79" s="1833"/>
      <c r="U79" s="1387"/>
      <c r="V79" s="2762" t="s">
        <v>261</v>
      </c>
      <c r="W79" s="1916"/>
      <c r="X79" s="1916"/>
      <c r="Y79" s="1916"/>
      <c r="Z79" s="1916"/>
      <c r="AA79" s="1916"/>
      <c r="AB79" s="1916"/>
      <c r="AC79" s="1916"/>
      <c r="AD79" s="1916"/>
      <c r="AE79" s="1916"/>
      <c r="AF79" s="1916"/>
      <c r="AG79" s="1916"/>
      <c r="AH79" s="1916"/>
      <c r="AI79" s="1916"/>
      <c r="AJ79" s="1916"/>
      <c r="AK79" s="1916"/>
      <c r="AL79" s="1916"/>
      <c r="AM79" s="1916"/>
      <c r="AN79" s="1916"/>
      <c r="AO79" s="1916"/>
      <c r="AP79" s="1916"/>
      <c r="AQ79" s="1916"/>
      <c r="AR79" s="1916"/>
      <c r="AS79" s="1916"/>
      <c r="AT79" s="1916"/>
      <c r="AU79" s="1916"/>
      <c r="AV79" s="1916"/>
      <c r="AW79" s="1916"/>
      <c r="AX79" s="1916"/>
      <c r="AY79" s="1916"/>
      <c r="AZ79" s="1916"/>
      <c r="BA79" s="1916"/>
      <c r="BB79" s="1916"/>
      <c r="BC79" s="1916"/>
      <c r="BD79" s="1916"/>
      <c r="BE79" s="1916"/>
      <c r="BF79" s="1916"/>
      <c r="BG79" s="1916"/>
      <c r="BH79" s="1916"/>
      <c r="BI79" s="1916"/>
      <c r="BJ79" s="1916"/>
      <c r="BK79" s="1916"/>
      <c r="BL79" s="1916"/>
      <c r="BM79" s="1916"/>
      <c r="BN79" s="1916"/>
      <c r="BO79" s="1916"/>
      <c r="BP79" s="1916"/>
      <c r="BQ79" s="1916"/>
      <c r="BR79" s="1916"/>
      <c r="BS79" s="1916"/>
      <c r="BT79" s="1916"/>
      <c r="BU79" s="1916"/>
      <c r="BV79" s="1916"/>
      <c r="BW79" s="1916"/>
      <c r="BX79" s="1916"/>
      <c r="BY79" s="1916"/>
      <c r="BZ79" s="1916"/>
    </row>
    <row r="80" spans="1:78" s="1947" customFormat="1" ht="16.5" customHeight="1">
      <c r="A80" s="2782"/>
      <c r="B80" s="1083" t="s">
        <v>22</v>
      </c>
      <c r="C80" s="1390"/>
      <c r="D80" s="1598">
        <f>+D81+D83</f>
        <v>27631420</v>
      </c>
      <c r="E80" s="1598">
        <f>+E81+E83</f>
        <v>0</v>
      </c>
      <c r="F80" s="1598"/>
      <c r="G80" s="1598"/>
      <c r="H80" s="1598"/>
      <c r="I80" s="1598">
        <f>I81</f>
        <v>0</v>
      </c>
      <c r="J80" s="1598">
        <f t="shared" ref="J80:R80" si="96">+J81+J83</f>
        <v>0</v>
      </c>
      <c r="K80" s="1598">
        <f t="shared" si="96"/>
        <v>145091</v>
      </c>
      <c r="L80" s="1598">
        <f t="shared" si="96"/>
        <v>394112</v>
      </c>
      <c r="M80" s="1598">
        <f t="shared" ref="M80" si="97">+M81+M83</f>
        <v>539203</v>
      </c>
      <c r="N80" s="1598">
        <f t="shared" si="96"/>
        <v>3601840</v>
      </c>
      <c r="O80" s="1598">
        <f t="shared" si="96"/>
        <v>23490377</v>
      </c>
      <c r="P80" s="1598">
        <f t="shared" si="96"/>
        <v>0</v>
      </c>
      <c r="Q80" s="1598">
        <f t="shared" si="96"/>
        <v>0</v>
      </c>
      <c r="R80" s="1598">
        <f t="shared" si="96"/>
        <v>0</v>
      </c>
      <c r="S80" s="1598">
        <f t="shared" ref="S80:T80" si="98">+S81+S83</f>
        <v>0</v>
      </c>
      <c r="T80" s="1598">
        <f t="shared" si="98"/>
        <v>0</v>
      </c>
      <c r="U80" s="1894">
        <f>+U81</f>
        <v>9161970</v>
      </c>
      <c r="V80" s="2700"/>
      <c r="W80" s="1917"/>
      <c r="X80" s="1917"/>
      <c r="Y80" s="1917"/>
      <c r="Z80" s="1917"/>
      <c r="AA80" s="1917"/>
      <c r="AB80" s="1917"/>
      <c r="AC80" s="1917"/>
      <c r="AD80" s="1917"/>
      <c r="AE80" s="1917"/>
      <c r="AF80" s="1917"/>
      <c r="AG80" s="1917"/>
      <c r="AH80" s="1917"/>
      <c r="AI80" s="1917"/>
      <c r="AJ80" s="1917"/>
      <c r="AK80" s="1917"/>
      <c r="AL80" s="1917"/>
      <c r="AM80" s="1917"/>
      <c r="AN80" s="1917"/>
      <c r="AO80" s="1917"/>
      <c r="AP80" s="1917"/>
      <c r="AQ80" s="1917"/>
      <c r="AR80" s="1917"/>
      <c r="AS80" s="1917"/>
      <c r="AT80" s="1917"/>
      <c r="AU80" s="1917"/>
      <c r="AV80" s="1917"/>
      <c r="AW80" s="1917"/>
      <c r="AX80" s="1917"/>
      <c r="AY80" s="1917"/>
      <c r="AZ80" s="1917"/>
      <c r="BA80" s="1917"/>
      <c r="BB80" s="1917"/>
      <c r="BC80" s="1917"/>
      <c r="BD80" s="1917"/>
      <c r="BE80" s="1917"/>
      <c r="BF80" s="1917"/>
      <c r="BG80" s="1917"/>
      <c r="BH80" s="1917"/>
      <c r="BI80" s="1917"/>
      <c r="BJ80" s="1917"/>
      <c r="BK80" s="1917"/>
      <c r="BL80" s="1917"/>
      <c r="BM80" s="1917"/>
      <c r="BN80" s="1917"/>
      <c r="BO80" s="1917"/>
      <c r="BP80" s="1917"/>
      <c r="BQ80" s="1917"/>
      <c r="BR80" s="1917"/>
      <c r="BS80" s="1917"/>
      <c r="BT80" s="1917"/>
      <c r="BU80" s="1917"/>
      <c r="BV80" s="1917"/>
      <c r="BW80" s="1917"/>
      <c r="BX80" s="1917"/>
      <c r="BY80" s="1917"/>
      <c r="BZ80" s="1917"/>
    </row>
    <row r="81" spans="1:78" s="1400" customFormat="1" ht="13.5" customHeight="1">
      <c r="A81" s="2782"/>
      <c r="B81" s="1365" t="s">
        <v>36</v>
      </c>
      <c r="C81" s="2771" t="s">
        <v>262</v>
      </c>
      <c r="D81" s="902">
        <f>+D82</f>
        <v>10777987</v>
      </c>
      <c r="E81" s="902">
        <f t="shared" ref="E81:M81" si="99">E82</f>
        <v>0</v>
      </c>
      <c r="F81" s="902"/>
      <c r="G81" s="902"/>
      <c r="H81" s="902"/>
      <c r="I81" s="902">
        <f t="shared" si="99"/>
        <v>0</v>
      </c>
      <c r="J81" s="902">
        <f t="shared" si="99"/>
        <v>0</v>
      </c>
      <c r="K81" s="902">
        <f>K82</f>
        <v>145091</v>
      </c>
      <c r="L81" s="902">
        <f t="shared" si="99"/>
        <v>73696</v>
      </c>
      <c r="M81" s="902">
        <f t="shared" si="99"/>
        <v>218787</v>
      </c>
      <c r="N81" s="902">
        <f t="shared" ref="N81:T81" si="100">N82</f>
        <v>1397230</v>
      </c>
      <c r="O81" s="902">
        <f t="shared" si="100"/>
        <v>9161970</v>
      </c>
      <c r="P81" s="902">
        <f t="shared" si="100"/>
        <v>0</v>
      </c>
      <c r="Q81" s="902">
        <f t="shared" si="100"/>
        <v>0</v>
      </c>
      <c r="R81" s="902">
        <f t="shared" si="100"/>
        <v>0</v>
      </c>
      <c r="S81" s="902">
        <f t="shared" si="100"/>
        <v>0</v>
      </c>
      <c r="T81" s="902">
        <f t="shared" si="100"/>
        <v>0</v>
      </c>
      <c r="U81" s="888">
        <f>+U82</f>
        <v>9161970</v>
      </c>
      <c r="V81" s="2700"/>
      <c r="W81" s="1916"/>
      <c r="X81" s="1916"/>
      <c r="Y81" s="1916"/>
      <c r="Z81" s="1916"/>
      <c r="AA81" s="1916"/>
      <c r="AB81" s="1916"/>
      <c r="AC81" s="1916"/>
      <c r="AD81" s="1916"/>
      <c r="AE81" s="1916"/>
      <c r="AF81" s="1916"/>
      <c r="AG81" s="1916"/>
      <c r="AH81" s="1916"/>
      <c r="AI81" s="1916"/>
      <c r="AJ81" s="1916"/>
      <c r="AK81" s="1916"/>
      <c r="AL81" s="1916"/>
      <c r="AM81" s="1916"/>
      <c r="AN81" s="1916"/>
      <c r="AO81" s="1916"/>
      <c r="AP81" s="1916"/>
      <c r="AQ81" s="1916"/>
      <c r="AR81" s="1916"/>
      <c r="AS81" s="1916"/>
      <c r="AT81" s="1916"/>
      <c r="AU81" s="1916"/>
      <c r="AV81" s="1916"/>
      <c r="AW81" s="1916"/>
      <c r="AX81" s="1916"/>
      <c r="AY81" s="1916"/>
      <c r="AZ81" s="1916"/>
      <c r="BA81" s="1916"/>
      <c r="BB81" s="1916"/>
      <c r="BC81" s="1916"/>
      <c r="BD81" s="1916"/>
      <c r="BE81" s="1916"/>
      <c r="BF81" s="1916"/>
      <c r="BG81" s="1916"/>
      <c r="BH81" s="1916"/>
      <c r="BI81" s="1916"/>
      <c r="BJ81" s="1916"/>
      <c r="BK81" s="1916"/>
      <c r="BL81" s="1916"/>
      <c r="BM81" s="1916"/>
      <c r="BN81" s="1916"/>
      <c r="BO81" s="1916"/>
      <c r="BP81" s="1916"/>
      <c r="BQ81" s="1916"/>
      <c r="BR81" s="1916"/>
      <c r="BS81" s="1916"/>
      <c r="BT81" s="1916"/>
      <c r="BU81" s="1916"/>
      <c r="BV81" s="1916"/>
      <c r="BW81" s="1916"/>
      <c r="BX81" s="1916"/>
      <c r="BY81" s="1916"/>
      <c r="BZ81" s="1916"/>
    </row>
    <row r="82" spans="1:78" s="1400" customFormat="1" ht="13.5" customHeight="1">
      <c r="A82" s="2782"/>
      <c r="B82" s="1388" t="s">
        <v>193</v>
      </c>
      <c r="C82" s="2784"/>
      <c r="D82" s="1285">
        <f t="shared" ref="D82" si="101">SUM(M82:T82)</f>
        <v>10777987</v>
      </c>
      <c r="E82" s="900">
        <v>0</v>
      </c>
      <c r="F82" s="900"/>
      <c r="G82" s="900"/>
      <c r="H82" s="900"/>
      <c r="I82" s="900">
        <v>0</v>
      </c>
      <c r="J82" s="900">
        <v>0</v>
      </c>
      <c r="K82" s="900">
        <f>306585-161494</f>
        <v>145091</v>
      </c>
      <c r="L82" s="900">
        <f>1762866+1748664-3437834</f>
        <v>73696</v>
      </c>
      <c r="M82" s="1799">
        <f t="shared" ref="M82" si="102">+E82+I82+J82+K82+L82</f>
        <v>218787</v>
      </c>
      <c r="N82" s="900">
        <f>1762866+515476+3795972+3437834-8114918</f>
        <v>1397230</v>
      </c>
      <c r="O82" s="900">
        <f>0+8114918+950400+96652</f>
        <v>9161970</v>
      </c>
      <c r="P82" s="900">
        <v>0</v>
      </c>
      <c r="Q82" s="900">
        <v>0</v>
      </c>
      <c r="R82" s="900">
        <v>0</v>
      </c>
      <c r="S82" s="900">
        <v>0</v>
      </c>
      <c r="T82" s="900">
        <v>0</v>
      </c>
      <c r="U82" s="1153">
        <f>+O82+P82+Q82+R82</f>
        <v>9161970</v>
      </c>
      <c r="V82" s="2700"/>
      <c r="W82" s="1916"/>
      <c r="X82" s="1916"/>
      <c r="Y82" s="1916"/>
      <c r="Z82" s="1916"/>
      <c r="AA82" s="1916"/>
      <c r="AB82" s="1916"/>
      <c r="AC82" s="1916"/>
      <c r="AD82" s="1916"/>
      <c r="AE82" s="1916"/>
      <c r="AF82" s="1916"/>
      <c r="AG82" s="1916"/>
      <c r="AH82" s="1916"/>
      <c r="AI82" s="1916"/>
      <c r="AJ82" s="1916"/>
      <c r="AK82" s="1916"/>
      <c r="AL82" s="1916"/>
      <c r="AM82" s="1916"/>
      <c r="AN82" s="1916"/>
      <c r="AO82" s="1916"/>
      <c r="AP82" s="1916"/>
      <c r="AQ82" s="1916"/>
      <c r="AR82" s="1916"/>
      <c r="AS82" s="1916"/>
      <c r="AT82" s="1916"/>
      <c r="AU82" s="1916"/>
      <c r="AV82" s="1916"/>
      <c r="AW82" s="1916"/>
      <c r="AX82" s="1916"/>
      <c r="AY82" s="1916"/>
      <c r="AZ82" s="1916"/>
      <c r="BA82" s="1916"/>
      <c r="BB82" s="1916"/>
      <c r="BC82" s="1916"/>
      <c r="BD82" s="1916"/>
      <c r="BE82" s="1916"/>
      <c r="BF82" s="1916"/>
      <c r="BG82" s="1916"/>
      <c r="BH82" s="1916"/>
      <c r="BI82" s="1916"/>
      <c r="BJ82" s="1916"/>
      <c r="BK82" s="1916"/>
      <c r="BL82" s="1916"/>
      <c r="BM82" s="1916"/>
      <c r="BN82" s="1916"/>
      <c r="BO82" s="1916"/>
      <c r="BP82" s="1916"/>
      <c r="BQ82" s="1916"/>
      <c r="BR82" s="1916"/>
      <c r="BS82" s="1916"/>
      <c r="BT82" s="1916"/>
      <c r="BU82" s="1916"/>
      <c r="BV82" s="1916"/>
      <c r="BW82" s="1916"/>
      <c r="BX82" s="1916"/>
      <c r="BY82" s="1916"/>
      <c r="BZ82" s="1916"/>
    </row>
    <row r="83" spans="1:78" s="1400" customFormat="1" ht="13.5" customHeight="1">
      <c r="A83" s="2782"/>
      <c r="B83" s="1395" t="s">
        <v>30</v>
      </c>
      <c r="C83" s="2769" t="s">
        <v>35</v>
      </c>
      <c r="D83" s="902">
        <f>+D84</f>
        <v>16853433</v>
      </c>
      <c r="E83" s="902">
        <f>+E84</f>
        <v>0</v>
      </c>
      <c r="F83" s="902"/>
      <c r="G83" s="902"/>
      <c r="H83" s="902"/>
      <c r="I83" s="902">
        <f t="shared" ref="I83:U83" si="103">+I84</f>
        <v>0</v>
      </c>
      <c r="J83" s="902">
        <f t="shared" si="103"/>
        <v>0</v>
      </c>
      <c r="K83" s="902">
        <f t="shared" si="103"/>
        <v>0</v>
      </c>
      <c r="L83" s="902">
        <f t="shared" si="103"/>
        <v>320416</v>
      </c>
      <c r="M83" s="902">
        <f t="shared" si="103"/>
        <v>320416</v>
      </c>
      <c r="N83" s="902">
        <f t="shared" si="103"/>
        <v>2204610</v>
      </c>
      <c r="O83" s="902">
        <f t="shared" si="103"/>
        <v>14328407</v>
      </c>
      <c r="P83" s="902">
        <f t="shared" si="103"/>
        <v>0</v>
      </c>
      <c r="Q83" s="902">
        <f t="shared" si="103"/>
        <v>0</v>
      </c>
      <c r="R83" s="902">
        <f t="shared" si="103"/>
        <v>0</v>
      </c>
      <c r="S83" s="902">
        <f t="shared" si="103"/>
        <v>0</v>
      </c>
      <c r="T83" s="902">
        <f t="shared" si="103"/>
        <v>0</v>
      </c>
      <c r="U83" s="1370" t="str">
        <f t="shared" si="103"/>
        <v>x</v>
      </c>
      <c r="V83" s="2700"/>
      <c r="W83" s="1916"/>
      <c r="X83" s="1916"/>
      <c r="Y83" s="1916"/>
      <c r="Z83" s="1916"/>
      <c r="AA83" s="1916"/>
      <c r="AB83" s="1916"/>
      <c r="AC83" s="1916"/>
      <c r="AD83" s="1916"/>
      <c r="AE83" s="1916"/>
      <c r="AF83" s="1916"/>
      <c r="AG83" s="1916"/>
      <c r="AH83" s="1916"/>
      <c r="AI83" s="1916"/>
      <c r="AJ83" s="1916"/>
      <c r="AK83" s="1916"/>
      <c r="AL83" s="1916"/>
      <c r="AM83" s="1916"/>
      <c r="AN83" s="1916"/>
      <c r="AO83" s="1916"/>
      <c r="AP83" s="1916"/>
      <c r="AQ83" s="1916"/>
      <c r="AR83" s="1916"/>
      <c r="AS83" s="1916"/>
      <c r="AT83" s="1916"/>
      <c r="AU83" s="1916"/>
      <c r="AV83" s="1916"/>
      <c r="AW83" s="1916"/>
      <c r="AX83" s="1916"/>
      <c r="AY83" s="1916"/>
      <c r="AZ83" s="1916"/>
      <c r="BA83" s="1916"/>
      <c r="BB83" s="1916"/>
      <c r="BC83" s="1916"/>
      <c r="BD83" s="1916"/>
      <c r="BE83" s="1916"/>
      <c r="BF83" s="1916"/>
      <c r="BG83" s="1916"/>
      <c r="BH83" s="1916"/>
      <c r="BI83" s="1916"/>
      <c r="BJ83" s="1916"/>
      <c r="BK83" s="1916"/>
      <c r="BL83" s="1916"/>
      <c r="BM83" s="1916"/>
      <c r="BN83" s="1916"/>
      <c r="BO83" s="1916"/>
      <c r="BP83" s="1916"/>
      <c r="BQ83" s="1916"/>
      <c r="BR83" s="1916"/>
      <c r="BS83" s="1916"/>
      <c r="BT83" s="1916"/>
      <c r="BU83" s="1916"/>
      <c r="BV83" s="1916"/>
      <c r="BW83" s="1916"/>
      <c r="BX83" s="1916"/>
      <c r="BY83" s="1916"/>
      <c r="BZ83" s="1916"/>
    </row>
    <row r="84" spans="1:78" s="1400" customFormat="1" ht="13.5" customHeight="1">
      <c r="A84" s="2782"/>
      <c r="B84" s="1388" t="s">
        <v>48</v>
      </c>
      <c r="C84" s="2770"/>
      <c r="D84" s="1285">
        <f t="shared" ref="D84" si="104">SUM(M84:T84)</f>
        <v>16853433</v>
      </c>
      <c r="E84" s="900">
        <v>0</v>
      </c>
      <c r="F84" s="900"/>
      <c r="G84" s="900"/>
      <c r="H84" s="900"/>
      <c r="I84" s="900">
        <v>0</v>
      </c>
      <c r="J84" s="900">
        <v>0</v>
      </c>
      <c r="K84" s="900">
        <f>493415-493415</f>
        <v>0</v>
      </c>
      <c r="L84" s="900">
        <f>2837134+2876336-5393054</f>
        <v>320416</v>
      </c>
      <c r="M84" s="1799">
        <f t="shared" ref="M84" si="105">+E84+I84+J84+K84+L84</f>
        <v>320416</v>
      </c>
      <c r="N84" s="900">
        <f>2837134+722775+5931206+5393054-12679559</f>
        <v>2204610</v>
      </c>
      <c r="O84" s="900">
        <f>0+12679559+1485000+163848</f>
        <v>14328407</v>
      </c>
      <c r="P84" s="900">
        <v>0</v>
      </c>
      <c r="Q84" s="900">
        <v>0</v>
      </c>
      <c r="R84" s="900">
        <v>0</v>
      </c>
      <c r="S84" s="900">
        <v>0</v>
      </c>
      <c r="T84" s="900">
        <v>0</v>
      </c>
      <c r="U84" s="1370" t="s">
        <v>77</v>
      </c>
      <c r="V84" s="2700"/>
      <c r="W84" s="1916"/>
      <c r="X84" s="1916"/>
      <c r="Y84" s="1916"/>
      <c r="Z84" s="1916"/>
      <c r="AA84" s="1916"/>
      <c r="AB84" s="1916"/>
      <c r="AC84" s="1916"/>
      <c r="AD84" s="1916"/>
      <c r="AE84" s="1916"/>
      <c r="AF84" s="1916"/>
      <c r="AG84" s="1916"/>
      <c r="AH84" s="1916"/>
      <c r="AI84" s="1916"/>
      <c r="AJ84" s="1916"/>
      <c r="AK84" s="1916"/>
      <c r="AL84" s="1916"/>
      <c r="AM84" s="1916"/>
      <c r="AN84" s="1916"/>
      <c r="AO84" s="1916"/>
      <c r="AP84" s="1916"/>
      <c r="AQ84" s="1916"/>
      <c r="AR84" s="1916"/>
      <c r="AS84" s="1916"/>
      <c r="AT84" s="1916"/>
      <c r="AU84" s="1916"/>
      <c r="AV84" s="1916"/>
      <c r="AW84" s="1916"/>
      <c r="AX84" s="1916"/>
      <c r="AY84" s="1916"/>
      <c r="AZ84" s="1916"/>
      <c r="BA84" s="1916"/>
      <c r="BB84" s="1916"/>
      <c r="BC84" s="1916"/>
      <c r="BD84" s="1916"/>
      <c r="BE84" s="1916"/>
      <c r="BF84" s="1916"/>
      <c r="BG84" s="1916"/>
      <c r="BH84" s="1916"/>
      <c r="BI84" s="1916"/>
      <c r="BJ84" s="1916"/>
      <c r="BK84" s="1916"/>
      <c r="BL84" s="1916"/>
      <c r="BM84" s="1916"/>
      <c r="BN84" s="1916"/>
      <c r="BO84" s="1916"/>
      <c r="BP84" s="1916"/>
      <c r="BQ84" s="1916"/>
      <c r="BR84" s="1916"/>
      <c r="BS84" s="1916"/>
      <c r="BT84" s="1916"/>
      <c r="BU84" s="1916"/>
      <c r="BV84" s="1916"/>
      <c r="BW84" s="1916"/>
      <c r="BX84" s="1916"/>
      <c r="BY84" s="1916"/>
      <c r="BZ84" s="1916"/>
    </row>
    <row r="85" spans="1:78" s="1947" customFormat="1" ht="16.5" customHeight="1">
      <c r="A85" s="2782"/>
      <c r="B85" s="1083" t="s">
        <v>34</v>
      </c>
      <c r="C85" s="1390"/>
      <c r="D85" s="1598">
        <f>D88+D86</f>
        <v>21775496</v>
      </c>
      <c r="E85" s="1598">
        <f t="shared" ref="E85:J85" si="106">E88</f>
        <v>0</v>
      </c>
      <c r="F85" s="1598"/>
      <c r="G85" s="1598"/>
      <c r="H85" s="1598"/>
      <c r="I85" s="1598">
        <f t="shared" si="106"/>
        <v>0</v>
      </c>
      <c r="J85" s="1598">
        <f t="shared" si="106"/>
        <v>0</v>
      </c>
      <c r="K85" s="1598">
        <f t="shared" ref="K85:R85" si="107">K88+K86</f>
        <v>6444</v>
      </c>
      <c r="L85" s="1598">
        <f t="shared" si="107"/>
        <v>89342</v>
      </c>
      <c r="M85" s="1598">
        <f t="shared" ref="M85" si="108">M88+M86</f>
        <v>95786</v>
      </c>
      <c r="N85" s="1598">
        <f t="shared" si="107"/>
        <v>3263069</v>
      </c>
      <c r="O85" s="1598">
        <f t="shared" si="107"/>
        <v>18416641</v>
      </c>
      <c r="P85" s="1598">
        <f t="shared" si="107"/>
        <v>0</v>
      </c>
      <c r="Q85" s="1598">
        <f t="shared" si="107"/>
        <v>0</v>
      </c>
      <c r="R85" s="1598">
        <f t="shared" si="107"/>
        <v>0</v>
      </c>
      <c r="S85" s="1598">
        <f t="shared" ref="S85:T85" si="109">S88+S86</f>
        <v>0</v>
      </c>
      <c r="T85" s="1598">
        <f t="shared" si="109"/>
        <v>0</v>
      </c>
      <c r="U85" s="1598"/>
      <c r="V85" s="2700"/>
      <c r="W85" s="1917"/>
      <c r="X85" s="1917"/>
      <c r="Y85" s="1917"/>
      <c r="Z85" s="1917"/>
      <c r="AA85" s="1917"/>
      <c r="AB85" s="1917"/>
      <c r="AC85" s="1917"/>
      <c r="AD85" s="1917"/>
      <c r="AE85" s="1917"/>
      <c r="AF85" s="1917"/>
      <c r="AG85" s="1917"/>
      <c r="AH85" s="1917"/>
      <c r="AI85" s="1917"/>
      <c r="AJ85" s="1917"/>
      <c r="AK85" s="1917"/>
      <c r="AL85" s="1917"/>
      <c r="AM85" s="1917"/>
      <c r="AN85" s="1917"/>
      <c r="AO85" s="1917"/>
      <c r="AP85" s="1917"/>
      <c r="AQ85" s="1917"/>
      <c r="AR85" s="1917"/>
      <c r="AS85" s="1917"/>
      <c r="AT85" s="1917"/>
      <c r="AU85" s="1917"/>
      <c r="AV85" s="1917"/>
      <c r="AW85" s="1917"/>
      <c r="AX85" s="1917"/>
      <c r="AY85" s="1917"/>
      <c r="AZ85" s="1917"/>
      <c r="BA85" s="1917"/>
      <c r="BB85" s="1917"/>
      <c r="BC85" s="1917"/>
      <c r="BD85" s="1917"/>
      <c r="BE85" s="1917"/>
      <c r="BF85" s="1917"/>
      <c r="BG85" s="1917"/>
      <c r="BH85" s="1917"/>
      <c r="BI85" s="1917"/>
      <c r="BJ85" s="1917"/>
      <c r="BK85" s="1917"/>
      <c r="BL85" s="1917"/>
      <c r="BM85" s="1917"/>
      <c r="BN85" s="1917"/>
      <c r="BO85" s="1917"/>
      <c r="BP85" s="1917"/>
      <c r="BQ85" s="1917"/>
      <c r="BR85" s="1917"/>
      <c r="BS85" s="1917"/>
      <c r="BT85" s="1917"/>
      <c r="BU85" s="1917"/>
      <c r="BV85" s="1917"/>
      <c r="BW85" s="1917"/>
      <c r="BX85" s="1917"/>
      <c r="BY85" s="1917"/>
      <c r="BZ85" s="1917"/>
    </row>
    <row r="86" spans="1:78" s="1400" customFormat="1" ht="13.5" customHeight="1">
      <c r="A86" s="2782"/>
      <c r="B86" s="1365" t="s">
        <v>36</v>
      </c>
      <c r="C86" s="2771" t="s">
        <v>262</v>
      </c>
      <c r="D86" s="1382">
        <f>+D87</f>
        <v>4922063</v>
      </c>
      <c r="E86" s="1382">
        <f t="shared" ref="E86:T86" si="110">+E87</f>
        <v>0</v>
      </c>
      <c r="F86" s="1382">
        <f t="shared" si="110"/>
        <v>0</v>
      </c>
      <c r="G86" s="1382">
        <f t="shared" si="110"/>
        <v>0</v>
      </c>
      <c r="H86" s="1382">
        <f t="shared" si="110"/>
        <v>0</v>
      </c>
      <c r="I86" s="1382">
        <f t="shared" si="110"/>
        <v>0</v>
      </c>
      <c r="J86" s="1382">
        <f t="shared" si="110"/>
        <v>0</v>
      </c>
      <c r="K86" s="1382">
        <f t="shared" si="110"/>
        <v>6444</v>
      </c>
      <c r="L86" s="1382">
        <f t="shared" si="110"/>
        <v>89342</v>
      </c>
      <c r="M86" s="1382">
        <f t="shared" si="110"/>
        <v>95786</v>
      </c>
      <c r="N86" s="1382">
        <f t="shared" si="110"/>
        <v>660045</v>
      </c>
      <c r="O86" s="1382">
        <f t="shared" si="110"/>
        <v>4166232</v>
      </c>
      <c r="P86" s="1382">
        <f t="shared" si="110"/>
        <v>0</v>
      </c>
      <c r="Q86" s="1382">
        <f t="shared" si="110"/>
        <v>0</v>
      </c>
      <c r="R86" s="1382">
        <f t="shared" si="110"/>
        <v>0</v>
      </c>
      <c r="S86" s="1382">
        <f t="shared" si="110"/>
        <v>0</v>
      </c>
      <c r="T86" s="1382">
        <f t="shared" si="110"/>
        <v>0</v>
      </c>
      <c r="U86" s="2707" t="s">
        <v>77</v>
      </c>
      <c r="V86" s="2780"/>
      <c r="W86" s="1916"/>
      <c r="X86" s="1916"/>
      <c r="Y86" s="1916"/>
      <c r="Z86" s="1916"/>
      <c r="AA86" s="1916"/>
      <c r="AB86" s="1916"/>
      <c r="AC86" s="1916"/>
      <c r="AD86" s="1916"/>
      <c r="AE86" s="1916"/>
      <c r="AF86" s="1916"/>
      <c r="AG86" s="1916"/>
      <c r="AH86" s="1916"/>
      <c r="AI86" s="1916"/>
      <c r="AJ86" s="1916"/>
      <c r="AK86" s="1916"/>
      <c r="AL86" s="1916"/>
      <c r="AM86" s="1916"/>
      <c r="AN86" s="1916"/>
      <c r="AO86" s="1916"/>
      <c r="AP86" s="1916"/>
      <c r="AQ86" s="1916"/>
      <c r="AR86" s="1916"/>
      <c r="AS86" s="1916"/>
      <c r="AT86" s="1916"/>
      <c r="AU86" s="1916"/>
      <c r="AV86" s="1916"/>
      <c r="AW86" s="1916"/>
      <c r="AX86" s="1916"/>
      <c r="AY86" s="1916"/>
      <c r="AZ86" s="1916"/>
      <c r="BA86" s="1916"/>
      <c r="BB86" s="1916"/>
      <c r="BC86" s="1916"/>
      <c r="BD86" s="1916"/>
      <c r="BE86" s="1916"/>
      <c r="BF86" s="1916"/>
      <c r="BG86" s="1916"/>
      <c r="BH86" s="1916"/>
      <c r="BI86" s="1916"/>
      <c r="BJ86" s="1916"/>
      <c r="BK86" s="1916"/>
      <c r="BL86" s="1916"/>
      <c r="BM86" s="1916"/>
      <c r="BN86" s="1916"/>
      <c r="BO86" s="1916"/>
      <c r="BP86" s="1916"/>
      <c r="BQ86" s="1916"/>
      <c r="BR86" s="1916"/>
      <c r="BS86" s="1916"/>
      <c r="BT86" s="1916"/>
      <c r="BU86" s="1916"/>
      <c r="BV86" s="1916"/>
      <c r="BW86" s="1916"/>
      <c r="BX86" s="1916"/>
      <c r="BY86" s="1916"/>
      <c r="BZ86" s="1916"/>
    </row>
    <row r="87" spans="1:78" s="1400" customFormat="1" ht="13.5" customHeight="1">
      <c r="A87" s="2782"/>
      <c r="B87" s="1388" t="s">
        <v>221</v>
      </c>
      <c r="C87" s="2784"/>
      <c r="D87" s="1285">
        <f t="shared" ref="D87" si="111">SUM(M87:T87)</f>
        <v>4922063</v>
      </c>
      <c r="E87" s="1380">
        <v>0</v>
      </c>
      <c r="F87" s="1380"/>
      <c r="G87" s="1380"/>
      <c r="H87" s="1380"/>
      <c r="I87" s="1380">
        <v>0</v>
      </c>
      <c r="J87" s="1380">
        <v>0</v>
      </c>
      <c r="K87" s="1380">
        <f>142114-135670</f>
        <v>6444</v>
      </c>
      <c r="L87" s="1380">
        <f>817154+840926-1568738</f>
        <v>89342</v>
      </c>
      <c r="M87" s="1799">
        <f t="shared" ref="M87" si="112">+E87+I87+J87+K87+L87</f>
        <v>95786</v>
      </c>
      <c r="N87" s="1380">
        <f>817154+219966+1727958+1568738-3673771</f>
        <v>660045</v>
      </c>
      <c r="O87" s="1380">
        <f>0+3673771+450846+41615</f>
        <v>4166232</v>
      </c>
      <c r="P87" s="1380">
        <v>0</v>
      </c>
      <c r="Q87" s="1380">
        <v>0</v>
      </c>
      <c r="R87" s="1380">
        <v>0</v>
      </c>
      <c r="S87" s="1380">
        <v>0</v>
      </c>
      <c r="T87" s="1380">
        <v>0</v>
      </c>
      <c r="U87" s="2708"/>
      <c r="V87" s="2780"/>
      <c r="W87" s="1916"/>
      <c r="X87" s="1916"/>
      <c r="Y87" s="1916"/>
      <c r="Z87" s="1916"/>
      <c r="AA87" s="1916"/>
      <c r="AB87" s="1916"/>
      <c r="AC87" s="1916"/>
      <c r="AD87" s="1916"/>
      <c r="AE87" s="1916"/>
      <c r="AF87" s="1916"/>
      <c r="AG87" s="1916"/>
      <c r="AH87" s="1916"/>
      <c r="AI87" s="1916"/>
      <c r="AJ87" s="1916"/>
      <c r="AK87" s="1916"/>
      <c r="AL87" s="1916"/>
      <c r="AM87" s="1916"/>
      <c r="AN87" s="1916"/>
      <c r="AO87" s="1916"/>
      <c r="AP87" s="1916"/>
      <c r="AQ87" s="1916"/>
      <c r="AR87" s="1916"/>
      <c r="AS87" s="1916"/>
      <c r="AT87" s="1916"/>
      <c r="AU87" s="1916"/>
      <c r="AV87" s="1916"/>
      <c r="AW87" s="1916"/>
      <c r="AX87" s="1916"/>
      <c r="AY87" s="1916"/>
      <c r="AZ87" s="1916"/>
      <c r="BA87" s="1916"/>
      <c r="BB87" s="1916"/>
      <c r="BC87" s="1916"/>
      <c r="BD87" s="1916"/>
      <c r="BE87" s="1916"/>
      <c r="BF87" s="1916"/>
      <c r="BG87" s="1916"/>
      <c r="BH87" s="1916"/>
      <c r="BI87" s="1916"/>
      <c r="BJ87" s="1916"/>
      <c r="BK87" s="1916"/>
      <c r="BL87" s="1916"/>
      <c r="BM87" s="1916"/>
      <c r="BN87" s="1916"/>
      <c r="BO87" s="1916"/>
      <c r="BP87" s="1916"/>
      <c r="BQ87" s="1916"/>
      <c r="BR87" s="1916"/>
      <c r="BS87" s="1916"/>
      <c r="BT87" s="1916"/>
      <c r="BU87" s="1916"/>
      <c r="BV87" s="1916"/>
      <c r="BW87" s="1916"/>
      <c r="BX87" s="1916"/>
      <c r="BY87" s="1916"/>
      <c r="BZ87" s="1916"/>
    </row>
    <row r="88" spans="1:78" s="1400" customFormat="1" ht="13.5" customHeight="1">
      <c r="A88" s="2782"/>
      <c r="B88" s="1395" t="s">
        <v>30</v>
      </c>
      <c r="C88" s="2769" t="s">
        <v>35</v>
      </c>
      <c r="D88" s="902">
        <f>+D89</f>
        <v>16853433</v>
      </c>
      <c r="E88" s="902">
        <f>+E89</f>
        <v>0</v>
      </c>
      <c r="F88" s="902"/>
      <c r="G88" s="902"/>
      <c r="H88" s="902"/>
      <c r="I88" s="902">
        <f t="shared" ref="I88:T88" si="113">+I89</f>
        <v>0</v>
      </c>
      <c r="J88" s="902">
        <f t="shared" si="113"/>
        <v>0</v>
      </c>
      <c r="K88" s="902">
        <f t="shared" si="113"/>
        <v>0</v>
      </c>
      <c r="L88" s="902">
        <f t="shared" si="113"/>
        <v>0</v>
      </c>
      <c r="M88" s="902">
        <f t="shared" si="113"/>
        <v>0</v>
      </c>
      <c r="N88" s="902">
        <f t="shared" si="113"/>
        <v>2603024</v>
      </c>
      <c r="O88" s="902">
        <f t="shared" si="113"/>
        <v>14250409</v>
      </c>
      <c r="P88" s="902">
        <f t="shared" si="113"/>
        <v>0</v>
      </c>
      <c r="Q88" s="902">
        <f t="shared" si="113"/>
        <v>0</v>
      </c>
      <c r="R88" s="902">
        <f t="shared" si="113"/>
        <v>0</v>
      </c>
      <c r="S88" s="902">
        <f t="shared" si="113"/>
        <v>0</v>
      </c>
      <c r="T88" s="902">
        <f t="shared" si="113"/>
        <v>0</v>
      </c>
      <c r="U88" s="2708"/>
      <c r="V88" s="2780"/>
      <c r="W88" s="1916"/>
      <c r="X88" s="1916"/>
      <c r="Y88" s="1916"/>
      <c r="Z88" s="1916"/>
      <c r="AA88" s="1916"/>
      <c r="AB88" s="1916"/>
      <c r="AC88" s="1916"/>
      <c r="AD88" s="1916"/>
      <c r="AE88" s="1916"/>
      <c r="AF88" s="1916"/>
      <c r="AG88" s="1916"/>
      <c r="AH88" s="1916"/>
      <c r="AI88" s="1916"/>
      <c r="AJ88" s="1916"/>
      <c r="AK88" s="1916"/>
      <c r="AL88" s="1916"/>
      <c r="AM88" s="1916"/>
      <c r="AN88" s="1916"/>
      <c r="AO88" s="1916"/>
      <c r="AP88" s="1916"/>
      <c r="AQ88" s="1916"/>
      <c r="AR88" s="1916"/>
      <c r="AS88" s="1916"/>
      <c r="AT88" s="1916"/>
      <c r="AU88" s="1916"/>
      <c r="AV88" s="1916"/>
      <c r="AW88" s="1916"/>
      <c r="AX88" s="1916"/>
      <c r="AY88" s="1916"/>
      <c r="AZ88" s="1916"/>
      <c r="BA88" s="1916"/>
      <c r="BB88" s="1916"/>
      <c r="BC88" s="1916"/>
      <c r="BD88" s="1916"/>
      <c r="BE88" s="1916"/>
      <c r="BF88" s="1916"/>
      <c r="BG88" s="1916"/>
      <c r="BH88" s="1916"/>
      <c r="BI88" s="1916"/>
      <c r="BJ88" s="1916"/>
      <c r="BK88" s="1916"/>
      <c r="BL88" s="1916"/>
      <c r="BM88" s="1916"/>
      <c r="BN88" s="1916"/>
      <c r="BO88" s="1916"/>
      <c r="BP88" s="1916"/>
      <c r="BQ88" s="1916"/>
      <c r="BR88" s="1916"/>
      <c r="BS88" s="1916"/>
      <c r="BT88" s="1916"/>
      <c r="BU88" s="1916"/>
      <c r="BV88" s="1916"/>
      <c r="BW88" s="1916"/>
      <c r="BX88" s="1916"/>
      <c r="BY88" s="1916"/>
      <c r="BZ88" s="1916"/>
    </row>
    <row r="89" spans="1:78" s="1400" customFormat="1" ht="13.5" customHeight="1" thickBot="1">
      <c r="A89" s="2783"/>
      <c r="B89" s="1371" t="s">
        <v>48</v>
      </c>
      <c r="C89" s="2779"/>
      <c r="D89" s="2087">
        <f>SUM(M89:T89)</f>
        <v>16853433</v>
      </c>
      <c r="E89" s="903">
        <v>0</v>
      </c>
      <c r="F89" s="903"/>
      <c r="G89" s="903"/>
      <c r="H89" s="903">
        <f>H95+H99</f>
        <v>0</v>
      </c>
      <c r="I89" s="903">
        <v>0</v>
      </c>
      <c r="J89" s="903">
        <v>0</v>
      </c>
      <c r="K89" s="903">
        <f>493415-493415</f>
        <v>0</v>
      </c>
      <c r="L89" s="903">
        <f>2837134+2876336-5713470</f>
        <v>0</v>
      </c>
      <c r="M89" s="903">
        <f>+E89+I89+J89+K89+L89</f>
        <v>0</v>
      </c>
      <c r="N89" s="903">
        <f>2837134+722775+5931206+5713470-12601561</f>
        <v>2603024</v>
      </c>
      <c r="O89" s="903">
        <f>0+12601561+1485000+163848</f>
        <v>14250409</v>
      </c>
      <c r="P89" s="903">
        <v>0</v>
      </c>
      <c r="Q89" s="903">
        <v>0</v>
      </c>
      <c r="R89" s="903">
        <v>0</v>
      </c>
      <c r="S89" s="903">
        <v>0</v>
      </c>
      <c r="T89" s="903">
        <v>0</v>
      </c>
      <c r="U89" s="2709"/>
      <c r="V89" s="2743"/>
      <c r="W89" s="1916"/>
      <c r="X89" s="1916"/>
      <c r="Y89" s="1916"/>
      <c r="Z89" s="1916"/>
      <c r="AA89" s="1916"/>
      <c r="AB89" s="1916"/>
      <c r="AC89" s="1916"/>
      <c r="AD89" s="1916"/>
      <c r="AE89" s="1916"/>
      <c r="AF89" s="1916"/>
      <c r="AG89" s="1916"/>
      <c r="AH89" s="1916"/>
      <c r="AI89" s="1916"/>
      <c r="AJ89" s="1916"/>
      <c r="AK89" s="1916"/>
      <c r="AL89" s="1916"/>
      <c r="AM89" s="1916"/>
      <c r="AN89" s="1916"/>
      <c r="AO89" s="1916"/>
      <c r="AP89" s="1916"/>
      <c r="AQ89" s="1916"/>
      <c r="AR89" s="1916"/>
      <c r="AS89" s="1916"/>
      <c r="AT89" s="1916"/>
      <c r="AU89" s="1916"/>
      <c r="AV89" s="1916"/>
      <c r="AW89" s="1916"/>
      <c r="AX89" s="1916"/>
      <c r="AY89" s="1916"/>
      <c r="AZ89" s="1916"/>
      <c r="BA89" s="1916"/>
      <c r="BB89" s="1916"/>
      <c r="BC89" s="1916"/>
      <c r="BD89" s="1916"/>
      <c r="BE89" s="1916"/>
      <c r="BF89" s="1916"/>
      <c r="BG89" s="1916"/>
      <c r="BH89" s="1916"/>
      <c r="BI89" s="1916"/>
      <c r="BJ89" s="1916"/>
      <c r="BK89" s="1916"/>
      <c r="BL89" s="1916"/>
      <c r="BM89" s="1916"/>
      <c r="BN89" s="1916"/>
      <c r="BO89" s="1916"/>
      <c r="BP89" s="1916"/>
      <c r="BQ89" s="1916"/>
      <c r="BR89" s="1916"/>
      <c r="BS89" s="1916"/>
      <c r="BT89" s="1916"/>
      <c r="BU89" s="1916"/>
      <c r="BV89" s="1916"/>
      <c r="BW89" s="1916"/>
      <c r="BX89" s="1916"/>
      <c r="BY89" s="1916"/>
      <c r="BZ89" s="1916"/>
    </row>
    <row r="90" spans="1:78" ht="6.75" customHeight="1">
      <c r="A90" s="1396"/>
      <c r="L90" s="1398"/>
      <c r="V90" s="1399"/>
    </row>
    <row r="91" spans="1:78" ht="18" customHeight="1">
      <c r="A91" s="1418" t="s">
        <v>355</v>
      </c>
      <c r="E91" s="910"/>
      <c r="F91" s="1400"/>
      <c r="G91" s="1401"/>
      <c r="L91" s="1397"/>
      <c r="M91" s="1397"/>
      <c r="N91" s="1397"/>
      <c r="O91" s="1397"/>
      <c r="P91" s="1397"/>
      <c r="Q91" s="1397"/>
      <c r="R91" s="1397"/>
      <c r="S91" s="1397"/>
      <c r="T91" s="1397"/>
      <c r="U91" s="1397"/>
      <c r="V91" s="1402"/>
      <c r="W91" s="1916"/>
      <c r="X91" s="1916"/>
      <c r="Y91" s="1916"/>
      <c r="Z91" s="1916"/>
      <c r="AA91" s="1916"/>
      <c r="AB91" s="1916"/>
      <c r="AC91" s="1916"/>
      <c r="AD91" s="1916"/>
      <c r="AE91" s="1916"/>
      <c r="AF91" s="1916"/>
      <c r="AG91" s="1916"/>
      <c r="AH91" s="1916"/>
      <c r="AI91" s="1916"/>
      <c r="AJ91" s="1916"/>
      <c r="AK91" s="1916"/>
      <c r="AL91" s="1916"/>
      <c r="AM91" s="1916"/>
      <c r="AN91" s="1916"/>
      <c r="AO91" s="1916"/>
      <c r="AP91" s="1916"/>
      <c r="AQ91" s="1916"/>
      <c r="AR91" s="1916"/>
      <c r="AS91" s="1916"/>
      <c r="AT91" s="1916"/>
      <c r="AU91" s="1916"/>
      <c r="AV91" s="1916"/>
      <c r="AW91" s="1916"/>
      <c r="AX91" s="1916"/>
      <c r="AY91" s="1916"/>
      <c r="AZ91" s="1916"/>
      <c r="BA91" s="1916"/>
      <c r="BB91" s="1916"/>
      <c r="BC91" s="1916"/>
      <c r="BD91" s="1916"/>
      <c r="BE91" s="1916"/>
      <c r="BF91" s="1916"/>
      <c r="BG91" s="1916"/>
      <c r="BH91" s="1916"/>
      <c r="BI91" s="1916"/>
      <c r="BJ91" s="1916"/>
      <c r="BK91" s="1916"/>
      <c r="BL91" s="1916"/>
      <c r="BM91" s="1916"/>
      <c r="BN91" s="1916"/>
      <c r="BO91" s="1916"/>
      <c r="BP91" s="1916"/>
      <c r="BQ91" s="1916"/>
      <c r="BR91" s="1916"/>
      <c r="BS91" s="1916"/>
      <c r="BT91" s="1916"/>
      <c r="BU91" s="1916"/>
      <c r="BV91" s="1916"/>
      <c r="BW91" s="1916"/>
      <c r="BX91" s="1916"/>
      <c r="BY91" s="1916"/>
      <c r="BZ91" s="1916"/>
    </row>
    <row r="92" spans="1:78">
      <c r="E92" s="910"/>
      <c r="F92" s="1400"/>
      <c r="L92" s="1397"/>
      <c r="M92" s="1397"/>
      <c r="N92" s="1397"/>
      <c r="O92" s="1397"/>
      <c r="P92" s="1397"/>
      <c r="Q92" s="1397"/>
      <c r="R92" s="1397"/>
      <c r="S92" s="1397"/>
      <c r="T92" s="1397"/>
      <c r="U92" s="1397"/>
      <c r="V92" s="1402"/>
    </row>
    <row r="93" spans="1:78">
      <c r="E93" s="1403"/>
      <c r="F93" s="1400"/>
      <c r="L93" s="1397"/>
      <c r="M93" s="1397"/>
      <c r="N93" s="1397"/>
      <c r="O93" s="1397"/>
      <c r="P93" s="1397"/>
      <c r="Q93" s="1397"/>
      <c r="R93" s="1397"/>
      <c r="S93" s="1397"/>
      <c r="T93" s="1397"/>
      <c r="U93" s="1397"/>
      <c r="V93" s="1402"/>
    </row>
    <row r="94" spans="1:78">
      <c r="E94" s="910"/>
      <c r="F94" s="1400"/>
      <c r="L94" s="1397"/>
      <c r="M94" s="1397"/>
      <c r="N94" s="1397"/>
      <c r="O94" s="1397"/>
      <c r="P94" s="1397"/>
      <c r="Q94" s="1397"/>
      <c r="R94" s="1397"/>
      <c r="S94" s="1397"/>
      <c r="T94" s="1397"/>
      <c r="U94" s="1397"/>
      <c r="V94" s="1402"/>
    </row>
    <row r="95" spans="1:78">
      <c r="E95" s="1403"/>
      <c r="F95" s="1400"/>
      <c r="L95" s="1397"/>
      <c r="M95" s="1397"/>
      <c r="N95" s="1397"/>
      <c r="O95" s="1397"/>
      <c r="P95" s="1397"/>
      <c r="Q95" s="1397"/>
      <c r="R95" s="1397"/>
      <c r="S95" s="1397"/>
      <c r="T95" s="1397"/>
      <c r="U95" s="1397"/>
      <c r="V95" s="1402"/>
    </row>
    <row r="96" spans="1:78">
      <c r="E96" s="910"/>
      <c r="F96" s="1400"/>
      <c r="L96" s="1397"/>
      <c r="M96" s="1397"/>
      <c r="N96" s="1397"/>
      <c r="O96" s="1397"/>
      <c r="P96" s="1397"/>
      <c r="Q96" s="1397"/>
      <c r="R96" s="1397"/>
      <c r="S96" s="1397"/>
      <c r="T96" s="1397"/>
      <c r="U96" s="1397"/>
      <c r="V96" s="1402"/>
    </row>
    <row r="97" spans="5:22">
      <c r="E97" s="1404"/>
      <c r="F97" s="1400"/>
      <c r="L97" s="1397"/>
      <c r="M97" s="1397"/>
      <c r="N97" s="1397"/>
      <c r="O97" s="1397"/>
      <c r="P97" s="1397"/>
      <c r="Q97" s="1397"/>
      <c r="R97" s="1397"/>
      <c r="S97" s="1397"/>
      <c r="T97" s="1397"/>
      <c r="U97" s="1397"/>
      <c r="V97" s="1402"/>
    </row>
    <row r="98" spans="5:22">
      <c r="E98" s="910"/>
      <c r="F98" s="1400"/>
      <c r="L98" s="1397"/>
      <c r="M98" s="1397"/>
      <c r="N98" s="1397"/>
      <c r="O98" s="1397"/>
      <c r="P98" s="1397"/>
      <c r="Q98" s="1397"/>
      <c r="R98" s="1397"/>
      <c r="S98" s="1397"/>
      <c r="T98" s="1397"/>
      <c r="U98" s="1397"/>
      <c r="V98" s="1402"/>
    </row>
    <row r="99" spans="5:22">
      <c r="E99" s="1405"/>
      <c r="F99" s="1400"/>
      <c r="L99" s="1397"/>
      <c r="M99" s="1397"/>
      <c r="N99" s="1397"/>
      <c r="O99" s="1397"/>
      <c r="P99" s="1397"/>
      <c r="Q99" s="1397"/>
      <c r="R99" s="1397"/>
      <c r="S99" s="1397"/>
      <c r="T99" s="1397"/>
      <c r="U99" s="1397"/>
      <c r="V99" s="1402"/>
    </row>
    <row r="100" spans="5:22">
      <c r="E100" s="910"/>
      <c r="F100" s="1400"/>
      <c r="L100" s="1397"/>
      <c r="M100" s="1397"/>
      <c r="N100" s="1397"/>
      <c r="O100" s="1397"/>
      <c r="P100" s="1397"/>
      <c r="Q100" s="1397"/>
      <c r="R100" s="1397"/>
      <c r="S100" s="1397"/>
      <c r="T100" s="1397"/>
      <c r="U100" s="1397"/>
      <c r="V100" s="1402"/>
    </row>
    <row r="101" spans="5:22">
      <c r="E101" s="910"/>
      <c r="F101" s="1400"/>
      <c r="L101" s="1397"/>
      <c r="M101" s="1397"/>
      <c r="N101" s="1397"/>
      <c r="O101" s="1397"/>
      <c r="P101" s="1397"/>
      <c r="Q101" s="1397"/>
      <c r="R101" s="1397"/>
      <c r="S101" s="1397"/>
      <c r="T101" s="1397"/>
      <c r="U101" s="1397"/>
      <c r="V101" s="1402"/>
    </row>
    <row r="102" spans="5:22">
      <c r="E102" s="910"/>
      <c r="F102" s="1400"/>
      <c r="L102" s="1397"/>
      <c r="M102" s="1397"/>
      <c r="N102" s="1397"/>
      <c r="O102" s="1397"/>
      <c r="P102" s="1397"/>
      <c r="Q102" s="1397"/>
      <c r="R102" s="1397"/>
      <c r="S102" s="1397"/>
      <c r="T102" s="1397"/>
      <c r="U102" s="1397"/>
      <c r="V102" s="1402"/>
    </row>
    <row r="103" spans="5:22">
      <c r="E103" s="1405"/>
      <c r="L103" s="1397"/>
      <c r="M103" s="1397"/>
      <c r="N103" s="1397"/>
      <c r="O103" s="1397"/>
      <c r="P103" s="1397"/>
      <c r="Q103" s="1397"/>
      <c r="R103" s="1397"/>
      <c r="S103" s="1397"/>
      <c r="T103" s="1397"/>
      <c r="U103" s="1397"/>
      <c r="V103" s="1402"/>
    </row>
    <row r="104" spans="5:22">
      <c r="E104" s="910"/>
      <c r="L104" s="1397"/>
      <c r="M104" s="1397"/>
      <c r="N104" s="1397"/>
      <c r="O104" s="1397"/>
      <c r="P104" s="1397"/>
      <c r="Q104" s="1397"/>
      <c r="R104" s="1397"/>
      <c r="S104" s="1397"/>
      <c r="T104" s="1397"/>
      <c r="U104" s="1397"/>
      <c r="V104" s="1402"/>
    </row>
    <row r="105" spans="5:22">
      <c r="E105" s="910"/>
      <c r="L105" s="1397"/>
      <c r="M105" s="1397"/>
      <c r="N105" s="1397"/>
      <c r="O105" s="1397"/>
      <c r="P105" s="1397"/>
      <c r="Q105" s="1397"/>
      <c r="R105" s="1397"/>
      <c r="S105" s="1397"/>
      <c r="T105" s="1397"/>
      <c r="U105" s="1397"/>
      <c r="V105" s="1402"/>
    </row>
    <row r="106" spans="5:22">
      <c r="E106" s="910"/>
      <c r="F106" s="1400"/>
      <c r="L106" s="1397"/>
      <c r="M106" s="1397"/>
      <c r="N106" s="1397"/>
      <c r="O106" s="1397"/>
      <c r="P106" s="1397"/>
      <c r="Q106" s="1397"/>
      <c r="R106" s="1397"/>
      <c r="S106" s="1397"/>
      <c r="T106" s="1397"/>
      <c r="U106" s="1397"/>
      <c r="V106" s="1402"/>
    </row>
    <row r="107" spans="5:22">
      <c r="E107" s="1403"/>
      <c r="F107" s="1400"/>
      <c r="L107" s="1397"/>
      <c r="M107" s="1397"/>
      <c r="N107" s="1397"/>
      <c r="O107" s="1397"/>
      <c r="P107" s="1397"/>
      <c r="Q107" s="1397"/>
      <c r="R107" s="1397"/>
      <c r="S107" s="1397"/>
      <c r="T107" s="1397"/>
      <c r="U107" s="1397"/>
      <c r="V107" s="1402"/>
    </row>
    <row r="108" spans="5:22">
      <c r="E108" s="910"/>
      <c r="F108" s="1400"/>
      <c r="L108" s="1397"/>
      <c r="M108" s="1397"/>
      <c r="N108" s="1397"/>
      <c r="O108" s="1397"/>
      <c r="P108" s="1397"/>
      <c r="Q108" s="1397"/>
      <c r="R108" s="1397"/>
      <c r="S108" s="1397"/>
      <c r="T108" s="1397"/>
      <c r="U108" s="1397"/>
      <c r="V108" s="1402"/>
    </row>
    <row r="109" spans="5:22">
      <c r="E109" s="1403"/>
      <c r="F109" s="1400"/>
      <c r="L109" s="1397"/>
      <c r="M109" s="1397"/>
      <c r="N109" s="1397"/>
      <c r="O109" s="1397"/>
      <c r="P109" s="1397"/>
      <c r="Q109" s="1397"/>
      <c r="R109" s="1397"/>
      <c r="S109" s="1397"/>
      <c r="T109" s="1397"/>
      <c r="U109" s="1397"/>
      <c r="V109" s="1402"/>
    </row>
    <row r="110" spans="5:22">
      <c r="E110" s="910"/>
      <c r="F110" s="1400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402"/>
    </row>
    <row r="111" spans="5:22">
      <c r="E111" s="1404"/>
      <c r="F111" s="1400"/>
      <c r="L111" s="1397"/>
      <c r="M111" s="1397"/>
      <c r="N111" s="1397"/>
      <c r="O111" s="1397"/>
      <c r="P111" s="1397"/>
      <c r="Q111" s="1397"/>
      <c r="R111" s="1397"/>
      <c r="S111" s="1397"/>
      <c r="T111" s="1397"/>
      <c r="U111" s="1397"/>
      <c r="V111" s="1402"/>
    </row>
    <row r="112" spans="5:22">
      <c r="E112" s="910"/>
      <c r="F112" s="1400"/>
      <c r="L112" s="1397"/>
      <c r="M112" s="1397"/>
      <c r="N112" s="1397"/>
      <c r="O112" s="1397"/>
      <c r="P112" s="1397"/>
      <c r="Q112" s="1397"/>
      <c r="R112" s="1397"/>
      <c r="S112" s="1397"/>
      <c r="T112" s="1397"/>
      <c r="U112" s="1397"/>
      <c r="V112" s="1402"/>
    </row>
    <row r="113" spans="5:22">
      <c r="E113" s="1405"/>
      <c r="F113" s="1400"/>
      <c r="L113" s="1397"/>
      <c r="M113" s="1397"/>
      <c r="N113" s="1397"/>
      <c r="O113" s="1397"/>
      <c r="P113" s="1397"/>
      <c r="Q113" s="1397"/>
      <c r="R113" s="1397"/>
      <c r="S113" s="1397"/>
      <c r="T113" s="1397"/>
      <c r="U113" s="1397"/>
      <c r="V113" s="1402"/>
    </row>
    <row r="114" spans="5:22">
      <c r="E114" s="910"/>
      <c r="F114" s="1400"/>
      <c r="L114" s="1397"/>
      <c r="M114" s="1397"/>
      <c r="N114" s="1397"/>
      <c r="O114" s="1397"/>
      <c r="P114" s="1397"/>
      <c r="Q114" s="1397"/>
      <c r="R114" s="1397"/>
      <c r="S114" s="1397"/>
      <c r="T114" s="1397"/>
      <c r="U114" s="1397"/>
      <c r="V114" s="1402"/>
    </row>
    <row r="115" spans="5:22">
      <c r="E115" s="910"/>
      <c r="F115" s="1400"/>
      <c r="L115" s="1397"/>
      <c r="M115" s="1397"/>
      <c r="N115" s="1397"/>
      <c r="O115" s="1397"/>
      <c r="P115" s="1397"/>
      <c r="Q115" s="1397"/>
      <c r="R115" s="1397"/>
      <c r="S115" s="1397"/>
      <c r="T115" s="1397"/>
      <c r="U115" s="1397"/>
      <c r="V115" s="1402"/>
    </row>
    <row r="116" spans="5:22">
      <c r="E116" s="910"/>
      <c r="F116" s="1400"/>
      <c r="L116" s="1397"/>
      <c r="M116" s="1397"/>
      <c r="N116" s="1397"/>
      <c r="O116" s="1397"/>
      <c r="P116" s="1397"/>
      <c r="Q116" s="1397"/>
      <c r="R116" s="1397"/>
      <c r="S116" s="1397"/>
      <c r="T116" s="1397"/>
      <c r="U116" s="1397"/>
      <c r="V116" s="1402"/>
    </row>
    <row r="117" spans="5:22">
      <c r="E117" s="1405"/>
      <c r="L117" s="1397"/>
      <c r="M117" s="1397"/>
      <c r="N117" s="1397"/>
      <c r="O117" s="1397"/>
      <c r="P117" s="1397"/>
      <c r="Q117" s="1397"/>
      <c r="R117" s="1397"/>
      <c r="S117" s="1397"/>
      <c r="T117" s="1397"/>
      <c r="U117" s="1397"/>
      <c r="V117" s="1402"/>
    </row>
    <row r="118" spans="5:22">
      <c r="E118" s="910"/>
      <c r="L118" s="1397"/>
      <c r="M118" s="1397"/>
      <c r="N118" s="1397"/>
      <c r="O118" s="1397"/>
      <c r="P118" s="1397"/>
      <c r="Q118" s="1397"/>
      <c r="R118" s="1397"/>
      <c r="S118" s="1397"/>
      <c r="T118" s="1397"/>
      <c r="U118" s="1397"/>
      <c r="V118" s="1402"/>
    </row>
    <row r="119" spans="5:22">
      <c r="E119" s="910"/>
      <c r="L119" s="1397"/>
      <c r="M119" s="1397"/>
      <c r="N119" s="1397"/>
      <c r="O119" s="1397"/>
      <c r="P119" s="1397"/>
      <c r="Q119" s="1397"/>
      <c r="R119" s="1397"/>
      <c r="S119" s="1397"/>
      <c r="T119" s="1397"/>
      <c r="U119" s="1397"/>
      <c r="V119" s="1402"/>
    </row>
    <row r="120" spans="5:22">
      <c r="E120" s="910"/>
      <c r="F120" s="1400"/>
      <c r="L120" s="1397"/>
      <c r="M120" s="1397"/>
      <c r="N120" s="1397"/>
      <c r="O120" s="1397"/>
      <c r="P120" s="1397"/>
      <c r="Q120" s="1397"/>
      <c r="R120" s="1397"/>
      <c r="S120" s="1397"/>
      <c r="T120" s="1397"/>
      <c r="U120" s="1397"/>
      <c r="V120" s="1402"/>
    </row>
    <row r="121" spans="5:22">
      <c r="E121" s="1403"/>
      <c r="F121" s="1400"/>
      <c r="L121" s="1397"/>
      <c r="M121" s="1397"/>
      <c r="N121" s="1397"/>
      <c r="O121" s="1397"/>
      <c r="P121" s="1397"/>
      <c r="Q121" s="1397"/>
      <c r="R121" s="1397"/>
      <c r="S121" s="1397"/>
      <c r="T121" s="1397"/>
      <c r="U121" s="1397"/>
      <c r="V121" s="1402"/>
    </row>
    <row r="122" spans="5:22">
      <c r="E122" s="910"/>
      <c r="F122" s="1400"/>
      <c r="L122" s="1397"/>
      <c r="M122" s="1397"/>
      <c r="N122" s="1397"/>
      <c r="O122" s="1397"/>
      <c r="P122" s="1397"/>
      <c r="Q122" s="1397"/>
      <c r="R122" s="1397"/>
      <c r="S122" s="1397"/>
      <c r="T122" s="1397"/>
      <c r="U122" s="1397"/>
      <c r="V122" s="1402"/>
    </row>
    <row r="123" spans="5:22">
      <c r="E123" s="1403"/>
      <c r="F123" s="1400"/>
      <c r="L123" s="1397"/>
      <c r="M123" s="1397"/>
      <c r="N123" s="1397"/>
      <c r="O123" s="1397"/>
      <c r="P123" s="1397"/>
      <c r="Q123" s="1397"/>
      <c r="R123" s="1397"/>
      <c r="S123" s="1397"/>
      <c r="T123" s="1397"/>
      <c r="U123" s="1397"/>
      <c r="V123" s="1402"/>
    </row>
    <row r="124" spans="5:22">
      <c r="E124" s="910"/>
      <c r="F124" s="1400"/>
      <c r="L124" s="1397"/>
      <c r="M124" s="1397"/>
      <c r="N124" s="1397"/>
      <c r="O124" s="1397"/>
      <c r="P124" s="1397"/>
      <c r="Q124" s="1397"/>
      <c r="R124" s="1397"/>
      <c r="S124" s="1397"/>
      <c r="T124" s="1397"/>
      <c r="U124" s="1397"/>
      <c r="V124" s="1402"/>
    </row>
    <row r="125" spans="5:22">
      <c r="E125" s="1404"/>
      <c r="F125" s="1400"/>
      <c r="L125" s="1397"/>
      <c r="M125" s="1397"/>
      <c r="N125" s="1397"/>
      <c r="O125" s="1397"/>
      <c r="P125" s="1397"/>
      <c r="Q125" s="1397"/>
      <c r="R125" s="1397"/>
      <c r="S125" s="1397"/>
      <c r="T125" s="1397"/>
      <c r="U125" s="1397"/>
      <c r="V125" s="1402"/>
    </row>
    <row r="126" spans="5:22">
      <c r="E126" s="910"/>
      <c r="F126" s="1400"/>
      <c r="L126" s="1397"/>
      <c r="M126" s="1397"/>
      <c r="N126" s="1397"/>
      <c r="O126" s="1397"/>
      <c r="P126" s="1397"/>
      <c r="Q126" s="1397"/>
      <c r="R126" s="1397"/>
      <c r="S126" s="1397"/>
      <c r="T126" s="1397"/>
      <c r="U126" s="1397"/>
      <c r="V126" s="1402"/>
    </row>
    <row r="127" spans="5:22">
      <c r="E127" s="1405"/>
      <c r="F127" s="1400"/>
      <c r="L127" s="1397"/>
      <c r="M127" s="1397"/>
      <c r="N127" s="1397"/>
      <c r="O127" s="1397"/>
      <c r="P127" s="1397"/>
      <c r="Q127" s="1397"/>
      <c r="R127" s="1397"/>
      <c r="S127" s="1397"/>
      <c r="T127" s="1397"/>
      <c r="U127" s="1397"/>
      <c r="V127" s="1402"/>
    </row>
    <row r="128" spans="5:22">
      <c r="E128" s="910"/>
      <c r="F128" s="1400"/>
      <c r="L128" s="1397"/>
      <c r="M128" s="1397"/>
      <c r="N128" s="1397"/>
      <c r="O128" s="1397"/>
      <c r="P128" s="1397"/>
      <c r="Q128" s="1397"/>
      <c r="R128" s="1397"/>
      <c r="S128" s="1397"/>
      <c r="T128" s="1397"/>
      <c r="U128" s="1397"/>
      <c r="V128" s="1402"/>
    </row>
    <row r="129" spans="5:22">
      <c r="E129" s="910"/>
      <c r="F129" s="1400"/>
      <c r="L129" s="1397"/>
      <c r="M129" s="1397"/>
      <c r="N129" s="1397"/>
      <c r="O129" s="1397"/>
      <c r="P129" s="1397"/>
      <c r="Q129" s="1397"/>
      <c r="R129" s="1397"/>
      <c r="S129" s="1397"/>
      <c r="T129" s="1397"/>
      <c r="U129" s="1397"/>
      <c r="V129" s="1402"/>
    </row>
    <row r="130" spans="5:22">
      <c r="E130" s="910"/>
      <c r="F130" s="1400"/>
      <c r="L130" s="1397"/>
      <c r="M130" s="1397"/>
      <c r="N130" s="1397"/>
      <c r="O130" s="1397"/>
      <c r="P130" s="1397"/>
      <c r="Q130" s="1397"/>
      <c r="R130" s="1397"/>
      <c r="S130" s="1397"/>
      <c r="T130" s="1397"/>
      <c r="U130" s="1397"/>
      <c r="V130" s="1402"/>
    </row>
    <row r="131" spans="5:22">
      <c r="E131" s="1405"/>
      <c r="L131" s="1397"/>
      <c r="M131" s="1397"/>
      <c r="N131" s="1397"/>
      <c r="O131" s="1397"/>
      <c r="P131" s="1397"/>
      <c r="Q131" s="1397"/>
      <c r="R131" s="1397"/>
      <c r="S131" s="1397"/>
      <c r="T131" s="1397"/>
      <c r="U131" s="1397"/>
      <c r="V131" s="1402"/>
    </row>
    <row r="132" spans="5:22">
      <c r="E132" s="910"/>
      <c r="L132" s="1397"/>
      <c r="M132" s="1397"/>
      <c r="N132" s="1397"/>
      <c r="O132" s="1397"/>
      <c r="P132" s="1397"/>
      <c r="Q132" s="1397"/>
      <c r="R132" s="1397"/>
      <c r="S132" s="1397"/>
      <c r="T132" s="1397"/>
      <c r="U132" s="1397"/>
      <c r="V132" s="1402"/>
    </row>
    <row r="133" spans="5:22">
      <c r="E133" s="910"/>
      <c r="L133" s="1397"/>
      <c r="M133" s="1397"/>
      <c r="N133" s="1397"/>
      <c r="O133" s="1397"/>
      <c r="P133" s="1397"/>
      <c r="Q133" s="1397"/>
      <c r="R133" s="1397"/>
      <c r="S133" s="1397"/>
      <c r="T133" s="1397"/>
      <c r="U133" s="1397"/>
      <c r="V133" s="1402"/>
    </row>
    <row r="134" spans="5:22">
      <c r="E134" s="910"/>
      <c r="F134" s="1400"/>
      <c r="L134" s="1397"/>
      <c r="M134" s="1397"/>
      <c r="N134" s="1397"/>
      <c r="O134" s="1397"/>
      <c r="P134" s="1397"/>
      <c r="Q134" s="1397"/>
      <c r="R134" s="1397"/>
      <c r="S134" s="1397"/>
      <c r="T134" s="1397"/>
      <c r="U134" s="1397"/>
      <c r="V134" s="1402"/>
    </row>
    <row r="135" spans="5:22">
      <c r="E135" s="1403"/>
      <c r="F135" s="1400"/>
      <c r="L135" s="1397"/>
      <c r="M135" s="1397"/>
      <c r="N135" s="1397"/>
      <c r="O135" s="1397"/>
      <c r="P135" s="1397"/>
      <c r="Q135" s="1397"/>
      <c r="R135" s="1397"/>
      <c r="S135" s="1397"/>
      <c r="T135" s="1397"/>
      <c r="U135" s="1397"/>
      <c r="V135" s="1402"/>
    </row>
    <row r="136" spans="5:22">
      <c r="E136" s="910"/>
      <c r="F136" s="1400"/>
      <c r="L136" s="1397"/>
      <c r="M136" s="1397"/>
      <c r="N136" s="1397"/>
      <c r="O136" s="1397"/>
      <c r="P136" s="1397"/>
      <c r="Q136" s="1397"/>
      <c r="R136" s="1397"/>
      <c r="S136" s="1397"/>
      <c r="T136" s="1397"/>
      <c r="U136" s="1397"/>
      <c r="V136" s="1402"/>
    </row>
    <row r="137" spans="5:22">
      <c r="E137" s="1403"/>
      <c r="F137" s="1400"/>
      <c r="L137" s="1397"/>
      <c r="M137" s="1397"/>
      <c r="N137" s="1397"/>
      <c r="O137" s="1397"/>
      <c r="P137" s="1397"/>
      <c r="Q137" s="1397"/>
      <c r="R137" s="1397"/>
      <c r="S137" s="1397"/>
      <c r="T137" s="1397"/>
      <c r="U137" s="1397"/>
      <c r="V137" s="1402"/>
    </row>
    <row r="138" spans="5:22">
      <c r="E138" s="910"/>
      <c r="F138" s="1400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402"/>
    </row>
    <row r="139" spans="5:22">
      <c r="E139" s="1404"/>
      <c r="F139" s="1400"/>
      <c r="L139" s="1397"/>
      <c r="M139" s="1397"/>
      <c r="N139" s="1397"/>
      <c r="O139" s="1397"/>
      <c r="P139" s="1397"/>
      <c r="Q139" s="1397"/>
      <c r="R139" s="1397"/>
      <c r="S139" s="1397"/>
      <c r="T139" s="1397"/>
      <c r="U139" s="1397"/>
      <c r="V139" s="1402"/>
    </row>
    <row r="140" spans="5:22">
      <c r="E140" s="910"/>
      <c r="F140" s="1400"/>
      <c r="L140" s="1397"/>
      <c r="M140" s="1397"/>
      <c r="N140" s="1397"/>
      <c r="O140" s="1397"/>
      <c r="P140" s="1397"/>
      <c r="Q140" s="1397"/>
      <c r="R140" s="1397"/>
      <c r="S140" s="1397"/>
      <c r="T140" s="1397"/>
      <c r="U140" s="1397"/>
      <c r="V140" s="1402"/>
    </row>
    <row r="141" spans="5:22">
      <c r="E141" s="1405"/>
      <c r="F141" s="1400"/>
      <c r="L141" s="1397"/>
      <c r="M141" s="1397"/>
      <c r="N141" s="1397"/>
      <c r="O141" s="1397"/>
      <c r="P141" s="1397"/>
      <c r="Q141" s="1397"/>
      <c r="R141" s="1397"/>
      <c r="S141" s="1397"/>
      <c r="T141" s="1397"/>
      <c r="U141" s="1397"/>
      <c r="V141" s="1402"/>
    </row>
    <row r="142" spans="5:22">
      <c r="E142" s="910"/>
      <c r="F142" s="1400"/>
      <c r="L142" s="1397"/>
      <c r="M142" s="1397"/>
      <c r="N142" s="1397"/>
      <c r="O142" s="1397"/>
      <c r="P142" s="1397"/>
      <c r="Q142" s="1397"/>
      <c r="R142" s="1397"/>
      <c r="S142" s="1397"/>
      <c r="T142" s="1397"/>
      <c r="U142" s="1397"/>
      <c r="V142" s="1402"/>
    </row>
    <row r="143" spans="5:22">
      <c r="E143" s="910"/>
      <c r="F143" s="1400"/>
      <c r="L143" s="1397"/>
      <c r="M143" s="1397"/>
      <c r="N143" s="1397"/>
      <c r="O143" s="1397"/>
      <c r="P143" s="1397"/>
      <c r="Q143" s="1397"/>
      <c r="R143" s="1397"/>
      <c r="S143" s="1397"/>
      <c r="T143" s="1397"/>
      <c r="U143" s="1397"/>
      <c r="V143" s="1402"/>
    </row>
    <row r="144" spans="5:22">
      <c r="E144" s="910"/>
      <c r="F144" s="1400"/>
      <c r="L144" s="1397"/>
      <c r="M144" s="1397"/>
      <c r="N144" s="1397"/>
      <c r="O144" s="1397"/>
      <c r="P144" s="1397"/>
      <c r="Q144" s="1397"/>
      <c r="R144" s="1397"/>
      <c r="S144" s="1397"/>
      <c r="T144" s="1397"/>
      <c r="U144" s="1397"/>
      <c r="V144" s="1402"/>
    </row>
    <row r="145" spans="5:22">
      <c r="E145" s="1405"/>
      <c r="L145" s="1397"/>
      <c r="M145" s="1397"/>
      <c r="N145" s="1397"/>
      <c r="O145" s="1397"/>
      <c r="P145" s="1397"/>
      <c r="Q145" s="1397"/>
      <c r="R145" s="1397"/>
      <c r="S145" s="1397"/>
      <c r="T145" s="1397"/>
      <c r="U145" s="1397"/>
      <c r="V145" s="1402"/>
    </row>
    <row r="146" spans="5:22">
      <c r="E146" s="910"/>
      <c r="L146" s="1397"/>
      <c r="M146" s="1397"/>
      <c r="N146" s="1397"/>
      <c r="O146" s="1397"/>
      <c r="P146" s="1397"/>
      <c r="Q146" s="1397"/>
      <c r="R146" s="1397"/>
      <c r="S146" s="1397"/>
      <c r="T146" s="1397"/>
      <c r="U146" s="1397"/>
      <c r="V146" s="1402"/>
    </row>
    <row r="147" spans="5:22">
      <c r="E147" s="910"/>
      <c r="L147" s="1397"/>
      <c r="M147" s="1397"/>
      <c r="N147" s="1397"/>
      <c r="O147" s="1397"/>
      <c r="P147" s="1397"/>
      <c r="Q147" s="1397"/>
      <c r="R147" s="1397"/>
      <c r="S147" s="1397"/>
      <c r="T147" s="1397"/>
      <c r="U147" s="1397"/>
      <c r="V147" s="1402"/>
    </row>
    <row r="148" spans="5:22">
      <c r="E148" s="910"/>
      <c r="F148" s="1400"/>
      <c r="L148" s="1397"/>
      <c r="M148" s="1397"/>
      <c r="N148" s="1397"/>
      <c r="O148" s="1397"/>
      <c r="P148" s="1397"/>
      <c r="Q148" s="1397"/>
      <c r="R148" s="1397"/>
      <c r="S148" s="1397"/>
      <c r="T148" s="1397"/>
      <c r="U148" s="1397"/>
      <c r="V148" s="1402"/>
    </row>
    <row r="149" spans="5:22">
      <c r="E149" s="1403"/>
      <c r="F149" s="1400"/>
      <c r="L149" s="1397"/>
      <c r="M149" s="1397"/>
      <c r="N149" s="1397"/>
      <c r="O149" s="1397"/>
      <c r="P149" s="1397"/>
      <c r="Q149" s="1397"/>
      <c r="R149" s="1397"/>
      <c r="S149" s="1397"/>
      <c r="T149" s="1397"/>
      <c r="U149" s="1397"/>
      <c r="V149" s="1402"/>
    </row>
    <row r="150" spans="5:22">
      <c r="E150" s="910"/>
      <c r="F150" s="1400"/>
      <c r="L150" s="1397"/>
      <c r="M150" s="1397"/>
      <c r="N150" s="1397"/>
      <c r="O150" s="1397"/>
      <c r="P150" s="1397"/>
      <c r="Q150" s="1397"/>
      <c r="R150" s="1397"/>
      <c r="S150" s="1397"/>
      <c r="T150" s="1397"/>
      <c r="U150" s="1397"/>
      <c r="V150" s="1402"/>
    </row>
    <row r="151" spans="5:22">
      <c r="E151" s="1403"/>
      <c r="F151" s="1400"/>
      <c r="L151" s="1397"/>
      <c r="M151" s="1397"/>
      <c r="N151" s="1397"/>
      <c r="O151" s="1397"/>
      <c r="P151" s="1397"/>
      <c r="Q151" s="1397"/>
      <c r="R151" s="1397"/>
      <c r="S151" s="1397"/>
      <c r="T151" s="1397"/>
      <c r="U151" s="1397"/>
      <c r="V151" s="1402"/>
    </row>
    <row r="152" spans="5:22">
      <c r="E152" s="910"/>
      <c r="F152" s="1400"/>
      <c r="L152" s="1397"/>
      <c r="M152" s="1397"/>
      <c r="N152" s="1397"/>
      <c r="O152" s="1397"/>
      <c r="P152" s="1397"/>
      <c r="Q152" s="1397"/>
      <c r="R152" s="1397"/>
      <c r="S152" s="1397"/>
      <c r="T152" s="1397"/>
      <c r="U152" s="1397"/>
      <c r="V152" s="1402"/>
    </row>
    <row r="153" spans="5:22">
      <c r="E153" s="1404"/>
      <c r="F153" s="1400"/>
      <c r="L153" s="1397"/>
      <c r="M153" s="1397"/>
      <c r="N153" s="1397"/>
      <c r="O153" s="1397"/>
      <c r="P153" s="1397"/>
      <c r="Q153" s="1397"/>
      <c r="R153" s="1397"/>
      <c r="S153" s="1397"/>
      <c r="T153" s="1397"/>
      <c r="U153" s="1397"/>
      <c r="V153" s="1402"/>
    </row>
    <row r="154" spans="5:22">
      <c r="E154" s="910"/>
      <c r="F154" s="1400"/>
      <c r="L154" s="1397"/>
      <c r="M154" s="1397"/>
      <c r="N154" s="1397"/>
      <c r="O154" s="1397"/>
      <c r="P154" s="1397"/>
      <c r="Q154" s="1397"/>
      <c r="R154" s="1397"/>
      <c r="S154" s="1397"/>
      <c r="T154" s="1397"/>
      <c r="U154" s="1397"/>
      <c r="V154" s="1402"/>
    </row>
    <row r="155" spans="5:22">
      <c r="E155" s="1405"/>
      <c r="F155" s="1400"/>
      <c r="L155" s="1397"/>
      <c r="M155" s="1397"/>
      <c r="N155" s="1397"/>
      <c r="O155" s="1397"/>
      <c r="P155" s="1397"/>
      <c r="Q155" s="1397"/>
      <c r="R155" s="1397"/>
      <c r="S155" s="1397"/>
      <c r="T155" s="1397"/>
      <c r="U155" s="1397"/>
      <c r="V155" s="1402"/>
    </row>
    <row r="156" spans="5:22">
      <c r="E156" s="910"/>
      <c r="F156" s="1400"/>
      <c r="L156" s="1397"/>
      <c r="M156" s="1397"/>
      <c r="N156" s="1397"/>
      <c r="O156" s="1397"/>
      <c r="P156" s="1397"/>
      <c r="Q156" s="1397"/>
      <c r="R156" s="1397"/>
      <c r="S156" s="1397"/>
      <c r="T156" s="1397"/>
      <c r="U156" s="1397"/>
      <c r="V156" s="1402"/>
    </row>
    <row r="157" spans="5:22">
      <c r="E157" s="910"/>
      <c r="F157" s="1400"/>
      <c r="L157" s="1397"/>
      <c r="M157" s="1397"/>
      <c r="N157" s="1397"/>
      <c r="O157" s="1397"/>
      <c r="P157" s="1397"/>
      <c r="Q157" s="1397"/>
      <c r="R157" s="1397"/>
      <c r="S157" s="1397"/>
      <c r="T157" s="1397"/>
      <c r="U157" s="1397"/>
      <c r="V157" s="1402"/>
    </row>
    <row r="158" spans="5:22">
      <c r="E158" s="910"/>
      <c r="F158" s="1400"/>
      <c r="L158" s="1397"/>
      <c r="M158" s="1397"/>
      <c r="N158" s="1397"/>
      <c r="O158" s="1397"/>
      <c r="P158" s="1397"/>
      <c r="Q158" s="1397"/>
      <c r="R158" s="1397"/>
      <c r="S158" s="1397"/>
      <c r="T158" s="1397"/>
      <c r="U158" s="1397"/>
      <c r="V158" s="1402"/>
    </row>
    <row r="159" spans="5:22">
      <c r="E159" s="1405"/>
      <c r="L159" s="1397"/>
      <c r="M159" s="1397"/>
      <c r="N159" s="1397"/>
      <c r="O159" s="1397"/>
      <c r="P159" s="1397"/>
      <c r="Q159" s="1397"/>
      <c r="R159" s="1397"/>
      <c r="S159" s="1397"/>
      <c r="T159" s="1397"/>
      <c r="U159" s="1397"/>
      <c r="V159" s="1402"/>
    </row>
    <row r="160" spans="5:22">
      <c r="E160" s="910"/>
      <c r="L160" s="1397"/>
      <c r="M160" s="1397"/>
      <c r="N160" s="1397"/>
      <c r="O160" s="1397"/>
      <c r="P160" s="1397"/>
      <c r="Q160" s="1397"/>
      <c r="R160" s="1397"/>
      <c r="S160" s="1397"/>
      <c r="T160" s="1397"/>
      <c r="U160" s="1397"/>
      <c r="V160" s="1402"/>
    </row>
    <row r="161" spans="5:22">
      <c r="E161" s="910"/>
      <c r="L161" s="1397"/>
      <c r="M161" s="1397"/>
      <c r="N161" s="1397"/>
      <c r="O161" s="1397"/>
      <c r="P161" s="1397"/>
      <c r="Q161" s="1397"/>
      <c r="R161" s="1397"/>
      <c r="S161" s="1397"/>
      <c r="T161" s="1397"/>
      <c r="U161" s="1397"/>
      <c r="V161" s="1402"/>
    </row>
    <row r="162" spans="5:22">
      <c r="E162" s="910"/>
      <c r="F162" s="1400"/>
      <c r="L162" s="1397"/>
      <c r="M162" s="1397"/>
      <c r="N162" s="1397"/>
      <c r="O162" s="1397"/>
      <c r="P162" s="1397"/>
      <c r="Q162" s="1397"/>
      <c r="R162" s="1397"/>
      <c r="S162" s="1397"/>
      <c r="T162" s="1397"/>
      <c r="U162" s="1397"/>
      <c r="V162" s="1402"/>
    </row>
    <row r="163" spans="5:22">
      <c r="E163" s="1403"/>
      <c r="F163" s="1400"/>
      <c r="L163" s="1397"/>
      <c r="M163" s="1397"/>
      <c r="N163" s="1397"/>
      <c r="O163" s="1397"/>
      <c r="P163" s="1397"/>
      <c r="Q163" s="1397"/>
      <c r="R163" s="1397"/>
      <c r="S163" s="1397"/>
      <c r="T163" s="1397"/>
      <c r="U163" s="1397"/>
      <c r="V163" s="1402"/>
    </row>
    <row r="164" spans="5:22">
      <c r="E164" s="910"/>
      <c r="F164" s="1400"/>
      <c r="L164" s="1397"/>
      <c r="M164" s="1397"/>
      <c r="N164" s="1397"/>
      <c r="O164" s="1397"/>
      <c r="P164" s="1397"/>
      <c r="Q164" s="1397"/>
      <c r="R164" s="1397"/>
      <c r="S164" s="1397"/>
      <c r="T164" s="1397"/>
      <c r="U164" s="1397"/>
      <c r="V164" s="1402"/>
    </row>
    <row r="165" spans="5:22">
      <c r="E165" s="1403"/>
      <c r="F165" s="1400"/>
      <c r="L165" s="1397"/>
      <c r="M165" s="1397"/>
      <c r="N165" s="1397"/>
      <c r="O165" s="1397"/>
      <c r="P165" s="1397"/>
      <c r="Q165" s="1397"/>
      <c r="R165" s="1397"/>
      <c r="S165" s="1397"/>
      <c r="T165" s="1397"/>
      <c r="U165" s="1397"/>
      <c r="V165" s="1402"/>
    </row>
    <row r="166" spans="5:22">
      <c r="E166" s="910"/>
      <c r="F166" s="1400"/>
      <c r="L166" s="1397"/>
      <c r="M166" s="1397"/>
      <c r="N166" s="1397"/>
      <c r="O166" s="1397"/>
      <c r="P166" s="1397"/>
      <c r="Q166" s="1397"/>
      <c r="R166" s="1397"/>
      <c r="S166" s="1397"/>
      <c r="T166" s="1397"/>
      <c r="U166" s="1397"/>
      <c r="V166" s="1402"/>
    </row>
    <row r="167" spans="5:22">
      <c r="E167" s="1404"/>
      <c r="F167" s="1400"/>
      <c r="L167" s="1397"/>
      <c r="M167" s="1397"/>
      <c r="N167" s="1397"/>
      <c r="O167" s="1397"/>
      <c r="P167" s="1397"/>
      <c r="Q167" s="1397"/>
      <c r="R167" s="1397"/>
      <c r="S167" s="1397"/>
      <c r="T167" s="1397"/>
      <c r="U167" s="1397"/>
      <c r="V167" s="1402"/>
    </row>
    <row r="168" spans="5:22">
      <c r="E168" s="910"/>
      <c r="F168" s="1400"/>
      <c r="L168" s="1397"/>
      <c r="M168" s="1397"/>
      <c r="N168" s="1397"/>
      <c r="O168" s="1397"/>
      <c r="P168" s="1397"/>
      <c r="Q168" s="1397"/>
      <c r="R168" s="1397"/>
      <c r="S168" s="1397"/>
      <c r="T168" s="1397"/>
      <c r="U168" s="1397"/>
      <c r="V168" s="1402"/>
    </row>
    <row r="169" spans="5:22">
      <c r="E169" s="1405"/>
      <c r="F169" s="1400"/>
      <c r="L169" s="1397"/>
      <c r="M169" s="1397"/>
      <c r="N169" s="1397"/>
      <c r="O169" s="1397"/>
      <c r="P169" s="1397"/>
      <c r="Q169" s="1397"/>
      <c r="R169" s="1397"/>
      <c r="S169" s="1397"/>
      <c r="T169" s="1397"/>
      <c r="U169" s="1397"/>
      <c r="V169" s="1402"/>
    </row>
    <row r="170" spans="5:22">
      <c r="E170" s="910"/>
      <c r="F170" s="1400"/>
      <c r="L170" s="1397"/>
      <c r="M170" s="1397"/>
      <c r="N170" s="1397"/>
      <c r="O170" s="1397"/>
      <c r="P170" s="1397"/>
      <c r="Q170" s="1397"/>
      <c r="R170" s="1397"/>
      <c r="S170" s="1397"/>
      <c r="T170" s="1397"/>
      <c r="U170" s="1397"/>
      <c r="V170" s="1402"/>
    </row>
    <row r="171" spans="5:22">
      <c r="E171" s="910"/>
      <c r="F171" s="1400"/>
      <c r="L171" s="1397"/>
      <c r="M171" s="1397"/>
      <c r="N171" s="1397"/>
      <c r="O171" s="1397"/>
      <c r="P171" s="1397"/>
      <c r="Q171" s="1397"/>
      <c r="R171" s="1397"/>
      <c r="S171" s="1397"/>
      <c r="T171" s="1397"/>
      <c r="U171" s="1397"/>
      <c r="V171" s="1402"/>
    </row>
    <row r="172" spans="5:22">
      <c r="E172" s="910"/>
      <c r="F172" s="1400"/>
      <c r="L172" s="1397"/>
      <c r="M172" s="1397"/>
      <c r="N172" s="1397"/>
      <c r="O172" s="1397"/>
      <c r="P172" s="1397"/>
      <c r="Q172" s="1397"/>
      <c r="R172" s="1397"/>
      <c r="S172" s="1397"/>
      <c r="T172" s="1397"/>
      <c r="U172" s="1397"/>
      <c r="V172" s="1402"/>
    </row>
    <row r="173" spans="5:22">
      <c r="E173" s="1405"/>
      <c r="L173" s="1397"/>
      <c r="M173" s="1397"/>
      <c r="N173" s="1397"/>
      <c r="O173" s="1397"/>
      <c r="P173" s="1397"/>
      <c r="Q173" s="1397"/>
      <c r="R173" s="1397"/>
      <c r="S173" s="1397"/>
      <c r="T173" s="1397"/>
      <c r="U173" s="1397"/>
      <c r="V173" s="1402"/>
    </row>
    <row r="174" spans="5:22">
      <c r="E174" s="910"/>
      <c r="L174" s="1397"/>
      <c r="M174" s="1397"/>
      <c r="N174" s="1397"/>
      <c r="O174" s="1397"/>
      <c r="P174" s="1397"/>
      <c r="Q174" s="1397"/>
      <c r="R174" s="1397"/>
      <c r="S174" s="1397"/>
      <c r="T174" s="1397"/>
      <c r="U174" s="1397"/>
      <c r="V174" s="1402"/>
    </row>
    <row r="175" spans="5:22">
      <c r="E175" s="910"/>
      <c r="L175" s="1397"/>
      <c r="M175" s="1397"/>
      <c r="N175" s="1397"/>
      <c r="O175" s="1397"/>
      <c r="P175" s="1397"/>
      <c r="Q175" s="1397"/>
      <c r="R175" s="1397"/>
      <c r="S175" s="1397"/>
      <c r="T175" s="1397"/>
      <c r="U175" s="1397"/>
      <c r="V175" s="1402"/>
    </row>
    <row r="176" spans="5:22">
      <c r="E176" s="910"/>
      <c r="F176" s="1400"/>
      <c r="L176" s="1397"/>
      <c r="M176" s="1397"/>
      <c r="N176" s="1397"/>
      <c r="O176" s="1397"/>
      <c r="P176" s="1397"/>
      <c r="Q176" s="1397"/>
      <c r="R176" s="1397"/>
      <c r="S176" s="1397"/>
      <c r="T176" s="1397"/>
      <c r="U176" s="1397"/>
      <c r="V176" s="1402"/>
    </row>
    <row r="177" spans="5:22">
      <c r="E177" s="1403"/>
      <c r="F177" s="1400"/>
      <c r="L177" s="1397"/>
      <c r="M177" s="1397"/>
      <c r="N177" s="1397"/>
      <c r="O177" s="1397"/>
      <c r="P177" s="1397"/>
      <c r="Q177" s="1397"/>
      <c r="R177" s="1397"/>
      <c r="S177" s="1397"/>
      <c r="T177" s="1397"/>
      <c r="U177" s="1397"/>
      <c r="V177" s="1402"/>
    </row>
    <row r="178" spans="5:22">
      <c r="E178" s="910"/>
      <c r="F178" s="1400"/>
      <c r="L178" s="1397"/>
      <c r="M178" s="1397"/>
      <c r="N178" s="1397"/>
      <c r="O178" s="1397"/>
      <c r="P178" s="1397"/>
      <c r="Q178" s="1397"/>
      <c r="R178" s="1397"/>
      <c r="S178" s="1397"/>
      <c r="T178" s="1397"/>
      <c r="U178" s="1397"/>
      <c r="V178" s="1402"/>
    </row>
    <row r="179" spans="5:22">
      <c r="E179" s="1403"/>
      <c r="F179" s="1400"/>
      <c r="L179" s="1397"/>
      <c r="M179" s="1397"/>
      <c r="N179" s="1397"/>
      <c r="O179" s="1397"/>
      <c r="P179" s="1397"/>
      <c r="Q179" s="1397"/>
      <c r="R179" s="1397"/>
      <c r="S179" s="1397"/>
      <c r="T179" s="1397"/>
      <c r="U179" s="1397"/>
      <c r="V179" s="1402"/>
    </row>
    <row r="180" spans="5:22">
      <c r="E180" s="910"/>
      <c r="F180" s="1400"/>
      <c r="L180" s="1397"/>
      <c r="M180" s="1397"/>
      <c r="N180" s="1397"/>
      <c r="O180" s="1397"/>
      <c r="P180" s="1397"/>
      <c r="Q180" s="1397"/>
      <c r="R180" s="1397"/>
      <c r="S180" s="1397"/>
      <c r="T180" s="1397"/>
      <c r="U180" s="1397"/>
      <c r="V180" s="1402"/>
    </row>
    <row r="181" spans="5:22">
      <c r="E181" s="1404"/>
      <c r="F181" s="1400"/>
      <c r="L181" s="1397"/>
      <c r="M181" s="1397"/>
      <c r="N181" s="1397"/>
      <c r="O181" s="1397"/>
      <c r="P181" s="1397"/>
      <c r="Q181" s="1397"/>
      <c r="R181" s="1397"/>
      <c r="S181" s="1397"/>
      <c r="T181" s="1397"/>
      <c r="U181" s="1397"/>
      <c r="V181" s="1402"/>
    </row>
    <row r="182" spans="5:22">
      <c r="E182" s="910"/>
      <c r="F182" s="1400"/>
      <c r="L182" s="1397"/>
      <c r="M182" s="1397"/>
      <c r="N182" s="1397"/>
      <c r="O182" s="1397"/>
      <c r="P182" s="1397"/>
      <c r="Q182" s="1397"/>
      <c r="R182" s="1397"/>
      <c r="S182" s="1397"/>
      <c r="T182" s="1397"/>
      <c r="U182" s="1397"/>
      <c r="V182" s="1402"/>
    </row>
    <row r="183" spans="5:22">
      <c r="E183" s="1405"/>
      <c r="F183" s="1400"/>
      <c r="L183" s="1397"/>
      <c r="M183" s="1397"/>
      <c r="N183" s="1397"/>
      <c r="O183" s="1397"/>
      <c r="P183" s="1397"/>
      <c r="Q183" s="1397"/>
      <c r="R183" s="1397"/>
      <c r="S183" s="1397"/>
      <c r="T183" s="1397"/>
      <c r="U183" s="1397"/>
      <c r="V183" s="1402"/>
    </row>
    <row r="184" spans="5:22">
      <c r="E184" s="910"/>
      <c r="F184" s="1400"/>
      <c r="L184" s="1397"/>
      <c r="M184" s="1397"/>
      <c r="N184" s="1397"/>
      <c r="O184" s="1397"/>
      <c r="P184" s="1397"/>
      <c r="Q184" s="1397"/>
      <c r="R184" s="1397"/>
      <c r="S184" s="1397"/>
      <c r="T184" s="1397"/>
      <c r="U184" s="1397"/>
      <c r="V184" s="1402"/>
    </row>
    <row r="185" spans="5:22">
      <c r="E185" s="910"/>
      <c r="F185" s="1400"/>
      <c r="L185" s="1397"/>
      <c r="M185" s="1397"/>
      <c r="N185" s="1397"/>
      <c r="O185" s="1397"/>
      <c r="P185" s="1397"/>
      <c r="Q185" s="1397"/>
      <c r="R185" s="1397"/>
      <c r="S185" s="1397"/>
      <c r="T185" s="1397"/>
      <c r="U185" s="1397"/>
      <c r="V185" s="1402"/>
    </row>
    <row r="186" spans="5:22">
      <c r="E186" s="910"/>
      <c r="F186" s="1400"/>
      <c r="L186" s="1397"/>
      <c r="M186" s="1397"/>
      <c r="N186" s="1397"/>
      <c r="O186" s="1397"/>
      <c r="P186" s="1397"/>
      <c r="Q186" s="1397"/>
      <c r="R186" s="1397"/>
      <c r="S186" s="1397"/>
      <c r="T186" s="1397"/>
      <c r="U186" s="1397"/>
      <c r="V186" s="1402"/>
    </row>
    <row r="187" spans="5:22">
      <c r="E187" s="1405"/>
      <c r="L187" s="1397"/>
      <c r="M187" s="1397"/>
      <c r="N187" s="1397"/>
      <c r="O187" s="1397"/>
      <c r="P187" s="1397"/>
      <c r="Q187" s="1397"/>
      <c r="R187" s="1397"/>
      <c r="S187" s="1397"/>
      <c r="T187" s="1397"/>
      <c r="U187" s="1397"/>
      <c r="V187" s="1402"/>
    </row>
    <row r="188" spans="5:22">
      <c r="E188" s="910"/>
      <c r="L188" s="1397"/>
      <c r="M188" s="1397"/>
      <c r="N188" s="1397"/>
      <c r="O188" s="1397"/>
      <c r="P188" s="1397"/>
      <c r="Q188" s="1397"/>
      <c r="R188" s="1397"/>
      <c r="S188" s="1397"/>
      <c r="T188" s="1397"/>
      <c r="U188" s="1397"/>
      <c r="V188" s="1402"/>
    </row>
    <row r="189" spans="5:22">
      <c r="E189" s="910"/>
      <c r="L189" s="1397"/>
      <c r="M189" s="1397"/>
      <c r="N189" s="1397"/>
      <c r="O189" s="1397"/>
      <c r="P189" s="1397"/>
      <c r="Q189" s="1397"/>
      <c r="R189" s="1397"/>
      <c r="S189" s="1397"/>
      <c r="T189" s="1397"/>
      <c r="U189" s="1397"/>
      <c r="V189" s="1402"/>
    </row>
    <row r="190" spans="5:22">
      <c r="E190" s="910"/>
      <c r="F190" s="1400"/>
      <c r="L190" s="1397"/>
      <c r="M190" s="1397"/>
      <c r="N190" s="1397"/>
      <c r="O190" s="1397"/>
      <c r="P190" s="1397"/>
      <c r="Q190" s="1397"/>
      <c r="R190" s="1397"/>
      <c r="S190" s="1397"/>
      <c r="T190" s="1397"/>
      <c r="U190" s="1397"/>
      <c r="V190" s="1402"/>
    </row>
    <row r="191" spans="5:22">
      <c r="E191" s="1403"/>
      <c r="F191" s="1400"/>
      <c r="L191" s="1397"/>
      <c r="M191" s="1397"/>
      <c r="N191" s="1397"/>
      <c r="O191" s="1397"/>
      <c r="P191" s="1397"/>
      <c r="Q191" s="1397"/>
      <c r="R191" s="1397"/>
      <c r="S191" s="1397"/>
      <c r="T191" s="1397"/>
      <c r="U191" s="1397"/>
      <c r="V191" s="1402"/>
    </row>
    <row r="192" spans="5:22">
      <c r="E192" s="910"/>
      <c r="F192" s="1400"/>
      <c r="L192" s="1397"/>
      <c r="M192" s="1397"/>
      <c r="N192" s="1397"/>
      <c r="O192" s="1397"/>
      <c r="P192" s="1397"/>
      <c r="Q192" s="1397"/>
      <c r="R192" s="1397"/>
      <c r="S192" s="1397"/>
      <c r="T192" s="1397"/>
      <c r="U192" s="1397"/>
      <c r="V192" s="1402"/>
    </row>
    <row r="193" spans="5:22">
      <c r="E193" s="1403"/>
      <c r="F193" s="1400"/>
      <c r="L193" s="1397"/>
      <c r="M193" s="1397"/>
      <c r="N193" s="1397"/>
      <c r="O193" s="1397"/>
      <c r="P193" s="1397"/>
      <c r="Q193" s="1397"/>
      <c r="R193" s="1397"/>
      <c r="S193" s="1397"/>
      <c r="T193" s="1397"/>
      <c r="U193" s="1397"/>
      <c r="V193" s="1402"/>
    </row>
    <row r="194" spans="5:22">
      <c r="E194" s="910"/>
      <c r="F194" s="1400"/>
      <c r="L194" s="1397"/>
      <c r="M194" s="1397"/>
      <c r="N194" s="1397"/>
      <c r="O194" s="1397"/>
      <c r="P194" s="1397"/>
      <c r="Q194" s="1397"/>
      <c r="R194" s="1397"/>
      <c r="S194" s="1397"/>
      <c r="T194" s="1397"/>
      <c r="U194" s="1397"/>
      <c r="V194" s="1402"/>
    </row>
    <row r="195" spans="5:22">
      <c r="E195" s="1404"/>
      <c r="F195" s="1400"/>
      <c r="L195" s="1397"/>
      <c r="M195" s="1397"/>
      <c r="N195" s="1397"/>
      <c r="O195" s="1397"/>
      <c r="P195" s="1397"/>
      <c r="Q195" s="1397"/>
      <c r="R195" s="1397"/>
      <c r="S195" s="1397"/>
      <c r="T195" s="1397"/>
      <c r="U195" s="1397"/>
      <c r="V195" s="1402"/>
    </row>
    <row r="196" spans="5:22">
      <c r="E196" s="910"/>
      <c r="F196" s="1400"/>
      <c r="L196" s="1397"/>
      <c r="M196" s="1397"/>
      <c r="N196" s="1397"/>
      <c r="O196" s="1397"/>
      <c r="P196" s="1397"/>
      <c r="Q196" s="1397"/>
      <c r="R196" s="1397"/>
      <c r="S196" s="1397"/>
      <c r="T196" s="1397"/>
      <c r="U196" s="1397"/>
      <c r="V196" s="1402"/>
    </row>
    <row r="197" spans="5:22">
      <c r="E197" s="1405"/>
      <c r="F197" s="1400"/>
      <c r="L197" s="1397"/>
      <c r="M197" s="1397"/>
      <c r="N197" s="1397"/>
      <c r="O197" s="1397"/>
      <c r="P197" s="1397"/>
      <c r="Q197" s="1397"/>
      <c r="R197" s="1397"/>
      <c r="S197" s="1397"/>
      <c r="T197" s="1397"/>
      <c r="U197" s="1397"/>
      <c r="V197" s="1402"/>
    </row>
    <row r="198" spans="5:22">
      <c r="E198" s="910"/>
      <c r="F198" s="1400"/>
      <c r="L198" s="1397"/>
      <c r="M198" s="1397"/>
      <c r="N198" s="1397"/>
      <c r="O198" s="1397"/>
      <c r="P198" s="1397"/>
      <c r="Q198" s="1397"/>
      <c r="R198" s="1397"/>
      <c r="S198" s="1397"/>
      <c r="T198" s="1397"/>
      <c r="U198" s="1397"/>
      <c r="V198" s="1402"/>
    </row>
    <row r="199" spans="5:22">
      <c r="E199" s="910"/>
      <c r="F199" s="1400"/>
      <c r="L199" s="1397"/>
      <c r="M199" s="1397"/>
      <c r="N199" s="1397"/>
      <c r="O199" s="1397"/>
      <c r="P199" s="1397"/>
      <c r="Q199" s="1397"/>
      <c r="R199" s="1397"/>
      <c r="S199" s="1397"/>
      <c r="T199" s="1397"/>
      <c r="U199" s="1397"/>
      <c r="V199" s="1402"/>
    </row>
    <row r="200" spans="5:22">
      <c r="E200" s="910"/>
      <c r="F200" s="1400"/>
      <c r="L200" s="1397"/>
      <c r="M200" s="1397"/>
      <c r="N200" s="1397"/>
      <c r="O200" s="1397"/>
      <c r="P200" s="1397"/>
      <c r="Q200" s="1397"/>
      <c r="R200" s="1397"/>
      <c r="S200" s="1397"/>
      <c r="T200" s="1397"/>
      <c r="U200" s="1397"/>
      <c r="V200" s="1402"/>
    </row>
    <row r="201" spans="5:22">
      <c r="E201" s="1405"/>
      <c r="L201" s="1397"/>
      <c r="M201" s="1397"/>
      <c r="N201" s="1397"/>
      <c r="O201" s="1397"/>
      <c r="P201" s="1397"/>
      <c r="Q201" s="1397"/>
      <c r="R201" s="1397"/>
      <c r="S201" s="1397"/>
      <c r="T201" s="1397"/>
      <c r="U201" s="1397"/>
      <c r="V201" s="1402"/>
    </row>
    <row r="202" spans="5:22">
      <c r="E202" s="910"/>
      <c r="L202" s="1397"/>
      <c r="M202" s="1397"/>
      <c r="N202" s="1397"/>
      <c r="O202" s="1397"/>
      <c r="P202" s="1397"/>
      <c r="Q202" s="1397"/>
      <c r="R202" s="1397"/>
      <c r="S202" s="1397"/>
      <c r="T202" s="1397"/>
      <c r="U202" s="1397"/>
      <c r="V202" s="1402"/>
    </row>
    <row r="203" spans="5:22">
      <c r="E203" s="910"/>
      <c r="L203" s="1397"/>
      <c r="M203" s="1397"/>
      <c r="N203" s="1397"/>
      <c r="O203" s="1397"/>
      <c r="P203" s="1397"/>
      <c r="Q203" s="1397"/>
      <c r="R203" s="1397"/>
      <c r="S203" s="1397"/>
      <c r="T203" s="1397"/>
      <c r="U203" s="1397"/>
      <c r="V203" s="1402"/>
    </row>
    <row r="204" spans="5:22">
      <c r="E204" s="910"/>
      <c r="F204" s="1400"/>
      <c r="L204" s="1397"/>
      <c r="M204" s="1397"/>
      <c r="N204" s="1397"/>
      <c r="O204" s="1397"/>
      <c r="P204" s="1397"/>
      <c r="Q204" s="1397"/>
      <c r="R204" s="1397"/>
      <c r="S204" s="1397"/>
      <c r="T204" s="1397"/>
      <c r="U204" s="1397"/>
      <c r="V204" s="1402"/>
    </row>
    <row r="205" spans="5:22">
      <c r="E205" s="1403"/>
      <c r="F205" s="1400"/>
      <c r="L205" s="1397"/>
      <c r="M205" s="1397"/>
      <c r="N205" s="1397"/>
      <c r="O205" s="1397"/>
      <c r="P205" s="1397"/>
      <c r="Q205" s="1397"/>
      <c r="R205" s="1397"/>
      <c r="S205" s="1397"/>
      <c r="T205" s="1397"/>
      <c r="U205" s="1397"/>
      <c r="V205" s="1402"/>
    </row>
    <row r="206" spans="5:22">
      <c r="E206" s="910"/>
      <c r="F206" s="1400"/>
      <c r="L206" s="1397"/>
      <c r="M206" s="1397"/>
      <c r="N206" s="1397"/>
      <c r="O206" s="1397"/>
      <c r="P206" s="1397"/>
      <c r="Q206" s="1397"/>
      <c r="R206" s="1397"/>
      <c r="S206" s="1397"/>
      <c r="T206" s="1397"/>
      <c r="U206" s="1397"/>
      <c r="V206" s="1402"/>
    </row>
    <row r="207" spans="5:22">
      <c r="E207" s="1403"/>
      <c r="F207" s="1400"/>
      <c r="L207" s="1397"/>
      <c r="M207" s="1397"/>
      <c r="N207" s="1397"/>
      <c r="O207" s="1397"/>
      <c r="P207" s="1397"/>
      <c r="Q207" s="1397"/>
      <c r="R207" s="1397"/>
      <c r="S207" s="1397"/>
      <c r="T207" s="1397"/>
      <c r="U207" s="1397"/>
      <c r="V207" s="1402"/>
    </row>
    <row r="208" spans="5:22">
      <c r="E208" s="910"/>
      <c r="F208" s="1400"/>
      <c r="L208" s="1397"/>
      <c r="M208" s="1397"/>
      <c r="N208" s="1397"/>
      <c r="O208" s="1397"/>
      <c r="P208" s="1397"/>
      <c r="Q208" s="1397"/>
      <c r="R208" s="1397"/>
      <c r="S208" s="1397"/>
      <c r="T208" s="1397"/>
      <c r="U208" s="1397"/>
      <c r="V208" s="1402"/>
    </row>
    <row r="209" spans="5:22">
      <c r="E209" s="1404"/>
      <c r="F209" s="1400"/>
      <c r="L209" s="1397"/>
      <c r="M209" s="1397"/>
      <c r="N209" s="1397"/>
      <c r="O209" s="1397"/>
      <c r="P209" s="1397"/>
      <c r="Q209" s="1397"/>
      <c r="R209" s="1397"/>
      <c r="S209" s="1397"/>
      <c r="T209" s="1397"/>
      <c r="U209" s="1397"/>
      <c r="V209" s="1402"/>
    </row>
    <row r="210" spans="5:22">
      <c r="E210" s="910"/>
      <c r="F210" s="1400"/>
      <c r="L210" s="1397"/>
      <c r="M210" s="1397"/>
      <c r="N210" s="1397"/>
      <c r="O210" s="1397"/>
      <c r="P210" s="1397"/>
      <c r="Q210" s="1397"/>
      <c r="R210" s="1397"/>
      <c r="S210" s="1397"/>
      <c r="T210" s="1397"/>
      <c r="U210" s="1397"/>
      <c r="V210" s="1402"/>
    </row>
    <row r="211" spans="5:22">
      <c r="E211" s="1405"/>
      <c r="F211" s="1400"/>
      <c r="L211" s="1397"/>
      <c r="M211" s="1397"/>
      <c r="N211" s="1397"/>
      <c r="O211" s="1397"/>
      <c r="P211" s="1397"/>
      <c r="Q211" s="1397"/>
      <c r="R211" s="1397"/>
      <c r="S211" s="1397"/>
      <c r="T211" s="1397"/>
      <c r="U211" s="1397"/>
      <c r="V211" s="1402"/>
    </row>
    <row r="212" spans="5:22">
      <c r="E212" s="910"/>
      <c r="F212" s="1400"/>
      <c r="L212" s="1397"/>
      <c r="M212" s="1397"/>
      <c r="N212" s="1397"/>
      <c r="O212" s="1397"/>
      <c r="P212" s="1397"/>
      <c r="Q212" s="1397"/>
      <c r="R212" s="1397"/>
      <c r="S212" s="1397"/>
      <c r="T212" s="1397"/>
      <c r="U212" s="1397"/>
      <c r="V212" s="1402"/>
    </row>
    <row r="213" spans="5:22">
      <c r="E213" s="910"/>
      <c r="F213" s="1400"/>
      <c r="L213" s="1397"/>
      <c r="M213" s="1397"/>
      <c r="N213" s="1397"/>
      <c r="O213" s="1397"/>
      <c r="P213" s="1397"/>
      <c r="Q213" s="1397"/>
      <c r="R213" s="1397"/>
      <c r="S213" s="1397"/>
      <c r="T213" s="1397"/>
      <c r="U213" s="1397"/>
      <c r="V213" s="1402"/>
    </row>
    <row r="214" spans="5:22">
      <c r="E214" s="910"/>
      <c r="F214" s="1400"/>
      <c r="L214" s="1397"/>
      <c r="M214" s="1397"/>
      <c r="N214" s="1397"/>
      <c r="O214" s="1397"/>
      <c r="P214" s="1397"/>
      <c r="Q214" s="1397"/>
      <c r="R214" s="1397"/>
      <c r="S214" s="1397"/>
      <c r="T214" s="1397"/>
      <c r="U214" s="1397"/>
      <c r="V214" s="1402"/>
    </row>
    <row r="215" spans="5:22">
      <c r="E215" s="1405"/>
      <c r="L215" s="1397"/>
      <c r="M215" s="1397"/>
      <c r="N215" s="1397"/>
      <c r="O215" s="1397"/>
      <c r="P215" s="1397"/>
      <c r="Q215" s="1397"/>
      <c r="R215" s="1397"/>
      <c r="S215" s="1397"/>
      <c r="T215" s="1397"/>
      <c r="U215" s="1397"/>
      <c r="V215" s="1402"/>
    </row>
    <row r="216" spans="5:22">
      <c r="E216" s="910"/>
      <c r="L216" s="1397"/>
      <c r="M216" s="1397"/>
      <c r="N216" s="1397"/>
      <c r="O216" s="1397"/>
      <c r="P216" s="1397"/>
      <c r="Q216" s="1397"/>
      <c r="R216" s="1397"/>
      <c r="S216" s="1397"/>
      <c r="T216" s="1397"/>
      <c r="U216" s="1397"/>
      <c r="V216" s="1402"/>
    </row>
    <row r="217" spans="5:22">
      <c r="E217" s="910"/>
      <c r="L217" s="1397"/>
      <c r="M217" s="1397"/>
      <c r="N217" s="1397"/>
      <c r="O217" s="1397"/>
      <c r="P217" s="1397"/>
      <c r="Q217" s="1397"/>
      <c r="R217" s="1397"/>
      <c r="S217" s="1397"/>
      <c r="T217" s="1397"/>
      <c r="U217" s="1397"/>
      <c r="V217" s="1402"/>
    </row>
    <row r="218" spans="5:22">
      <c r="E218" s="910"/>
      <c r="F218" s="1400"/>
      <c r="L218" s="1397"/>
      <c r="M218" s="1397"/>
      <c r="N218" s="1397"/>
      <c r="O218" s="1397"/>
      <c r="P218" s="1397"/>
      <c r="Q218" s="1397"/>
      <c r="R218" s="1397"/>
      <c r="S218" s="1397"/>
      <c r="T218" s="1397"/>
      <c r="U218" s="1397"/>
      <c r="V218" s="1402"/>
    </row>
    <row r="423" spans="1:22" ht="12" thickBot="1"/>
    <row r="424" spans="1:22" ht="33.75">
      <c r="A424" s="1408"/>
      <c r="B424" s="1022" t="s">
        <v>89</v>
      </c>
      <c r="C424" s="1022"/>
      <c r="D424" s="1409"/>
      <c r="E424" s="1409"/>
      <c r="F424" s="1409"/>
      <c r="G424" s="1409"/>
      <c r="H424" s="1409"/>
      <c r="I424" s="1409"/>
      <c r="J424" s="1409"/>
      <c r="K424" s="1409"/>
      <c r="L424" s="1410"/>
      <c r="M424" s="1410"/>
      <c r="N424" s="1410"/>
      <c r="O424" s="1410"/>
      <c r="P424" s="1410"/>
      <c r="Q424" s="1410"/>
      <c r="R424" s="1410"/>
      <c r="S424" s="1410"/>
      <c r="T424" s="1410"/>
      <c r="U424" s="1410"/>
      <c r="V424" s="1411"/>
    </row>
    <row r="425" spans="1:22">
      <c r="A425" s="1412"/>
      <c r="B425" s="1398"/>
      <c r="C425" s="1398"/>
      <c r="D425" s="1398"/>
      <c r="E425" s="1398"/>
      <c r="F425" s="1398"/>
      <c r="G425" s="1398"/>
      <c r="H425" s="1398"/>
      <c r="I425" s="1398"/>
      <c r="J425" s="1398"/>
      <c r="K425" s="1398"/>
      <c r="M425" s="1406"/>
      <c r="N425" s="1406"/>
      <c r="O425" s="1406"/>
      <c r="P425" s="1406"/>
      <c r="Q425" s="1406"/>
      <c r="R425" s="1406"/>
      <c r="S425" s="1406"/>
      <c r="T425" s="1406"/>
      <c r="U425" s="1406"/>
      <c r="V425" s="1413"/>
    </row>
    <row r="426" spans="1:22">
      <c r="A426" s="1412"/>
      <c r="B426" s="1398"/>
      <c r="C426" s="1398"/>
      <c r="D426" s="1398"/>
      <c r="E426" s="1398"/>
      <c r="F426" s="1398"/>
      <c r="G426" s="1398"/>
      <c r="H426" s="1398"/>
      <c r="I426" s="1398"/>
      <c r="J426" s="1398"/>
      <c r="K426" s="1398"/>
      <c r="M426" s="1406"/>
      <c r="N426" s="1406"/>
      <c r="O426" s="1406"/>
      <c r="P426" s="1406"/>
      <c r="Q426" s="1406"/>
      <c r="R426" s="1406"/>
      <c r="S426" s="1406"/>
      <c r="T426" s="1406"/>
      <c r="U426" s="1406"/>
      <c r="V426" s="1413"/>
    </row>
    <row r="427" spans="1:22">
      <c r="A427" s="1412"/>
      <c r="B427" s="1398"/>
      <c r="C427" s="1398"/>
      <c r="D427" s="1398"/>
      <c r="E427" s="1398"/>
      <c r="F427" s="1398"/>
      <c r="G427" s="1398"/>
      <c r="H427" s="1398"/>
      <c r="I427" s="1398"/>
      <c r="J427" s="1398"/>
      <c r="K427" s="1398"/>
      <c r="M427" s="1406"/>
      <c r="N427" s="1406"/>
      <c r="O427" s="1406"/>
      <c r="P427" s="1406"/>
      <c r="Q427" s="1406"/>
      <c r="R427" s="1406"/>
      <c r="S427" s="1406"/>
      <c r="T427" s="1406"/>
      <c r="U427" s="1406"/>
      <c r="V427" s="1413"/>
    </row>
    <row r="428" spans="1:22">
      <c r="A428" s="1412"/>
      <c r="B428" s="1398"/>
      <c r="C428" s="1398"/>
      <c r="D428" s="1398"/>
      <c r="E428" s="1398"/>
      <c r="F428" s="1398"/>
      <c r="G428" s="1398"/>
      <c r="H428" s="1398"/>
      <c r="I428" s="1398"/>
      <c r="J428" s="1398"/>
      <c r="K428" s="1398"/>
      <c r="M428" s="1406"/>
      <c r="N428" s="1406"/>
      <c r="O428" s="1406"/>
      <c r="P428" s="1406"/>
      <c r="Q428" s="1406"/>
      <c r="R428" s="1406"/>
      <c r="S428" s="1406"/>
      <c r="T428" s="1406"/>
      <c r="U428" s="1406"/>
      <c r="V428" s="1413"/>
    </row>
    <row r="429" spans="1:22">
      <c r="A429" s="1412"/>
      <c r="B429" s="1398"/>
      <c r="C429" s="1398"/>
      <c r="D429" s="1398"/>
      <c r="E429" s="1398"/>
      <c r="F429" s="1398"/>
      <c r="G429" s="1398"/>
      <c r="H429" s="1398"/>
      <c r="I429" s="1398"/>
      <c r="J429" s="1398"/>
      <c r="K429" s="1398"/>
      <c r="M429" s="1406"/>
      <c r="N429" s="1406"/>
      <c r="O429" s="1406"/>
      <c r="P429" s="1406"/>
      <c r="Q429" s="1406"/>
      <c r="R429" s="1406"/>
      <c r="S429" s="1406"/>
      <c r="T429" s="1406"/>
      <c r="U429" s="1406"/>
      <c r="V429" s="1413"/>
    </row>
    <row r="430" spans="1:22">
      <c r="A430" s="1412"/>
      <c r="B430" s="1398"/>
      <c r="C430" s="1398"/>
      <c r="D430" s="1398"/>
      <c r="E430" s="1398"/>
      <c r="F430" s="1398"/>
      <c r="G430" s="1398"/>
      <c r="H430" s="1398"/>
      <c r="I430" s="1398"/>
      <c r="J430" s="1398"/>
      <c r="K430" s="1398"/>
      <c r="M430" s="1406"/>
      <c r="N430" s="1406"/>
      <c r="O430" s="1406"/>
      <c r="P430" s="1406"/>
      <c r="Q430" s="1406"/>
      <c r="R430" s="1406"/>
      <c r="S430" s="1406"/>
      <c r="T430" s="1406"/>
      <c r="U430" s="1406"/>
      <c r="V430" s="1413"/>
    </row>
    <row r="431" spans="1:22">
      <c r="A431" s="1412"/>
      <c r="B431" s="1398"/>
      <c r="C431" s="1398"/>
      <c r="D431" s="1398"/>
      <c r="E431" s="1398"/>
      <c r="F431" s="1398"/>
      <c r="G431" s="1398"/>
      <c r="H431" s="1398"/>
      <c r="I431" s="1398"/>
      <c r="J431" s="1398"/>
      <c r="K431" s="1398"/>
      <c r="M431" s="1406"/>
      <c r="N431" s="1406"/>
      <c r="O431" s="1406"/>
      <c r="P431" s="1406"/>
      <c r="Q431" s="1406"/>
      <c r="R431" s="1406"/>
      <c r="S431" s="1406"/>
      <c r="T431" s="1406"/>
      <c r="U431" s="1406"/>
      <c r="V431" s="1413"/>
    </row>
    <row r="432" spans="1:22">
      <c r="A432" s="1412"/>
      <c r="B432" s="1398"/>
      <c r="C432" s="1398"/>
      <c r="D432" s="1398"/>
      <c r="E432" s="1398"/>
      <c r="F432" s="1398"/>
      <c r="G432" s="1398"/>
      <c r="H432" s="1398"/>
      <c r="I432" s="1398"/>
      <c r="J432" s="1398"/>
      <c r="K432" s="1398"/>
      <c r="M432" s="1406"/>
      <c r="N432" s="1406"/>
      <c r="O432" s="1406"/>
      <c r="P432" s="1406"/>
      <c r="Q432" s="1406"/>
      <c r="R432" s="1406"/>
      <c r="S432" s="1406"/>
      <c r="T432" s="1406"/>
      <c r="U432" s="1406"/>
      <c r="V432" s="1413"/>
    </row>
    <row r="433" spans="1:22">
      <c r="A433" s="1412"/>
      <c r="B433" s="1398"/>
      <c r="C433" s="1398"/>
      <c r="D433" s="1398"/>
      <c r="E433" s="1398"/>
      <c r="F433" s="1398"/>
      <c r="G433" s="1398"/>
      <c r="H433" s="1398"/>
      <c r="I433" s="1398"/>
      <c r="J433" s="1398"/>
      <c r="K433" s="1398"/>
      <c r="M433" s="1406"/>
      <c r="N433" s="1406"/>
      <c r="O433" s="1406"/>
      <c r="P433" s="1406"/>
      <c r="Q433" s="1406"/>
      <c r="R433" s="1406"/>
      <c r="S433" s="1406"/>
      <c r="T433" s="1406"/>
      <c r="U433" s="1406"/>
      <c r="V433" s="1413"/>
    </row>
    <row r="434" spans="1:22">
      <c r="A434" s="1412"/>
      <c r="B434" s="1398"/>
      <c r="C434" s="1398"/>
      <c r="D434" s="1398"/>
      <c r="E434" s="1398"/>
      <c r="F434" s="1398"/>
      <c r="G434" s="1398"/>
      <c r="H434" s="1398"/>
      <c r="I434" s="1398"/>
      <c r="J434" s="1398"/>
      <c r="K434" s="1398"/>
      <c r="M434" s="1406"/>
      <c r="N434" s="1406"/>
      <c r="O434" s="1406"/>
      <c r="P434" s="1406"/>
      <c r="Q434" s="1406"/>
      <c r="R434" s="1406"/>
      <c r="S434" s="1406"/>
      <c r="T434" s="1406"/>
      <c r="U434" s="1406"/>
      <c r="V434" s="1413"/>
    </row>
    <row r="435" spans="1:22" ht="12" thickBot="1">
      <c r="A435" s="1414"/>
      <c r="B435" s="1415"/>
      <c r="C435" s="1415"/>
      <c r="D435" s="1415"/>
      <c r="E435" s="1415"/>
      <c r="F435" s="1415"/>
      <c r="G435" s="1415"/>
      <c r="H435" s="1415"/>
      <c r="I435" s="1415"/>
      <c r="J435" s="1415"/>
      <c r="K435" s="1415"/>
      <c r="L435" s="1416"/>
      <c r="M435" s="1416"/>
      <c r="N435" s="1416"/>
      <c r="O435" s="1416"/>
      <c r="P435" s="1416"/>
      <c r="Q435" s="1416"/>
      <c r="R435" s="1416"/>
      <c r="S435" s="1416"/>
      <c r="T435" s="1416"/>
      <c r="U435" s="1416"/>
      <c r="V435" s="1417"/>
    </row>
  </sheetData>
  <mergeCells count="51">
    <mergeCell ref="A79:A89"/>
    <mergeCell ref="V79:V89"/>
    <mergeCell ref="C81:C82"/>
    <mergeCell ref="C83:C84"/>
    <mergeCell ref="C86:C87"/>
    <mergeCell ref="U86:U89"/>
    <mergeCell ref="C88:C89"/>
    <mergeCell ref="A67:A78"/>
    <mergeCell ref="V67:V78"/>
    <mergeCell ref="C69:C70"/>
    <mergeCell ref="C72:C73"/>
    <mergeCell ref="C75:C76"/>
    <mergeCell ref="U75:U78"/>
    <mergeCell ref="C77:C78"/>
    <mergeCell ref="A55:A66"/>
    <mergeCell ref="V55:V66"/>
    <mergeCell ref="C57:C58"/>
    <mergeCell ref="C60:C61"/>
    <mergeCell ref="U62:U66"/>
    <mergeCell ref="C63:C64"/>
    <mergeCell ref="C65:C66"/>
    <mergeCell ref="A43:A54"/>
    <mergeCell ref="V43:V54"/>
    <mergeCell ref="C45:C46"/>
    <mergeCell ref="C47:C49"/>
    <mergeCell ref="C51:C52"/>
    <mergeCell ref="U51:U54"/>
    <mergeCell ref="C53:C54"/>
    <mergeCell ref="A31:A42"/>
    <mergeCell ref="V31:V42"/>
    <mergeCell ref="C33:C34"/>
    <mergeCell ref="C36:C37"/>
    <mergeCell ref="C39:C40"/>
    <mergeCell ref="U39:U42"/>
    <mergeCell ref="C41:C42"/>
    <mergeCell ref="A22:A25"/>
    <mergeCell ref="V22:V30"/>
    <mergeCell ref="C24:C27"/>
    <mergeCell ref="C29:C30"/>
    <mergeCell ref="U29:U30"/>
    <mergeCell ref="V4:V6"/>
    <mergeCell ref="V11:V21"/>
    <mergeCell ref="C12:C16"/>
    <mergeCell ref="U17:U21"/>
    <mergeCell ref="C18:C21"/>
    <mergeCell ref="O4:T5"/>
    <mergeCell ref="B4:B6"/>
    <mergeCell ref="C4:C6"/>
    <mergeCell ref="D4:D6"/>
    <mergeCell ref="E4:N5"/>
    <mergeCell ref="U4:U6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70" firstPageNumber="46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P256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2" outlineLevelRow="1"/>
  <cols>
    <col min="1" max="1" width="3.7109375" style="1418" customWidth="1"/>
    <col min="2" max="2" width="56.140625" style="1397" customWidth="1"/>
    <col min="3" max="3" width="9.7109375" style="1397" customWidth="1"/>
    <col min="4" max="4" width="14" style="1397" customWidth="1"/>
    <col min="5" max="5" width="12" style="1397" hidden="1" customWidth="1"/>
    <col min="6" max="6" width="11.7109375" style="1397" hidden="1" customWidth="1"/>
    <col min="7" max="7" width="10.140625" style="1397" hidden="1" customWidth="1"/>
    <col min="8" max="8" width="12.28515625" style="1397" hidden="1" customWidth="1"/>
    <col min="9" max="12" width="10.140625" style="1397" hidden="1" customWidth="1"/>
    <col min="13" max="13" width="11.5703125" style="1397" customWidth="1"/>
    <col min="14" max="14" width="12.28515625" style="1406" customWidth="1"/>
    <col min="15" max="15" width="10.140625" style="1398" customWidth="1"/>
    <col min="16" max="16" width="10.42578125" style="1398" customWidth="1"/>
    <col min="17" max="17" width="9.42578125" style="1398" bestFit="1" customWidth="1"/>
    <col min="18" max="20" width="9.42578125" style="1398" customWidth="1"/>
    <col min="21" max="21" width="11.7109375" style="1398" customWidth="1"/>
    <col min="22" max="22" width="15.7109375" style="1407" customWidth="1"/>
    <col min="23" max="16384" width="9.140625" style="1397"/>
  </cols>
  <sheetData>
    <row r="1" spans="1:68" ht="16.5" customHeight="1">
      <c r="F1" s="1401" t="e">
        <f>+#REF!-#REF!</f>
        <v>#REF!</v>
      </c>
      <c r="N1" s="1398"/>
      <c r="P1" s="2785"/>
      <c r="Q1" s="2785"/>
      <c r="R1" s="2785"/>
      <c r="S1" s="375" t="s">
        <v>310</v>
      </c>
      <c r="T1" s="795"/>
      <c r="U1" s="377"/>
      <c r="V1" s="378"/>
    </row>
    <row r="2" spans="1:68" ht="7.5" customHeight="1">
      <c r="F2" s="1401"/>
      <c r="N2" s="379"/>
      <c r="O2" s="833"/>
      <c r="P2" s="833"/>
      <c r="Q2" s="833"/>
      <c r="R2" s="833"/>
      <c r="S2" s="833"/>
      <c r="T2" s="833"/>
      <c r="U2" s="377"/>
      <c r="V2" s="378"/>
    </row>
    <row r="3" spans="1:68" ht="5.25" customHeight="1">
      <c r="D3" s="1401"/>
      <c r="F3" s="1401"/>
      <c r="N3" s="379"/>
      <c r="O3" s="379"/>
      <c r="P3" s="379"/>
      <c r="Q3" s="379"/>
      <c r="R3" s="379"/>
      <c r="S3" s="379"/>
      <c r="T3" s="379"/>
      <c r="U3" s="377"/>
      <c r="V3" s="378"/>
    </row>
    <row r="4" spans="1:68" s="1956" customFormat="1" ht="40.5" customHeight="1" thickBot="1">
      <c r="A4" s="2786" t="s">
        <v>364</v>
      </c>
      <c r="B4" s="2786"/>
      <c r="C4" s="2786"/>
      <c r="D4" s="2786"/>
      <c r="E4" s="2786"/>
      <c r="F4" s="2786"/>
      <c r="G4" s="2786"/>
      <c r="H4" s="2786"/>
      <c r="I4" s="2786"/>
      <c r="J4" s="2786"/>
      <c r="K4" s="2786"/>
      <c r="L4" s="2786"/>
      <c r="M4" s="2786"/>
      <c r="N4" s="2786"/>
      <c r="O4" s="2786"/>
      <c r="P4" s="2786"/>
      <c r="Q4" s="2786"/>
      <c r="R4" s="2786"/>
      <c r="S4" s="2786"/>
      <c r="T4" s="2786"/>
      <c r="U4" s="2786"/>
      <c r="V4" s="2786"/>
      <c r="W4" s="1955"/>
      <c r="X4" s="1955"/>
      <c r="Y4" s="1955"/>
      <c r="Z4" s="1955"/>
      <c r="AA4" s="1955"/>
      <c r="AB4" s="1955"/>
      <c r="AC4" s="1955"/>
      <c r="AD4" s="1955"/>
      <c r="AE4" s="1955"/>
      <c r="AF4" s="1955"/>
      <c r="AG4" s="1955"/>
      <c r="AH4" s="1955"/>
      <c r="AI4" s="1955"/>
      <c r="AJ4" s="1955"/>
      <c r="AK4" s="1955"/>
      <c r="AL4" s="1955"/>
      <c r="AM4" s="1955"/>
      <c r="AN4" s="1400"/>
      <c r="AO4" s="1400"/>
      <c r="AP4" s="1400"/>
      <c r="AQ4" s="1400"/>
      <c r="AR4" s="1400"/>
      <c r="AS4" s="1400"/>
      <c r="AT4" s="1400"/>
      <c r="AU4" s="1400"/>
      <c r="AV4" s="1400"/>
      <c r="AW4" s="1400"/>
      <c r="AX4" s="1400"/>
      <c r="AY4" s="1400"/>
      <c r="AZ4" s="1400"/>
      <c r="BA4" s="1400"/>
      <c r="BB4" s="1400"/>
      <c r="BC4" s="1400"/>
      <c r="BD4" s="1400"/>
      <c r="BE4" s="1400"/>
      <c r="BF4" s="1400"/>
      <c r="BG4" s="1400"/>
      <c r="BH4" s="1400"/>
      <c r="BI4" s="1400"/>
      <c r="BJ4" s="1400"/>
      <c r="BK4" s="1400"/>
      <c r="BL4" s="1400"/>
      <c r="BM4" s="1400"/>
      <c r="BN4" s="1400"/>
      <c r="BO4" s="1400"/>
      <c r="BP4" s="1400"/>
    </row>
    <row r="5" spans="1:68" ht="33.75" customHeight="1" thickBot="1">
      <c r="A5" s="1419"/>
      <c r="B5" s="2721" t="s">
        <v>96</v>
      </c>
      <c r="C5" s="2787" t="s">
        <v>91</v>
      </c>
      <c r="D5" s="2790" t="s">
        <v>92</v>
      </c>
      <c r="E5" s="2463" t="s">
        <v>3</v>
      </c>
      <c r="F5" s="2464"/>
      <c r="G5" s="2464"/>
      <c r="H5" s="2464"/>
      <c r="I5" s="2464"/>
      <c r="J5" s="2464"/>
      <c r="K5" s="2464"/>
      <c r="L5" s="1813"/>
      <c r="M5" s="2463" t="s">
        <v>3</v>
      </c>
      <c r="N5" s="2465"/>
      <c r="O5" s="2373" t="s">
        <v>93</v>
      </c>
      <c r="P5" s="2374"/>
      <c r="Q5" s="2374"/>
      <c r="R5" s="2374"/>
      <c r="S5" s="2374"/>
      <c r="T5" s="2586"/>
      <c r="U5" s="2590" t="s">
        <v>318</v>
      </c>
      <c r="V5" s="2625" t="s">
        <v>94</v>
      </c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0"/>
      <c r="AI5" s="1400"/>
      <c r="AJ5" s="1400"/>
      <c r="AK5" s="1400"/>
      <c r="AL5" s="1400"/>
      <c r="AM5" s="1400"/>
      <c r="AN5" s="1400"/>
      <c r="AO5" s="1400"/>
      <c r="AP5" s="1400"/>
      <c r="AQ5" s="1400"/>
      <c r="AR5" s="1400"/>
      <c r="AS5" s="1400"/>
      <c r="AT5" s="1400"/>
      <c r="AU5" s="1400"/>
      <c r="AV5" s="1400"/>
      <c r="AW5" s="1400"/>
      <c r="AX5" s="1400"/>
      <c r="AY5" s="1400"/>
      <c r="AZ5" s="1400"/>
      <c r="BA5" s="1400"/>
      <c r="BB5" s="1400"/>
      <c r="BC5" s="1400"/>
      <c r="BD5" s="1400"/>
      <c r="BE5" s="1400"/>
      <c r="BF5" s="1400"/>
      <c r="BG5" s="1400"/>
      <c r="BH5" s="1400"/>
      <c r="BI5" s="1400"/>
      <c r="BJ5" s="1400"/>
      <c r="BK5" s="1400"/>
      <c r="BL5" s="1400"/>
      <c r="BM5" s="1400"/>
      <c r="BN5" s="1400"/>
      <c r="BO5" s="1400"/>
      <c r="BP5" s="1400"/>
    </row>
    <row r="6" spans="1:68" ht="22.5" customHeight="1" thickBot="1">
      <c r="A6" s="1420" t="s">
        <v>95</v>
      </c>
      <c r="B6" s="2721"/>
      <c r="C6" s="2788"/>
      <c r="D6" s="2790"/>
      <c r="E6" s="1814"/>
      <c r="F6" s="1815"/>
      <c r="G6" s="1815"/>
      <c r="H6" s="1815"/>
      <c r="I6" s="1815"/>
      <c r="J6" s="1815"/>
      <c r="K6" s="1815"/>
      <c r="L6" s="1816"/>
      <c r="M6" s="2466"/>
      <c r="N6" s="2468"/>
      <c r="O6" s="2587"/>
      <c r="P6" s="2588"/>
      <c r="Q6" s="2588"/>
      <c r="R6" s="2588"/>
      <c r="S6" s="2588"/>
      <c r="T6" s="2589"/>
      <c r="U6" s="2591"/>
      <c r="V6" s="2626"/>
      <c r="W6" s="1400"/>
      <c r="X6" s="1400"/>
      <c r="Y6" s="1400"/>
      <c r="Z6" s="1400"/>
      <c r="AA6" s="1400"/>
      <c r="AB6" s="1400"/>
      <c r="AC6" s="1400"/>
      <c r="AD6" s="1400"/>
      <c r="AE6" s="1400"/>
      <c r="AF6" s="1400"/>
      <c r="AG6" s="1400"/>
      <c r="AH6" s="1400"/>
      <c r="AI6" s="1400"/>
      <c r="AJ6" s="1400"/>
      <c r="AK6" s="1400"/>
      <c r="AL6" s="1400"/>
      <c r="AM6" s="1400"/>
      <c r="AN6" s="1400"/>
      <c r="AO6" s="1400"/>
      <c r="AP6" s="1400"/>
      <c r="AQ6" s="1400"/>
      <c r="AR6" s="1400"/>
      <c r="AS6" s="1400"/>
      <c r="AT6" s="1400"/>
      <c r="AU6" s="1400"/>
      <c r="AV6" s="1400"/>
      <c r="AW6" s="1400"/>
      <c r="AX6" s="1400"/>
      <c r="AY6" s="1400"/>
      <c r="AZ6" s="1400"/>
      <c r="BA6" s="1400"/>
      <c r="BB6" s="1400"/>
      <c r="BC6" s="1400"/>
      <c r="BD6" s="1400"/>
      <c r="BE6" s="1400"/>
      <c r="BF6" s="1400"/>
      <c r="BG6" s="1400"/>
      <c r="BH6" s="1400"/>
      <c r="BI6" s="1400"/>
      <c r="BJ6" s="1400"/>
      <c r="BK6" s="1400"/>
      <c r="BL6" s="1400"/>
      <c r="BM6" s="1400"/>
      <c r="BN6" s="1400"/>
      <c r="BO6" s="1400"/>
      <c r="BP6" s="1400"/>
    </row>
    <row r="7" spans="1:68" ht="33.75" customHeight="1" thickBot="1">
      <c r="A7" s="1421"/>
      <c r="B7" s="2721"/>
      <c r="C7" s="2789"/>
      <c r="D7" s="2790"/>
      <c r="E7" s="2208" t="s">
        <v>6</v>
      </c>
      <c r="F7" s="384" t="s">
        <v>7</v>
      </c>
      <c r="G7" s="384" t="s">
        <v>8</v>
      </c>
      <c r="H7" s="384" t="s">
        <v>9</v>
      </c>
      <c r="I7" s="2185" t="s">
        <v>10</v>
      </c>
      <c r="J7" s="2185" t="s">
        <v>11</v>
      </c>
      <c r="K7" s="2185" t="s">
        <v>12</v>
      </c>
      <c r="L7" s="2185" t="s">
        <v>13</v>
      </c>
      <c r="M7" s="2185" t="s">
        <v>321</v>
      </c>
      <c r="N7" s="2185" t="s">
        <v>14</v>
      </c>
      <c r="O7" s="2185" t="s">
        <v>15</v>
      </c>
      <c r="P7" s="2185" t="s">
        <v>16</v>
      </c>
      <c r="Q7" s="2185" t="s">
        <v>17</v>
      </c>
      <c r="R7" s="2185" t="s">
        <v>18</v>
      </c>
      <c r="S7" s="2185" t="s">
        <v>315</v>
      </c>
      <c r="T7" s="2185" t="s">
        <v>322</v>
      </c>
      <c r="U7" s="2592"/>
      <c r="V7" s="2627"/>
      <c r="W7" s="1400"/>
      <c r="X7" s="1400"/>
      <c r="Y7" s="1400"/>
      <c r="Z7" s="1400"/>
      <c r="AA7" s="1400"/>
      <c r="AB7" s="1400"/>
      <c r="AC7" s="1400"/>
      <c r="AD7" s="1400"/>
      <c r="AE7" s="1400"/>
      <c r="AF7" s="1400"/>
      <c r="AG7" s="1400"/>
      <c r="AH7" s="1400"/>
      <c r="AI7" s="1400"/>
      <c r="AJ7" s="1400"/>
      <c r="AK7" s="1400"/>
      <c r="AL7" s="1400"/>
      <c r="AM7" s="1400"/>
      <c r="AN7" s="1400"/>
      <c r="AO7" s="1400"/>
      <c r="AP7" s="1400"/>
      <c r="AQ7" s="1400"/>
      <c r="AR7" s="1400"/>
      <c r="AS7" s="1400"/>
      <c r="AT7" s="1400"/>
      <c r="AU7" s="1400"/>
      <c r="AV7" s="1400"/>
      <c r="AW7" s="1400"/>
      <c r="AX7" s="1400"/>
      <c r="AY7" s="1400"/>
      <c r="AZ7" s="1400"/>
      <c r="BA7" s="1400"/>
      <c r="BB7" s="1400"/>
      <c r="BC7" s="1400"/>
      <c r="BD7" s="1400"/>
      <c r="BE7" s="1400"/>
      <c r="BF7" s="1400"/>
      <c r="BG7" s="1400"/>
      <c r="BH7" s="1400"/>
      <c r="BI7" s="1400"/>
      <c r="BJ7" s="1400"/>
      <c r="BK7" s="1400"/>
      <c r="BL7" s="1400"/>
      <c r="BM7" s="1400"/>
      <c r="BN7" s="1400"/>
      <c r="BO7" s="1400"/>
      <c r="BP7" s="1400"/>
    </row>
    <row r="8" spans="1:68" ht="14.25" customHeight="1" thickBot="1">
      <c r="A8" s="1422">
        <v>1</v>
      </c>
      <c r="B8" s="960">
        <v>2</v>
      </c>
      <c r="C8" s="1423">
        <v>3</v>
      </c>
      <c r="D8" s="1423">
        <v>4</v>
      </c>
      <c r="E8" s="1962"/>
      <c r="F8" s="1962"/>
      <c r="G8" s="1962"/>
      <c r="H8" s="1962"/>
      <c r="I8" s="800"/>
      <c r="J8" s="800"/>
      <c r="K8" s="800"/>
      <c r="L8" s="800"/>
      <c r="M8" s="800">
        <v>5</v>
      </c>
      <c r="N8" s="800">
        <v>6</v>
      </c>
      <c r="O8" s="800">
        <v>7</v>
      </c>
      <c r="P8" s="800">
        <v>8</v>
      </c>
      <c r="Q8" s="800">
        <v>9</v>
      </c>
      <c r="R8" s="800">
        <v>10</v>
      </c>
      <c r="S8" s="800">
        <v>11</v>
      </c>
      <c r="T8" s="800">
        <v>12</v>
      </c>
      <c r="U8" s="1029">
        <v>13</v>
      </c>
      <c r="V8" s="804">
        <v>14</v>
      </c>
      <c r="W8" s="1400"/>
      <c r="X8" s="1400"/>
      <c r="Y8" s="1400"/>
      <c r="Z8" s="1400"/>
      <c r="AA8" s="1400"/>
      <c r="AB8" s="1400"/>
      <c r="AC8" s="1400"/>
      <c r="AD8" s="1400"/>
      <c r="AE8" s="1400"/>
      <c r="AF8" s="1400"/>
      <c r="AG8" s="1400"/>
      <c r="AH8" s="1400"/>
      <c r="AI8" s="1400"/>
      <c r="AJ8" s="1400"/>
      <c r="AK8" s="1400"/>
      <c r="AL8" s="1400"/>
      <c r="AM8" s="1400"/>
      <c r="AN8" s="1400"/>
      <c r="AO8" s="1400"/>
      <c r="AP8" s="1400"/>
      <c r="AQ8" s="1400"/>
      <c r="AR8" s="1400"/>
      <c r="AS8" s="1400"/>
      <c r="AT8" s="1400"/>
      <c r="AU8" s="1400"/>
      <c r="AV8" s="1400"/>
      <c r="AW8" s="1400"/>
      <c r="AX8" s="1400"/>
      <c r="AY8" s="1400"/>
      <c r="AZ8" s="1400"/>
      <c r="BA8" s="1400"/>
      <c r="BB8" s="1400"/>
      <c r="BC8" s="1400"/>
      <c r="BD8" s="1400"/>
      <c r="BE8" s="1400"/>
      <c r="BF8" s="1400"/>
      <c r="BG8" s="1400"/>
      <c r="BH8" s="1400"/>
      <c r="BI8" s="1400"/>
      <c r="BJ8" s="1400"/>
      <c r="BK8" s="1400"/>
      <c r="BL8" s="1400"/>
      <c r="BM8" s="1400"/>
      <c r="BN8" s="1400"/>
      <c r="BO8" s="1400"/>
      <c r="BP8" s="1400"/>
    </row>
    <row r="9" spans="1:68" s="1898" customFormat="1" ht="16.5" customHeight="1">
      <c r="A9" s="1424"/>
      <c r="B9" s="1099" t="s">
        <v>97</v>
      </c>
      <c r="C9" s="1107"/>
      <c r="D9" s="1100">
        <f>+D10+D11</f>
        <v>255539222</v>
      </c>
      <c r="E9" s="1100">
        <f t="shared" ref="E9:R9" si="0">+E10+E11</f>
        <v>21033125</v>
      </c>
      <c r="F9" s="1100">
        <f t="shared" si="0"/>
        <v>285042</v>
      </c>
      <c r="G9" s="1100">
        <f t="shared" si="0"/>
        <v>2189094</v>
      </c>
      <c r="H9" s="1100">
        <f t="shared" si="0"/>
        <v>21735489</v>
      </c>
      <c r="I9" s="1100">
        <f>+I10+I11</f>
        <v>29427464</v>
      </c>
      <c r="J9" s="1100">
        <f t="shared" si="0"/>
        <v>36663652</v>
      </c>
      <c r="K9" s="1100">
        <f>+K10+K11</f>
        <v>42166378</v>
      </c>
      <c r="L9" s="1100">
        <f t="shared" si="0"/>
        <v>34131009</v>
      </c>
      <c r="M9" s="1100">
        <f t="shared" ref="M9" si="1">+M10+M11</f>
        <v>163421628</v>
      </c>
      <c r="N9" s="1100">
        <f t="shared" si="0"/>
        <v>32706499</v>
      </c>
      <c r="O9" s="1100">
        <f t="shared" si="0"/>
        <v>40099446</v>
      </c>
      <c r="P9" s="1100">
        <f t="shared" si="0"/>
        <v>11286952</v>
      </c>
      <c r="Q9" s="1100">
        <f t="shared" si="0"/>
        <v>3024697</v>
      </c>
      <c r="R9" s="1100">
        <f t="shared" si="0"/>
        <v>2500000</v>
      </c>
      <c r="S9" s="1100">
        <f t="shared" ref="S9:T9" si="2">+S10+S11</f>
        <v>2500000</v>
      </c>
      <c r="T9" s="1100">
        <f t="shared" si="2"/>
        <v>0</v>
      </c>
      <c r="U9" s="843">
        <f>+U10+U11</f>
        <v>56911095</v>
      </c>
      <c r="V9" s="399"/>
    </row>
    <row r="10" spans="1:68" s="1898" customFormat="1" ht="13.5" customHeight="1">
      <c r="A10" s="1425"/>
      <c r="B10" s="1093" t="s">
        <v>98</v>
      </c>
      <c r="C10" s="1094"/>
      <c r="D10" s="1095">
        <f>+D35+D106+D133+D140</f>
        <v>60833160</v>
      </c>
      <c r="E10" s="1095">
        <f>+E35+E106+E133+E140</f>
        <v>6571835</v>
      </c>
      <c r="F10" s="1095">
        <f>+F35+F106+F133+F140</f>
        <v>229394</v>
      </c>
      <c r="G10" s="1095">
        <f>+G35+G106+G133+G140</f>
        <v>1937989</v>
      </c>
      <c r="H10" s="1095">
        <f>+H35+H106+H133+H140</f>
        <v>4623482</v>
      </c>
      <c r="I10" s="1095">
        <f t="shared" ref="I10:R10" si="3">+I35+I106+I133+I140</f>
        <v>5082065</v>
      </c>
      <c r="J10" s="1095">
        <f t="shared" si="3"/>
        <v>5805416</v>
      </c>
      <c r="K10" s="1095">
        <f t="shared" si="3"/>
        <v>6479046</v>
      </c>
      <c r="L10" s="1095">
        <f t="shared" si="3"/>
        <v>7902395</v>
      </c>
      <c r="M10" s="1095">
        <f t="shared" ref="M10" si="4">+M35+M106+M133+M140</f>
        <v>31840757</v>
      </c>
      <c r="N10" s="1095">
        <f t="shared" si="3"/>
        <v>7618403</v>
      </c>
      <c r="O10" s="1095">
        <f t="shared" si="3"/>
        <v>8374000</v>
      </c>
      <c r="P10" s="1095">
        <f t="shared" si="3"/>
        <v>5500000</v>
      </c>
      <c r="Q10" s="1095">
        <f t="shared" si="3"/>
        <v>2500000</v>
      </c>
      <c r="R10" s="1095">
        <f t="shared" si="3"/>
        <v>2500000</v>
      </c>
      <c r="S10" s="1095">
        <f t="shared" ref="S10:T10" si="5">+S35+S106+S133+S140</f>
        <v>2500000</v>
      </c>
      <c r="T10" s="1095">
        <f t="shared" si="5"/>
        <v>0</v>
      </c>
      <c r="U10" s="400">
        <f>SUM(O10:R10)</f>
        <v>18874000</v>
      </c>
      <c r="V10" s="399"/>
    </row>
    <row r="11" spans="1:68" s="1898" customFormat="1" ht="13.5" customHeight="1" thickBot="1">
      <c r="A11" s="1426"/>
      <c r="B11" s="1427" t="s">
        <v>21</v>
      </c>
      <c r="C11" s="1108"/>
      <c r="D11" s="1120">
        <f t="shared" ref="D11:R11" si="6">D167+D69+D82+D93+D121+D54+D154</f>
        <v>194706062</v>
      </c>
      <c r="E11" s="1120">
        <f t="shared" si="6"/>
        <v>14461290</v>
      </c>
      <c r="F11" s="1120">
        <f t="shared" si="6"/>
        <v>55648</v>
      </c>
      <c r="G11" s="1120">
        <f t="shared" si="6"/>
        <v>251105</v>
      </c>
      <c r="H11" s="1120">
        <f t="shared" si="6"/>
        <v>17112007</v>
      </c>
      <c r="I11" s="1120">
        <f t="shared" si="6"/>
        <v>24345399</v>
      </c>
      <c r="J11" s="1120">
        <f t="shared" si="6"/>
        <v>30858236</v>
      </c>
      <c r="K11" s="1120">
        <f t="shared" si="6"/>
        <v>35687332</v>
      </c>
      <c r="L11" s="1120">
        <f t="shared" si="6"/>
        <v>26228614</v>
      </c>
      <c r="M11" s="1120">
        <f t="shared" ref="M11" si="7">M167+M69+M82+M93+M121+M54+M154</f>
        <v>131580871</v>
      </c>
      <c r="N11" s="1120">
        <f t="shared" si="6"/>
        <v>25088096</v>
      </c>
      <c r="O11" s="1120">
        <f t="shared" si="6"/>
        <v>31725446</v>
      </c>
      <c r="P11" s="1120">
        <f t="shared" si="6"/>
        <v>5786952</v>
      </c>
      <c r="Q11" s="1120">
        <f t="shared" si="6"/>
        <v>524697</v>
      </c>
      <c r="R11" s="1120">
        <f t="shared" si="6"/>
        <v>0</v>
      </c>
      <c r="S11" s="1120">
        <f t="shared" ref="S11:T11" si="8">S167+S69+S82+S93+S121+S54+S154</f>
        <v>0</v>
      </c>
      <c r="T11" s="1120">
        <f t="shared" si="8"/>
        <v>0</v>
      </c>
      <c r="U11" s="845">
        <f>SUM(O11:R11)</f>
        <v>38037095</v>
      </c>
      <c r="V11" s="1428"/>
    </row>
    <row r="12" spans="1:68" s="1964" customFormat="1" ht="14.25" customHeight="1">
      <c r="A12" s="1429"/>
      <c r="B12" s="573" t="s">
        <v>22</v>
      </c>
      <c r="C12" s="948"/>
      <c r="D12" s="643">
        <f>+D13+D18</f>
        <v>255539222</v>
      </c>
      <c r="E12" s="1430">
        <f t="shared" ref="E12:U12" si="9">+E13+E18</f>
        <v>21033125</v>
      </c>
      <c r="F12" s="1430">
        <f>+F13+F18</f>
        <v>285042</v>
      </c>
      <c r="G12" s="1430">
        <f>+G13+G18</f>
        <v>2189094</v>
      </c>
      <c r="H12" s="1430">
        <f>+H13+H18</f>
        <v>21735489</v>
      </c>
      <c r="I12" s="1430">
        <f t="shared" si="9"/>
        <v>29427464</v>
      </c>
      <c r="J12" s="1430">
        <f t="shared" si="9"/>
        <v>36663652</v>
      </c>
      <c r="K12" s="1430">
        <f>+K13+K18</f>
        <v>42166378</v>
      </c>
      <c r="L12" s="1430">
        <f t="shared" si="9"/>
        <v>34131009</v>
      </c>
      <c r="M12" s="1430">
        <f t="shared" ref="M12" si="10">+M13+M18</f>
        <v>163421628</v>
      </c>
      <c r="N12" s="1430">
        <f t="shared" si="9"/>
        <v>32706499</v>
      </c>
      <c r="O12" s="1430">
        <f t="shared" si="9"/>
        <v>40099446</v>
      </c>
      <c r="P12" s="1430">
        <f t="shared" si="9"/>
        <v>11286952</v>
      </c>
      <c r="Q12" s="1430">
        <f t="shared" si="9"/>
        <v>3024697</v>
      </c>
      <c r="R12" s="1430">
        <f t="shared" si="9"/>
        <v>2500000</v>
      </c>
      <c r="S12" s="1430">
        <f t="shared" ref="S12:T12" si="11">+S13+S18</f>
        <v>2500000</v>
      </c>
      <c r="T12" s="1430">
        <f t="shared" si="11"/>
        <v>0</v>
      </c>
      <c r="U12" s="1431">
        <f t="shared" si="9"/>
        <v>59411095</v>
      </c>
      <c r="V12" s="2186"/>
      <c r="W12" s="1963"/>
      <c r="X12" s="1963"/>
      <c r="Y12" s="1963"/>
      <c r="Z12" s="1963"/>
      <c r="AA12" s="1963"/>
      <c r="AB12" s="1963"/>
      <c r="AC12" s="1963"/>
      <c r="AD12" s="1963"/>
      <c r="AE12" s="1963"/>
      <c r="AF12" s="1963"/>
      <c r="AG12" s="1963"/>
      <c r="AH12" s="1963"/>
      <c r="AI12" s="1963"/>
      <c r="AJ12" s="1963"/>
      <c r="AK12" s="1963"/>
      <c r="AL12" s="1963"/>
      <c r="AM12" s="1963"/>
      <c r="AN12" s="1963"/>
      <c r="AO12" s="1963"/>
      <c r="AP12" s="1963"/>
      <c r="AQ12" s="1963"/>
      <c r="AR12" s="1963"/>
      <c r="AS12" s="1963"/>
      <c r="AT12" s="1963"/>
      <c r="AU12" s="1963"/>
      <c r="AV12" s="1963"/>
      <c r="AW12" s="1963"/>
      <c r="AX12" s="1963"/>
      <c r="AY12" s="1963"/>
      <c r="AZ12" s="1963"/>
      <c r="BA12" s="1963"/>
      <c r="BB12" s="1963"/>
      <c r="BC12" s="1963"/>
      <c r="BD12" s="1963"/>
      <c r="BE12" s="1963"/>
      <c r="BF12" s="1963"/>
      <c r="BG12" s="1963"/>
      <c r="BH12" s="1963"/>
      <c r="BI12" s="1963"/>
      <c r="BJ12" s="1963"/>
      <c r="BK12" s="1963"/>
      <c r="BL12" s="1963"/>
      <c r="BM12" s="1963"/>
      <c r="BN12" s="1963"/>
      <c r="BO12" s="1963"/>
      <c r="BP12" s="1963"/>
    </row>
    <row r="13" spans="1:68" s="1909" customFormat="1" ht="12.75">
      <c r="A13" s="1432"/>
      <c r="B13" s="1433" t="s">
        <v>23</v>
      </c>
      <c r="C13" s="1434"/>
      <c r="D13" s="1435">
        <f>SUM(D14:D17)</f>
        <v>94958401</v>
      </c>
      <c r="E13" s="1435">
        <f>SUM(E14:E17)</f>
        <v>7016288</v>
      </c>
      <c r="F13" s="1435">
        <f>SUM(F14:F17)</f>
        <v>112997</v>
      </c>
      <c r="G13" s="1435">
        <f>SUM(G14:G17)</f>
        <v>715602</v>
      </c>
      <c r="H13" s="1435">
        <f>SUM(H14:H17)</f>
        <v>7800148</v>
      </c>
      <c r="I13" s="1435">
        <f>+I14+I15+I16+I17</f>
        <v>10721081</v>
      </c>
      <c r="J13" s="1435">
        <f>SUM(J14:J17)</f>
        <v>13387331</v>
      </c>
      <c r="K13" s="1435">
        <f>SUM(K14:K17)</f>
        <v>17025168</v>
      </c>
      <c r="L13" s="1435">
        <f>SUM(L14:L17)</f>
        <v>13484364</v>
      </c>
      <c r="M13" s="1435">
        <f>SUM(M14:M17)</f>
        <v>61634232</v>
      </c>
      <c r="N13" s="1435">
        <f>SUM(N14:N17)</f>
        <v>10289941</v>
      </c>
      <c r="O13" s="1435">
        <f t="shared" ref="O13:U13" si="12">SUM(O14:O17)</f>
        <v>15955013</v>
      </c>
      <c r="P13" s="1435">
        <f t="shared" si="12"/>
        <v>3970907</v>
      </c>
      <c r="Q13" s="1435">
        <f t="shared" si="12"/>
        <v>1289808</v>
      </c>
      <c r="R13" s="1435">
        <f t="shared" si="12"/>
        <v>909250</v>
      </c>
      <c r="S13" s="1435">
        <f t="shared" ref="S13:T13" si="13">SUM(S14:S17)</f>
        <v>909250</v>
      </c>
      <c r="T13" s="1435">
        <f t="shared" si="13"/>
        <v>0</v>
      </c>
      <c r="U13" s="1436">
        <f t="shared" si="12"/>
        <v>23034228</v>
      </c>
      <c r="V13" s="2181"/>
    </row>
    <row r="14" spans="1:68" s="1909" customFormat="1" ht="12" customHeight="1">
      <c r="A14" s="1437"/>
      <c r="B14" s="1438" t="s">
        <v>24</v>
      </c>
      <c r="C14" s="1439"/>
      <c r="D14" s="439">
        <f>+D37+D108+D123+D142+D156</f>
        <v>2451212</v>
      </c>
      <c r="E14" s="439">
        <f>+E37+E108+E123+E142+E156</f>
        <v>1080394</v>
      </c>
      <c r="F14" s="439">
        <f>+F37+F108+F123+F142+F156</f>
        <v>112997</v>
      </c>
      <c r="G14" s="439">
        <f t="shared" ref="G14:H14" si="14">+G37+G108+G123+G142+G156</f>
        <v>715602</v>
      </c>
      <c r="H14" s="439">
        <f t="shared" si="14"/>
        <v>1152743</v>
      </c>
      <c r="I14" s="439">
        <f t="shared" ref="I14:U14" si="15">+I37+I108+I123+I142+I156</f>
        <v>435581</v>
      </c>
      <c r="J14" s="439">
        <f t="shared" si="15"/>
        <v>404593</v>
      </c>
      <c r="K14" s="439">
        <f t="shared" si="15"/>
        <v>92941</v>
      </c>
      <c r="L14" s="439">
        <f t="shared" si="15"/>
        <v>182387</v>
      </c>
      <c r="M14" s="439">
        <f t="shared" ref="M14" si="16">+M37+M108+M123+M142+M156</f>
        <v>2195896</v>
      </c>
      <c r="N14" s="439">
        <f t="shared" si="15"/>
        <v>215316</v>
      </c>
      <c r="O14" s="439">
        <f t="shared" si="15"/>
        <v>40000</v>
      </c>
      <c r="P14" s="439">
        <f t="shared" si="15"/>
        <v>0</v>
      </c>
      <c r="Q14" s="439">
        <f t="shared" si="15"/>
        <v>0</v>
      </c>
      <c r="R14" s="439">
        <f t="shared" si="15"/>
        <v>0</v>
      </c>
      <c r="S14" s="439">
        <f t="shared" si="15"/>
        <v>0</v>
      </c>
      <c r="T14" s="439">
        <f t="shared" si="15"/>
        <v>0</v>
      </c>
      <c r="U14" s="423">
        <f t="shared" si="15"/>
        <v>40000</v>
      </c>
      <c r="V14" s="2181"/>
    </row>
    <row r="15" spans="1:68" s="1909" customFormat="1" ht="12.95" customHeight="1" outlineLevel="1">
      <c r="A15" s="1437"/>
      <c r="B15" s="426" t="s">
        <v>25</v>
      </c>
      <c r="C15" s="1439"/>
      <c r="D15" s="439">
        <f>D170+D38+D56+D143+D157</f>
        <v>8045184</v>
      </c>
      <c r="E15" s="439">
        <f t="shared" ref="E15:L15" si="17">+E170+E38+E56</f>
        <v>0</v>
      </c>
      <c r="F15" s="439">
        <f t="shared" si="17"/>
        <v>0</v>
      </c>
      <c r="G15" s="439">
        <f t="shared" si="17"/>
        <v>0</v>
      </c>
      <c r="H15" s="439">
        <f t="shared" si="17"/>
        <v>0</v>
      </c>
      <c r="I15" s="439">
        <f t="shared" si="17"/>
        <v>0</v>
      </c>
      <c r="J15" s="439">
        <f t="shared" si="17"/>
        <v>186654</v>
      </c>
      <c r="K15" s="439">
        <f t="shared" si="17"/>
        <v>385639</v>
      </c>
      <c r="L15" s="439">
        <f t="shared" si="17"/>
        <v>380697</v>
      </c>
      <c r="M15" s="439">
        <f t="shared" ref="M15:U15" si="18">M170+M38+M56+M143+M157</f>
        <v>952990</v>
      </c>
      <c r="N15" s="439">
        <f t="shared" si="18"/>
        <v>393094</v>
      </c>
      <c r="O15" s="439">
        <f t="shared" si="18"/>
        <v>1971000</v>
      </c>
      <c r="P15" s="439">
        <f t="shared" si="18"/>
        <v>2000350</v>
      </c>
      <c r="Q15" s="439">
        <f t="shared" si="18"/>
        <v>909250</v>
      </c>
      <c r="R15" s="439">
        <f t="shared" si="18"/>
        <v>909250</v>
      </c>
      <c r="S15" s="439">
        <f t="shared" si="18"/>
        <v>909250</v>
      </c>
      <c r="T15" s="439">
        <f t="shared" si="18"/>
        <v>0</v>
      </c>
      <c r="U15" s="423">
        <f t="shared" si="18"/>
        <v>6699100</v>
      </c>
      <c r="V15" s="2181"/>
    </row>
    <row r="16" spans="1:68" s="1909" customFormat="1" ht="12.95" customHeight="1" outlineLevel="1">
      <c r="A16" s="1437"/>
      <c r="B16" s="1438" t="s">
        <v>26</v>
      </c>
      <c r="C16" s="1439"/>
      <c r="D16" s="439">
        <f>+D39+D95+D109+D124+D57</f>
        <v>67909761</v>
      </c>
      <c r="E16" s="439">
        <f t="shared" ref="E16:L16" si="19">+E39+E95+E109+E124+E57+E143+E157</f>
        <v>5935894</v>
      </c>
      <c r="F16" s="439">
        <f t="shared" si="19"/>
        <v>0</v>
      </c>
      <c r="G16" s="439">
        <f t="shared" si="19"/>
        <v>0</v>
      </c>
      <c r="H16" s="439">
        <f t="shared" si="19"/>
        <v>6647405</v>
      </c>
      <c r="I16" s="439">
        <f t="shared" si="19"/>
        <v>10285500</v>
      </c>
      <c r="J16" s="439">
        <f t="shared" si="19"/>
        <v>12796084</v>
      </c>
      <c r="K16" s="439">
        <f t="shared" si="19"/>
        <v>12744811</v>
      </c>
      <c r="L16" s="439">
        <f t="shared" si="19"/>
        <v>9659941</v>
      </c>
      <c r="M16" s="439">
        <f t="shared" ref="M16:U16" si="20">+M39+M95+M109+M124+M57</f>
        <v>51422230</v>
      </c>
      <c r="N16" s="439">
        <f t="shared" si="20"/>
        <v>9681531</v>
      </c>
      <c r="O16" s="439">
        <f>+O39+O95+O109+O124+O57</f>
        <v>6806000</v>
      </c>
      <c r="P16" s="439">
        <f t="shared" si="20"/>
        <v>0</v>
      </c>
      <c r="Q16" s="439">
        <f t="shared" si="20"/>
        <v>0</v>
      </c>
      <c r="R16" s="439">
        <f t="shared" si="20"/>
        <v>0</v>
      </c>
      <c r="S16" s="439">
        <f t="shared" si="20"/>
        <v>0</v>
      </c>
      <c r="T16" s="439">
        <f t="shared" si="20"/>
        <v>0</v>
      </c>
      <c r="U16" s="423">
        <f t="shared" si="20"/>
        <v>6806000</v>
      </c>
      <c r="V16" s="2181"/>
    </row>
    <row r="17" spans="1:22" s="1909" customFormat="1" ht="12.95" customHeight="1" outlineLevel="1">
      <c r="A17" s="1437"/>
      <c r="B17" s="1438" t="s">
        <v>28</v>
      </c>
      <c r="C17" s="421"/>
      <c r="D17" s="439">
        <f>+D71+D84</f>
        <v>16552244</v>
      </c>
      <c r="E17" s="439">
        <f t="shared" ref="E17:U17" si="21">+E71+E84</f>
        <v>0</v>
      </c>
      <c r="F17" s="439">
        <f t="shared" si="21"/>
        <v>0</v>
      </c>
      <c r="G17" s="439">
        <f t="shared" si="21"/>
        <v>0</v>
      </c>
      <c r="H17" s="439">
        <f t="shared" si="21"/>
        <v>0</v>
      </c>
      <c r="I17" s="439">
        <f t="shared" si="21"/>
        <v>0</v>
      </c>
      <c r="J17" s="439">
        <f t="shared" si="21"/>
        <v>0</v>
      </c>
      <c r="K17" s="439">
        <f t="shared" si="21"/>
        <v>3801777</v>
      </c>
      <c r="L17" s="439">
        <f t="shared" si="21"/>
        <v>3261339</v>
      </c>
      <c r="M17" s="439">
        <f t="shared" ref="M17" si="22">+M71+M84</f>
        <v>7063116</v>
      </c>
      <c r="N17" s="439">
        <f t="shared" si="21"/>
        <v>0</v>
      </c>
      <c r="O17" s="439">
        <f t="shared" si="21"/>
        <v>7138013</v>
      </c>
      <c r="P17" s="439">
        <f t="shared" si="21"/>
        <v>1970557</v>
      </c>
      <c r="Q17" s="439">
        <f t="shared" si="21"/>
        <v>380558</v>
      </c>
      <c r="R17" s="439">
        <f t="shared" si="21"/>
        <v>0</v>
      </c>
      <c r="S17" s="439">
        <f t="shared" si="21"/>
        <v>0</v>
      </c>
      <c r="T17" s="439">
        <f t="shared" si="21"/>
        <v>0</v>
      </c>
      <c r="U17" s="423">
        <f t="shared" si="21"/>
        <v>9489128</v>
      </c>
      <c r="V17" s="2181"/>
    </row>
    <row r="18" spans="1:22" s="1909" customFormat="1" ht="12.95" customHeight="1" outlineLevel="1">
      <c r="A18" s="1432"/>
      <c r="B18" s="1440" t="s">
        <v>30</v>
      </c>
      <c r="C18" s="1441"/>
      <c r="D18" s="1442">
        <f>+D20+D21+D22+D19</f>
        <v>160580821</v>
      </c>
      <c r="E18" s="1442">
        <f t="shared" ref="E18:T18" si="23">+E20+E21+E22+E19</f>
        <v>14016837</v>
      </c>
      <c r="F18" s="1442">
        <f t="shared" si="23"/>
        <v>172045</v>
      </c>
      <c r="G18" s="1442">
        <f t="shared" si="23"/>
        <v>1473492</v>
      </c>
      <c r="H18" s="1442">
        <f t="shared" si="23"/>
        <v>13935341</v>
      </c>
      <c r="I18" s="1442">
        <f t="shared" si="23"/>
        <v>18706383</v>
      </c>
      <c r="J18" s="1442">
        <f t="shared" si="23"/>
        <v>23276321</v>
      </c>
      <c r="K18" s="1442">
        <f t="shared" si="23"/>
        <v>25141210</v>
      </c>
      <c r="L18" s="1442">
        <f t="shared" si="23"/>
        <v>20646645</v>
      </c>
      <c r="M18" s="1442">
        <f t="shared" ref="M18" si="24">+M20+M21+M22+M19</f>
        <v>101787396</v>
      </c>
      <c r="N18" s="1442">
        <f t="shared" si="23"/>
        <v>22416558</v>
      </c>
      <c r="O18" s="1442">
        <f t="shared" si="23"/>
        <v>24144433</v>
      </c>
      <c r="P18" s="1442">
        <f t="shared" si="23"/>
        <v>7316045</v>
      </c>
      <c r="Q18" s="1442">
        <f t="shared" si="23"/>
        <v>1734889</v>
      </c>
      <c r="R18" s="1442">
        <f t="shared" si="23"/>
        <v>1590750</v>
      </c>
      <c r="S18" s="1442">
        <f t="shared" si="23"/>
        <v>1590750</v>
      </c>
      <c r="T18" s="1442">
        <f t="shared" si="23"/>
        <v>0</v>
      </c>
      <c r="U18" s="1436">
        <f>+U20+U21+U22+U19</f>
        <v>36376867</v>
      </c>
      <c r="V18" s="2181"/>
    </row>
    <row r="19" spans="1:22" s="1909" customFormat="1" ht="14.25" customHeight="1" outlineLevel="1">
      <c r="A19" s="1432"/>
      <c r="B19" s="1438" t="s">
        <v>24</v>
      </c>
      <c r="C19" s="1443"/>
      <c r="D19" s="439">
        <f>+D111+D41</f>
        <v>5189703</v>
      </c>
      <c r="E19" s="439">
        <f t="shared" ref="E19:R19" si="25">+E111+E41</f>
        <v>3422614</v>
      </c>
      <c r="F19" s="439">
        <f t="shared" si="25"/>
        <v>172045</v>
      </c>
      <c r="G19" s="439">
        <f t="shared" si="25"/>
        <v>1473492</v>
      </c>
      <c r="H19" s="439">
        <f t="shared" si="25"/>
        <v>1744361</v>
      </c>
      <c r="I19" s="439">
        <f t="shared" si="25"/>
        <v>1013833</v>
      </c>
      <c r="J19" s="439">
        <f t="shared" si="25"/>
        <v>657500</v>
      </c>
      <c r="K19" s="439">
        <f>+K111+K41</f>
        <v>39646</v>
      </c>
      <c r="L19" s="439">
        <f t="shared" si="25"/>
        <v>30059</v>
      </c>
      <c r="M19" s="439">
        <f t="shared" ref="M19" si="26">+M111+M41</f>
        <v>5163652</v>
      </c>
      <c r="N19" s="439">
        <f t="shared" si="25"/>
        <v>26051</v>
      </c>
      <c r="O19" s="439">
        <f t="shared" si="25"/>
        <v>0</v>
      </c>
      <c r="P19" s="439">
        <f t="shared" si="25"/>
        <v>0</v>
      </c>
      <c r="Q19" s="439">
        <f t="shared" si="25"/>
        <v>0</v>
      </c>
      <c r="R19" s="439">
        <f t="shared" si="25"/>
        <v>0</v>
      </c>
      <c r="S19" s="439">
        <f t="shared" ref="S19:T19" si="27">+S111+S41</f>
        <v>0</v>
      </c>
      <c r="T19" s="439">
        <f t="shared" si="27"/>
        <v>0</v>
      </c>
      <c r="U19" s="423">
        <f>+U111</f>
        <v>0</v>
      </c>
      <c r="V19" s="2181"/>
    </row>
    <row r="20" spans="1:22" s="1909" customFormat="1" ht="14.25" customHeight="1" outlineLevel="1">
      <c r="A20" s="1432"/>
      <c r="B20" s="426" t="s">
        <v>33</v>
      </c>
      <c r="C20" s="1439"/>
      <c r="D20" s="439">
        <f>D172+D42+D97+D59+D145+D159</f>
        <v>90861830</v>
      </c>
      <c r="E20" s="439">
        <f>E172+E42+E97+E59</f>
        <v>0</v>
      </c>
      <c r="F20" s="439">
        <f>F172+F42+F97+F59</f>
        <v>0</v>
      </c>
      <c r="G20" s="439">
        <f t="shared" ref="G20:H20" si="28">G172+G42+G97+G59</f>
        <v>0</v>
      </c>
      <c r="H20" s="439">
        <f t="shared" si="28"/>
        <v>9132612</v>
      </c>
      <c r="I20" s="439">
        <f t="shared" ref="I20:L20" si="29">I172+I42+I97+I59</f>
        <v>0</v>
      </c>
      <c r="J20" s="439">
        <f t="shared" si="29"/>
        <v>18991349</v>
      </c>
      <c r="K20" s="439">
        <f t="shared" si="29"/>
        <v>19160035</v>
      </c>
      <c r="L20" s="439">
        <f t="shared" si="29"/>
        <v>14854622</v>
      </c>
      <c r="M20" s="439">
        <f t="shared" ref="M20:T20" si="30">M172+M42+M97+M59+M145+M159</f>
        <v>53006006</v>
      </c>
      <c r="N20" s="439">
        <f t="shared" si="30"/>
        <v>14847924</v>
      </c>
      <c r="O20" s="439">
        <f t="shared" si="30"/>
        <v>14736000</v>
      </c>
      <c r="P20" s="439">
        <f t="shared" si="30"/>
        <v>3499650</v>
      </c>
      <c r="Q20" s="439">
        <f t="shared" si="30"/>
        <v>1590750</v>
      </c>
      <c r="R20" s="439">
        <f t="shared" si="30"/>
        <v>1590750</v>
      </c>
      <c r="S20" s="439">
        <f t="shared" si="30"/>
        <v>1590750</v>
      </c>
      <c r="T20" s="439">
        <f t="shared" si="30"/>
        <v>0</v>
      </c>
      <c r="U20" s="423">
        <f>U172+U42+U97+U59+U145+U159</f>
        <v>23007900</v>
      </c>
      <c r="V20" s="2181"/>
    </row>
    <row r="21" spans="1:22" s="1909" customFormat="1" ht="14.25" customHeight="1" outlineLevel="1">
      <c r="A21" s="1432"/>
      <c r="B21" s="1438" t="s">
        <v>26</v>
      </c>
      <c r="C21" s="1444"/>
      <c r="D21" s="439">
        <f>+D43+D98+D112+D126+D60</f>
        <v>46133146</v>
      </c>
      <c r="E21" s="439">
        <f t="shared" ref="E21:L21" si="31">+E43+E98+E112+E126+E60+E145+E159</f>
        <v>10594223</v>
      </c>
      <c r="F21" s="439">
        <f t="shared" si="31"/>
        <v>0</v>
      </c>
      <c r="G21" s="439">
        <f t="shared" si="31"/>
        <v>0</v>
      </c>
      <c r="H21" s="439">
        <f t="shared" si="31"/>
        <v>3058368</v>
      </c>
      <c r="I21" s="439">
        <f t="shared" si="31"/>
        <v>17692550</v>
      </c>
      <c r="J21" s="439">
        <f t="shared" si="31"/>
        <v>2998223</v>
      </c>
      <c r="K21" s="439">
        <f t="shared" si="31"/>
        <v>3753212</v>
      </c>
      <c r="L21" s="439">
        <f t="shared" si="31"/>
        <v>4711864</v>
      </c>
      <c r="M21" s="439">
        <f t="shared" ref="M21:U21" si="32">+M43+M98+M112+M126+M60</f>
        <v>39750072</v>
      </c>
      <c r="N21" s="439">
        <f t="shared" si="32"/>
        <v>4433074</v>
      </c>
      <c r="O21" s="439">
        <f t="shared" si="32"/>
        <v>1950000</v>
      </c>
      <c r="P21" s="439">
        <f t="shared" si="32"/>
        <v>0</v>
      </c>
      <c r="Q21" s="439">
        <f t="shared" si="32"/>
        <v>0</v>
      </c>
      <c r="R21" s="439">
        <f t="shared" si="32"/>
        <v>0</v>
      </c>
      <c r="S21" s="439">
        <f t="shared" si="32"/>
        <v>0</v>
      </c>
      <c r="T21" s="439">
        <f t="shared" si="32"/>
        <v>0</v>
      </c>
      <c r="U21" s="423">
        <f t="shared" si="32"/>
        <v>1950000</v>
      </c>
      <c r="V21" s="2181"/>
    </row>
    <row r="22" spans="1:22" s="1909" customFormat="1" ht="14.25" customHeight="1" outlineLevel="1">
      <c r="A22" s="1432"/>
      <c r="B22" s="426" t="s">
        <v>32</v>
      </c>
      <c r="C22" s="1444"/>
      <c r="D22" s="439">
        <f>D73+D86+D135</f>
        <v>18396142</v>
      </c>
      <c r="E22" s="439">
        <f t="shared" ref="E22:R22" si="33">E73+E86+E135</f>
        <v>0</v>
      </c>
      <c r="F22" s="439">
        <f t="shared" si="33"/>
        <v>0</v>
      </c>
      <c r="G22" s="439">
        <f t="shared" si="33"/>
        <v>0</v>
      </c>
      <c r="H22" s="439">
        <f t="shared" si="33"/>
        <v>0</v>
      </c>
      <c r="I22" s="439">
        <f t="shared" si="33"/>
        <v>0</v>
      </c>
      <c r="J22" s="439">
        <f t="shared" si="33"/>
        <v>629249</v>
      </c>
      <c r="K22" s="439">
        <f t="shared" si="33"/>
        <v>2188317</v>
      </c>
      <c r="L22" s="439">
        <f t="shared" si="33"/>
        <v>1050100</v>
      </c>
      <c r="M22" s="439">
        <f t="shared" ref="M22" si="34">M73+M86+M135</f>
        <v>3867666</v>
      </c>
      <c r="N22" s="439">
        <f t="shared" si="33"/>
        <v>3109509</v>
      </c>
      <c r="O22" s="439">
        <f t="shared" si="33"/>
        <v>7458433</v>
      </c>
      <c r="P22" s="439">
        <f t="shared" si="33"/>
        <v>3816395</v>
      </c>
      <c r="Q22" s="439">
        <f t="shared" si="33"/>
        <v>144139</v>
      </c>
      <c r="R22" s="439">
        <f t="shared" si="33"/>
        <v>0</v>
      </c>
      <c r="S22" s="439">
        <f t="shared" ref="S22" si="35">S73+S86+S135</f>
        <v>0</v>
      </c>
      <c r="T22" s="439">
        <f>T73+T86+T135</f>
        <v>0</v>
      </c>
      <c r="U22" s="423">
        <f>U73+U86+U135</f>
        <v>11418967</v>
      </c>
      <c r="V22" s="2181"/>
    </row>
    <row r="23" spans="1:22" s="1909" customFormat="1" ht="13.5" customHeight="1" outlineLevel="1">
      <c r="A23" s="1425"/>
      <c r="B23" s="427" t="s">
        <v>34</v>
      </c>
      <c r="C23" s="428"/>
      <c r="D23" s="1445">
        <f>+D24+D30</f>
        <v>254735972</v>
      </c>
      <c r="E23" s="1445">
        <f t="shared" ref="E23:N23" si="36">+E24+E30</f>
        <v>16530117</v>
      </c>
      <c r="F23" s="1445">
        <f>+F24+F30</f>
        <v>0</v>
      </c>
      <c r="G23" s="1445">
        <f>+G24+G30</f>
        <v>0</v>
      </c>
      <c r="H23" s="1445">
        <f>+H24+H30</f>
        <v>18838385</v>
      </c>
      <c r="I23" s="1445">
        <f t="shared" si="36"/>
        <v>29793522</v>
      </c>
      <c r="J23" s="1445">
        <f t="shared" si="36"/>
        <v>41041331</v>
      </c>
      <c r="K23" s="1445">
        <f t="shared" si="36"/>
        <v>46148778</v>
      </c>
      <c r="L23" s="1445">
        <f t="shared" si="36"/>
        <v>36783449</v>
      </c>
      <c r="M23" s="1445">
        <f t="shared" ref="M23" si="37">+M24+M30</f>
        <v>170297198</v>
      </c>
      <c r="N23" s="1445">
        <f t="shared" si="36"/>
        <v>29415932</v>
      </c>
      <c r="O23" s="1445">
        <f>+O24+O30</f>
        <v>36790750</v>
      </c>
      <c r="P23" s="1445">
        <f>+P24+P30</f>
        <v>9293592</v>
      </c>
      <c r="Q23" s="1445">
        <f>+Q24+Q30</f>
        <v>3938501</v>
      </c>
      <c r="R23" s="1445">
        <f>+R24+R30</f>
        <v>2500000</v>
      </c>
      <c r="S23" s="1445">
        <f t="shared" ref="S23:T23" si="38">+S24+S30</f>
        <v>2500000</v>
      </c>
      <c r="T23" s="1445">
        <f t="shared" si="38"/>
        <v>0</v>
      </c>
      <c r="U23" s="2612" t="s">
        <v>77</v>
      </c>
      <c r="V23" s="2181"/>
    </row>
    <row r="24" spans="1:22" s="1909" customFormat="1" ht="12.75" customHeight="1" outlineLevel="1">
      <c r="A24" s="1432"/>
      <c r="B24" s="1433" t="s">
        <v>23</v>
      </c>
      <c r="C24" s="1434"/>
      <c r="D24" s="1435">
        <f t="shared" ref="D24:P24" si="39">SUM(D25:D29)</f>
        <v>94155151</v>
      </c>
      <c r="E24" s="1435">
        <f t="shared" si="39"/>
        <v>5935894</v>
      </c>
      <c r="F24" s="1435">
        <f t="shared" si="39"/>
        <v>0</v>
      </c>
      <c r="G24" s="1435">
        <f t="shared" si="39"/>
        <v>0</v>
      </c>
      <c r="H24" s="1435">
        <f t="shared" si="39"/>
        <v>6647405</v>
      </c>
      <c r="I24" s="1435">
        <f t="shared" si="39"/>
        <v>10739368</v>
      </c>
      <c r="J24" s="1435">
        <f t="shared" si="39"/>
        <v>13552536</v>
      </c>
      <c r="K24" s="1435">
        <f t="shared" si="39"/>
        <v>17406714</v>
      </c>
      <c r="L24" s="1435">
        <f t="shared" si="39"/>
        <v>13428525</v>
      </c>
      <c r="M24" s="1435">
        <f>SUM(M25:M29)</f>
        <v>61063038</v>
      </c>
      <c r="N24" s="1435">
        <f t="shared" si="39"/>
        <v>10089202</v>
      </c>
      <c r="O24" s="1435">
        <f t="shared" si="39"/>
        <v>15923697</v>
      </c>
      <c r="P24" s="1435">
        <f t="shared" si="39"/>
        <v>3970907</v>
      </c>
      <c r="Q24" s="1435">
        <f>SUM(Q25:Q29)</f>
        <v>1289808</v>
      </c>
      <c r="R24" s="1435">
        <f>SUM(R25:R29)</f>
        <v>909250</v>
      </c>
      <c r="S24" s="1435">
        <f t="shared" ref="S24:T24" si="40">SUM(S25:S29)</f>
        <v>909250</v>
      </c>
      <c r="T24" s="1435">
        <f t="shared" si="40"/>
        <v>0</v>
      </c>
      <c r="U24" s="2613"/>
      <c r="V24" s="2181"/>
    </row>
    <row r="25" spans="1:22" s="1909" customFormat="1" ht="12.75" outlineLevel="1">
      <c r="A25" s="1437"/>
      <c r="B25" s="426" t="s">
        <v>25</v>
      </c>
      <c r="C25" s="421"/>
      <c r="D25" s="439">
        <f>+D175+D46+D63+D148+D162</f>
        <v>8045184</v>
      </c>
      <c r="E25" s="439">
        <f t="shared" ref="E25:L25" si="41">+E175+E46+E63</f>
        <v>0</v>
      </c>
      <c r="F25" s="439">
        <f t="shared" si="41"/>
        <v>0</v>
      </c>
      <c r="G25" s="439">
        <f t="shared" si="41"/>
        <v>0</v>
      </c>
      <c r="H25" s="439">
        <f t="shared" si="41"/>
        <v>0</v>
      </c>
      <c r="I25" s="439">
        <f t="shared" si="41"/>
        <v>0</v>
      </c>
      <c r="J25" s="439">
        <f t="shared" si="41"/>
        <v>186654</v>
      </c>
      <c r="K25" s="439">
        <f t="shared" si="41"/>
        <v>385639</v>
      </c>
      <c r="L25" s="439">
        <f t="shared" si="41"/>
        <v>380697</v>
      </c>
      <c r="M25" s="439">
        <f t="shared" ref="M25:T25" si="42">+M175+M46+M63+M148+M162</f>
        <v>952990</v>
      </c>
      <c r="N25" s="439">
        <f t="shared" si="42"/>
        <v>393094</v>
      </c>
      <c r="O25" s="439">
        <f t="shared" si="42"/>
        <v>1971000</v>
      </c>
      <c r="P25" s="439">
        <f t="shared" si="42"/>
        <v>2000350</v>
      </c>
      <c r="Q25" s="439">
        <f t="shared" si="42"/>
        <v>909250</v>
      </c>
      <c r="R25" s="439">
        <f t="shared" si="42"/>
        <v>909250</v>
      </c>
      <c r="S25" s="439">
        <f t="shared" si="42"/>
        <v>909250</v>
      </c>
      <c r="T25" s="439">
        <f t="shared" si="42"/>
        <v>0</v>
      </c>
      <c r="U25" s="2613"/>
      <c r="V25" s="2181"/>
    </row>
    <row r="26" spans="1:22" s="1909" customFormat="1" ht="12.95" customHeight="1" outlineLevel="1">
      <c r="A26" s="1437"/>
      <c r="B26" s="1438" t="s">
        <v>26</v>
      </c>
      <c r="C26" s="1439"/>
      <c r="D26" s="439">
        <f>+D47+D101+D115+D129+D64</f>
        <v>67909761</v>
      </c>
      <c r="E26" s="439">
        <f t="shared" ref="E26:L26" si="43">+E47+E101+E115+E129+E64+E148+E162</f>
        <v>5935894</v>
      </c>
      <c r="F26" s="439">
        <f t="shared" si="43"/>
        <v>0</v>
      </c>
      <c r="G26" s="439">
        <f t="shared" si="43"/>
        <v>0</v>
      </c>
      <c r="H26" s="439">
        <f t="shared" si="43"/>
        <v>6647405</v>
      </c>
      <c r="I26" s="439">
        <f t="shared" si="43"/>
        <v>10285500</v>
      </c>
      <c r="J26" s="439">
        <f t="shared" si="43"/>
        <v>12796084</v>
      </c>
      <c r="K26" s="439">
        <f t="shared" si="43"/>
        <v>12744811</v>
      </c>
      <c r="L26" s="439">
        <f t="shared" si="43"/>
        <v>9659941</v>
      </c>
      <c r="M26" s="439">
        <f t="shared" ref="M26:T26" si="44">+M47+M101+M115+M129+M64</f>
        <v>51422230</v>
      </c>
      <c r="N26" s="439">
        <f t="shared" si="44"/>
        <v>9681531</v>
      </c>
      <c r="O26" s="439">
        <f t="shared" si="44"/>
        <v>6806000</v>
      </c>
      <c r="P26" s="439">
        <f t="shared" si="44"/>
        <v>0</v>
      </c>
      <c r="Q26" s="439">
        <f t="shared" si="44"/>
        <v>0</v>
      </c>
      <c r="R26" s="439">
        <f t="shared" si="44"/>
        <v>0</v>
      </c>
      <c r="S26" s="439">
        <f t="shared" si="44"/>
        <v>0</v>
      </c>
      <c r="T26" s="439">
        <f t="shared" si="44"/>
        <v>0</v>
      </c>
      <c r="U26" s="2613"/>
      <c r="V26" s="2181"/>
    </row>
    <row r="27" spans="1:22" s="1909" customFormat="1" ht="11.25" customHeight="1" outlineLevel="1">
      <c r="A27" s="1437"/>
      <c r="B27" s="1438" t="s">
        <v>78</v>
      </c>
      <c r="C27" s="1439"/>
      <c r="D27" s="439">
        <f>+D76+D89</f>
        <v>16552244</v>
      </c>
      <c r="E27" s="439">
        <f t="shared" ref="E27:Q27" si="45">+E76+E89</f>
        <v>0</v>
      </c>
      <c r="F27" s="439">
        <f t="shared" si="45"/>
        <v>0</v>
      </c>
      <c r="G27" s="439">
        <f t="shared" si="45"/>
        <v>0</v>
      </c>
      <c r="H27" s="439">
        <f t="shared" si="45"/>
        <v>0</v>
      </c>
      <c r="I27" s="439">
        <f t="shared" si="45"/>
        <v>0</v>
      </c>
      <c r="J27" s="439">
        <f t="shared" si="45"/>
        <v>0</v>
      </c>
      <c r="K27" s="439">
        <f t="shared" si="45"/>
        <v>3801777</v>
      </c>
      <c r="L27" s="439">
        <f t="shared" si="45"/>
        <v>3261339</v>
      </c>
      <c r="M27" s="439">
        <f t="shared" ref="M27" si="46">+M76+M89</f>
        <v>7063116</v>
      </c>
      <c r="N27" s="439">
        <f t="shared" si="45"/>
        <v>0</v>
      </c>
      <c r="O27" s="439">
        <f t="shared" si="45"/>
        <v>7138013</v>
      </c>
      <c r="P27" s="439">
        <f t="shared" si="45"/>
        <v>1970557</v>
      </c>
      <c r="Q27" s="439">
        <f t="shared" si="45"/>
        <v>380558</v>
      </c>
      <c r="R27" s="439">
        <f>+R76+R89</f>
        <v>0</v>
      </c>
      <c r="S27" s="439">
        <f t="shared" ref="S27:T27" si="47">+S76+S89</f>
        <v>0</v>
      </c>
      <c r="T27" s="439">
        <f t="shared" si="47"/>
        <v>0</v>
      </c>
      <c r="U27" s="2613"/>
      <c r="V27" s="2181"/>
    </row>
    <row r="28" spans="1:22" s="1909" customFormat="1" ht="12" customHeight="1" outlineLevel="1">
      <c r="A28" s="1437"/>
      <c r="B28" s="1438" t="s">
        <v>37</v>
      </c>
      <c r="C28" s="1439"/>
      <c r="D28" s="439">
        <f t="shared" ref="D28:Q28" si="48">+D116+D48</f>
        <v>1647962</v>
      </c>
      <c r="E28" s="439">
        <f t="shared" si="48"/>
        <v>0</v>
      </c>
      <c r="F28" s="439">
        <f t="shared" si="48"/>
        <v>0</v>
      </c>
      <c r="G28" s="439">
        <f t="shared" si="48"/>
        <v>0</v>
      </c>
      <c r="H28" s="439">
        <f t="shared" si="48"/>
        <v>0</v>
      </c>
      <c r="I28" s="439">
        <f t="shared" si="48"/>
        <v>453868</v>
      </c>
      <c r="J28" s="439">
        <f t="shared" si="48"/>
        <v>569798</v>
      </c>
      <c r="K28" s="439">
        <f t="shared" si="48"/>
        <v>474487</v>
      </c>
      <c r="L28" s="439">
        <f>+L116+L48</f>
        <v>126548</v>
      </c>
      <c r="M28" s="439">
        <f>+M116+M48</f>
        <v>1624701</v>
      </c>
      <c r="N28" s="439">
        <f t="shared" si="48"/>
        <v>14577</v>
      </c>
      <c r="O28" s="439">
        <f t="shared" si="48"/>
        <v>8684</v>
      </c>
      <c r="P28" s="439">
        <f t="shared" si="48"/>
        <v>0</v>
      </c>
      <c r="Q28" s="439">
        <f t="shared" si="48"/>
        <v>0</v>
      </c>
      <c r="R28" s="439">
        <f>+R116+R48</f>
        <v>0</v>
      </c>
      <c r="S28" s="439">
        <f t="shared" ref="S28:T28" si="49">+S116+S48</f>
        <v>0</v>
      </c>
      <c r="T28" s="439">
        <f t="shared" si="49"/>
        <v>0</v>
      </c>
      <c r="U28" s="2613"/>
      <c r="V28" s="2181"/>
    </row>
    <row r="29" spans="1:22" s="1909" customFormat="1" ht="12.75" hidden="1" customHeight="1" outlineLevel="1">
      <c r="A29" s="1437"/>
      <c r="B29" s="1438" t="s">
        <v>24</v>
      </c>
      <c r="C29" s="1446"/>
      <c r="D29" s="1447">
        <v>0</v>
      </c>
      <c r="E29" s="1447">
        <v>0</v>
      </c>
      <c r="F29" s="1447">
        <v>0</v>
      </c>
      <c r="G29" s="1447">
        <v>0</v>
      </c>
      <c r="H29" s="1447">
        <v>0</v>
      </c>
      <c r="I29" s="1447">
        <v>0</v>
      </c>
      <c r="J29" s="1447">
        <v>0</v>
      </c>
      <c r="K29" s="1447">
        <v>0</v>
      </c>
      <c r="L29" s="1447">
        <v>0</v>
      </c>
      <c r="M29" s="1447">
        <v>1</v>
      </c>
      <c r="N29" s="1447">
        <v>0</v>
      </c>
      <c r="O29" s="1447">
        <v>0</v>
      </c>
      <c r="P29" s="1447">
        <v>0</v>
      </c>
      <c r="Q29" s="1447">
        <v>0</v>
      </c>
      <c r="R29" s="1447"/>
      <c r="S29" s="1447"/>
      <c r="T29" s="1447"/>
      <c r="U29" s="2613"/>
      <c r="V29" s="2181"/>
    </row>
    <row r="30" spans="1:22" s="1909" customFormat="1" ht="12" customHeight="1" outlineLevel="1">
      <c r="A30" s="1432"/>
      <c r="B30" s="1448" t="s">
        <v>30</v>
      </c>
      <c r="C30" s="1434"/>
      <c r="D30" s="1435">
        <f>+D31+D33+D32</f>
        <v>160580821</v>
      </c>
      <c r="E30" s="1435">
        <f>+E31+E33+E32</f>
        <v>10594223</v>
      </c>
      <c r="F30" s="1435">
        <f>+F31+F33+F32</f>
        <v>0</v>
      </c>
      <c r="G30" s="1435">
        <f>+G31+G33+G32</f>
        <v>0</v>
      </c>
      <c r="H30" s="1435">
        <f>+H31+H33+H32</f>
        <v>12190980</v>
      </c>
      <c r="I30" s="1435">
        <f t="shared" ref="I30:P30" si="50">SUM(I31:I33)</f>
        <v>19054154</v>
      </c>
      <c r="J30" s="1435">
        <f t="shared" si="50"/>
        <v>27488795</v>
      </c>
      <c r="K30" s="1435">
        <f t="shared" si="50"/>
        <v>28742064</v>
      </c>
      <c r="L30" s="1435">
        <f t="shared" si="50"/>
        <v>23354924</v>
      </c>
      <c r="M30" s="1435">
        <f t="shared" ref="M30" si="51">SUM(M31:M33)</f>
        <v>109234160</v>
      </c>
      <c r="N30" s="1435">
        <f t="shared" si="50"/>
        <v>19326730</v>
      </c>
      <c r="O30" s="1435">
        <f t="shared" si="50"/>
        <v>20867053</v>
      </c>
      <c r="P30" s="1435">
        <f t="shared" si="50"/>
        <v>5322685</v>
      </c>
      <c r="Q30" s="1435">
        <f>SUM(Q31:Q33)</f>
        <v>2648693</v>
      </c>
      <c r="R30" s="1435">
        <f>SUM(R31:R33)</f>
        <v>1590750</v>
      </c>
      <c r="S30" s="1435">
        <f t="shared" ref="S30:T30" si="52">SUM(S31:S33)</f>
        <v>1590750</v>
      </c>
      <c r="T30" s="1435">
        <f t="shared" si="52"/>
        <v>0</v>
      </c>
      <c r="U30" s="2613"/>
      <c r="V30" s="2181"/>
    </row>
    <row r="31" spans="1:22" s="1909" customFormat="1" ht="12.95" customHeight="1" outlineLevel="1">
      <c r="A31" s="1437"/>
      <c r="B31" s="426" t="s">
        <v>33</v>
      </c>
      <c r="C31" s="1449"/>
      <c r="D31" s="439">
        <f>D178+D103+D50+D66+D151+D165</f>
        <v>90861830</v>
      </c>
      <c r="E31" s="439">
        <f>E178+E103+E50+E66</f>
        <v>0</v>
      </c>
      <c r="F31" s="439">
        <f t="shared" ref="F31:H31" si="53">F178+F103+F50+F66</f>
        <v>0</v>
      </c>
      <c r="G31" s="439">
        <f t="shared" si="53"/>
        <v>0</v>
      </c>
      <c r="H31" s="439">
        <f t="shared" si="53"/>
        <v>9132612</v>
      </c>
      <c r="I31" s="439">
        <f t="shared" ref="I31:L31" si="54">I178+I103+I50+I66</f>
        <v>0</v>
      </c>
      <c r="J31" s="439">
        <f t="shared" si="54"/>
        <v>18991349</v>
      </c>
      <c r="K31" s="439">
        <f t="shared" si="54"/>
        <v>19160035</v>
      </c>
      <c r="L31" s="439">
        <f t="shared" si="54"/>
        <v>14854622</v>
      </c>
      <c r="M31" s="439">
        <f t="shared" ref="M31:T31" si="55">M178+M103+M50+M66+M151+M165</f>
        <v>53006006</v>
      </c>
      <c r="N31" s="439">
        <f t="shared" si="55"/>
        <v>14847924</v>
      </c>
      <c r="O31" s="439">
        <f t="shared" si="55"/>
        <v>14736000</v>
      </c>
      <c r="P31" s="439">
        <f t="shared" si="55"/>
        <v>3499650</v>
      </c>
      <c r="Q31" s="439">
        <f t="shared" si="55"/>
        <v>1590750</v>
      </c>
      <c r="R31" s="439">
        <f t="shared" si="55"/>
        <v>1590750</v>
      </c>
      <c r="S31" s="439">
        <f t="shared" si="55"/>
        <v>1590750</v>
      </c>
      <c r="T31" s="439">
        <f t="shared" si="55"/>
        <v>0</v>
      </c>
      <c r="U31" s="2613"/>
      <c r="V31" s="2181"/>
    </row>
    <row r="32" spans="1:22" s="1909" customFormat="1" ht="12.95" customHeight="1" outlineLevel="1">
      <c r="A32" s="1437"/>
      <c r="B32" s="1438" t="s">
        <v>26</v>
      </c>
      <c r="C32" s="1449"/>
      <c r="D32" s="439">
        <f>+D51+D104+D118+D131+D67</f>
        <v>46133146</v>
      </c>
      <c r="E32" s="439">
        <f t="shared" ref="E32:L32" si="56">+E51+E104+E118+E131+E67+E151+E165</f>
        <v>10594223</v>
      </c>
      <c r="F32" s="439">
        <f t="shared" si="56"/>
        <v>0</v>
      </c>
      <c r="G32" s="439">
        <f t="shared" si="56"/>
        <v>0</v>
      </c>
      <c r="H32" s="439">
        <f t="shared" si="56"/>
        <v>3058368</v>
      </c>
      <c r="I32" s="439">
        <f t="shared" si="56"/>
        <v>17692550</v>
      </c>
      <c r="J32" s="439">
        <f t="shared" si="56"/>
        <v>2998223</v>
      </c>
      <c r="K32" s="439">
        <f t="shared" si="56"/>
        <v>3753212</v>
      </c>
      <c r="L32" s="439">
        <f t="shared" si="56"/>
        <v>4711864</v>
      </c>
      <c r="M32" s="439">
        <f t="shared" ref="M32:T32" si="57">+M51+M104+M118+M131+M67</f>
        <v>39750072</v>
      </c>
      <c r="N32" s="439">
        <f t="shared" si="57"/>
        <v>4433074</v>
      </c>
      <c r="O32" s="439">
        <f t="shared" si="57"/>
        <v>1950000</v>
      </c>
      <c r="P32" s="439">
        <f t="shared" si="57"/>
        <v>0</v>
      </c>
      <c r="Q32" s="439">
        <f t="shared" si="57"/>
        <v>0</v>
      </c>
      <c r="R32" s="439">
        <f t="shared" si="57"/>
        <v>0</v>
      </c>
      <c r="S32" s="439">
        <f t="shared" si="57"/>
        <v>0</v>
      </c>
      <c r="T32" s="439">
        <f t="shared" si="57"/>
        <v>0</v>
      </c>
      <c r="U32" s="2613"/>
      <c r="V32" s="2181"/>
    </row>
    <row r="33" spans="1:22" s="1909" customFormat="1" ht="13.5" thickBot="1">
      <c r="A33" s="1450"/>
      <c r="B33" s="1451" t="s">
        <v>32</v>
      </c>
      <c r="C33" s="1452"/>
      <c r="D33" s="443">
        <f>+D78+D91+D119+D52+D138</f>
        <v>23585845</v>
      </c>
      <c r="E33" s="443">
        <f t="shared" ref="E33:R33" si="58">+E78+E91+E119+E52+E138</f>
        <v>0</v>
      </c>
      <c r="F33" s="443">
        <f t="shared" si="58"/>
        <v>0</v>
      </c>
      <c r="G33" s="443">
        <f t="shared" si="58"/>
        <v>0</v>
      </c>
      <c r="H33" s="443">
        <f t="shared" si="58"/>
        <v>0</v>
      </c>
      <c r="I33" s="443">
        <f t="shared" si="58"/>
        <v>1361604</v>
      </c>
      <c r="J33" s="443">
        <f t="shared" si="58"/>
        <v>5499223</v>
      </c>
      <c r="K33" s="443">
        <f t="shared" si="58"/>
        <v>5828817</v>
      </c>
      <c r="L33" s="443">
        <f t="shared" si="58"/>
        <v>3788438</v>
      </c>
      <c r="M33" s="443">
        <f t="shared" ref="M33" si="59">+M78+M91+M119+M52+M138</f>
        <v>16478082</v>
      </c>
      <c r="N33" s="443">
        <f t="shared" si="58"/>
        <v>45732</v>
      </c>
      <c r="O33" s="443">
        <f t="shared" si="58"/>
        <v>4181053</v>
      </c>
      <c r="P33" s="443">
        <f t="shared" si="58"/>
        <v>1823035</v>
      </c>
      <c r="Q33" s="443">
        <f t="shared" si="58"/>
        <v>1057943</v>
      </c>
      <c r="R33" s="443">
        <f t="shared" si="58"/>
        <v>0</v>
      </c>
      <c r="S33" s="443">
        <f t="shared" ref="S33:T33" si="60">+S78+S91+S119+S52+S138</f>
        <v>0</v>
      </c>
      <c r="T33" s="443">
        <f t="shared" si="60"/>
        <v>0</v>
      </c>
      <c r="U33" s="2614"/>
      <c r="V33" s="2182"/>
    </row>
    <row r="34" spans="1:22" s="832" customFormat="1" ht="41.25" customHeight="1">
      <c r="A34" s="2791" t="s">
        <v>82</v>
      </c>
      <c r="B34" s="1453" t="s">
        <v>263</v>
      </c>
      <c r="C34" s="1454" t="s">
        <v>138</v>
      </c>
      <c r="D34" s="1454"/>
      <c r="E34" s="530"/>
      <c r="F34" s="530"/>
      <c r="G34" s="530"/>
      <c r="H34" s="530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  <c r="U34" s="1455"/>
      <c r="V34" s="2383" t="s">
        <v>264</v>
      </c>
    </row>
    <row r="35" spans="1:22" s="832" customFormat="1" ht="14.25" customHeight="1">
      <c r="A35" s="2792"/>
      <c r="B35" s="947" t="s">
        <v>22</v>
      </c>
      <c r="C35" s="1456"/>
      <c r="D35" s="1031">
        <f>+D36+D40</f>
        <v>7284055</v>
      </c>
      <c r="E35" s="1032">
        <f>+E36+E40</f>
        <v>71611</v>
      </c>
      <c r="F35" s="1032"/>
      <c r="G35" s="1032"/>
      <c r="H35" s="1032">
        <f t="shared" ref="H35:O35" si="61">+H36+H40</f>
        <v>290640</v>
      </c>
      <c r="I35" s="1032">
        <f t="shared" si="61"/>
        <v>457128</v>
      </c>
      <c r="J35" s="1032">
        <f t="shared" si="61"/>
        <v>775402</v>
      </c>
      <c r="K35" s="1032">
        <f t="shared" si="61"/>
        <v>1342191</v>
      </c>
      <c r="L35" s="1965">
        <f t="shared" si="61"/>
        <v>1407461</v>
      </c>
      <c r="M35" s="1032">
        <f t="shared" ref="M35" si="62">+M36+M40</f>
        <v>4053793</v>
      </c>
      <c r="N35" s="1032">
        <f t="shared" si="61"/>
        <v>1496262</v>
      </c>
      <c r="O35" s="1032">
        <f t="shared" si="61"/>
        <v>1734000</v>
      </c>
      <c r="P35" s="1032"/>
      <c r="Q35" s="1032"/>
      <c r="R35" s="1032"/>
      <c r="S35" s="1032"/>
      <c r="T35" s="1032"/>
      <c r="U35" s="1457">
        <f>+U36+U40</f>
        <v>1734000</v>
      </c>
      <c r="V35" s="2384"/>
    </row>
    <row r="36" spans="1:22" s="832" customFormat="1" ht="12.95" customHeight="1">
      <c r="A36" s="2792"/>
      <c r="B36" s="1458" t="s">
        <v>23</v>
      </c>
      <c r="C36" s="2794" t="s">
        <v>265</v>
      </c>
      <c r="D36" s="1459">
        <f t="shared" ref="D36:O36" si="63">+D37+D39+D38</f>
        <v>2015509</v>
      </c>
      <c r="E36" s="1459">
        <f t="shared" si="63"/>
        <v>23998</v>
      </c>
      <c r="F36" s="1459">
        <f t="shared" si="63"/>
        <v>0</v>
      </c>
      <c r="G36" s="1459">
        <f t="shared" si="63"/>
        <v>0</v>
      </c>
      <c r="H36" s="1459">
        <f t="shared" si="63"/>
        <v>108486</v>
      </c>
      <c r="I36" s="1459">
        <f t="shared" si="63"/>
        <v>137759</v>
      </c>
      <c r="J36" s="1459">
        <f t="shared" si="63"/>
        <v>216362</v>
      </c>
      <c r="K36" s="1459">
        <f t="shared" si="63"/>
        <v>374915</v>
      </c>
      <c r="L36" s="1966">
        <f t="shared" si="63"/>
        <v>380697</v>
      </c>
      <c r="M36" s="1473">
        <f t="shared" ref="M36" si="64">+M37+M39+M38</f>
        <v>1133731</v>
      </c>
      <c r="N36" s="1459">
        <f t="shared" si="63"/>
        <v>401778</v>
      </c>
      <c r="O36" s="1459">
        <f t="shared" si="63"/>
        <v>480000</v>
      </c>
      <c r="P36" s="1459"/>
      <c r="Q36" s="1459"/>
      <c r="R36" s="1459"/>
      <c r="S36" s="1459"/>
      <c r="T36" s="1459"/>
      <c r="U36" s="1460">
        <f>+U37+U39+U38</f>
        <v>480000</v>
      </c>
      <c r="V36" s="2384"/>
    </row>
    <row r="37" spans="1:22" s="832" customFormat="1" ht="12.95" customHeight="1">
      <c r="A37" s="2792"/>
      <c r="B37" s="558" t="s">
        <v>24</v>
      </c>
      <c r="C37" s="2795"/>
      <c r="D37" s="992">
        <f>M37+N37+O37+P37+Q37+R37</f>
        <v>83440</v>
      </c>
      <c r="E37" s="1461">
        <v>19032</v>
      </c>
      <c r="F37" s="1461"/>
      <c r="G37" s="1461"/>
      <c r="H37" s="1461"/>
      <c r="I37" s="1461">
        <v>26016</v>
      </c>
      <c r="J37" s="1461">
        <f>30000-292</f>
        <v>29708</v>
      </c>
      <c r="K37" s="1461">
        <v>0</v>
      </c>
      <c r="L37" s="1586">
        <v>0</v>
      </c>
      <c r="M37" s="1461">
        <f>E37+I37+J37+K37+L37</f>
        <v>74756</v>
      </c>
      <c r="N37" s="1461">
        <v>8684</v>
      </c>
      <c r="O37" s="1461">
        <v>0</v>
      </c>
      <c r="P37" s="1461"/>
      <c r="Q37" s="1461"/>
      <c r="R37" s="1461"/>
      <c r="S37" s="1461"/>
      <c r="T37" s="1461"/>
      <c r="U37" s="1462">
        <f>SUM(O37:T37)</f>
        <v>0</v>
      </c>
      <c r="V37" s="2384"/>
    </row>
    <row r="38" spans="1:22" s="914" customFormat="1" ht="12.95" customHeight="1">
      <c r="A38" s="2792"/>
      <c r="B38" s="1463" t="s">
        <v>25</v>
      </c>
      <c r="C38" s="2795"/>
      <c r="D38" s="992">
        <f t="shared" ref="D38:D43" si="65">M38+N38+O38+P38+Q38+R38</f>
        <v>1815360</v>
      </c>
      <c r="E38" s="1464">
        <v>0</v>
      </c>
      <c r="F38" s="1464"/>
      <c r="G38" s="1464"/>
      <c r="H38" s="1464"/>
      <c r="I38" s="1464">
        <v>0</v>
      </c>
      <c r="J38" s="1464">
        <f>181000+25632-19978</f>
        <v>186654</v>
      </c>
      <c r="K38" s="1464">
        <f>300000+135000-12000-48085</f>
        <v>374915</v>
      </c>
      <c r="L38" s="1967">
        <f>46000+350000-5000-10303</f>
        <v>380697</v>
      </c>
      <c r="M38" s="1461">
        <f>E38+I38+J38+K38+L38</f>
        <v>942266</v>
      </c>
      <c r="N38" s="1464">
        <v>393094</v>
      </c>
      <c r="O38" s="1464">
        <f>325000+10303+144697</f>
        <v>480000</v>
      </c>
      <c r="P38" s="1464"/>
      <c r="Q38" s="1464"/>
      <c r="R38" s="1464"/>
      <c r="S38" s="1817"/>
      <c r="T38" s="1817"/>
      <c r="U38" s="1462">
        <f>SUM(O38:T38)</f>
        <v>480000</v>
      </c>
      <c r="V38" s="2384"/>
    </row>
    <row r="39" spans="1:22" s="914" customFormat="1" ht="12.95" customHeight="1">
      <c r="A39" s="2792"/>
      <c r="B39" s="558" t="s">
        <v>26</v>
      </c>
      <c r="C39" s="2795"/>
      <c r="D39" s="992">
        <f t="shared" si="65"/>
        <v>116709</v>
      </c>
      <c r="E39" s="1968">
        <f>7834-2868</f>
        <v>4966</v>
      </c>
      <c r="F39" s="1968"/>
      <c r="G39" s="1968"/>
      <c r="H39" s="1968">
        <v>108486</v>
      </c>
      <c r="I39" s="1461">
        <f>450208-338465</f>
        <v>111743</v>
      </c>
      <c r="J39" s="1461">
        <v>0</v>
      </c>
      <c r="K39" s="1461">
        <v>0</v>
      </c>
      <c r="L39" s="1586">
        <v>0</v>
      </c>
      <c r="M39" s="1461">
        <f>E39+I39+J39+K39+L39</f>
        <v>116709</v>
      </c>
      <c r="N39" s="1461">
        <v>0</v>
      </c>
      <c r="O39" s="1461">
        <v>0</v>
      </c>
      <c r="P39" s="1461"/>
      <c r="Q39" s="1461"/>
      <c r="R39" s="1461"/>
      <c r="S39" s="1461"/>
      <c r="T39" s="1461"/>
      <c r="U39" s="1462">
        <f>SUM(O39:T39)</f>
        <v>0</v>
      </c>
      <c r="V39" s="2384"/>
    </row>
    <row r="40" spans="1:22" s="832" customFormat="1" ht="12.95" customHeight="1">
      <c r="A40" s="2792"/>
      <c r="B40" s="1465" t="s">
        <v>30</v>
      </c>
      <c r="C40" s="2795"/>
      <c r="D40" s="1459">
        <f>D42+D43+D41</f>
        <v>5268546</v>
      </c>
      <c r="E40" s="1459">
        <f>E42+E43+E41</f>
        <v>47613</v>
      </c>
      <c r="F40" s="1459">
        <f t="shared" ref="F40:O40" si="66">F42+F43+F41</f>
        <v>0</v>
      </c>
      <c r="G40" s="1459">
        <f t="shared" si="66"/>
        <v>0</v>
      </c>
      <c r="H40" s="1459">
        <f t="shared" si="66"/>
        <v>182154</v>
      </c>
      <c r="I40" s="1459">
        <f t="shared" si="66"/>
        <v>319369</v>
      </c>
      <c r="J40" s="1459">
        <f t="shared" si="66"/>
        <v>559040</v>
      </c>
      <c r="K40" s="1459">
        <f t="shared" si="66"/>
        <v>967276</v>
      </c>
      <c r="L40" s="1966">
        <f t="shared" si="66"/>
        <v>1026764</v>
      </c>
      <c r="M40" s="1473">
        <f t="shared" si="66"/>
        <v>2920062</v>
      </c>
      <c r="N40" s="1459">
        <f t="shared" si="66"/>
        <v>1094484</v>
      </c>
      <c r="O40" s="1459">
        <f t="shared" si="66"/>
        <v>1254000</v>
      </c>
      <c r="P40" s="1459"/>
      <c r="Q40" s="1459"/>
      <c r="R40" s="1459"/>
      <c r="S40" s="1459"/>
      <c r="T40" s="1459"/>
      <c r="U40" s="1460">
        <f>U42+U43+U41</f>
        <v>1254000</v>
      </c>
      <c r="V40" s="2384"/>
    </row>
    <row r="41" spans="1:22" s="832" customFormat="1" ht="12.95" customHeight="1">
      <c r="A41" s="2792"/>
      <c r="B41" s="558" t="s">
        <v>24</v>
      </c>
      <c r="C41" s="2795"/>
      <c r="D41" s="992">
        <f t="shared" si="65"/>
        <v>79073</v>
      </c>
      <c r="E41" s="1464">
        <v>32716</v>
      </c>
      <c r="F41" s="1464"/>
      <c r="G41" s="1464"/>
      <c r="H41" s="1464"/>
      <c r="I41" s="1464">
        <v>20306</v>
      </c>
      <c r="J41" s="1466">
        <v>0</v>
      </c>
      <c r="K41" s="1466">
        <v>0</v>
      </c>
      <c r="L41" s="1784">
        <v>0</v>
      </c>
      <c r="M41" s="1461">
        <f>E41+I41+J41+K41+L41</f>
        <v>53022</v>
      </c>
      <c r="N41" s="1072">
        <v>26051</v>
      </c>
      <c r="O41" s="1992">
        <v>0</v>
      </c>
      <c r="P41" s="620"/>
      <c r="Q41" s="1467"/>
      <c r="R41" s="1467"/>
      <c r="S41" s="1467"/>
      <c r="T41" s="1467"/>
      <c r="U41" s="1462">
        <f>SUM(O41:T41)</f>
        <v>0</v>
      </c>
      <c r="V41" s="2384"/>
    </row>
    <row r="42" spans="1:22" s="832" customFormat="1" ht="12.95" customHeight="1">
      <c r="A42" s="2792"/>
      <c r="B42" s="558" t="s">
        <v>33</v>
      </c>
      <c r="C42" s="2795"/>
      <c r="D42" s="992">
        <f t="shared" si="65"/>
        <v>4875513</v>
      </c>
      <c r="E42" s="1968">
        <v>0</v>
      </c>
      <c r="F42" s="1968"/>
      <c r="G42" s="1968"/>
      <c r="H42" s="1968"/>
      <c r="I42" s="1461">
        <v>0</v>
      </c>
      <c r="J42" s="1468">
        <f>588000+24293-53253</f>
        <v>559040</v>
      </c>
      <c r="K42" s="1468">
        <f>900000+165000-18000-79724</f>
        <v>967276</v>
      </c>
      <c r="L42" s="1969">
        <f>1050000-23236</f>
        <v>1026764</v>
      </c>
      <c r="M42" s="1461">
        <f>E42+I42+J42+K42+L42</f>
        <v>2553080</v>
      </c>
      <c r="N42" s="1468">
        <v>1068433</v>
      </c>
      <c r="O42" s="1468">
        <f>975000+23236+255764</f>
        <v>1254000</v>
      </c>
      <c r="P42" s="1469"/>
      <c r="Q42" s="1469"/>
      <c r="R42" s="1469"/>
      <c r="S42" s="1043"/>
      <c r="T42" s="1043"/>
      <c r="U42" s="1462">
        <f>SUM(O42:T42)</f>
        <v>1254000</v>
      </c>
      <c r="V42" s="2384"/>
    </row>
    <row r="43" spans="1:22" s="832" customFormat="1" ht="12.95" customHeight="1">
      <c r="A43" s="2792"/>
      <c r="B43" s="1470" t="s">
        <v>26</v>
      </c>
      <c r="C43" s="2796"/>
      <c r="D43" s="992">
        <f t="shared" si="65"/>
        <v>313960</v>
      </c>
      <c r="E43" s="1461">
        <f>23504-8607</f>
        <v>14897</v>
      </c>
      <c r="F43" s="1461"/>
      <c r="G43" s="1461"/>
      <c r="H43" s="1461">
        <v>182154</v>
      </c>
      <c r="I43" s="1461">
        <f>143792+155271</f>
        <v>299063</v>
      </c>
      <c r="J43" s="1461">
        <v>0</v>
      </c>
      <c r="K43" s="1461">
        <v>0</v>
      </c>
      <c r="L43" s="1586">
        <v>0</v>
      </c>
      <c r="M43" s="1461">
        <f>E43+I43+J43+K43+L43</f>
        <v>313960</v>
      </c>
      <c r="N43" s="1461">
        <v>0</v>
      </c>
      <c r="O43" s="1461">
        <v>0</v>
      </c>
      <c r="P43" s="1461"/>
      <c r="Q43" s="1461"/>
      <c r="R43" s="1461"/>
      <c r="S43" s="1461"/>
      <c r="T43" s="1461"/>
      <c r="U43" s="1462">
        <f>SUM(O43:T43)</f>
        <v>0</v>
      </c>
      <c r="V43" s="2384"/>
    </row>
    <row r="44" spans="1:22" s="832" customFormat="1" ht="12.95" customHeight="1">
      <c r="A44" s="2792"/>
      <c r="B44" s="561" t="s">
        <v>34</v>
      </c>
      <c r="C44" s="1471"/>
      <c r="D44" s="1430">
        <f>+D45+D49</f>
        <v>7226973</v>
      </c>
      <c r="E44" s="1430">
        <f>+E45+E49</f>
        <v>19863</v>
      </c>
      <c r="F44" s="1430"/>
      <c r="G44" s="1430"/>
      <c r="H44" s="1430">
        <f t="shared" ref="H44:O44" si="67">+H45+H49</f>
        <v>290640</v>
      </c>
      <c r="I44" s="1430">
        <f t="shared" si="67"/>
        <v>410806</v>
      </c>
      <c r="J44" s="1430">
        <f t="shared" si="67"/>
        <v>745694</v>
      </c>
      <c r="K44" s="1430">
        <f t="shared" si="67"/>
        <v>1412887</v>
      </c>
      <c r="L44" s="1970">
        <f t="shared" si="67"/>
        <v>1407461</v>
      </c>
      <c r="M44" s="1430">
        <f t="shared" ref="M44" si="68">+M45+M49</f>
        <v>3996711</v>
      </c>
      <c r="N44" s="1430">
        <f t="shared" si="67"/>
        <v>1461527</v>
      </c>
      <c r="O44" s="1430">
        <f t="shared" si="67"/>
        <v>1768735</v>
      </c>
      <c r="P44" s="1430"/>
      <c r="Q44" s="1032"/>
      <c r="R44" s="1032"/>
      <c r="S44" s="1032"/>
      <c r="T44" s="1032"/>
      <c r="U44" s="2596" t="s">
        <v>77</v>
      </c>
      <c r="V44" s="2384"/>
    </row>
    <row r="45" spans="1:22" s="832" customFormat="1" ht="12.95" customHeight="1">
      <c r="A45" s="2792"/>
      <c r="B45" s="1472" t="s">
        <v>23</v>
      </c>
      <c r="C45" s="2794" t="s">
        <v>265</v>
      </c>
      <c r="D45" s="1473">
        <f>D46+D47+D48</f>
        <v>1958427</v>
      </c>
      <c r="E45" s="1473">
        <f t="shared" ref="E45:O45" si="69">E46+E47+E48</f>
        <v>4966</v>
      </c>
      <c r="F45" s="1473">
        <f t="shared" si="69"/>
        <v>0</v>
      </c>
      <c r="G45" s="1473">
        <f t="shared" si="69"/>
        <v>0</v>
      </c>
      <c r="H45" s="1473">
        <f t="shared" si="69"/>
        <v>108486</v>
      </c>
      <c r="I45" s="1473">
        <f t="shared" si="69"/>
        <v>111743</v>
      </c>
      <c r="J45" s="1473">
        <f t="shared" si="69"/>
        <v>186654</v>
      </c>
      <c r="K45" s="1473">
        <f t="shared" si="69"/>
        <v>392589</v>
      </c>
      <c r="L45" s="1971">
        <f t="shared" si="69"/>
        <v>380697</v>
      </c>
      <c r="M45" s="1473">
        <f t="shared" ref="M45" si="70">M46+M47+M48</f>
        <v>1076649</v>
      </c>
      <c r="N45" s="1473">
        <f t="shared" si="69"/>
        <v>393094</v>
      </c>
      <c r="O45" s="1473">
        <f t="shared" si="69"/>
        <v>488684</v>
      </c>
      <c r="P45" s="1473"/>
      <c r="Q45" s="1473"/>
      <c r="R45" s="1473"/>
      <c r="S45" s="1473"/>
      <c r="T45" s="1473"/>
      <c r="U45" s="2597"/>
      <c r="V45" s="2384"/>
    </row>
    <row r="46" spans="1:22" s="832" customFormat="1" ht="12.95" customHeight="1">
      <c r="A46" s="2792"/>
      <c r="B46" s="1474" t="s">
        <v>25</v>
      </c>
      <c r="C46" s="2795"/>
      <c r="D46" s="992">
        <f t="shared" ref="D46:D48" si="71">M46+N46+O46+P46+Q46+R46</f>
        <v>1815360</v>
      </c>
      <c r="E46" s="588">
        <v>0</v>
      </c>
      <c r="F46" s="588"/>
      <c r="G46" s="588"/>
      <c r="H46" s="588"/>
      <c r="I46" s="549">
        <v>0</v>
      </c>
      <c r="J46" s="1461">
        <f>181000+25632-19978</f>
        <v>186654</v>
      </c>
      <c r="K46" s="510">
        <f>300000+135000-12000-48085</f>
        <v>374915</v>
      </c>
      <c r="L46" s="1586">
        <f>46000+350000-5000-10303</f>
        <v>380697</v>
      </c>
      <c r="M46" s="1461">
        <f>E46+I46+J46+K46+L46</f>
        <v>942266</v>
      </c>
      <c r="N46" s="510">
        <v>393094</v>
      </c>
      <c r="O46" s="510">
        <f>325000+10303+144697</f>
        <v>480000</v>
      </c>
      <c r="P46" s="620"/>
      <c r="Q46" s="620"/>
      <c r="R46" s="620"/>
      <c r="S46" s="620"/>
      <c r="T46" s="620"/>
      <c r="U46" s="2597"/>
      <c r="V46" s="2384"/>
    </row>
    <row r="47" spans="1:22" s="832" customFormat="1" ht="12.95" customHeight="1">
      <c r="A47" s="2792"/>
      <c r="B47" s="691" t="s">
        <v>26</v>
      </c>
      <c r="C47" s="2795"/>
      <c r="D47" s="992">
        <f t="shared" si="71"/>
        <v>116709</v>
      </c>
      <c r="E47" s="1475">
        <f>7834-2868</f>
        <v>4966</v>
      </c>
      <c r="F47" s="1475"/>
      <c r="G47" s="1475"/>
      <c r="H47" s="1475">
        <v>108486</v>
      </c>
      <c r="I47" s="1476">
        <f>450208-338465</f>
        <v>111743</v>
      </c>
      <c r="J47" s="1476">
        <v>0</v>
      </c>
      <c r="K47" s="1476">
        <v>0</v>
      </c>
      <c r="L47" s="1591">
        <v>0</v>
      </c>
      <c r="M47" s="1461">
        <f>E47+I47+J47+K47+L47</f>
        <v>116709</v>
      </c>
      <c r="N47" s="1476">
        <v>0</v>
      </c>
      <c r="O47" s="1476">
        <v>0</v>
      </c>
      <c r="P47" s="1476"/>
      <c r="Q47" s="1476"/>
      <c r="R47" s="1476"/>
      <c r="S47" s="1476"/>
      <c r="T47" s="1476"/>
      <c r="U47" s="2597"/>
      <c r="V47" s="2384"/>
    </row>
    <row r="48" spans="1:22" s="832" customFormat="1">
      <c r="A48" s="2792"/>
      <c r="B48" s="691" t="s">
        <v>37</v>
      </c>
      <c r="C48" s="2795"/>
      <c r="D48" s="992">
        <f t="shared" si="71"/>
        <v>26358</v>
      </c>
      <c r="E48" s="1475">
        <v>0</v>
      </c>
      <c r="F48" s="1475"/>
      <c r="G48" s="1475"/>
      <c r="H48" s="1475"/>
      <c r="I48" s="1476">
        <v>0</v>
      </c>
      <c r="J48" s="1476">
        <v>0</v>
      </c>
      <c r="K48" s="1476">
        <v>17674</v>
      </c>
      <c r="L48" s="1591">
        <v>0</v>
      </c>
      <c r="M48" s="1461">
        <f>E48+I48+J48+K48+L48</f>
        <v>17674</v>
      </c>
      <c r="N48" s="1476">
        <v>0</v>
      </c>
      <c r="O48" s="1476">
        <v>8684</v>
      </c>
      <c r="P48" s="1476"/>
      <c r="Q48" s="1476"/>
      <c r="R48" s="1476"/>
      <c r="S48" s="1476"/>
      <c r="T48" s="1476"/>
      <c r="U48" s="2597"/>
      <c r="V48" s="2384"/>
    </row>
    <row r="49" spans="1:22" s="832" customFormat="1" ht="12.75" customHeight="1">
      <c r="A49" s="2792"/>
      <c r="B49" s="1465" t="s">
        <v>30</v>
      </c>
      <c r="C49" s="2795"/>
      <c r="D49" s="1473">
        <f>D50+D51+D52</f>
        <v>5268546</v>
      </c>
      <c r="E49" s="1473">
        <f t="shared" ref="E49:O49" si="72">E50+E51+E52</f>
        <v>14897</v>
      </c>
      <c r="F49" s="1473">
        <f t="shared" si="72"/>
        <v>0</v>
      </c>
      <c r="G49" s="1473">
        <f t="shared" si="72"/>
        <v>0</v>
      </c>
      <c r="H49" s="1473">
        <f t="shared" si="72"/>
        <v>182154</v>
      </c>
      <c r="I49" s="1473">
        <f t="shared" si="72"/>
        <v>299063</v>
      </c>
      <c r="J49" s="1473">
        <f t="shared" si="72"/>
        <v>559040</v>
      </c>
      <c r="K49" s="1473">
        <f t="shared" si="72"/>
        <v>1020298</v>
      </c>
      <c r="L49" s="1971">
        <f t="shared" si="72"/>
        <v>1026764</v>
      </c>
      <c r="M49" s="1473">
        <f t="shared" si="72"/>
        <v>2920062</v>
      </c>
      <c r="N49" s="1473">
        <f t="shared" si="72"/>
        <v>1068433</v>
      </c>
      <c r="O49" s="1473">
        <f t="shared" si="72"/>
        <v>1280051</v>
      </c>
      <c r="P49" s="1473"/>
      <c r="Q49" s="1473"/>
      <c r="R49" s="1473"/>
      <c r="S49" s="1473"/>
      <c r="T49" s="1473"/>
      <c r="U49" s="2597"/>
      <c r="V49" s="2384"/>
    </row>
    <row r="50" spans="1:22" s="832" customFormat="1" ht="12.95" customHeight="1">
      <c r="A50" s="2792"/>
      <c r="B50" s="1474" t="s">
        <v>33</v>
      </c>
      <c r="C50" s="2795"/>
      <c r="D50" s="992">
        <f t="shared" ref="D50:D52" si="73">M50+N50+O50+P50+Q50+R50</f>
        <v>4875513</v>
      </c>
      <c r="E50" s="720">
        <v>0</v>
      </c>
      <c r="F50" s="720"/>
      <c r="G50" s="720"/>
      <c r="H50" s="720"/>
      <c r="I50" s="620">
        <v>0</v>
      </c>
      <c r="J50" s="510">
        <f>588000+24293-53253</f>
        <v>559040</v>
      </c>
      <c r="K50" s="510">
        <f>900000+165000-18000-79724</f>
        <v>967276</v>
      </c>
      <c r="L50" s="1969">
        <f>1050000-23236</f>
        <v>1026764</v>
      </c>
      <c r="M50" s="1461">
        <f>E50+I50+J50+K50+L50</f>
        <v>2553080</v>
      </c>
      <c r="N50" s="1468">
        <v>1068433</v>
      </c>
      <c r="O50" s="1468">
        <f>975000+23236+255764</f>
        <v>1254000</v>
      </c>
      <c r="P50" s="1469"/>
      <c r="Q50" s="1469"/>
      <c r="R50" s="1469"/>
      <c r="S50" s="1469"/>
      <c r="T50" s="1469"/>
      <c r="U50" s="2597"/>
      <c r="V50" s="2384"/>
    </row>
    <row r="51" spans="1:22" s="832" customFormat="1" ht="12.95" customHeight="1">
      <c r="A51" s="2792"/>
      <c r="B51" s="558" t="s">
        <v>26</v>
      </c>
      <c r="C51" s="2795"/>
      <c r="D51" s="992">
        <f t="shared" si="73"/>
        <v>313960</v>
      </c>
      <c r="E51" s="1968">
        <f>23504-8607</f>
        <v>14897</v>
      </c>
      <c r="F51" s="1968"/>
      <c r="G51" s="1968"/>
      <c r="H51" s="1968">
        <v>182154</v>
      </c>
      <c r="I51" s="1461">
        <f>143792+155271</f>
        <v>299063</v>
      </c>
      <c r="J51" s="1461">
        <v>0</v>
      </c>
      <c r="K51" s="1461">
        <v>0</v>
      </c>
      <c r="L51" s="1461">
        <v>0</v>
      </c>
      <c r="M51" s="1461">
        <f>E51+I51+J51+K51+L51</f>
        <v>313960</v>
      </c>
      <c r="N51" s="1461">
        <v>0</v>
      </c>
      <c r="O51" s="1461">
        <v>0</v>
      </c>
      <c r="P51" s="1461"/>
      <c r="Q51" s="1461"/>
      <c r="R51" s="1461"/>
      <c r="S51" s="1461"/>
      <c r="T51" s="1461"/>
      <c r="U51" s="2597"/>
      <c r="V51" s="2384"/>
    </row>
    <row r="52" spans="1:22" s="832" customFormat="1" ht="12.95" customHeight="1" thickBot="1">
      <c r="A52" s="2793"/>
      <c r="B52" s="1477" t="s">
        <v>32</v>
      </c>
      <c r="C52" s="2797"/>
      <c r="D52" s="1494">
        <f t="shared" si="73"/>
        <v>79073</v>
      </c>
      <c r="E52" s="1972">
        <v>0</v>
      </c>
      <c r="F52" s="1972"/>
      <c r="G52" s="1972"/>
      <c r="H52" s="1972"/>
      <c r="I52" s="1478">
        <v>0</v>
      </c>
      <c r="J52" s="524">
        <v>0</v>
      </c>
      <c r="K52" s="524">
        <v>53022</v>
      </c>
      <c r="L52" s="524">
        <v>0</v>
      </c>
      <c r="M52" s="1505">
        <f>E52+I52+J52+K52+L52</f>
        <v>53022</v>
      </c>
      <c r="N52" s="524">
        <v>0</v>
      </c>
      <c r="O52" s="524">
        <v>26051</v>
      </c>
      <c r="P52" s="1478"/>
      <c r="Q52" s="1478"/>
      <c r="R52" s="1478"/>
      <c r="S52" s="1478"/>
      <c r="T52" s="1478"/>
      <c r="U52" s="2195"/>
      <c r="V52" s="2182"/>
    </row>
    <row r="53" spans="1:22" s="832" customFormat="1" ht="45.75" customHeight="1">
      <c r="A53" s="2791" t="s">
        <v>83</v>
      </c>
      <c r="B53" s="1453" t="s">
        <v>266</v>
      </c>
      <c r="C53" s="1454" t="s">
        <v>102</v>
      </c>
      <c r="D53" s="1454"/>
      <c r="E53" s="530"/>
      <c r="F53" s="530"/>
      <c r="G53" s="530"/>
      <c r="H53" s="530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1455"/>
      <c r="V53" s="2383" t="s">
        <v>264</v>
      </c>
    </row>
    <row r="54" spans="1:22" s="832" customFormat="1" ht="12.95" customHeight="1">
      <c r="A54" s="2792"/>
      <c r="B54" s="947" t="s">
        <v>22</v>
      </c>
      <c r="C54" s="1456"/>
      <c r="D54" s="1031">
        <f>+D55+D58</f>
        <v>38955</v>
      </c>
      <c r="E54" s="1032">
        <f>+E55+E58</f>
        <v>11475</v>
      </c>
      <c r="F54" s="1032"/>
      <c r="G54" s="1032"/>
      <c r="H54" s="1032">
        <f t="shared" ref="H54:O54" si="74">+H55+H58</f>
        <v>0</v>
      </c>
      <c r="I54" s="1479">
        <f t="shared" si="74"/>
        <v>0</v>
      </c>
      <c r="J54" s="1479">
        <f t="shared" si="74"/>
        <v>0</v>
      </c>
      <c r="K54" s="1032">
        <f t="shared" si="74"/>
        <v>27480</v>
      </c>
      <c r="L54" s="1973">
        <f t="shared" si="74"/>
        <v>0</v>
      </c>
      <c r="M54" s="1032">
        <f>+M55+M58</f>
        <v>38955</v>
      </c>
      <c r="N54" s="1479">
        <f t="shared" si="74"/>
        <v>0</v>
      </c>
      <c r="O54" s="1479">
        <f t="shared" si="74"/>
        <v>0</v>
      </c>
      <c r="P54" s="1032"/>
      <c r="Q54" s="1032"/>
      <c r="R54" s="1032"/>
      <c r="S54" s="1032"/>
      <c r="T54" s="1032"/>
      <c r="U54" s="1480">
        <f>+U55+U58</f>
        <v>0</v>
      </c>
      <c r="V54" s="2384"/>
    </row>
    <row r="55" spans="1:22" s="832" customFormat="1" ht="12.95" customHeight="1">
      <c r="A55" s="2792"/>
      <c r="B55" s="1458" t="s">
        <v>23</v>
      </c>
      <c r="C55" s="2794" t="s">
        <v>265</v>
      </c>
      <c r="D55" s="1459">
        <f>+D56+D57</f>
        <v>13592</v>
      </c>
      <c r="E55" s="1459">
        <f t="shared" ref="E55:J55" si="75">+E56+E57</f>
        <v>2868</v>
      </c>
      <c r="F55" s="1459">
        <f t="shared" si="75"/>
        <v>0</v>
      </c>
      <c r="G55" s="1459">
        <f t="shared" si="75"/>
        <v>0</v>
      </c>
      <c r="H55" s="1459">
        <f t="shared" si="75"/>
        <v>0</v>
      </c>
      <c r="I55" s="1481">
        <f t="shared" si="75"/>
        <v>0</v>
      </c>
      <c r="J55" s="1481">
        <f t="shared" si="75"/>
        <v>0</v>
      </c>
      <c r="K55" s="1459">
        <f>+K56</f>
        <v>10724</v>
      </c>
      <c r="L55" s="1481">
        <f>+L56</f>
        <v>0</v>
      </c>
      <c r="M55" s="1459">
        <f>+M56+M57</f>
        <v>13592</v>
      </c>
      <c r="N55" s="1481">
        <f>+N56</f>
        <v>0</v>
      </c>
      <c r="O55" s="1481">
        <f>+O56</f>
        <v>0</v>
      </c>
      <c r="P55" s="1459"/>
      <c r="Q55" s="1459"/>
      <c r="R55" s="1459"/>
      <c r="S55" s="1459"/>
      <c r="T55" s="1459"/>
      <c r="U55" s="1482">
        <f>+U56</f>
        <v>0</v>
      </c>
      <c r="V55" s="2384"/>
    </row>
    <row r="56" spans="1:22" s="832" customFormat="1" ht="11.25" customHeight="1">
      <c r="A56" s="2792"/>
      <c r="B56" s="1474" t="s">
        <v>25</v>
      </c>
      <c r="C56" s="2795"/>
      <c r="D56" s="992">
        <f t="shared" ref="D56:D57" si="76">M56+N56+O56+P56+Q56+R56</f>
        <v>10724</v>
      </c>
      <c r="E56" s="1461">
        <v>0</v>
      </c>
      <c r="F56" s="1461"/>
      <c r="G56" s="1461"/>
      <c r="H56" s="1461"/>
      <c r="I56" s="1483">
        <v>0</v>
      </c>
      <c r="J56" s="1483">
        <v>0</v>
      </c>
      <c r="K56" s="1461">
        <f>12000-1276</f>
        <v>10724</v>
      </c>
      <c r="L56" s="1483">
        <v>0</v>
      </c>
      <c r="M56" s="1461">
        <f>E56+I56+J56+K56+L56</f>
        <v>10724</v>
      </c>
      <c r="N56" s="1483">
        <v>0</v>
      </c>
      <c r="O56" s="1483">
        <v>0</v>
      </c>
      <c r="P56" s="1461"/>
      <c r="Q56" s="1461"/>
      <c r="R56" s="1461"/>
      <c r="S56" s="1461"/>
      <c r="T56" s="1461"/>
      <c r="U56" s="1484">
        <f t="shared" ref="U56:U57" si="77">SUM(O56:T56)</f>
        <v>0</v>
      </c>
      <c r="V56" s="2384"/>
    </row>
    <row r="57" spans="1:22" s="832" customFormat="1" ht="12.95" customHeight="1">
      <c r="A57" s="2792"/>
      <c r="B57" s="558" t="s">
        <v>26</v>
      </c>
      <c r="C57" s="2795"/>
      <c r="D57" s="992">
        <f t="shared" si="76"/>
        <v>2868</v>
      </c>
      <c r="E57" s="1475">
        <v>2868</v>
      </c>
      <c r="F57" s="1475"/>
      <c r="G57" s="1475"/>
      <c r="H57" s="1475"/>
      <c r="I57" s="1485">
        <v>0</v>
      </c>
      <c r="J57" s="1485">
        <v>0</v>
      </c>
      <c r="K57" s="1475">
        <v>0</v>
      </c>
      <c r="L57" s="1485">
        <v>0</v>
      </c>
      <c r="M57" s="1461">
        <f>E57+I57+J57+K57+L57</f>
        <v>2868</v>
      </c>
      <c r="N57" s="1485">
        <v>0</v>
      </c>
      <c r="O57" s="1485">
        <v>0</v>
      </c>
      <c r="P57" s="1475"/>
      <c r="Q57" s="1475"/>
      <c r="R57" s="1475"/>
      <c r="S57" s="1475"/>
      <c r="T57" s="1475"/>
      <c r="U57" s="1484">
        <f t="shared" si="77"/>
        <v>0</v>
      </c>
      <c r="V57" s="2384"/>
    </row>
    <row r="58" spans="1:22" s="832" customFormat="1" ht="12" customHeight="1">
      <c r="A58" s="2792"/>
      <c r="B58" s="1465" t="s">
        <v>30</v>
      </c>
      <c r="C58" s="2795"/>
      <c r="D58" s="1459">
        <f t="shared" ref="D58:I58" si="78">D59+D60</f>
        <v>25363</v>
      </c>
      <c r="E58" s="1459">
        <f t="shared" si="78"/>
        <v>8607</v>
      </c>
      <c r="F58" s="1459">
        <f t="shared" si="78"/>
        <v>0</v>
      </c>
      <c r="G58" s="1459">
        <f t="shared" si="78"/>
        <v>0</v>
      </c>
      <c r="H58" s="1459">
        <f t="shared" si="78"/>
        <v>0</v>
      </c>
      <c r="I58" s="1481">
        <f t="shared" si="78"/>
        <v>0</v>
      </c>
      <c r="J58" s="1481">
        <f t="shared" ref="J58:O58" si="79">J59</f>
        <v>0</v>
      </c>
      <c r="K58" s="1459">
        <f>K59+K60</f>
        <v>16756</v>
      </c>
      <c r="L58" s="1481">
        <f t="shared" si="79"/>
        <v>0</v>
      </c>
      <c r="M58" s="1459">
        <f>M59+M60</f>
        <v>25363</v>
      </c>
      <c r="N58" s="1481">
        <f t="shared" si="79"/>
        <v>0</v>
      </c>
      <c r="O58" s="1481">
        <f t="shared" si="79"/>
        <v>0</v>
      </c>
      <c r="P58" s="1459"/>
      <c r="Q58" s="1459"/>
      <c r="R58" s="1459"/>
      <c r="S58" s="1459"/>
      <c r="T58" s="1459"/>
      <c r="U58" s="1482">
        <f>U59</f>
        <v>0</v>
      </c>
      <c r="V58" s="2384"/>
    </row>
    <row r="59" spans="1:22" s="832" customFormat="1" ht="12.95" customHeight="1">
      <c r="A59" s="2792"/>
      <c r="B59" s="1486" t="s">
        <v>33</v>
      </c>
      <c r="C59" s="2795"/>
      <c r="D59" s="992">
        <f t="shared" ref="D59:D60" si="80">M59+N59+O59+P59+Q59+R59</f>
        <v>16756</v>
      </c>
      <c r="E59" s="720"/>
      <c r="F59" s="720"/>
      <c r="G59" s="720"/>
      <c r="H59" s="720"/>
      <c r="I59" s="1487">
        <v>0</v>
      </c>
      <c r="J59" s="1488">
        <v>0</v>
      </c>
      <c r="K59" s="510">
        <f>18000-1244</f>
        <v>16756</v>
      </c>
      <c r="L59" s="1974">
        <v>0</v>
      </c>
      <c r="M59" s="1461">
        <f>E59+I59+J59+K59+L59</f>
        <v>16756</v>
      </c>
      <c r="N59" s="1488">
        <v>0</v>
      </c>
      <c r="O59" s="1488">
        <v>0</v>
      </c>
      <c r="P59" s="620"/>
      <c r="Q59" s="620"/>
      <c r="R59" s="620"/>
      <c r="S59" s="620"/>
      <c r="T59" s="620"/>
      <c r="U59" s="1484">
        <f t="shared" ref="U59:U60" si="81">SUM(O59:T59)</f>
        <v>0</v>
      </c>
      <c r="V59" s="2384"/>
    </row>
    <row r="60" spans="1:22" s="832" customFormat="1" ht="12.95" customHeight="1">
      <c r="A60" s="2792"/>
      <c r="B60" s="558" t="s">
        <v>26</v>
      </c>
      <c r="C60" s="2216"/>
      <c r="D60" s="992">
        <f t="shared" si="80"/>
        <v>8607</v>
      </c>
      <c r="E60" s="1069">
        <v>8607</v>
      </c>
      <c r="F60" s="1459"/>
      <c r="G60" s="1459"/>
      <c r="H60" s="1459"/>
      <c r="I60" s="1489">
        <v>0</v>
      </c>
      <c r="J60" s="1490">
        <v>0</v>
      </c>
      <c r="K60" s="1068">
        <v>0</v>
      </c>
      <c r="L60" s="1975">
        <v>0</v>
      </c>
      <c r="M60" s="1461">
        <f>E60+I60+J60+K60+L60</f>
        <v>8607</v>
      </c>
      <c r="N60" s="1490">
        <v>0</v>
      </c>
      <c r="O60" s="1490"/>
      <c r="P60" s="1473"/>
      <c r="Q60" s="1473"/>
      <c r="R60" s="1473"/>
      <c r="S60" s="1473"/>
      <c r="T60" s="1473"/>
      <c r="U60" s="1484">
        <f t="shared" si="81"/>
        <v>0</v>
      </c>
      <c r="V60" s="2384"/>
    </row>
    <row r="61" spans="1:22" s="832" customFormat="1" ht="12.95" customHeight="1">
      <c r="A61" s="2792"/>
      <c r="B61" s="561" t="s">
        <v>34</v>
      </c>
      <c r="C61" s="1471"/>
      <c r="D61" s="1430">
        <f>+D62+D65</f>
        <v>38955</v>
      </c>
      <c r="E61" s="1430">
        <f>+E62+E65</f>
        <v>11475</v>
      </c>
      <c r="F61" s="1430">
        <f>+F62+F65</f>
        <v>0</v>
      </c>
      <c r="G61" s="1430">
        <f>+G62+G65</f>
        <v>0</v>
      </c>
      <c r="H61" s="1430">
        <f>+H62+H65</f>
        <v>0</v>
      </c>
      <c r="I61" s="1491">
        <f t="shared" ref="I61:O61" si="82">+I62+I65</f>
        <v>0</v>
      </c>
      <c r="J61" s="1491">
        <f t="shared" si="82"/>
        <v>0</v>
      </c>
      <c r="K61" s="1430">
        <f t="shared" si="82"/>
        <v>27480</v>
      </c>
      <c r="L61" s="1976">
        <f t="shared" si="82"/>
        <v>0</v>
      </c>
      <c r="M61" s="1430">
        <f>+M62+M65</f>
        <v>38955</v>
      </c>
      <c r="N61" s="1491">
        <f t="shared" si="82"/>
        <v>0</v>
      </c>
      <c r="O61" s="1491">
        <f t="shared" si="82"/>
        <v>0</v>
      </c>
      <c r="P61" s="1430"/>
      <c r="Q61" s="1430"/>
      <c r="R61" s="1430"/>
      <c r="S61" s="1430"/>
      <c r="T61" s="1430"/>
      <c r="U61" s="2596" t="s">
        <v>77</v>
      </c>
      <c r="V61" s="2384"/>
    </row>
    <row r="62" spans="1:22" s="832" customFormat="1" ht="12.95" customHeight="1">
      <c r="A62" s="2792"/>
      <c r="B62" s="1472" t="s">
        <v>23</v>
      </c>
      <c r="C62" s="2794" t="s">
        <v>265</v>
      </c>
      <c r="D62" s="1473">
        <f>D63+D64</f>
        <v>13592</v>
      </c>
      <c r="E62" s="1473">
        <f>E63+E64</f>
        <v>2868</v>
      </c>
      <c r="F62" s="1473">
        <f t="shared" ref="F62:O62" si="83">F63</f>
        <v>0</v>
      </c>
      <c r="G62" s="1473">
        <f t="shared" si="83"/>
        <v>0</v>
      </c>
      <c r="H62" s="1473">
        <f>H68+H72</f>
        <v>0</v>
      </c>
      <c r="I62" s="1489">
        <f t="shared" si="83"/>
        <v>0</v>
      </c>
      <c r="J62" s="1489">
        <f t="shared" si="83"/>
        <v>0</v>
      </c>
      <c r="K62" s="1473">
        <f t="shared" si="83"/>
        <v>10724</v>
      </c>
      <c r="L62" s="1977">
        <f t="shared" si="83"/>
        <v>0</v>
      </c>
      <c r="M62" s="1473">
        <f>M63+M64</f>
        <v>13592</v>
      </c>
      <c r="N62" s="1489">
        <f t="shared" si="83"/>
        <v>0</v>
      </c>
      <c r="O62" s="1489">
        <f t="shared" si="83"/>
        <v>0</v>
      </c>
      <c r="P62" s="1473"/>
      <c r="Q62" s="1473"/>
      <c r="R62" s="1473"/>
      <c r="S62" s="1473"/>
      <c r="T62" s="1473"/>
      <c r="U62" s="2597"/>
      <c r="V62" s="2384"/>
    </row>
    <row r="63" spans="1:22" s="832" customFormat="1" ht="12.95" customHeight="1">
      <c r="A63" s="2792"/>
      <c r="B63" s="1474" t="s">
        <v>25</v>
      </c>
      <c r="C63" s="2795"/>
      <c r="D63" s="992">
        <f t="shared" ref="D63:D64" si="84">M63+N63+O63+P63+Q63+R63</f>
        <v>10724</v>
      </c>
      <c r="E63" s="511">
        <v>0</v>
      </c>
      <c r="F63" s="511"/>
      <c r="G63" s="511"/>
      <c r="H63" s="511"/>
      <c r="I63" s="1488">
        <v>0</v>
      </c>
      <c r="J63" s="1483">
        <v>0</v>
      </c>
      <c r="K63" s="1461">
        <f>12000-1276</f>
        <v>10724</v>
      </c>
      <c r="L63" s="1978">
        <v>0</v>
      </c>
      <c r="M63" s="1461">
        <f>E63+I63+J63+K63+L63</f>
        <v>10724</v>
      </c>
      <c r="N63" s="1488">
        <v>0</v>
      </c>
      <c r="O63" s="1488">
        <v>0</v>
      </c>
      <c r="P63" s="620"/>
      <c r="Q63" s="620"/>
      <c r="R63" s="1459"/>
      <c r="S63" s="1459"/>
      <c r="T63" s="1459"/>
      <c r="U63" s="2597"/>
      <c r="V63" s="2384"/>
    </row>
    <row r="64" spans="1:22" s="832" customFormat="1" ht="11.25" customHeight="1">
      <c r="A64" s="2792"/>
      <c r="B64" s="558" t="s">
        <v>26</v>
      </c>
      <c r="C64" s="2795"/>
      <c r="D64" s="992">
        <f t="shared" si="84"/>
        <v>2868</v>
      </c>
      <c r="E64" s="1069">
        <v>2868</v>
      </c>
      <c r="F64" s="1069"/>
      <c r="G64" s="1069"/>
      <c r="H64" s="1069"/>
      <c r="I64" s="1490">
        <v>0</v>
      </c>
      <c r="J64" s="1492">
        <v>0</v>
      </c>
      <c r="K64" s="1490">
        <v>0</v>
      </c>
      <c r="L64" s="1979">
        <v>0</v>
      </c>
      <c r="M64" s="1461">
        <f>E64+I64+J64+K64+L64</f>
        <v>2868</v>
      </c>
      <c r="N64" s="1490">
        <v>0</v>
      </c>
      <c r="O64" s="1490">
        <v>0</v>
      </c>
      <c r="P64" s="1473"/>
      <c r="Q64" s="1473"/>
      <c r="R64" s="1473"/>
      <c r="S64" s="1473"/>
      <c r="T64" s="1473"/>
      <c r="U64" s="2597"/>
      <c r="V64" s="2384"/>
    </row>
    <row r="65" spans="1:22" s="832" customFormat="1" ht="12.95" customHeight="1">
      <c r="A65" s="2792"/>
      <c r="B65" s="1465" t="s">
        <v>30</v>
      </c>
      <c r="C65" s="2795"/>
      <c r="D65" s="620">
        <f>D66+D67</f>
        <v>25363</v>
      </c>
      <c r="E65" s="620">
        <f>E66+E67</f>
        <v>8607</v>
      </c>
      <c r="F65" s="620">
        <f>F66+F67</f>
        <v>0</v>
      </c>
      <c r="G65" s="620">
        <f>G66+G67</f>
        <v>0</v>
      </c>
      <c r="H65" s="620">
        <f>H66+H67</f>
        <v>0</v>
      </c>
      <c r="I65" s="1487">
        <f t="shared" ref="I65:O65" si="85">I66</f>
        <v>0</v>
      </c>
      <c r="J65" s="1487">
        <f t="shared" si="85"/>
        <v>0</v>
      </c>
      <c r="K65" s="620">
        <f t="shared" si="85"/>
        <v>16756</v>
      </c>
      <c r="L65" s="1487">
        <f t="shared" si="85"/>
        <v>0</v>
      </c>
      <c r="M65" s="620">
        <f>M66+M67</f>
        <v>25363</v>
      </c>
      <c r="N65" s="1487">
        <f t="shared" si="85"/>
        <v>0</v>
      </c>
      <c r="O65" s="1487">
        <f t="shared" si="85"/>
        <v>0</v>
      </c>
      <c r="P65" s="620"/>
      <c r="Q65" s="620"/>
      <c r="R65" s="620"/>
      <c r="S65" s="620"/>
      <c r="T65" s="620"/>
      <c r="U65" s="2597"/>
      <c r="V65" s="2384"/>
    </row>
    <row r="66" spans="1:22" s="832" customFormat="1">
      <c r="A66" s="2792"/>
      <c r="B66" s="1463" t="s">
        <v>33</v>
      </c>
      <c r="C66" s="2795"/>
      <c r="D66" s="992">
        <f>M66+N66+O66+P66+Q66+R66</f>
        <v>16756</v>
      </c>
      <c r="E66" s="511">
        <v>0</v>
      </c>
      <c r="F66" s="511"/>
      <c r="G66" s="511"/>
      <c r="H66" s="511"/>
      <c r="I66" s="1488">
        <v>0</v>
      </c>
      <c r="J66" s="1488">
        <v>0</v>
      </c>
      <c r="K66" s="510">
        <f>18000-1244</f>
        <v>16756</v>
      </c>
      <c r="L66" s="1488">
        <v>0</v>
      </c>
      <c r="M66" s="1461">
        <f>E66+I66+J66+K66+L66</f>
        <v>16756</v>
      </c>
      <c r="N66" s="1488">
        <v>0</v>
      </c>
      <c r="O66" s="1488">
        <v>0</v>
      </c>
      <c r="P66" s="510"/>
      <c r="Q66" s="510"/>
      <c r="R66" s="510"/>
      <c r="S66" s="510"/>
      <c r="T66" s="510"/>
      <c r="U66" s="2597"/>
      <c r="V66" s="2384"/>
    </row>
    <row r="67" spans="1:22" s="832" customFormat="1" ht="12.95" customHeight="1" thickBot="1">
      <c r="A67" s="2217"/>
      <c r="B67" s="568" t="s">
        <v>26</v>
      </c>
      <c r="C67" s="1493"/>
      <c r="D67" s="992">
        <f t="shared" ref="D67" si="86">M67+N67+O67+P67+Q67+R67</f>
        <v>8607</v>
      </c>
      <c r="E67" s="525">
        <v>8607</v>
      </c>
      <c r="F67" s="525"/>
      <c r="G67" s="525"/>
      <c r="H67" s="525"/>
      <c r="I67" s="1495">
        <v>0</v>
      </c>
      <c r="J67" s="1495">
        <v>0</v>
      </c>
      <c r="K67" s="524">
        <v>0</v>
      </c>
      <c r="L67" s="1495">
        <v>0</v>
      </c>
      <c r="M67" s="1461">
        <f>E67+I67+J67+K67+L67</f>
        <v>8607</v>
      </c>
      <c r="N67" s="1495">
        <v>0</v>
      </c>
      <c r="O67" s="1496">
        <v>0</v>
      </c>
      <c r="P67" s="526"/>
      <c r="Q67" s="526"/>
      <c r="R67" s="526"/>
      <c r="S67" s="526"/>
      <c r="T67" s="526"/>
      <c r="U67" s="2195"/>
      <c r="V67" s="2182"/>
    </row>
    <row r="68" spans="1:22" s="1980" customFormat="1" ht="41.25" customHeight="1">
      <c r="A68" s="2798" t="s">
        <v>84</v>
      </c>
      <c r="B68" s="1453" t="s">
        <v>267</v>
      </c>
      <c r="C68" s="1497" t="s">
        <v>102</v>
      </c>
      <c r="D68" s="1497"/>
      <c r="E68" s="530"/>
      <c r="F68" s="530"/>
      <c r="G68" s="530"/>
      <c r="H68" s="530"/>
      <c r="I68" s="531"/>
      <c r="J68" s="531"/>
      <c r="K68" s="531"/>
      <c r="L68" s="531"/>
      <c r="M68" s="531"/>
      <c r="N68" s="531"/>
      <c r="O68" s="1498"/>
      <c r="P68" s="1498"/>
      <c r="Q68" s="1498"/>
      <c r="R68" s="1498"/>
      <c r="S68" s="1498"/>
      <c r="T68" s="1498"/>
      <c r="U68" s="1455"/>
      <c r="V68" s="2383" t="s">
        <v>268</v>
      </c>
    </row>
    <row r="69" spans="1:22" s="1980" customFormat="1" ht="13.5" customHeight="1">
      <c r="A69" s="2799"/>
      <c r="B69" s="947" t="s">
        <v>22</v>
      </c>
      <c r="C69" s="1456"/>
      <c r="D69" s="1499">
        <f t="shared" ref="D69:P69" si="87">+D70+D72</f>
        <v>15220421</v>
      </c>
      <c r="E69" s="1500">
        <f t="shared" si="87"/>
        <v>0</v>
      </c>
      <c r="F69" s="1500">
        <f t="shared" si="87"/>
        <v>0</v>
      </c>
      <c r="G69" s="1500">
        <f t="shared" si="87"/>
        <v>0</v>
      </c>
      <c r="H69" s="1500">
        <f t="shared" si="87"/>
        <v>0</v>
      </c>
      <c r="I69" s="1500">
        <f t="shared" si="87"/>
        <v>0</v>
      </c>
      <c r="J69" s="1445">
        <f t="shared" si="87"/>
        <v>629249</v>
      </c>
      <c r="K69" s="1445">
        <f t="shared" si="87"/>
        <v>5656222</v>
      </c>
      <c r="L69" s="1981">
        <f t="shared" si="87"/>
        <v>2983150</v>
      </c>
      <c r="M69" s="1445">
        <f t="shared" ref="M69" si="88">+M70+M72</f>
        <v>9268621</v>
      </c>
      <c r="N69" s="1445">
        <f t="shared" si="87"/>
        <v>2487141</v>
      </c>
      <c r="O69" s="1032">
        <f t="shared" si="87"/>
        <v>2384195</v>
      </c>
      <c r="P69" s="1032">
        <f t="shared" si="87"/>
        <v>1080464</v>
      </c>
      <c r="Q69" s="1032"/>
      <c r="R69" s="1032"/>
      <c r="S69" s="1032"/>
      <c r="T69" s="1032"/>
      <c r="U69" s="1501">
        <f>+U70+U72</f>
        <v>3464659</v>
      </c>
      <c r="V69" s="2384"/>
    </row>
    <row r="70" spans="1:22" s="1980" customFormat="1" ht="13.5" customHeight="1">
      <c r="A70" s="2799"/>
      <c r="B70" s="1458" t="s">
        <v>23</v>
      </c>
      <c r="C70" s="2608" t="s">
        <v>269</v>
      </c>
      <c r="D70" s="1473">
        <f>D71</f>
        <v>7209673</v>
      </c>
      <c r="E70" s="1489">
        <f t="shared" ref="E70:N70" si="89">E71</f>
        <v>0</v>
      </c>
      <c r="F70" s="1489">
        <f t="shared" si="89"/>
        <v>0</v>
      </c>
      <c r="G70" s="1489">
        <f t="shared" si="89"/>
        <v>0</v>
      </c>
      <c r="H70" s="1489">
        <f t="shared" si="89"/>
        <v>0</v>
      </c>
      <c r="I70" s="1489">
        <f t="shared" si="89"/>
        <v>0</v>
      </c>
      <c r="J70" s="1489">
        <f t="shared" si="89"/>
        <v>0</v>
      </c>
      <c r="K70" s="1473">
        <f t="shared" si="89"/>
        <v>3801777</v>
      </c>
      <c r="L70" s="1971">
        <f t="shared" si="89"/>
        <v>2588068</v>
      </c>
      <c r="M70" s="1473">
        <f t="shared" si="89"/>
        <v>6389845</v>
      </c>
      <c r="N70" s="1473">
        <f t="shared" si="89"/>
        <v>0</v>
      </c>
      <c r="O70" s="1473">
        <f>O71</f>
        <v>370675</v>
      </c>
      <c r="P70" s="1473">
        <f>P71</f>
        <v>449153</v>
      </c>
      <c r="Q70" s="1473"/>
      <c r="R70" s="1473"/>
      <c r="S70" s="1473"/>
      <c r="T70" s="1473"/>
      <c r="U70" s="1502">
        <f>U71</f>
        <v>819828</v>
      </c>
      <c r="V70" s="2384"/>
    </row>
    <row r="71" spans="1:22" s="1980" customFormat="1" ht="13.5" customHeight="1">
      <c r="A71" s="2799"/>
      <c r="B71" s="558" t="s">
        <v>78</v>
      </c>
      <c r="C71" s="2606"/>
      <c r="D71" s="992">
        <f>M71+N71+O71+P71+Q71+R71</f>
        <v>7209673</v>
      </c>
      <c r="E71" s="1485">
        <v>0</v>
      </c>
      <c r="F71" s="1485"/>
      <c r="G71" s="1485"/>
      <c r="H71" s="1485"/>
      <c r="I71" s="1492">
        <v>0</v>
      </c>
      <c r="J71" s="1492">
        <v>0</v>
      </c>
      <c r="K71" s="1476">
        <f>2852777+949000</f>
        <v>3801777</v>
      </c>
      <c r="L71" s="1591">
        <f>3556234-855353-112812-1</f>
        <v>2588068</v>
      </c>
      <c r="M71" s="1461">
        <f>E71+I71+J71+K71+L71</f>
        <v>6389845</v>
      </c>
      <c r="N71" s="1476">
        <f>202176+69754+112812-384742</f>
        <v>0</v>
      </c>
      <c r="O71" s="1476">
        <f>372688-2013</f>
        <v>370675</v>
      </c>
      <c r="P71" s="1476">
        <f>225798-161388+1+384742</f>
        <v>449153</v>
      </c>
      <c r="Q71" s="1476"/>
      <c r="R71" s="1476"/>
      <c r="S71" s="1476"/>
      <c r="T71" s="1476"/>
      <c r="U71" s="1462">
        <f>SUM(O71:T71)</f>
        <v>819828</v>
      </c>
      <c r="V71" s="2384"/>
    </row>
    <row r="72" spans="1:22" s="1980" customFormat="1" ht="13.5" customHeight="1">
      <c r="A72" s="2799"/>
      <c r="B72" s="1465" t="s">
        <v>30</v>
      </c>
      <c r="C72" s="2606"/>
      <c r="D72" s="1459">
        <f>D73</f>
        <v>8010748</v>
      </c>
      <c r="E72" s="1481">
        <f t="shared" ref="E72:P72" si="90">E73</f>
        <v>0</v>
      </c>
      <c r="F72" s="1481">
        <f t="shared" si="90"/>
        <v>0</v>
      </c>
      <c r="G72" s="1481">
        <f t="shared" si="90"/>
        <v>0</v>
      </c>
      <c r="H72" s="1481">
        <f t="shared" si="90"/>
        <v>0</v>
      </c>
      <c r="I72" s="1481">
        <f t="shared" si="90"/>
        <v>0</v>
      </c>
      <c r="J72" s="1459">
        <f t="shared" si="90"/>
        <v>629249</v>
      </c>
      <c r="K72" s="1459">
        <f t="shared" si="90"/>
        <v>1854445</v>
      </c>
      <c r="L72" s="1966">
        <f t="shared" si="90"/>
        <v>395082</v>
      </c>
      <c r="M72" s="1473">
        <f t="shared" si="90"/>
        <v>2878776</v>
      </c>
      <c r="N72" s="1459">
        <f t="shared" si="90"/>
        <v>2487141</v>
      </c>
      <c r="O72" s="1459">
        <f t="shared" si="90"/>
        <v>2013520</v>
      </c>
      <c r="P72" s="1459">
        <f t="shared" si="90"/>
        <v>631311</v>
      </c>
      <c r="Q72" s="1459"/>
      <c r="R72" s="1459"/>
      <c r="S72" s="1459"/>
      <c r="T72" s="1459"/>
      <c r="U72" s="1502">
        <f>U73</f>
        <v>2644831</v>
      </c>
      <c r="V72" s="2384"/>
    </row>
    <row r="73" spans="1:22" s="1980" customFormat="1" ht="13.5" customHeight="1">
      <c r="A73" s="2799"/>
      <c r="B73" s="558" t="s">
        <v>32</v>
      </c>
      <c r="C73" s="2607"/>
      <c r="D73" s="992">
        <f>M73+N73+O73+P73+Q73+R73</f>
        <v>8010748</v>
      </c>
      <c r="E73" s="1481">
        <v>0</v>
      </c>
      <c r="F73" s="1481"/>
      <c r="G73" s="1481"/>
      <c r="H73" s="1481"/>
      <c r="I73" s="1489">
        <v>0</v>
      </c>
      <c r="J73" s="1068">
        <f>631141-1892</f>
        <v>629249</v>
      </c>
      <c r="K73" s="1068">
        <f>1642504+253578-41637</f>
        <v>1854445</v>
      </c>
      <c r="L73" s="1982">
        <f>456822-39189-22551</f>
        <v>395082</v>
      </c>
      <c r="M73" s="1461">
        <f>E73+I73+J73+K73+L73</f>
        <v>2878776</v>
      </c>
      <c r="N73" s="1068">
        <f>2650107-16771+41637-187832</f>
        <v>2487141</v>
      </c>
      <c r="O73" s="599">
        <f>2274891-261371</f>
        <v>2013520</v>
      </c>
      <c r="P73" s="599">
        <f>357175+63753+22551+187832</f>
        <v>631311</v>
      </c>
      <c r="Q73" s="510"/>
      <c r="R73" s="510"/>
      <c r="S73" s="510"/>
      <c r="T73" s="510"/>
      <c r="U73" s="1462">
        <f>SUM(O73:T73)</f>
        <v>2644831</v>
      </c>
      <c r="V73" s="2384"/>
    </row>
    <row r="74" spans="1:22" s="1980" customFormat="1" ht="13.5" customHeight="1">
      <c r="A74" s="2799"/>
      <c r="B74" s="947" t="s">
        <v>34</v>
      </c>
      <c r="C74" s="1456"/>
      <c r="D74" s="1499">
        <f t="shared" ref="D74:P74" si="91">+D75+D78</f>
        <v>15220421</v>
      </c>
      <c r="E74" s="1500">
        <f t="shared" si="91"/>
        <v>0</v>
      </c>
      <c r="F74" s="1500">
        <f t="shared" si="91"/>
        <v>0</v>
      </c>
      <c r="G74" s="1500">
        <f t="shared" si="91"/>
        <v>0</v>
      </c>
      <c r="H74" s="1500">
        <f t="shared" si="91"/>
        <v>0</v>
      </c>
      <c r="I74" s="1500">
        <f t="shared" si="91"/>
        <v>0</v>
      </c>
      <c r="J74" s="1445">
        <f t="shared" si="91"/>
        <v>3544011</v>
      </c>
      <c r="K74" s="1445">
        <f t="shared" si="91"/>
        <v>3801777</v>
      </c>
      <c r="L74" s="1981">
        <f t="shared" si="91"/>
        <v>5996862</v>
      </c>
      <c r="M74" s="1445">
        <f t="shared" ref="M74" si="92">+M75+M78</f>
        <v>13342650</v>
      </c>
      <c r="N74" s="1445">
        <f t="shared" si="91"/>
        <v>0</v>
      </c>
      <c r="O74" s="1032">
        <f t="shared" si="91"/>
        <v>370675</v>
      </c>
      <c r="P74" s="1032">
        <f t="shared" si="91"/>
        <v>449153</v>
      </c>
      <c r="Q74" s="1032">
        <f>+Q75+Q78</f>
        <v>1057943</v>
      </c>
      <c r="R74" s="1032"/>
      <c r="S74" s="1032"/>
      <c r="T74" s="1032"/>
      <c r="U74" s="2801" t="s">
        <v>77</v>
      </c>
      <c r="V74" s="2384"/>
    </row>
    <row r="75" spans="1:22" s="1980" customFormat="1" ht="13.5" customHeight="1">
      <c r="A75" s="2799"/>
      <c r="B75" s="1458" t="s">
        <v>23</v>
      </c>
      <c r="C75" s="2608" t="s">
        <v>269</v>
      </c>
      <c r="D75" s="1473">
        <f>D76</f>
        <v>7209673</v>
      </c>
      <c r="E75" s="1489">
        <f t="shared" ref="E75:Q75" si="93">E76</f>
        <v>0</v>
      </c>
      <c r="F75" s="1489">
        <f t="shared" si="93"/>
        <v>0</v>
      </c>
      <c r="G75" s="1489">
        <f t="shared" si="93"/>
        <v>0</v>
      </c>
      <c r="H75" s="1489">
        <f t="shared" si="93"/>
        <v>0</v>
      </c>
      <c r="I75" s="1489">
        <f t="shared" si="93"/>
        <v>0</v>
      </c>
      <c r="J75" s="1489">
        <f t="shared" si="93"/>
        <v>0</v>
      </c>
      <c r="K75" s="1473">
        <f t="shared" si="93"/>
        <v>3801777</v>
      </c>
      <c r="L75" s="1971">
        <f t="shared" si="93"/>
        <v>2588068</v>
      </c>
      <c r="M75" s="1473">
        <f t="shared" si="93"/>
        <v>6389845</v>
      </c>
      <c r="N75" s="1473">
        <f t="shared" si="93"/>
        <v>0</v>
      </c>
      <c r="O75" s="1473">
        <f t="shared" si="93"/>
        <v>370675</v>
      </c>
      <c r="P75" s="1473">
        <f t="shared" si="93"/>
        <v>449153</v>
      </c>
      <c r="Q75" s="1473">
        <f t="shared" si="93"/>
        <v>0</v>
      </c>
      <c r="R75" s="1473"/>
      <c r="S75" s="1473"/>
      <c r="T75" s="1473"/>
      <c r="U75" s="2802"/>
      <c r="V75" s="2384"/>
    </row>
    <row r="76" spans="1:22" s="1980" customFormat="1" ht="13.5" customHeight="1">
      <c r="A76" s="2799"/>
      <c r="B76" s="558" t="s">
        <v>28</v>
      </c>
      <c r="C76" s="2606"/>
      <c r="D76" s="992">
        <f>M76+N76+O76+P76+Q76+R76</f>
        <v>7209673</v>
      </c>
      <c r="E76" s="1485">
        <v>0</v>
      </c>
      <c r="F76" s="1485"/>
      <c r="G76" s="1485"/>
      <c r="H76" s="1485"/>
      <c r="I76" s="1492">
        <v>0</v>
      </c>
      <c r="J76" s="1492">
        <v>0</v>
      </c>
      <c r="K76" s="1476">
        <f>2852777+949000</f>
        <v>3801777</v>
      </c>
      <c r="L76" s="1591">
        <f>3556234-855353-112812-1</f>
        <v>2588068</v>
      </c>
      <c r="M76" s="1461">
        <f>E76+I76+J76+K76+L76</f>
        <v>6389845</v>
      </c>
      <c r="N76" s="1476">
        <f>202176+69754+112812-384742</f>
        <v>0</v>
      </c>
      <c r="O76" s="1476">
        <f>372688-2013</f>
        <v>370675</v>
      </c>
      <c r="P76" s="1476">
        <f>225798-161388+1+384742</f>
        <v>449153</v>
      </c>
      <c r="Q76" s="1476"/>
      <c r="R76" s="1476"/>
      <c r="S76" s="1476"/>
      <c r="T76" s="1476"/>
      <c r="U76" s="2802"/>
      <c r="V76" s="2384"/>
    </row>
    <row r="77" spans="1:22" s="1980" customFormat="1" ht="13.5" customHeight="1">
      <c r="A77" s="2799"/>
      <c r="B77" s="1504" t="s">
        <v>30</v>
      </c>
      <c r="C77" s="2606"/>
      <c r="D77" s="1473">
        <f>D78</f>
        <v>8010748</v>
      </c>
      <c r="E77" s="1489">
        <f t="shared" ref="E77:Q77" si="94">E78</f>
        <v>0</v>
      </c>
      <c r="F77" s="1489">
        <f t="shared" si="94"/>
        <v>0</v>
      </c>
      <c r="G77" s="1489">
        <f t="shared" si="94"/>
        <v>0</v>
      </c>
      <c r="H77" s="1489">
        <f t="shared" si="94"/>
        <v>0</v>
      </c>
      <c r="I77" s="1489">
        <f t="shared" si="94"/>
        <v>0</v>
      </c>
      <c r="J77" s="1473">
        <f t="shared" si="94"/>
        <v>3544011</v>
      </c>
      <c r="K77" s="1473">
        <f t="shared" si="94"/>
        <v>0</v>
      </c>
      <c r="L77" s="1971">
        <f t="shared" si="94"/>
        <v>3408794</v>
      </c>
      <c r="M77" s="1473">
        <f t="shared" si="94"/>
        <v>6952805</v>
      </c>
      <c r="N77" s="1473">
        <f t="shared" si="94"/>
        <v>0</v>
      </c>
      <c r="O77" s="1473">
        <f t="shared" si="94"/>
        <v>0</v>
      </c>
      <c r="P77" s="1473">
        <f t="shared" si="94"/>
        <v>0</v>
      </c>
      <c r="Q77" s="1473">
        <f t="shared" si="94"/>
        <v>1057943</v>
      </c>
      <c r="R77" s="1473"/>
      <c r="S77" s="1473"/>
      <c r="T77" s="1473"/>
      <c r="U77" s="2802"/>
      <c r="V77" s="2384"/>
    </row>
    <row r="78" spans="1:22" s="1980" customFormat="1" ht="13.5" customHeight="1" thickBot="1">
      <c r="A78" s="2800"/>
      <c r="B78" s="568" t="s">
        <v>32</v>
      </c>
      <c r="C78" s="2804"/>
      <c r="D78" s="992">
        <f>M78+N78+O78+P78+Q78+R78</f>
        <v>8010748</v>
      </c>
      <c r="E78" s="1983">
        <v>0</v>
      </c>
      <c r="F78" s="1983"/>
      <c r="G78" s="1983"/>
      <c r="H78" s="1983"/>
      <c r="I78" s="1984">
        <v>0</v>
      </c>
      <c r="J78" s="1505">
        <f>3204300+339711</f>
        <v>3544011</v>
      </c>
      <c r="K78" s="1505">
        <v>0</v>
      </c>
      <c r="L78" s="1505">
        <v>3408794</v>
      </c>
      <c r="M78" s="1461">
        <f>E78+I78+J78+K78+L78</f>
        <v>6952805</v>
      </c>
      <c r="N78" s="1505">
        <f>2403223-2403223</f>
        <v>0</v>
      </c>
      <c r="O78" s="1506">
        <f>2063514-1005571-1057943</f>
        <v>0</v>
      </c>
      <c r="P78" s="1506">
        <v>0</v>
      </c>
      <c r="Q78" s="1506">
        <v>1057943</v>
      </c>
      <c r="R78" s="1506"/>
      <c r="S78" s="1506"/>
      <c r="T78" s="1506"/>
      <c r="U78" s="2803"/>
      <c r="V78" s="2432"/>
    </row>
    <row r="79" spans="1:22" s="1980" customFormat="1" ht="13.5" hidden="1" customHeight="1">
      <c r="A79" s="1075"/>
      <c r="B79" s="1504" t="s">
        <v>30</v>
      </c>
      <c r="C79" s="1507"/>
      <c r="D79" s="1508">
        <f t="shared" ref="D79:N79" si="95">+D80</f>
        <v>0</v>
      </c>
      <c r="E79" s="1508">
        <f t="shared" si="95"/>
        <v>0</v>
      </c>
      <c r="F79" s="1508"/>
      <c r="G79" s="1508"/>
      <c r="H79" s="1508">
        <f t="shared" si="95"/>
        <v>0</v>
      </c>
      <c r="I79" s="1508">
        <f t="shared" si="95"/>
        <v>0</v>
      </c>
      <c r="J79" s="1508">
        <f t="shared" si="95"/>
        <v>0</v>
      </c>
      <c r="K79" s="1508">
        <f t="shared" si="95"/>
        <v>0</v>
      </c>
      <c r="L79" s="1508">
        <f t="shared" si="95"/>
        <v>0</v>
      </c>
      <c r="M79" s="1508"/>
      <c r="N79" s="1508">
        <f t="shared" si="95"/>
        <v>0</v>
      </c>
      <c r="O79" s="1509"/>
      <c r="P79" s="1508"/>
      <c r="Q79" s="1510"/>
      <c r="R79" s="1510"/>
      <c r="S79" s="1510"/>
      <c r="T79" s="1510"/>
      <c r="U79" s="1511"/>
      <c r="V79" s="1512"/>
    </row>
    <row r="80" spans="1:22" s="1980" customFormat="1" ht="14.25" hidden="1" customHeight="1" thickBot="1">
      <c r="A80" s="1076"/>
      <c r="B80" s="1513" t="s">
        <v>26</v>
      </c>
      <c r="C80" s="1514"/>
      <c r="D80" s="903">
        <f>+E80+I80+J80+K80+L80+N80</f>
        <v>0</v>
      </c>
      <c r="E80" s="1985"/>
      <c r="F80" s="1985"/>
      <c r="G80" s="1985"/>
      <c r="H80" s="1985"/>
      <c r="I80" s="1505"/>
      <c r="J80" s="1505"/>
      <c r="K80" s="1505"/>
      <c r="L80" s="1505"/>
      <c r="M80" s="1505"/>
      <c r="N80" s="1505"/>
      <c r="O80" s="1506"/>
      <c r="P80" s="1506"/>
      <c r="Q80" s="1506"/>
      <c r="R80" s="1506"/>
      <c r="S80" s="1506"/>
      <c r="T80" s="1506"/>
      <c r="U80" s="1515"/>
      <c r="V80" s="1516"/>
    </row>
    <row r="81" spans="1:22" s="1980" customFormat="1" ht="38.25" customHeight="1">
      <c r="A81" s="2798" t="s">
        <v>85</v>
      </c>
      <c r="B81" s="1453" t="s">
        <v>270</v>
      </c>
      <c r="C81" s="1497" t="s">
        <v>102</v>
      </c>
      <c r="D81" s="1497"/>
      <c r="E81" s="530"/>
      <c r="F81" s="530"/>
      <c r="G81" s="530"/>
      <c r="H81" s="530"/>
      <c r="I81" s="531"/>
      <c r="J81" s="531"/>
      <c r="K81" s="531"/>
      <c r="L81" s="531"/>
      <c r="M81" s="531"/>
      <c r="N81" s="531"/>
      <c r="O81" s="1498"/>
      <c r="P81" s="1498"/>
      <c r="Q81" s="1498"/>
      <c r="R81" s="1498"/>
      <c r="S81" s="1498"/>
      <c r="T81" s="1498"/>
      <c r="U81" s="1455"/>
      <c r="V81" s="2383" t="s">
        <v>268</v>
      </c>
    </row>
    <row r="82" spans="1:22" s="1980" customFormat="1" ht="14.25" customHeight="1">
      <c r="A82" s="2799"/>
      <c r="B82" s="947" t="s">
        <v>22</v>
      </c>
      <c r="C82" s="1456"/>
      <c r="D82" s="1499">
        <f t="shared" ref="D82:O82" si="96">+D83+D85</f>
        <v>19723223</v>
      </c>
      <c r="E82" s="1500">
        <f t="shared" si="96"/>
        <v>0</v>
      </c>
      <c r="F82" s="1500">
        <f t="shared" si="96"/>
        <v>0</v>
      </c>
      <c r="G82" s="1500">
        <f t="shared" si="96"/>
        <v>0</v>
      </c>
      <c r="H82" s="1500">
        <f t="shared" si="96"/>
        <v>0</v>
      </c>
      <c r="I82" s="1500">
        <f t="shared" si="96"/>
        <v>0</v>
      </c>
      <c r="J82" s="1500">
        <f t="shared" si="96"/>
        <v>0</v>
      </c>
      <c r="K82" s="1445">
        <f t="shared" si="96"/>
        <v>333872</v>
      </c>
      <c r="L82" s="1981">
        <f t="shared" si="96"/>
        <v>1328289</v>
      </c>
      <c r="M82" s="1445">
        <f t="shared" ref="M82" si="97">+M83+M85</f>
        <v>1662161</v>
      </c>
      <c r="N82" s="1445">
        <f t="shared" si="96"/>
        <v>617626</v>
      </c>
      <c r="O82" s="1445">
        <f t="shared" si="96"/>
        <v>12212251</v>
      </c>
      <c r="P82" s="1032">
        <f>+P83+P85</f>
        <v>4706488</v>
      </c>
      <c r="Q82" s="1032">
        <f>+Q83+Q85</f>
        <v>524697</v>
      </c>
      <c r="R82" s="1032"/>
      <c r="S82" s="1032"/>
      <c r="T82" s="1032"/>
      <c r="U82" s="1501">
        <f>+U83+U85</f>
        <v>17443436</v>
      </c>
      <c r="V82" s="2384"/>
    </row>
    <row r="83" spans="1:22" s="1980" customFormat="1" ht="14.25" customHeight="1">
      <c r="A83" s="2799"/>
      <c r="B83" s="1458" t="s">
        <v>23</v>
      </c>
      <c r="C83" s="2608" t="s">
        <v>269</v>
      </c>
      <c r="D83" s="1473">
        <f>D84</f>
        <v>9342571</v>
      </c>
      <c r="E83" s="1489">
        <f t="shared" ref="E83:N83" si="98">E84</f>
        <v>0</v>
      </c>
      <c r="F83" s="1489">
        <f t="shared" si="98"/>
        <v>0</v>
      </c>
      <c r="G83" s="1489">
        <f t="shared" si="98"/>
        <v>0</v>
      </c>
      <c r="H83" s="1489">
        <f t="shared" si="98"/>
        <v>0</v>
      </c>
      <c r="I83" s="1489">
        <f t="shared" si="98"/>
        <v>0</v>
      </c>
      <c r="J83" s="1489">
        <f t="shared" si="98"/>
        <v>0</v>
      </c>
      <c r="K83" s="1473">
        <f t="shared" si="98"/>
        <v>0</v>
      </c>
      <c r="L83" s="1971">
        <f t="shared" si="98"/>
        <v>673271</v>
      </c>
      <c r="M83" s="1473">
        <f t="shared" si="98"/>
        <v>673271</v>
      </c>
      <c r="N83" s="1508">
        <f t="shared" si="98"/>
        <v>0</v>
      </c>
      <c r="O83" s="1508">
        <f>O84</f>
        <v>6767338</v>
      </c>
      <c r="P83" s="1473">
        <f>P84</f>
        <v>1521404</v>
      </c>
      <c r="Q83" s="1473">
        <f>Q84</f>
        <v>380558</v>
      </c>
      <c r="R83" s="1473"/>
      <c r="S83" s="1473"/>
      <c r="T83" s="1473"/>
      <c r="U83" s="1502">
        <f>U84</f>
        <v>8669300</v>
      </c>
      <c r="V83" s="2384"/>
    </row>
    <row r="84" spans="1:22" s="1989" customFormat="1">
      <c r="A84" s="2799"/>
      <c r="B84" s="1517" t="s">
        <v>78</v>
      </c>
      <c r="C84" s="2606"/>
      <c r="D84" s="992">
        <f>M84+N84+O84+P84+Q84+R84</f>
        <v>9342571</v>
      </c>
      <c r="E84" s="1986">
        <v>0</v>
      </c>
      <c r="F84" s="1986"/>
      <c r="G84" s="1986"/>
      <c r="H84" s="1986"/>
      <c r="I84" s="1987">
        <v>0</v>
      </c>
      <c r="J84" s="1987">
        <v>0</v>
      </c>
      <c r="K84" s="1518">
        <v>0</v>
      </c>
      <c r="L84" s="1988">
        <f>2335159-1661887-1</f>
        <v>673271</v>
      </c>
      <c r="M84" s="1461">
        <f>E84+I84+J84+K84+L84</f>
        <v>673271</v>
      </c>
      <c r="N84" s="1519">
        <f>3719572+2918400-6637972</f>
        <v>0</v>
      </c>
      <c r="O84" s="1519">
        <f>129366+6637972</f>
        <v>6767338</v>
      </c>
      <c r="P84" s="1518">
        <f>2898095-1376691</f>
        <v>1521404</v>
      </c>
      <c r="Q84" s="1518">
        <f>260379+120178+1</f>
        <v>380558</v>
      </c>
      <c r="R84" s="1518"/>
      <c r="S84" s="1518"/>
      <c r="T84" s="1518"/>
      <c r="U84" s="1462">
        <f>SUM(O84:T84)</f>
        <v>8669300</v>
      </c>
      <c r="V84" s="2384"/>
    </row>
    <row r="85" spans="1:22" s="1980" customFormat="1" ht="14.25" customHeight="1">
      <c r="A85" s="2799"/>
      <c r="B85" s="1465" t="s">
        <v>30</v>
      </c>
      <c r="C85" s="2606"/>
      <c r="D85" s="1459">
        <f>D86</f>
        <v>10380652</v>
      </c>
      <c r="E85" s="1481">
        <f t="shared" ref="E85:Q85" si="99">E86</f>
        <v>0</v>
      </c>
      <c r="F85" s="1481">
        <f t="shared" si="99"/>
        <v>0</v>
      </c>
      <c r="G85" s="1481">
        <f t="shared" si="99"/>
        <v>0</v>
      </c>
      <c r="H85" s="1481">
        <f t="shared" si="99"/>
        <v>0</v>
      </c>
      <c r="I85" s="1481">
        <f t="shared" si="99"/>
        <v>0</v>
      </c>
      <c r="J85" s="1481">
        <f t="shared" si="99"/>
        <v>0</v>
      </c>
      <c r="K85" s="1459">
        <f t="shared" si="99"/>
        <v>333872</v>
      </c>
      <c r="L85" s="1966">
        <f t="shared" si="99"/>
        <v>655018</v>
      </c>
      <c r="M85" s="1473">
        <f t="shared" si="99"/>
        <v>988890</v>
      </c>
      <c r="N85" s="1520">
        <f t="shared" si="99"/>
        <v>617626</v>
      </c>
      <c r="O85" s="1520">
        <f t="shared" si="99"/>
        <v>5444913</v>
      </c>
      <c r="P85" s="1459">
        <f t="shared" si="99"/>
        <v>3185084</v>
      </c>
      <c r="Q85" s="1459">
        <f t="shared" si="99"/>
        <v>144139</v>
      </c>
      <c r="R85" s="1459"/>
      <c r="S85" s="1459"/>
      <c r="T85" s="1459"/>
      <c r="U85" s="1502">
        <f>U86</f>
        <v>8774136</v>
      </c>
      <c r="V85" s="2384"/>
    </row>
    <row r="86" spans="1:22" s="1980" customFormat="1">
      <c r="A86" s="2799"/>
      <c r="B86" s="558" t="s">
        <v>32</v>
      </c>
      <c r="C86" s="2607"/>
      <c r="D86" s="992">
        <f>M86+N86+O86+P86+Q86+R86</f>
        <v>10380652</v>
      </c>
      <c r="E86" s="1481">
        <v>0</v>
      </c>
      <c r="F86" s="1481"/>
      <c r="G86" s="1481"/>
      <c r="H86" s="1481"/>
      <c r="I86" s="1489">
        <v>0</v>
      </c>
      <c r="J86" s="1490">
        <v>0</v>
      </c>
      <c r="K86" s="1068">
        <f>398692-64820</f>
        <v>333872</v>
      </c>
      <c r="L86" s="1982">
        <f>813168-153168-4982</f>
        <v>655018</v>
      </c>
      <c r="M86" s="1461">
        <f>E86+I86+J86+K86+L86</f>
        <v>988890</v>
      </c>
      <c r="N86" s="1084">
        <f>5432672+64820-1752137-3127729</f>
        <v>617626</v>
      </c>
      <c r="O86" s="1521">
        <f>411879+1905305+3127729</f>
        <v>5444913</v>
      </c>
      <c r="P86" s="599">
        <v>3185084</v>
      </c>
      <c r="Q86" s="599">
        <f>139157+4982</f>
        <v>144139</v>
      </c>
      <c r="R86" s="599"/>
      <c r="S86" s="599"/>
      <c r="T86" s="599"/>
      <c r="U86" s="1462">
        <f>SUM(O86:T86)</f>
        <v>8774136</v>
      </c>
      <c r="V86" s="2384"/>
    </row>
    <row r="87" spans="1:22" s="1980" customFormat="1" ht="14.25" customHeight="1">
      <c r="A87" s="2799"/>
      <c r="B87" s="947" t="s">
        <v>34</v>
      </c>
      <c r="C87" s="1456"/>
      <c r="D87" s="1499">
        <f t="shared" ref="D87:P87" si="100">+D88+D91</f>
        <v>19723223</v>
      </c>
      <c r="E87" s="1500">
        <f t="shared" si="100"/>
        <v>0</v>
      </c>
      <c r="F87" s="1500">
        <f t="shared" si="100"/>
        <v>0</v>
      </c>
      <c r="G87" s="1500">
        <f t="shared" si="100"/>
        <v>0</v>
      </c>
      <c r="H87" s="1500">
        <f t="shared" si="100"/>
        <v>0</v>
      </c>
      <c r="I87" s="1500">
        <f t="shared" si="100"/>
        <v>0</v>
      </c>
      <c r="J87" s="1500">
        <f t="shared" si="100"/>
        <v>0</v>
      </c>
      <c r="K87" s="1445">
        <f t="shared" si="100"/>
        <v>4405356</v>
      </c>
      <c r="L87" s="1981">
        <f t="shared" si="100"/>
        <v>673271</v>
      </c>
      <c r="M87" s="1445">
        <f t="shared" ref="M87" si="101">+M88+M91</f>
        <v>5078627</v>
      </c>
      <c r="N87" s="1445">
        <f t="shared" si="100"/>
        <v>0</v>
      </c>
      <c r="O87" s="1445">
        <f t="shared" si="100"/>
        <v>10919599</v>
      </c>
      <c r="P87" s="1032">
        <f t="shared" si="100"/>
        <v>3344439</v>
      </c>
      <c r="Q87" s="1032">
        <f>+Q88+Q91</f>
        <v>380558</v>
      </c>
      <c r="R87" s="1032"/>
      <c r="S87" s="1032"/>
      <c r="T87" s="1032"/>
      <c r="U87" s="2801" t="s">
        <v>77</v>
      </c>
      <c r="V87" s="2384"/>
    </row>
    <row r="88" spans="1:22" s="1980" customFormat="1" ht="14.25" customHeight="1">
      <c r="A88" s="2799"/>
      <c r="B88" s="1458" t="s">
        <v>23</v>
      </c>
      <c r="C88" s="2608" t="s">
        <v>269</v>
      </c>
      <c r="D88" s="1473">
        <f>D89</f>
        <v>9342571</v>
      </c>
      <c r="E88" s="1489">
        <f t="shared" ref="E88:Q88" si="102">E89</f>
        <v>0</v>
      </c>
      <c r="F88" s="1489">
        <f t="shared" si="102"/>
        <v>0</v>
      </c>
      <c r="G88" s="1489">
        <f t="shared" si="102"/>
        <v>0</v>
      </c>
      <c r="H88" s="1489">
        <f t="shared" si="102"/>
        <v>0</v>
      </c>
      <c r="I88" s="1489">
        <f t="shared" si="102"/>
        <v>0</v>
      </c>
      <c r="J88" s="1489">
        <f t="shared" si="102"/>
        <v>0</v>
      </c>
      <c r="K88" s="1473">
        <f t="shared" si="102"/>
        <v>0</v>
      </c>
      <c r="L88" s="1971">
        <f t="shared" si="102"/>
        <v>673271</v>
      </c>
      <c r="M88" s="1473">
        <f t="shared" si="102"/>
        <v>673271</v>
      </c>
      <c r="N88" s="1508">
        <f t="shared" si="102"/>
        <v>0</v>
      </c>
      <c r="O88" s="1508">
        <f t="shared" si="102"/>
        <v>6767338</v>
      </c>
      <c r="P88" s="1473">
        <f t="shared" si="102"/>
        <v>1521404</v>
      </c>
      <c r="Q88" s="1473">
        <f t="shared" si="102"/>
        <v>380558</v>
      </c>
      <c r="R88" s="1473"/>
      <c r="S88" s="1473"/>
      <c r="T88" s="1473"/>
      <c r="U88" s="2802"/>
      <c r="V88" s="2384"/>
    </row>
    <row r="89" spans="1:22" s="1980" customFormat="1" ht="12.75" customHeight="1">
      <c r="A89" s="2799"/>
      <c r="B89" s="558" t="s">
        <v>28</v>
      </c>
      <c r="C89" s="2606"/>
      <c r="D89" s="992">
        <f>M89+N89+O89+P89+Q89+R89</f>
        <v>9342571</v>
      </c>
      <c r="E89" s="1986">
        <v>0</v>
      </c>
      <c r="F89" s="1986"/>
      <c r="G89" s="1986"/>
      <c r="H89" s="1986"/>
      <c r="I89" s="1987">
        <v>0</v>
      </c>
      <c r="J89" s="1987">
        <v>0</v>
      </c>
      <c r="K89" s="1518">
        <v>0</v>
      </c>
      <c r="L89" s="1988">
        <f>2335159-1661887-1</f>
        <v>673271</v>
      </c>
      <c r="M89" s="1461">
        <f>E89+I89+J89+K89+L89</f>
        <v>673271</v>
      </c>
      <c r="N89" s="1519">
        <f>3719572+2918400-6637972</f>
        <v>0</v>
      </c>
      <c r="O89" s="1519">
        <f>129366+6637972</f>
        <v>6767338</v>
      </c>
      <c r="P89" s="1518">
        <f>2898095-1376691</f>
        <v>1521404</v>
      </c>
      <c r="Q89" s="1518">
        <f>260379+120178+1</f>
        <v>380558</v>
      </c>
      <c r="R89" s="1518"/>
      <c r="S89" s="1518"/>
      <c r="T89" s="1518"/>
      <c r="U89" s="2802"/>
      <c r="V89" s="2384"/>
    </row>
    <row r="90" spans="1:22" s="1980" customFormat="1" ht="14.25" customHeight="1">
      <c r="A90" s="2799"/>
      <c r="B90" s="1465" t="s">
        <v>30</v>
      </c>
      <c r="C90" s="2606"/>
      <c r="D90" s="1473">
        <f>D91</f>
        <v>10380652</v>
      </c>
      <c r="E90" s="1489">
        <f t="shared" ref="E90:Q90" si="103">E91</f>
        <v>0</v>
      </c>
      <c r="F90" s="1489">
        <f t="shared" si="103"/>
        <v>0</v>
      </c>
      <c r="G90" s="1489">
        <f t="shared" si="103"/>
        <v>0</v>
      </c>
      <c r="H90" s="1489">
        <f t="shared" si="103"/>
        <v>0</v>
      </c>
      <c r="I90" s="1489">
        <f t="shared" si="103"/>
        <v>0</v>
      </c>
      <c r="J90" s="1489">
        <f t="shared" si="103"/>
        <v>0</v>
      </c>
      <c r="K90" s="1473">
        <f t="shared" si="103"/>
        <v>4405356</v>
      </c>
      <c r="L90" s="1971">
        <f t="shared" si="103"/>
        <v>0</v>
      </c>
      <c r="M90" s="1473">
        <f t="shared" si="103"/>
        <v>4405356</v>
      </c>
      <c r="N90" s="1508">
        <f t="shared" si="103"/>
        <v>0</v>
      </c>
      <c r="O90" s="1508">
        <f t="shared" si="103"/>
        <v>4152261</v>
      </c>
      <c r="P90" s="1473">
        <f t="shared" si="103"/>
        <v>1823035</v>
      </c>
      <c r="Q90" s="1473">
        <f t="shared" si="103"/>
        <v>0</v>
      </c>
      <c r="R90" s="1473"/>
      <c r="S90" s="1473"/>
      <c r="T90" s="1473"/>
      <c r="U90" s="2802"/>
      <c r="V90" s="2384"/>
    </row>
    <row r="91" spans="1:22" s="1980" customFormat="1" ht="12.75" thickBot="1">
      <c r="A91" s="2800"/>
      <c r="B91" s="568" t="s">
        <v>32</v>
      </c>
      <c r="C91" s="2804"/>
      <c r="D91" s="992">
        <f>M91+N91+O91+P91+Q91+R91</f>
        <v>10380652</v>
      </c>
      <c r="E91" s="1983">
        <v>0</v>
      </c>
      <c r="F91" s="1983"/>
      <c r="G91" s="1983"/>
      <c r="H91" s="1983"/>
      <c r="I91" s="1984">
        <v>0</v>
      </c>
      <c r="J91" s="1984">
        <v>0</v>
      </c>
      <c r="K91" s="1505">
        <v>4405356</v>
      </c>
      <c r="L91" s="1505">
        <v>0</v>
      </c>
      <c r="M91" s="1461">
        <f>E91+I91+J91+K91+L91</f>
        <v>4405356</v>
      </c>
      <c r="N91" s="1522">
        <f>4152261-4152261</f>
        <v>0</v>
      </c>
      <c r="O91" s="1523">
        <f>4152261</f>
        <v>4152261</v>
      </c>
      <c r="P91" s="1506">
        <v>1823035</v>
      </c>
      <c r="Q91" s="1506">
        <v>0</v>
      </c>
      <c r="R91" s="1506"/>
      <c r="S91" s="1506"/>
      <c r="T91" s="1506"/>
      <c r="U91" s="2803"/>
      <c r="V91" s="2432"/>
    </row>
    <row r="92" spans="1:22" s="1991" customFormat="1" ht="41.25" customHeight="1">
      <c r="A92" s="2798" t="s">
        <v>86</v>
      </c>
      <c r="B92" s="1453" t="s">
        <v>271</v>
      </c>
      <c r="C92" s="1497" t="s">
        <v>102</v>
      </c>
      <c r="D92" s="1497"/>
      <c r="E92" s="1990"/>
      <c r="F92" s="1990"/>
      <c r="G92" s="1990"/>
      <c r="H92" s="1990"/>
      <c r="I92" s="1524"/>
      <c r="J92" s="1524"/>
      <c r="K92" s="1524"/>
      <c r="L92" s="1524"/>
      <c r="M92" s="1524"/>
      <c r="N92" s="1524"/>
      <c r="O92" s="531"/>
      <c r="P92" s="531"/>
      <c r="Q92" s="531"/>
      <c r="R92" s="531"/>
      <c r="S92" s="531"/>
      <c r="T92" s="531"/>
      <c r="U92" s="1455"/>
      <c r="V92" s="2381" t="s">
        <v>268</v>
      </c>
    </row>
    <row r="93" spans="1:22" s="1992" customFormat="1" ht="13.5" customHeight="1">
      <c r="A93" s="2799"/>
      <c r="B93" s="947" t="s">
        <v>22</v>
      </c>
      <c r="C93" s="1456"/>
      <c r="D93" s="1499">
        <f>+D94+D96</f>
        <v>159544497</v>
      </c>
      <c r="E93" s="1445">
        <f>+E94+E96</f>
        <v>14449815</v>
      </c>
      <c r="F93" s="1445"/>
      <c r="G93" s="1445"/>
      <c r="H93" s="1445">
        <f t="shared" ref="H93:O93" si="104">+H94+H96</f>
        <v>14449815</v>
      </c>
      <c r="I93" s="1445">
        <f t="shared" si="104"/>
        <v>24266433</v>
      </c>
      <c r="J93" s="1445">
        <f t="shared" si="104"/>
        <v>30228987</v>
      </c>
      <c r="K93" s="1445">
        <f t="shared" si="104"/>
        <v>29669758</v>
      </c>
      <c r="L93" s="1981">
        <f t="shared" si="104"/>
        <v>21917175</v>
      </c>
      <c r="M93" s="1445">
        <f t="shared" ref="M93" si="105">+M94+M96</f>
        <v>120532168</v>
      </c>
      <c r="N93" s="1445">
        <f t="shared" si="104"/>
        <v>21983329</v>
      </c>
      <c r="O93" s="1032">
        <f t="shared" si="104"/>
        <v>17029000</v>
      </c>
      <c r="P93" s="1032"/>
      <c r="Q93" s="1032"/>
      <c r="R93" s="1032"/>
      <c r="S93" s="1032"/>
      <c r="T93" s="1032"/>
      <c r="U93" s="1457">
        <f>+U94+U96</f>
        <v>17029000</v>
      </c>
      <c r="V93" s="2382"/>
    </row>
    <row r="94" spans="1:22" s="1992" customFormat="1" ht="13.5" customHeight="1">
      <c r="A94" s="2799"/>
      <c r="B94" s="1458" t="s">
        <v>23</v>
      </c>
      <c r="C94" s="2794" t="s">
        <v>269</v>
      </c>
      <c r="D94" s="1520">
        <f>+D95</f>
        <v>60405335</v>
      </c>
      <c r="E94" s="1520">
        <f>+E95</f>
        <v>5317203</v>
      </c>
      <c r="F94" s="1520"/>
      <c r="G94" s="1520"/>
      <c r="H94" s="1520">
        <f>+H95</f>
        <v>5317203</v>
      </c>
      <c r="I94" s="1508">
        <f t="shared" ref="I94:U94" si="106">SUM(I95:I95)</f>
        <v>9348544</v>
      </c>
      <c r="J94" s="1508">
        <f t="shared" si="106"/>
        <v>11796678</v>
      </c>
      <c r="K94" s="1508">
        <f t="shared" si="106"/>
        <v>11493755</v>
      </c>
      <c r="L94" s="1508">
        <f t="shared" si="106"/>
        <v>8089317</v>
      </c>
      <c r="M94" s="1508">
        <f t="shared" si="106"/>
        <v>46045497</v>
      </c>
      <c r="N94" s="1508">
        <f t="shared" si="106"/>
        <v>8203838</v>
      </c>
      <c r="O94" s="1473">
        <f t="shared" si="106"/>
        <v>6156000</v>
      </c>
      <c r="P94" s="1473"/>
      <c r="Q94" s="1473"/>
      <c r="R94" s="1473"/>
      <c r="S94" s="1473"/>
      <c r="T94" s="1473"/>
      <c r="U94" s="1460">
        <f t="shared" si="106"/>
        <v>6156000</v>
      </c>
      <c r="V94" s="2382"/>
    </row>
    <row r="95" spans="1:22" s="1991" customFormat="1">
      <c r="A95" s="2799"/>
      <c r="B95" s="558" t="s">
        <v>26</v>
      </c>
      <c r="C95" s="2795"/>
      <c r="D95" s="992">
        <f>M95+N95+O95+P95+Q95+R95</f>
        <v>60405335</v>
      </c>
      <c r="E95" s="1993">
        <v>5317203</v>
      </c>
      <c r="F95" s="1993"/>
      <c r="G95" s="1993"/>
      <c r="H95" s="1993">
        <v>5317203</v>
      </c>
      <c r="I95" s="1525">
        <f>9351074-2530</f>
        <v>9348544</v>
      </c>
      <c r="J95" s="1525">
        <f>8669000+3127751-73</f>
        <v>11796678</v>
      </c>
      <c r="K95" s="1525">
        <f>14447000+2530-2742530-213207-38</f>
        <v>11493755</v>
      </c>
      <c r="L95" s="1525">
        <f>3268000+3284000+1575827-71690+33180</f>
        <v>8089317</v>
      </c>
      <c r="M95" s="1461">
        <f>E95+I95+J95+K95+L95</f>
        <v>46045497</v>
      </c>
      <c r="N95" s="1525">
        <f>5879951+213207+38+7511963-1575827-5328332+1267000+235838</f>
        <v>8203838</v>
      </c>
      <c r="O95" s="1461">
        <f>5328332+71690-33180+789158</f>
        <v>6156000</v>
      </c>
      <c r="P95" s="1461"/>
      <c r="Q95" s="1461"/>
      <c r="R95" s="1461"/>
      <c r="S95" s="1461"/>
      <c r="T95" s="1461"/>
      <c r="U95" s="1462">
        <f>SUM(O95:T95)</f>
        <v>6156000</v>
      </c>
      <c r="V95" s="2382"/>
    </row>
    <row r="96" spans="1:22" s="1991" customFormat="1" ht="13.5" customHeight="1">
      <c r="A96" s="2799"/>
      <c r="B96" s="1465" t="s">
        <v>30</v>
      </c>
      <c r="C96" s="2795"/>
      <c r="D96" s="1520">
        <f t="shared" ref="D96" si="107">+D97+D98</f>
        <v>99139162</v>
      </c>
      <c r="E96" s="1459">
        <f>+E97+E98</f>
        <v>9132612</v>
      </c>
      <c r="F96" s="1459">
        <f t="shared" ref="F96:O96" si="108">+F97+F98</f>
        <v>0</v>
      </c>
      <c r="G96" s="1459">
        <f t="shared" si="108"/>
        <v>0</v>
      </c>
      <c r="H96" s="1459">
        <f t="shared" si="108"/>
        <v>9132612</v>
      </c>
      <c r="I96" s="1459">
        <f t="shared" si="108"/>
        <v>14917889</v>
      </c>
      <c r="J96" s="1459">
        <f t="shared" si="108"/>
        <v>18432309</v>
      </c>
      <c r="K96" s="1459">
        <f t="shared" si="108"/>
        <v>18176003</v>
      </c>
      <c r="L96" s="1459">
        <f t="shared" si="108"/>
        <v>13827858</v>
      </c>
      <c r="M96" s="1459">
        <f t="shared" si="108"/>
        <v>74486671</v>
      </c>
      <c r="N96" s="1459">
        <f t="shared" si="108"/>
        <v>13779491</v>
      </c>
      <c r="O96" s="1459">
        <f t="shared" si="108"/>
        <v>10873000</v>
      </c>
      <c r="P96" s="1473"/>
      <c r="Q96" s="1473"/>
      <c r="R96" s="1473"/>
      <c r="S96" s="1473"/>
      <c r="T96" s="1473"/>
      <c r="U96" s="1460">
        <f t="shared" ref="U96" si="109">+U97</f>
        <v>10873000</v>
      </c>
      <c r="V96" s="2382"/>
    </row>
    <row r="97" spans="1:22" s="1991" customFormat="1" ht="13.5" customHeight="1">
      <c r="A97" s="2799"/>
      <c r="B97" s="1486" t="s">
        <v>33</v>
      </c>
      <c r="C97" s="2795"/>
      <c r="D97" s="992">
        <f>M97+N97+O97+P97+Q97+R97</f>
        <v>75088661</v>
      </c>
      <c r="E97" s="1968"/>
      <c r="F97" s="1968"/>
      <c r="G97" s="1968"/>
      <c r="H97" s="1968">
        <v>9132612</v>
      </c>
      <c r="I97" s="1461"/>
      <c r="J97" s="1461">
        <f>13832000+4600351-42</f>
        <v>18432309</v>
      </c>
      <c r="K97" s="1461">
        <f>23054000+4037-4765037-116976-21</f>
        <v>18176003</v>
      </c>
      <c r="L97" s="1525">
        <f>10927000+2643757+257101</f>
        <v>13827858</v>
      </c>
      <c r="M97" s="1461">
        <f>E97+I97+J97+K97+L97</f>
        <v>50436170</v>
      </c>
      <c r="N97" s="1525">
        <f>8497851+116976+21+16120330-2643757-11327421+2338310+677181</f>
        <v>13779491</v>
      </c>
      <c r="O97" s="1461">
        <f>11327421-257101-197320</f>
        <v>10873000</v>
      </c>
      <c r="P97" s="1461"/>
      <c r="Q97" s="1461"/>
      <c r="R97" s="1461"/>
      <c r="S97" s="1461"/>
      <c r="T97" s="1461"/>
      <c r="U97" s="1462">
        <f>SUM(O97:T97)</f>
        <v>10873000</v>
      </c>
      <c r="V97" s="2382"/>
    </row>
    <row r="98" spans="1:22" s="1991" customFormat="1" ht="12" customHeight="1">
      <c r="A98" s="2799"/>
      <c r="B98" s="558" t="s">
        <v>26</v>
      </c>
      <c r="C98" s="2796"/>
      <c r="D98" s="992">
        <f>M98+N98+O98+P98+Q98+R98</f>
        <v>24050501</v>
      </c>
      <c r="E98" s="1968">
        <v>9132612</v>
      </c>
      <c r="F98" s="1475"/>
      <c r="G98" s="1475"/>
      <c r="H98" s="1475"/>
      <c r="I98" s="1461">
        <f>14921926-4037</f>
        <v>14917889</v>
      </c>
      <c r="J98" s="1492">
        <v>0</v>
      </c>
      <c r="K98" s="1492">
        <v>0</v>
      </c>
      <c r="L98" s="1994">
        <v>0</v>
      </c>
      <c r="M98" s="1461">
        <f>E98+I98+J98+K98+L98</f>
        <v>24050501</v>
      </c>
      <c r="N98" s="1526">
        <v>0</v>
      </c>
      <c r="O98" s="1492">
        <v>0</v>
      </c>
      <c r="P98" s="1476"/>
      <c r="Q98" s="1461"/>
      <c r="R98" s="1461"/>
      <c r="S98" s="1461"/>
      <c r="T98" s="1461"/>
      <c r="U98" s="1462">
        <f>SUM(O98:T98)</f>
        <v>0</v>
      </c>
      <c r="V98" s="2382"/>
    </row>
    <row r="99" spans="1:22" s="1991" customFormat="1" ht="13.5" customHeight="1">
      <c r="A99" s="2799"/>
      <c r="B99" s="561" t="s">
        <v>34</v>
      </c>
      <c r="C99" s="1471"/>
      <c r="D99" s="1527">
        <f>+D100+D102</f>
        <v>159544497</v>
      </c>
      <c r="E99" s="1430">
        <f>+E100+E102</f>
        <v>14449815</v>
      </c>
      <c r="F99" s="1430"/>
      <c r="G99" s="1430"/>
      <c r="H99" s="1430">
        <f t="shared" ref="H99:O99" si="110">+H100+H102</f>
        <v>14449815</v>
      </c>
      <c r="I99" s="1430">
        <f t="shared" si="110"/>
        <v>24266433</v>
      </c>
      <c r="J99" s="1430">
        <f t="shared" si="110"/>
        <v>30228987</v>
      </c>
      <c r="K99" s="1430">
        <f t="shared" si="110"/>
        <v>29669758</v>
      </c>
      <c r="L99" s="1995">
        <f t="shared" si="110"/>
        <v>21917175</v>
      </c>
      <c r="M99" s="1445">
        <f t="shared" ref="M99" si="111">+M100+M102</f>
        <v>120532168</v>
      </c>
      <c r="N99" s="1527">
        <f t="shared" si="110"/>
        <v>21983329</v>
      </c>
      <c r="O99" s="1430">
        <f t="shared" si="110"/>
        <v>17029000</v>
      </c>
      <c r="P99" s="1430"/>
      <c r="Q99" s="1430"/>
      <c r="R99" s="1430"/>
      <c r="S99" s="1430"/>
      <c r="T99" s="1430"/>
      <c r="U99" s="2596" t="s">
        <v>77</v>
      </c>
      <c r="V99" s="2382"/>
    </row>
    <row r="100" spans="1:22" s="1980" customFormat="1" ht="14.25" customHeight="1">
      <c r="A100" s="2799"/>
      <c r="B100" s="1458" t="s">
        <v>23</v>
      </c>
      <c r="C100" s="2794" t="s">
        <v>269</v>
      </c>
      <c r="D100" s="619">
        <f>+D101</f>
        <v>60405335</v>
      </c>
      <c r="E100" s="720">
        <f>+E101</f>
        <v>5317203</v>
      </c>
      <c r="F100" s="720"/>
      <c r="G100" s="720"/>
      <c r="H100" s="720">
        <f>+H101</f>
        <v>5317203</v>
      </c>
      <c r="I100" s="620">
        <f t="shared" ref="I100:O100" si="112">SUM(I101:I101)</f>
        <v>9348544</v>
      </c>
      <c r="J100" s="620">
        <f t="shared" si="112"/>
        <v>11796678</v>
      </c>
      <c r="K100" s="620">
        <f t="shared" si="112"/>
        <v>11493755</v>
      </c>
      <c r="L100" s="619">
        <f t="shared" si="112"/>
        <v>8089317</v>
      </c>
      <c r="M100" s="619">
        <f t="shared" si="112"/>
        <v>46045497</v>
      </c>
      <c r="N100" s="619">
        <f t="shared" si="112"/>
        <v>8203838</v>
      </c>
      <c r="O100" s="620">
        <f t="shared" si="112"/>
        <v>6156000</v>
      </c>
      <c r="P100" s="620"/>
      <c r="Q100" s="620"/>
      <c r="R100" s="620"/>
      <c r="S100" s="620"/>
      <c r="T100" s="620"/>
      <c r="U100" s="2597"/>
      <c r="V100" s="2382"/>
    </row>
    <row r="101" spans="1:22" s="1980" customFormat="1" ht="13.5" customHeight="1">
      <c r="A101" s="2799"/>
      <c r="B101" s="1528" t="s">
        <v>26</v>
      </c>
      <c r="C101" s="2795"/>
      <c r="D101" s="992">
        <f>M101+N101+O101+P101+Q101+R101</f>
        <v>60405335</v>
      </c>
      <c r="E101" s="1475">
        <v>5317203</v>
      </c>
      <c r="F101" s="1475"/>
      <c r="G101" s="1475"/>
      <c r="H101" s="1475">
        <v>5317203</v>
      </c>
      <c r="I101" s="1461">
        <f>9351074-2530</f>
        <v>9348544</v>
      </c>
      <c r="J101" s="1461">
        <f>8669000+3127751-73</f>
        <v>11796678</v>
      </c>
      <c r="K101" s="1461">
        <f>14447000+2530-2742530-213207-38</f>
        <v>11493755</v>
      </c>
      <c r="L101" s="1525">
        <f>3268000+3284000+1575827-71690+33180</f>
        <v>8089317</v>
      </c>
      <c r="M101" s="1461">
        <f>E101+I101+J101+K101+L101</f>
        <v>46045497</v>
      </c>
      <c r="N101" s="1525">
        <f>5879951+213207+38+7511963-1575827-5328332+1267000+235838</f>
        <v>8203838</v>
      </c>
      <c r="O101" s="1461">
        <f>5328332+71690-33180+789158</f>
        <v>6156000</v>
      </c>
      <c r="P101" s="1529"/>
      <c r="Q101" s="1529"/>
      <c r="R101" s="1529"/>
      <c r="S101" s="1529"/>
      <c r="T101" s="1529"/>
      <c r="U101" s="2597"/>
      <c r="V101" s="2382"/>
    </row>
    <row r="102" spans="1:22" s="1980" customFormat="1" ht="12.75" customHeight="1">
      <c r="A102" s="2799"/>
      <c r="B102" s="1465" t="s">
        <v>30</v>
      </c>
      <c r="C102" s="2795"/>
      <c r="D102" s="1508">
        <f t="shared" ref="D102:O102" si="113">+D103+D104</f>
        <v>99139162</v>
      </c>
      <c r="E102" s="1473">
        <f t="shared" si="113"/>
        <v>9132612</v>
      </c>
      <c r="F102" s="1473">
        <f t="shared" si="113"/>
        <v>0</v>
      </c>
      <c r="G102" s="1473">
        <f t="shared" si="113"/>
        <v>0</v>
      </c>
      <c r="H102" s="1473">
        <f t="shared" si="113"/>
        <v>9132612</v>
      </c>
      <c r="I102" s="1473">
        <f t="shared" si="113"/>
        <v>14917889</v>
      </c>
      <c r="J102" s="1473">
        <f t="shared" si="113"/>
        <v>18432309</v>
      </c>
      <c r="K102" s="1473">
        <f t="shared" si="113"/>
        <v>18176003</v>
      </c>
      <c r="L102" s="1473">
        <f t="shared" si="113"/>
        <v>13827858</v>
      </c>
      <c r="M102" s="1473">
        <f t="shared" si="113"/>
        <v>74486671</v>
      </c>
      <c r="N102" s="1473">
        <f t="shared" si="113"/>
        <v>13779491</v>
      </c>
      <c r="O102" s="1473">
        <f t="shared" si="113"/>
        <v>10873000</v>
      </c>
      <c r="P102" s="1473"/>
      <c r="Q102" s="1473"/>
      <c r="R102" s="1473"/>
      <c r="S102" s="1473"/>
      <c r="T102" s="1473"/>
      <c r="U102" s="2597"/>
      <c r="V102" s="2382"/>
    </row>
    <row r="103" spans="1:22" s="1980" customFormat="1" ht="12.75" customHeight="1">
      <c r="A103" s="2799"/>
      <c r="B103" s="1474" t="s">
        <v>33</v>
      </c>
      <c r="C103" s="2795"/>
      <c r="D103" s="992">
        <f>M103+N103+O103+P103+Q103+R103</f>
        <v>75088661</v>
      </c>
      <c r="E103" s="1968"/>
      <c r="F103" s="1968"/>
      <c r="G103" s="1968"/>
      <c r="H103" s="1968">
        <v>9132612</v>
      </c>
      <c r="I103" s="1461"/>
      <c r="J103" s="1461">
        <f>13832000+4600351-42</f>
        <v>18432309</v>
      </c>
      <c r="K103" s="1461">
        <f>23054000+4037-4765037-116976-21</f>
        <v>18176003</v>
      </c>
      <c r="L103" s="1525">
        <f>10927000+2643757+257101</f>
        <v>13827858</v>
      </c>
      <c r="M103" s="1461">
        <f t="shared" ref="M103:M104" si="114">E103+I103+J103+K103+L103</f>
        <v>50436170</v>
      </c>
      <c r="N103" s="1525">
        <f>8497851+116976+21+16120330-2643757-11327421+2338310+677181</f>
        <v>13779491</v>
      </c>
      <c r="O103" s="1461">
        <f>11327421-257101-197320</f>
        <v>10873000</v>
      </c>
      <c r="P103" s="1461"/>
      <c r="Q103" s="1461"/>
      <c r="R103" s="1461"/>
      <c r="S103" s="1461"/>
      <c r="T103" s="1461"/>
      <c r="U103" s="2597"/>
      <c r="V103" s="2382"/>
    </row>
    <row r="104" spans="1:22" s="1980" customFormat="1" ht="12.75" customHeight="1" thickBot="1">
      <c r="A104" s="2800"/>
      <c r="B104" s="568" t="s">
        <v>26</v>
      </c>
      <c r="C104" s="2797"/>
      <c r="D104" s="992">
        <f>M104+N104+O104+P104+Q104+R104</f>
        <v>24050501</v>
      </c>
      <c r="E104" s="1985">
        <v>9132612</v>
      </c>
      <c r="F104" s="1996"/>
      <c r="G104" s="1996"/>
      <c r="H104" s="1996"/>
      <c r="I104" s="1505">
        <f>14921926-4037</f>
        <v>14917889</v>
      </c>
      <c r="J104" s="1530">
        <v>0</v>
      </c>
      <c r="K104" s="1530">
        <v>0</v>
      </c>
      <c r="L104" s="1530">
        <v>0</v>
      </c>
      <c r="M104" s="1461">
        <f t="shared" si="114"/>
        <v>24050501</v>
      </c>
      <c r="N104" s="1530">
        <v>0</v>
      </c>
      <c r="O104" s="1531">
        <v>0</v>
      </c>
      <c r="P104" s="1506"/>
      <c r="Q104" s="1506"/>
      <c r="R104" s="1506"/>
      <c r="S104" s="1506"/>
      <c r="T104" s="1506"/>
      <c r="U104" s="2598"/>
      <c r="V104" s="2386"/>
    </row>
    <row r="105" spans="1:22" ht="15" customHeight="1">
      <c r="A105" s="2791" t="s">
        <v>149</v>
      </c>
      <c r="B105" s="1453" t="s">
        <v>272</v>
      </c>
      <c r="C105" s="1497" t="s">
        <v>138</v>
      </c>
      <c r="D105" s="1497"/>
      <c r="E105" s="530"/>
      <c r="F105" s="530"/>
      <c r="G105" s="530"/>
      <c r="H105" s="530"/>
      <c r="I105" s="531"/>
      <c r="J105" s="531"/>
      <c r="K105" s="531"/>
      <c r="L105" s="531"/>
      <c r="M105" s="531"/>
      <c r="N105" s="531"/>
      <c r="O105" s="531"/>
      <c r="P105" s="531"/>
      <c r="Q105" s="531"/>
      <c r="R105" s="531"/>
      <c r="S105" s="531"/>
      <c r="T105" s="531"/>
      <c r="U105" s="1455"/>
      <c r="V105" s="2383" t="s">
        <v>273</v>
      </c>
    </row>
    <row r="106" spans="1:22" ht="15" customHeight="1">
      <c r="A106" s="2799"/>
      <c r="B106" s="947" t="s">
        <v>22</v>
      </c>
      <c r="C106" s="1532"/>
      <c r="D106" s="1031">
        <f t="shared" ref="D106:O106" si="115">+D107+D110</f>
        <v>36544363</v>
      </c>
      <c r="E106" s="1032">
        <f t="shared" si="115"/>
        <v>6500224</v>
      </c>
      <c r="F106" s="1032">
        <f t="shared" si="115"/>
        <v>229394</v>
      </c>
      <c r="G106" s="1032">
        <f t="shared" si="115"/>
        <v>1937989</v>
      </c>
      <c r="H106" s="1032">
        <f t="shared" si="115"/>
        <v>4332842</v>
      </c>
      <c r="I106" s="1032">
        <f t="shared" si="115"/>
        <v>4624937</v>
      </c>
      <c r="J106" s="1032">
        <f t="shared" si="115"/>
        <v>5030014</v>
      </c>
      <c r="K106" s="1032">
        <f t="shared" si="115"/>
        <v>5136855</v>
      </c>
      <c r="L106" s="1965">
        <f>+L107+L110</f>
        <v>6494934</v>
      </c>
      <c r="M106" s="2349">
        <f>+M107+M110</f>
        <v>27786964</v>
      </c>
      <c r="N106" s="1032">
        <f t="shared" si="115"/>
        <v>6117399</v>
      </c>
      <c r="O106" s="1032">
        <f t="shared" si="115"/>
        <v>2640000</v>
      </c>
      <c r="P106" s="1032"/>
      <c r="Q106" s="1445"/>
      <c r="R106" s="1445"/>
      <c r="S106" s="1445"/>
      <c r="T106" s="1445"/>
      <c r="U106" s="1457">
        <f>+U107+U110</f>
        <v>2640000</v>
      </c>
      <c r="V106" s="2384"/>
    </row>
    <row r="107" spans="1:22" ht="12" customHeight="1">
      <c r="A107" s="2799"/>
      <c r="B107" s="1458" t="s">
        <v>23</v>
      </c>
      <c r="C107" s="2490" t="s">
        <v>274</v>
      </c>
      <c r="D107" s="1459">
        <f>+D108+D109</f>
        <v>9722200</v>
      </c>
      <c r="E107" s="1459">
        <f>+E108+E109</f>
        <v>1672219</v>
      </c>
      <c r="F107" s="1459">
        <f>+F108+F109</f>
        <v>57349</v>
      </c>
      <c r="G107" s="1459">
        <f>+G108+G109</f>
        <v>464497</v>
      </c>
      <c r="H107" s="1459">
        <f>+H108+H109</f>
        <v>1150374</v>
      </c>
      <c r="I107" s="1473">
        <f>SUM(I108:I109)</f>
        <v>1204357</v>
      </c>
      <c r="J107" s="1473">
        <f>SUM(J108:J109)</f>
        <v>1374291</v>
      </c>
      <c r="K107" s="1473">
        <f>SUM(K108:K109)</f>
        <v>1343997</v>
      </c>
      <c r="L107" s="1971">
        <f t="shared" ref="L107:O107" si="116">L108+L109</f>
        <v>1753011</v>
      </c>
      <c r="M107" s="1971">
        <f t="shared" ref="M107" si="117">M108+M109</f>
        <v>7347875</v>
      </c>
      <c r="N107" s="1473">
        <f t="shared" si="116"/>
        <v>1684325</v>
      </c>
      <c r="O107" s="1473">
        <f t="shared" si="116"/>
        <v>690000</v>
      </c>
      <c r="P107" s="1473"/>
      <c r="Q107" s="1473"/>
      <c r="R107" s="1473"/>
      <c r="S107" s="1473"/>
      <c r="T107" s="1473"/>
      <c r="U107" s="1460">
        <f>U108+U109</f>
        <v>690000</v>
      </c>
      <c r="V107" s="2384"/>
    </row>
    <row r="108" spans="1:22" ht="12" customHeight="1">
      <c r="A108" s="2799"/>
      <c r="B108" s="558" t="s">
        <v>24</v>
      </c>
      <c r="C108" s="2807"/>
      <c r="D108" s="992">
        <f t="shared" ref="D108:D109" si="118">M108+N108+O108+P108+Q108+R108</f>
        <v>2353532</v>
      </c>
      <c r="E108" s="1968">
        <f>F108+G108+H108</f>
        <v>1061362</v>
      </c>
      <c r="F108" s="1968">
        <f>57348+1</f>
        <v>57349</v>
      </c>
      <c r="G108" s="1968">
        <v>464497</v>
      </c>
      <c r="H108" s="1968">
        <f>539515+1</f>
        <v>539516</v>
      </c>
      <c r="I108" s="1461">
        <f>317842+77483</f>
        <v>395325</v>
      </c>
      <c r="J108" s="1461">
        <f>219166+155719</f>
        <v>374885</v>
      </c>
      <c r="K108" s="1461">
        <f>198300-97040-21535+8290+368+4558</f>
        <v>92941</v>
      </c>
      <c r="L108" s="1586">
        <f>389428-9200-160000-47860+10019</f>
        <v>182387</v>
      </c>
      <c r="M108" s="1461">
        <f t="shared" ref="M108:M109" si="119">E108+I108+J108+K108+L108</f>
        <v>2106900</v>
      </c>
      <c r="N108" s="1461">
        <f>290000+21535+88465-163500-29868</f>
        <v>206632</v>
      </c>
      <c r="O108" s="1461">
        <f>180000-130000+160000+57060-147060-80000</f>
        <v>40000</v>
      </c>
      <c r="P108" s="1461"/>
      <c r="Q108" s="1461"/>
      <c r="R108" s="1461"/>
      <c r="S108" s="1461"/>
      <c r="T108" s="1461"/>
      <c r="U108" s="1462">
        <f t="shared" ref="U108:U109" si="120">SUM(O108:T108)</f>
        <v>40000</v>
      </c>
      <c r="V108" s="2384"/>
    </row>
    <row r="109" spans="1:22" ht="12" customHeight="1">
      <c r="A109" s="2799"/>
      <c r="B109" s="691" t="s">
        <v>26</v>
      </c>
      <c r="C109" s="2807"/>
      <c r="D109" s="992">
        <f t="shared" si="118"/>
        <v>7368668</v>
      </c>
      <c r="E109" s="1475">
        <v>610857</v>
      </c>
      <c r="F109" s="1475"/>
      <c r="G109" s="1475"/>
      <c r="H109" s="1475">
        <v>610858</v>
      </c>
      <c r="I109" s="1476">
        <f>941657-116444-I124</f>
        <v>809032</v>
      </c>
      <c r="J109" s="1476">
        <f>999407-1</f>
        <v>999406</v>
      </c>
      <c r="K109" s="1476">
        <f>1815173-250173-275827-38117</f>
        <v>1251056</v>
      </c>
      <c r="L109" s="1591">
        <f>1890000+10000-10000-219447-99929</f>
        <v>1570624</v>
      </c>
      <c r="M109" s="1461">
        <f t="shared" si="119"/>
        <v>5240975</v>
      </c>
      <c r="N109" s="1476">
        <f>1375000+38117+586883-486170-36137</f>
        <v>1477693</v>
      </c>
      <c r="O109" s="1476">
        <f>750000-714000+229447+99929+284624</f>
        <v>650000</v>
      </c>
      <c r="P109" s="1476"/>
      <c r="Q109" s="1476"/>
      <c r="R109" s="1476"/>
      <c r="S109" s="1476"/>
      <c r="T109" s="1476"/>
      <c r="U109" s="1462">
        <f t="shared" si="120"/>
        <v>650000</v>
      </c>
      <c r="V109" s="2384"/>
    </row>
    <row r="110" spans="1:22" ht="12" customHeight="1">
      <c r="A110" s="2799"/>
      <c r="B110" s="1465" t="s">
        <v>30</v>
      </c>
      <c r="C110" s="2807"/>
      <c r="D110" s="1459">
        <f>+D112+D111</f>
        <v>26822163</v>
      </c>
      <c r="E110" s="1459">
        <f t="shared" ref="E110:O110" si="121">+E112+E111</f>
        <v>4828005</v>
      </c>
      <c r="F110" s="1459">
        <f t="shared" si="121"/>
        <v>172045</v>
      </c>
      <c r="G110" s="1459">
        <f t="shared" si="121"/>
        <v>1473492</v>
      </c>
      <c r="H110" s="1459">
        <f t="shared" si="121"/>
        <v>3182468</v>
      </c>
      <c r="I110" s="1459">
        <f t="shared" si="121"/>
        <v>3420580</v>
      </c>
      <c r="J110" s="1459">
        <f t="shared" si="121"/>
        <v>3655723</v>
      </c>
      <c r="K110" s="1459">
        <f t="shared" si="121"/>
        <v>3792858</v>
      </c>
      <c r="L110" s="1966">
        <f t="shared" si="121"/>
        <v>4741923</v>
      </c>
      <c r="M110" s="1971">
        <f t="shared" ref="M110" si="122">+M112+M111</f>
        <v>20439089</v>
      </c>
      <c r="N110" s="620">
        <f t="shared" si="121"/>
        <v>4433074</v>
      </c>
      <c r="O110" s="1459">
        <f t="shared" si="121"/>
        <v>1950000</v>
      </c>
      <c r="P110" s="1459"/>
      <c r="Q110" s="1459"/>
      <c r="R110" s="1508"/>
      <c r="S110" s="1508"/>
      <c r="T110" s="1508"/>
      <c r="U110" s="1460">
        <f>+U112</f>
        <v>1950000</v>
      </c>
      <c r="V110" s="2384"/>
    </row>
    <row r="111" spans="1:22" ht="12" customHeight="1">
      <c r="A111" s="2799"/>
      <c r="B111" s="558" t="s">
        <v>24</v>
      </c>
      <c r="C111" s="2807"/>
      <c r="D111" s="992">
        <f t="shared" ref="D111:D112" si="123">M111+N111+O111+P111+Q111+R111</f>
        <v>5110630</v>
      </c>
      <c r="E111" s="1968">
        <f>F111+G111+H111</f>
        <v>3389898</v>
      </c>
      <c r="F111" s="1069">
        <v>172045</v>
      </c>
      <c r="G111" s="1069">
        <v>1473492</v>
      </c>
      <c r="H111" s="1069">
        <v>1744361</v>
      </c>
      <c r="I111" s="1068">
        <v>993527</v>
      </c>
      <c r="J111" s="1068">
        <v>657500</v>
      </c>
      <c r="K111" s="1068">
        <f>24870+1104+13672</f>
        <v>39646</v>
      </c>
      <c r="L111" s="1586">
        <v>30059</v>
      </c>
      <c r="M111" s="1461">
        <f t="shared" ref="M111:M112" si="124">E111+I111+J111+K111+L111</f>
        <v>5110630</v>
      </c>
      <c r="N111" s="1489">
        <v>0</v>
      </c>
      <c r="O111" s="1489">
        <v>0</v>
      </c>
      <c r="P111" s="1473"/>
      <c r="Q111" s="1508"/>
      <c r="R111" s="1508"/>
      <c r="S111" s="1508"/>
      <c r="T111" s="1508"/>
      <c r="U111" s="1462">
        <f t="shared" ref="U111:U112" si="125">SUM(O111:T111)</f>
        <v>0</v>
      </c>
      <c r="V111" s="2384"/>
    </row>
    <row r="112" spans="1:22" ht="12" customHeight="1">
      <c r="A112" s="2805"/>
      <c r="B112" s="558" t="s">
        <v>26</v>
      </c>
      <c r="C112" s="2808"/>
      <c r="D112" s="992">
        <f t="shared" si="123"/>
        <v>21711533</v>
      </c>
      <c r="E112" s="1968">
        <v>1438107</v>
      </c>
      <c r="F112" s="1069"/>
      <c r="G112" s="1069"/>
      <c r="H112" s="1968">
        <v>1438107</v>
      </c>
      <c r="I112" s="1461">
        <f>2825968-350370-I126</f>
        <v>2427053</v>
      </c>
      <c r="J112" s="1461">
        <f>2998222+1</f>
        <v>2998223</v>
      </c>
      <c r="K112" s="1461">
        <f>5445519-750519-827480-114308</f>
        <v>3753212</v>
      </c>
      <c r="L112" s="1586">
        <f>5670000+30000-30000-658340-299796</f>
        <v>4711864</v>
      </c>
      <c r="M112" s="1461">
        <f t="shared" si="124"/>
        <v>15328459</v>
      </c>
      <c r="N112" s="1461">
        <f>4125000+114308+1760692-1458510-108416</f>
        <v>4433074</v>
      </c>
      <c r="O112" s="1461">
        <f>2250000-2142000+688340+299796+853864</f>
        <v>1950000</v>
      </c>
      <c r="P112" s="1461"/>
      <c r="Q112" s="1461"/>
      <c r="R112" s="1461"/>
      <c r="S112" s="1461"/>
      <c r="T112" s="1461"/>
      <c r="U112" s="1462">
        <f t="shared" si="125"/>
        <v>1950000</v>
      </c>
      <c r="V112" s="2384"/>
    </row>
    <row r="113" spans="1:22" ht="14.25" customHeight="1">
      <c r="A113" s="2805"/>
      <c r="B113" s="947" t="s">
        <v>34</v>
      </c>
      <c r="C113" s="2122"/>
      <c r="D113" s="1430">
        <f t="shared" ref="D113:O113" si="126">+D114+D117</f>
        <v>35812435</v>
      </c>
      <c r="E113" s="1430">
        <f t="shared" si="126"/>
        <v>2048964</v>
      </c>
      <c r="F113" s="1430">
        <f t="shared" si="126"/>
        <v>0</v>
      </c>
      <c r="G113" s="1430">
        <f t="shared" si="126"/>
        <v>0</v>
      </c>
      <c r="H113" s="1430">
        <f t="shared" si="126"/>
        <v>2048965</v>
      </c>
      <c r="I113" s="1430">
        <f t="shared" si="126"/>
        <v>5051557</v>
      </c>
      <c r="J113" s="1430">
        <f t="shared" si="126"/>
        <v>6522639</v>
      </c>
      <c r="K113" s="1430">
        <f t="shared" si="126"/>
        <v>6831520</v>
      </c>
      <c r="L113" s="1970">
        <f t="shared" si="126"/>
        <v>6788680</v>
      </c>
      <c r="M113" s="2350">
        <f t="shared" ref="M113" si="127">+M114+M117</f>
        <v>27243360</v>
      </c>
      <c r="N113" s="1430">
        <f t="shared" si="126"/>
        <v>5969075</v>
      </c>
      <c r="O113" s="1430">
        <f t="shared" si="126"/>
        <v>2600000</v>
      </c>
      <c r="P113" s="1527"/>
      <c r="Q113" s="1527"/>
      <c r="R113" s="1527"/>
      <c r="S113" s="1527"/>
      <c r="T113" s="1527"/>
      <c r="U113" s="2597" t="s">
        <v>77</v>
      </c>
      <c r="V113" s="2384"/>
    </row>
    <row r="114" spans="1:22" ht="12.95" customHeight="1">
      <c r="A114" s="2805"/>
      <c r="B114" s="1458" t="s">
        <v>23</v>
      </c>
      <c r="C114" s="2809" t="s">
        <v>274</v>
      </c>
      <c r="D114" s="1473">
        <f t="shared" ref="D114:O114" si="128">+D115+D116</f>
        <v>8990272</v>
      </c>
      <c r="E114" s="1473">
        <f t="shared" si="128"/>
        <v>610857</v>
      </c>
      <c r="F114" s="1473">
        <f t="shared" si="128"/>
        <v>0</v>
      </c>
      <c r="G114" s="1473">
        <f t="shared" si="128"/>
        <v>0</v>
      </c>
      <c r="H114" s="1473">
        <f t="shared" si="128"/>
        <v>610858</v>
      </c>
      <c r="I114" s="1473">
        <f t="shared" si="128"/>
        <v>1262900</v>
      </c>
      <c r="J114" s="1473">
        <f t="shared" si="128"/>
        <v>1569204</v>
      </c>
      <c r="K114" s="1473">
        <f t="shared" si="128"/>
        <v>1707869</v>
      </c>
      <c r="L114" s="1971">
        <f t="shared" si="128"/>
        <v>1697172</v>
      </c>
      <c r="M114" s="1971">
        <f t="shared" ref="M114" si="129">+M115+M116</f>
        <v>6848002</v>
      </c>
      <c r="N114" s="1473">
        <f t="shared" si="128"/>
        <v>1492270</v>
      </c>
      <c r="O114" s="1473">
        <f t="shared" si="128"/>
        <v>650000</v>
      </c>
      <c r="P114" s="1508"/>
      <c r="Q114" s="1508"/>
      <c r="R114" s="1508"/>
      <c r="S114" s="1508"/>
      <c r="T114" s="1508"/>
      <c r="U114" s="2597"/>
      <c r="V114" s="2384"/>
    </row>
    <row r="115" spans="1:22" ht="12" customHeight="1">
      <c r="A115" s="2805"/>
      <c r="B115" s="558" t="s">
        <v>26</v>
      </c>
      <c r="C115" s="2810"/>
      <c r="D115" s="992">
        <f>M115+N115+O115+P115+Q115+R115</f>
        <v>7368668</v>
      </c>
      <c r="E115" s="1968">
        <v>610857</v>
      </c>
      <c r="F115" s="1968"/>
      <c r="G115" s="1968"/>
      <c r="H115" s="1968">
        <v>610858</v>
      </c>
      <c r="I115" s="1461">
        <f>941657-116444-I129</f>
        <v>809032</v>
      </c>
      <c r="J115" s="1461">
        <f>999407-1</f>
        <v>999406</v>
      </c>
      <c r="K115" s="1476">
        <f>1815173-250173-275827-38117</f>
        <v>1251056</v>
      </c>
      <c r="L115" s="1586">
        <f>1890000+10000-10000-219447-99929</f>
        <v>1570624</v>
      </c>
      <c r="M115" s="1461">
        <f t="shared" ref="M115:M116" si="130">E115+I115+J115+K115+L115</f>
        <v>5240975</v>
      </c>
      <c r="N115" s="1476">
        <f>1375000+38117+586883-486170-36137</f>
        <v>1477693</v>
      </c>
      <c r="O115" s="1461">
        <f>750000-714000+229447+99929+284624</f>
        <v>650000</v>
      </c>
      <c r="P115" s="1461"/>
      <c r="Q115" s="1461"/>
      <c r="R115" s="1461"/>
      <c r="S115" s="1461"/>
      <c r="T115" s="1461"/>
      <c r="U115" s="2597"/>
      <c r="V115" s="2384"/>
    </row>
    <row r="116" spans="1:22" ht="12" customHeight="1">
      <c r="A116" s="2805"/>
      <c r="B116" s="691" t="s">
        <v>37</v>
      </c>
      <c r="C116" s="2810"/>
      <c r="D116" s="992">
        <f t="shared" ref="D116" si="131">M116+N116+O116+P116+Q116+R116</f>
        <v>1621604</v>
      </c>
      <c r="E116" s="1475">
        <f>+F116+G116+H116</f>
        <v>0</v>
      </c>
      <c r="F116" s="1475"/>
      <c r="G116" s="1475"/>
      <c r="H116" s="2351"/>
      <c r="I116" s="1476">
        <f>450810+3058</f>
        <v>453868</v>
      </c>
      <c r="J116" s="1476">
        <v>569798</v>
      </c>
      <c r="K116" s="1476">
        <f>162696+117304+176813</f>
        <v>456813</v>
      </c>
      <c r="L116" s="1591">
        <f>126180+368</f>
        <v>126548</v>
      </c>
      <c r="M116" s="1461">
        <f t="shared" si="130"/>
        <v>1607027</v>
      </c>
      <c r="N116" s="1476">
        <v>14577</v>
      </c>
      <c r="O116" s="1492">
        <v>0</v>
      </c>
      <c r="P116" s="1476"/>
      <c r="Q116" s="1476"/>
      <c r="R116" s="1476"/>
      <c r="S116" s="1476"/>
      <c r="T116" s="1476"/>
      <c r="U116" s="2597"/>
      <c r="V116" s="2384"/>
    </row>
    <row r="117" spans="1:22" ht="12" customHeight="1">
      <c r="A117" s="2805"/>
      <c r="B117" s="1465" t="s">
        <v>30</v>
      </c>
      <c r="C117" s="2810"/>
      <c r="D117" s="1473">
        <f t="shared" ref="D117:O117" si="132">+D118+D119</f>
        <v>26822163</v>
      </c>
      <c r="E117" s="1473">
        <f t="shared" si="132"/>
        <v>1438107</v>
      </c>
      <c r="F117" s="1473">
        <f t="shared" si="132"/>
        <v>0</v>
      </c>
      <c r="G117" s="1473">
        <f t="shared" si="132"/>
        <v>0</v>
      </c>
      <c r="H117" s="1473">
        <f t="shared" si="132"/>
        <v>1438107</v>
      </c>
      <c r="I117" s="1473">
        <f t="shared" si="132"/>
        <v>3788657</v>
      </c>
      <c r="J117" s="1473">
        <f t="shared" si="132"/>
        <v>4953435</v>
      </c>
      <c r="K117" s="1473">
        <f t="shared" si="132"/>
        <v>5123651</v>
      </c>
      <c r="L117" s="1971">
        <f t="shared" si="132"/>
        <v>5091508</v>
      </c>
      <c r="M117" s="1971">
        <f t="shared" ref="M117" si="133">+M118+M119</f>
        <v>20395358</v>
      </c>
      <c r="N117" s="1473">
        <f t="shared" si="132"/>
        <v>4476805</v>
      </c>
      <c r="O117" s="1473">
        <f t="shared" si="132"/>
        <v>1950000</v>
      </c>
      <c r="P117" s="1508"/>
      <c r="Q117" s="1508"/>
      <c r="R117" s="1508"/>
      <c r="S117" s="1508"/>
      <c r="T117" s="1508"/>
      <c r="U117" s="2597"/>
      <c r="V117" s="2384"/>
    </row>
    <row r="118" spans="1:22" ht="12" customHeight="1">
      <c r="A118" s="2805"/>
      <c r="B118" s="558" t="s">
        <v>26</v>
      </c>
      <c r="C118" s="2810"/>
      <c r="D118" s="992">
        <f t="shared" ref="D118:D119" si="134">M118+N118+O118+P118+Q118+R118</f>
        <v>21711533</v>
      </c>
      <c r="E118" s="1968">
        <f>+F118+G118+H118</f>
        <v>1438107</v>
      </c>
      <c r="F118" s="2352"/>
      <c r="G118" s="2352"/>
      <c r="H118" s="2352">
        <v>1438107</v>
      </c>
      <c r="I118" s="1461">
        <f>2825968-350370-I131</f>
        <v>2427053</v>
      </c>
      <c r="J118" s="1461">
        <f>2998222+1</f>
        <v>2998223</v>
      </c>
      <c r="K118" s="1461">
        <f>5445519-750519-827480-114308</f>
        <v>3753212</v>
      </c>
      <c r="L118" s="1461">
        <f>5670000+30000-30000-658340-299796</f>
        <v>4711864</v>
      </c>
      <c r="M118" s="1461">
        <f t="shared" ref="M118:M119" si="135">E118+I118+J118+K118+L118</f>
        <v>15328459</v>
      </c>
      <c r="N118" s="1461">
        <f>4125000+114308+1760692-1458510-108416</f>
        <v>4433074</v>
      </c>
      <c r="O118" s="1461">
        <f>2250000-2142000+688340+299796+853864</f>
        <v>1950000</v>
      </c>
      <c r="P118" s="1461"/>
      <c r="Q118" s="1461"/>
      <c r="R118" s="1461"/>
      <c r="S118" s="1461"/>
      <c r="T118" s="1461"/>
      <c r="U118" s="2597"/>
      <c r="V118" s="2384"/>
    </row>
    <row r="119" spans="1:22" ht="12" customHeight="1" thickBot="1">
      <c r="A119" s="2806"/>
      <c r="B119" s="1477" t="s">
        <v>32</v>
      </c>
      <c r="C119" s="2811"/>
      <c r="D119" s="992">
        <f t="shared" si="134"/>
        <v>5110630</v>
      </c>
      <c r="E119" s="1996">
        <f>+F119+G119+H119</f>
        <v>0</v>
      </c>
      <c r="F119" s="2353"/>
      <c r="G119" s="2353"/>
      <c r="H119" s="525"/>
      <c r="I119" s="524">
        <f>1352428+9176</f>
        <v>1361604</v>
      </c>
      <c r="J119" s="2354">
        <v>1955212</v>
      </c>
      <c r="K119" s="2354">
        <f>488094+351906+530439</f>
        <v>1370439</v>
      </c>
      <c r="L119" s="524">
        <f>378540+1104</f>
        <v>379644</v>
      </c>
      <c r="M119" s="1461">
        <f t="shared" si="135"/>
        <v>5066899</v>
      </c>
      <c r="N119" s="524">
        <v>43731</v>
      </c>
      <c r="O119" s="1495">
        <v>0</v>
      </c>
      <c r="P119" s="524"/>
      <c r="Q119" s="524"/>
      <c r="R119" s="524"/>
      <c r="S119" s="524"/>
      <c r="T119" s="524"/>
      <c r="U119" s="2598"/>
      <c r="V119" s="2385"/>
    </row>
    <row r="120" spans="1:22" ht="26.25" customHeight="1">
      <c r="A120" s="2798" t="s">
        <v>111</v>
      </c>
      <c r="B120" s="1453" t="s">
        <v>275</v>
      </c>
      <c r="C120" s="1497" t="s">
        <v>102</v>
      </c>
      <c r="D120" s="1497"/>
      <c r="E120" s="530"/>
      <c r="F120" s="530"/>
      <c r="G120" s="530"/>
      <c r="H120" s="530"/>
      <c r="I120" s="531"/>
      <c r="J120" s="531"/>
      <c r="K120" s="531"/>
      <c r="L120" s="1595"/>
      <c r="M120" s="531"/>
      <c r="N120" s="531"/>
      <c r="O120" s="531"/>
      <c r="P120" s="531"/>
      <c r="Q120" s="531"/>
      <c r="R120" s="531"/>
      <c r="S120" s="531"/>
      <c r="T120" s="531"/>
      <c r="U120" s="1455"/>
      <c r="V120" s="2383" t="s">
        <v>276</v>
      </c>
    </row>
    <row r="121" spans="1:22" ht="14.25" customHeight="1">
      <c r="A121" s="2799"/>
      <c r="B121" s="573" t="s">
        <v>22</v>
      </c>
      <c r="C121" s="1532"/>
      <c r="D121" s="1031">
        <f t="shared" ref="D121:N121" si="136">+D122+D125</f>
        <v>78966</v>
      </c>
      <c r="E121" s="1479">
        <f t="shared" si="136"/>
        <v>0</v>
      </c>
      <c r="F121" s="1032">
        <f t="shared" si="136"/>
        <v>55648</v>
      </c>
      <c r="G121" s="1032">
        <f t="shared" si="136"/>
        <v>251105</v>
      </c>
      <c r="H121" s="1032">
        <f t="shared" si="136"/>
        <v>2662192</v>
      </c>
      <c r="I121" s="1032">
        <f t="shared" si="136"/>
        <v>78966</v>
      </c>
      <c r="J121" s="1479">
        <f t="shared" si="136"/>
        <v>0</v>
      </c>
      <c r="K121" s="1479">
        <f t="shared" si="136"/>
        <v>0</v>
      </c>
      <c r="L121" s="1973">
        <f t="shared" si="136"/>
        <v>0</v>
      </c>
      <c r="M121" s="1032">
        <f t="shared" ref="M121" si="137">+M122+M125</f>
        <v>78966</v>
      </c>
      <c r="N121" s="1500">
        <f t="shared" si="136"/>
        <v>0</v>
      </c>
      <c r="O121" s="1500">
        <f>+O122+O125</f>
        <v>0</v>
      </c>
      <c r="P121" s="1445"/>
      <c r="Q121" s="1445"/>
      <c r="R121" s="1445"/>
      <c r="S121" s="1445"/>
      <c r="T121" s="1445"/>
      <c r="U121" s="2123">
        <f>+U122+U125</f>
        <v>0</v>
      </c>
      <c r="V121" s="2384"/>
    </row>
    <row r="122" spans="1:22" ht="12" customHeight="1">
      <c r="A122" s="2799"/>
      <c r="B122" s="1458" t="s">
        <v>23</v>
      </c>
      <c r="C122" s="2490" t="s">
        <v>274</v>
      </c>
      <c r="D122" s="1459">
        <f>+D123+D124</f>
        <v>30421</v>
      </c>
      <c r="E122" s="1481">
        <f>+E123+E124</f>
        <v>0</v>
      </c>
      <c r="F122" s="1520">
        <f>+F123+F124</f>
        <v>55648</v>
      </c>
      <c r="G122" s="1520">
        <f>+G123+G124</f>
        <v>251105</v>
      </c>
      <c r="H122" s="1520">
        <f>+H123+H124</f>
        <v>1224085</v>
      </c>
      <c r="I122" s="1508">
        <f>SUM(I123:I124)</f>
        <v>30421</v>
      </c>
      <c r="J122" s="2124">
        <f>SUM(J123:J124)</f>
        <v>0</v>
      </c>
      <c r="K122" s="1489">
        <f>SUM(K123:K124)</f>
        <v>0</v>
      </c>
      <c r="L122" s="1977">
        <f t="shared" ref="L122:N122" si="138">L123+L124</f>
        <v>0</v>
      </c>
      <c r="M122" s="1473">
        <f>SUM(M123:M124)</f>
        <v>30421</v>
      </c>
      <c r="N122" s="1489">
        <f t="shared" si="138"/>
        <v>0</v>
      </c>
      <c r="O122" s="1489">
        <f>O123+O124</f>
        <v>0</v>
      </c>
      <c r="P122" s="1473"/>
      <c r="Q122" s="1473"/>
      <c r="R122" s="1473"/>
      <c r="S122" s="1473"/>
      <c r="T122" s="1473"/>
      <c r="U122" s="2125">
        <f>U123+U124</f>
        <v>0</v>
      </c>
      <c r="V122" s="2384"/>
    </row>
    <row r="123" spans="1:22" ht="12" customHeight="1">
      <c r="A123" s="2799"/>
      <c r="B123" s="558" t="s">
        <v>24</v>
      </c>
      <c r="C123" s="2807"/>
      <c r="D123" s="992">
        <f t="shared" ref="D123:D124" si="139">M123+N123+O123+P123+Q123+R123</f>
        <v>14240</v>
      </c>
      <c r="E123" s="1997">
        <v>0</v>
      </c>
      <c r="F123" s="1968">
        <v>55648</v>
      </c>
      <c r="G123" s="1968">
        <v>251105</v>
      </c>
      <c r="H123" s="1968">
        <v>613227</v>
      </c>
      <c r="I123" s="1461">
        <v>14240</v>
      </c>
      <c r="J123" s="1483">
        <v>0</v>
      </c>
      <c r="K123" s="1483">
        <v>0</v>
      </c>
      <c r="L123" s="1978">
        <v>0</v>
      </c>
      <c r="M123" s="1461">
        <f t="shared" ref="M123:M124" si="140">E123+I123+J123+K123+L123</f>
        <v>14240</v>
      </c>
      <c r="N123" s="2126">
        <v>0</v>
      </c>
      <c r="O123" s="2126">
        <v>0</v>
      </c>
      <c r="P123" s="1461"/>
      <c r="Q123" s="1461"/>
      <c r="R123" s="1461"/>
      <c r="S123" s="1461"/>
      <c r="T123" s="1461"/>
      <c r="U123" s="1484">
        <f>+O123+P123+Q123+R123</f>
        <v>0</v>
      </c>
      <c r="V123" s="2384"/>
    </row>
    <row r="124" spans="1:22" ht="12" customHeight="1">
      <c r="A124" s="2799"/>
      <c r="B124" s="691" t="s">
        <v>26</v>
      </c>
      <c r="C124" s="2807"/>
      <c r="D124" s="992">
        <f t="shared" si="139"/>
        <v>16181</v>
      </c>
      <c r="E124" s="1485">
        <v>0</v>
      </c>
      <c r="F124" s="1475"/>
      <c r="G124" s="1475"/>
      <c r="H124" s="1475">
        <v>610858</v>
      </c>
      <c r="I124" s="1476">
        <v>16181</v>
      </c>
      <c r="J124" s="1492">
        <v>0</v>
      </c>
      <c r="K124" s="1492">
        <v>0</v>
      </c>
      <c r="L124" s="1979">
        <f>10000-10000</f>
        <v>0</v>
      </c>
      <c r="M124" s="1461">
        <f t="shared" si="140"/>
        <v>16181</v>
      </c>
      <c r="N124" s="1526">
        <v>0</v>
      </c>
      <c r="O124" s="1526">
        <v>0</v>
      </c>
      <c r="P124" s="1476"/>
      <c r="Q124" s="1476"/>
      <c r="R124" s="1476"/>
      <c r="S124" s="1476"/>
      <c r="T124" s="1476"/>
      <c r="U124" s="1484">
        <f>+O124+P124+Q124+R124</f>
        <v>0</v>
      </c>
      <c r="V124" s="2384"/>
    </row>
    <row r="125" spans="1:22" ht="12" customHeight="1">
      <c r="A125" s="2799"/>
      <c r="B125" s="1504" t="s">
        <v>30</v>
      </c>
      <c r="C125" s="2807"/>
      <c r="D125" s="1459">
        <f>+D126</f>
        <v>48545</v>
      </c>
      <c r="E125" s="1481">
        <f t="shared" ref="E125:M125" si="141">+E126</f>
        <v>0</v>
      </c>
      <c r="F125" s="1459">
        <f t="shared" si="141"/>
        <v>0</v>
      </c>
      <c r="G125" s="1459">
        <f t="shared" si="141"/>
        <v>0</v>
      </c>
      <c r="H125" s="1459">
        <f t="shared" si="141"/>
        <v>1438107</v>
      </c>
      <c r="I125" s="1459">
        <f t="shared" si="141"/>
        <v>48545</v>
      </c>
      <c r="J125" s="1481">
        <f t="shared" si="141"/>
        <v>0</v>
      </c>
      <c r="K125" s="1481">
        <f t="shared" si="141"/>
        <v>0</v>
      </c>
      <c r="L125" s="2127">
        <f t="shared" si="141"/>
        <v>0</v>
      </c>
      <c r="M125" s="1473">
        <f t="shared" si="141"/>
        <v>48545</v>
      </c>
      <c r="N125" s="2124">
        <f>+N126</f>
        <v>0</v>
      </c>
      <c r="O125" s="2124">
        <f>+O126</f>
        <v>0</v>
      </c>
      <c r="P125" s="1508"/>
      <c r="Q125" s="1508"/>
      <c r="R125" s="1508"/>
      <c r="S125" s="1508"/>
      <c r="T125" s="1508"/>
      <c r="U125" s="2125">
        <f>+U126</f>
        <v>0</v>
      </c>
      <c r="V125" s="2384"/>
    </row>
    <row r="126" spans="1:22" ht="12" customHeight="1">
      <c r="A126" s="2799"/>
      <c r="B126" s="558" t="s">
        <v>26</v>
      </c>
      <c r="C126" s="2808"/>
      <c r="D126" s="992">
        <f>M126+N126+O126+P126+Q126+R126</f>
        <v>48545</v>
      </c>
      <c r="E126" s="1997">
        <v>0</v>
      </c>
      <c r="F126" s="1533"/>
      <c r="G126" s="1533"/>
      <c r="H126" s="1968">
        <v>1438107</v>
      </c>
      <c r="I126" s="1461">
        <v>48545</v>
      </c>
      <c r="J126" s="1483">
        <v>0</v>
      </c>
      <c r="K126" s="1483">
        <v>0</v>
      </c>
      <c r="L126" s="1978">
        <f>30000-30000</f>
        <v>0</v>
      </c>
      <c r="M126" s="1461">
        <f t="shared" ref="M126" si="142">E126+I126+J126+K126+L126</f>
        <v>48545</v>
      </c>
      <c r="N126" s="2126">
        <v>0</v>
      </c>
      <c r="O126" s="2126">
        <v>0</v>
      </c>
      <c r="P126" s="1461"/>
      <c r="Q126" s="1461"/>
      <c r="R126" s="1461"/>
      <c r="S126" s="1461"/>
      <c r="T126" s="1461"/>
      <c r="U126" s="1484">
        <f>+O126+P126+Q126+R126</f>
        <v>0</v>
      </c>
      <c r="V126" s="2384"/>
    </row>
    <row r="127" spans="1:22" ht="13.5" customHeight="1">
      <c r="A127" s="2799"/>
      <c r="B127" s="573" t="s">
        <v>34</v>
      </c>
      <c r="C127" s="2122"/>
      <c r="D127" s="1430">
        <f t="shared" ref="D127:N127" si="143">+D128+D130</f>
        <v>64726</v>
      </c>
      <c r="E127" s="1491">
        <f t="shared" si="143"/>
        <v>0</v>
      </c>
      <c r="F127" s="1430">
        <f t="shared" si="143"/>
        <v>0</v>
      </c>
      <c r="G127" s="1430">
        <f t="shared" si="143"/>
        <v>0</v>
      </c>
      <c r="H127" s="1430">
        <f t="shared" si="143"/>
        <v>2048965</v>
      </c>
      <c r="I127" s="1430">
        <f t="shared" si="143"/>
        <v>64726</v>
      </c>
      <c r="J127" s="1491">
        <f t="shared" si="143"/>
        <v>0</v>
      </c>
      <c r="K127" s="1491">
        <f t="shared" si="143"/>
        <v>0</v>
      </c>
      <c r="L127" s="1976">
        <f t="shared" si="143"/>
        <v>0</v>
      </c>
      <c r="M127" s="1430">
        <f t="shared" ref="M127" si="144">+M128+M130</f>
        <v>64726</v>
      </c>
      <c r="N127" s="2128">
        <f t="shared" si="143"/>
        <v>0</v>
      </c>
      <c r="O127" s="2128">
        <f>+O128+O130</f>
        <v>0</v>
      </c>
      <c r="P127" s="1527"/>
      <c r="Q127" s="1527"/>
      <c r="R127" s="1527"/>
      <c r="S127" s="1527"/>
      <c r="T127" s="1527"/>
      <c r="U127" s="2613" t="s">
        <v>77</v>
      </c>
      <c r="V127" s="2384"/>
    </row>
    <row r="128" spans="1:22" ht="12.75" customHeight="1">
      <c r="A128" s="2799"/>
      <c r="B128" s="1458" t="s">
        <v>23</v>
      </c>
      <c r="C128" s="2809" t="s">
        <v>274</v>
      </c>
      <c r="D128" s="1473">
        <f>+D129</f>
        <v>16181</v>
      </c>
      <c r="E128" s="1489">
        <f t="shared" ref="E128:O128" si="145">+E129</f>
        <v>0</v>
      </c>
      <c r="F128" s="1473">
        <f t="shared" si="145"/>
        <v>0</v>
      </c>
      <c r="G128" s="1473">
        <f t="shared" si="145"/>
        <v>0</v>
      </c>
      <c r="H128" s="1473">
        <f t="shared" si="145"/>
        <v>610858</v>
      </c>
      <c r="I128" s="1473">
        <f t="shared" si="145"/>
        <v>16181</v>
      </c>
      <c r="J128" s="1489">
        <f t="shared" si="145"/>
        <v>0</v>
      </c>
      <c r="K128" s="1489">
        <f t="shared" si="145"/>
        <v>0</v>
      </c>
      <c r="L128" s="1977">
        <f t="shared" si="145"/>
        <v>0</v>
      </c>
      <c r="M128" s="1473">
        <f t="shared" si="145"/>
        <v>16181</v>
      </c>
      <c r="N128" s="1489">
        <f t="shared" si="145"/>
        <v>0</v>
      </c>
      <c r="O128" s="1489">
        <f t="shared" si="145"/>
        <v>0</v>
      </c>
      <c r="P128" s="1473"/>
      <c r="Q128" s="1473"/>
      <c r="R128" s="1473"/>
      <c r="S128" s="1473"/>
      <c r="T128" s="1473"/>
      <c r="U128" s="2613"/>
      <c r="V128" s="2384"/>
    </row>
    <row r="129" spans="1:22" ht="12.75" customHeight="1">
      <c r="A129" s="2799"/>
      <c r="B129" s="558" t="s">
        <v>26</v>
      </c>
      <c r="C129" s="2810"/>
      <c r="D129" s="992">
        <f>M129+N129+O129+P129+Q129+R129</f>
        <v>16181</v>
      </c>
      <c r="E129" s="1997">
        <v>0</v>
      </c>
      <c r="F129" s="1968"/>
      <c r="G129" s="1968"/>
      <c r="H129" s="1968">
        <v>610858</v>
      </c>
      <c r="I129" s="1461">
        <v>16181</v>
      </c>
      <c r="J129" s="1483">
        <v>0</v>
      </c>
      <c r="K129" s="1483">
        <v>0</v>
      </c>
      <c r="L129" s="1978">
        <f>10000-10000</f>
        <v>0</v>
      </c>
      <c r="M129" s="1461">
        <f t="shared" ref="M129" si="146">E129+I129+J129+K129+L129</f>
        <v>16181</v>
      </c>
      <c r="N129" s="2126">
        <v>0</v>
      </c>
      <c r="O129" s="2126">
        <v>0</v>
      </c>
      <c r="P129" s="1461"/>
      <c r="Q129" s="1461"/>
      <c r="R129" s="1461"/>
      <c r="S129" s="1461"/>
      <c r="T129" s="1461"/>
      <c r="U129" s="2613"/>
      <c r="V129" s="2384"/>
    </row>
    <row r="130" spans="1:22" ht="12.75" customHeight="1">
      <c r="A130" s="2799"/>
      <c r="B130" s="1504" t="s">
        <v>30</v>
      </c>
      <c r="C130" s="2810"/>
      <c r="D130" s="1473">
        <f>+D131</f>
        <v>48545</v>
      </c>
      <c r="E130" s="1489">
        <f t="shared" ref="E130:O130" si="147">+E131</f>
        <v>0</v>
      </c>
      <c r="F130" s="1473">
        <f t="shared" si="147"/>
        <v>0</v>
      </c>
      <c r="G130" s="1473">
        <f t="shared" si="147"/>
        <v>0</v>
      </c>
      <c r="H130" s="1473">
        <f t="shared" si="147"/>
        <v>1438107</v>
      </c>
      <c r="I130" s="1473">
        <f t="shared" si="147"/>
        <v>48545</v>
      </c>
      <c r="J130" s="1489">
        <f t="shared" si="147"/>
        <v>0</v>
      </c>
      <c r="K130" s="1489">
        <f t="shared" si="147"/>
        <v>0</v>
      </c>
      <c r="L130" s="1977">
        <f t="shared" si="147"/>
        <v>0</v>
      </c>
      <c r="M130" s="1473">
        <f t="shared" si="147"/>
        <v>48545</v>
      </c>
      <c r="N130" s="1489">
        <f t="shared" si="147"/>
        <v>0</v>
      </c>
      <c r="O130" s="1489">
        <f t="shared" si="147"/>
        <v>0</v>
      </c>
      <c r="P130" s="1473"/>
      <c r="Q130" s="1473"/>
      <c r="R130" s="1473"/>
      <c r="S130" s="1473"/>
      <c r="T130" s="1473"/>
      <c r="U130" s="2613"/>
      <c r="V130" s="2384"/>
    </row>
    <row r="131" spans="1:22" ht="12.75" customHeight="1" thickBot="1">
      <c r="A131" s="2800"/>
      <c r="B131" s="1513" t="s">
        <v>26</v>
      </c>
      <c r="C131" s="2811"/>
      <c r="D131" s="992">
        <f>M131+N131+O131+P131+Q131+R131</f>
        <v>48545</v>
      </c>
      <c r="E131" s="1983">
        <v>0</v>
      </c>
      <c r="F131" s="2129"/>
      <c r="G131" s="2129"/>
      <c r="H131" s="2129">
        <v>1438107</v>
      </c>
      <c r="I131" s="1505">
        <f>48545</f>
        <v>48545</v>
      </c>
      <c r="J131" s="1984">
        <v>0</v>
      </c>
      <c r="K131" s="1984">
        <v>0</v>
      </c>
      <c r="L131" s="2130">
        <f>30000-30000</f>
        <v>0</v>
      </c>
      <c r="M131" s="1461">
        <f t="shared" ref="M131" si="148">E131+I131+J131+K131+L131</f>
        <v>48545</v>
      </c>
      <c r="N131" s="2131">
        <v>0</v>
      </c>
      <c r="O131" s="2131">
        <v>0</v>
      </c>
      <c r="P131" s="1505"/>
      <c r="Q131" s="1505"/>
      <c r="R131" s="1505"/>
      <c r="S131" s="1505"/>
      <c r="T131" s="1505"/>
      <c r="U131" s="2614"/>
      <c r="V131" s="2385"/>
    </row>
    <row r="132" spans="1:22" s="832" customFormat="1" ht="30" customHeight="1">
      <c r="A132" s="2812" t="s">
        <v>112</v>
      </c>
      <c r="B132" s="941" t="s">
        <v>312</v>
      </c>
      <c r="C132" s="1497" t="s">
        <v>138</v>
      </c>
      <c r="D132" s="954"/>
      <c r="E132" s="954"/>
      <c r="F132" s="954"/>
      <c r="G132" s="954"/>
      <c r="H132" s="954"/>
      <c r="I132" s="954"/>
      <c r="J132" s="954"/>
      <c r="K132" s="954"/>
      <c r="L132" s="954"/>
      <c r="M132" s="954"/>
      <c r="N132" s="944"/>
      <c r="O132" s="944"/>
      <c r="P132" s="945"/>
      <c r="Q132" s="945"/>
      <c r="R132" s="945"/>
      <c r="S132" s="945"/>
      <c r="T132" s="945"/>
      <c r="U132" s="946"/>
      <c r="V132" s="2618" t="s">
        <v>139</v>
      </c>
    </row>
    <row r="133" spans="1:22" s="832" customFormat="1" ht="16.5" customHeight="1">
      <c r="A133" s="2813"/>
      <c r="B133" s="554" t="s">
        <v>22</v>
      </c>
      <c r="C133" s="428"/>
      <c r="D133" s="518">
        <f>+D134</f>
        <v>4742</v>
      </c>
      <c r="E133" s="518">
        <f t="shared" ref="E133:O133" si="149">+E134</f>
        <v>0</v>
      </c>
      <c r="F133" s="518">
        <f t="shared" si="149"/>
        <v>0</v>
      </c>
      <c r="G133" s="518">
        <f t="shared" si="149"/>
        <v>0</v>
      </c>
      <c r="H133" s="518">
        <f t="shared" si="149"/>
        <v>0</v>
      </c>
      <c r="I133" s="518">
        <f t="shared" si="149"/>
        <v>0</v>
      </c>
      <c r="J133" s="518">
        <f t="shared" si="149"/>
        <v>0</v>
      </c>
      <c r="K133" s="518">
        <f t="shared" si="149"/>
        <v>0</v>
      </c>
      <c r="L133" s="518">
        <f t="shared" si="149"/>
        <v>0</v>
      </c>
      <c r="M133" s="518">
        <f t="shared" si="149"/>
        <v>0</v>
      </c>
      <c r="N133" s="518">
        <f t="shared" si="149"/>
        <v>4742</v>
      </c>
      <c r="O133" s="518">
        <f t="shared" si="149"/>
        <v>0</v>
      </c>
      <c r="P133" s="518"/>
      <c r="Q133" s="518"/>
      <c r="R133" s="496"/>
      <c r="S133" s="496"/>
      <c r="T133" s="496"/>
      <c r="U133" s="535">
        <f>+U134</f>
        <v>0</v>
      </c>
      <c r="V133" s="2619"/>
    </row>
    <row r="134" spans="1:22" s="832" customFormat="1" ht="14.25" customHeight="1">
      <c r="A134" s="2813"/>
      <c r="B134" s="605" t="s">
        <v>30</v>
      </c>
      <c r="C134" s="2490" t="s">
        <v>277</v>
      </c>
      <c r="D134" s="513">
        <f t="shared" ref="D134:U134" si="150">+D135</f>
        <v>4742</v>
      </c>
      <c r="E134" s="513">
        <f t="shared" si="150"/>
        <v>0</v>
      </c>
      <c r="F134" s="513">
        <f t="shared" si="150"/>
        <v>0</v>
      </c>
      <c r="G134" s="513">
        <f t="shared" si="150"/>
        <v>0</v>
      </c>
      <c r="H134" s="513">
        <f t="shared" si="150"/>
        <v>0</v>
      </c>
      <c r="I134" s="513">
        <f t="shared" si="150"/>
        <v>0</v>
      </c>
      <c r="J134" s="513">
        <f t="shared" si="150"/>
        <v>0</v>
      </c>
      <c r="K134" s="513">
        <f t="shared" si="150"/>
        <v>0</v>
      </c>
      <c r="L134" s="513">
        <f t="shared" si="150"/>
        <v>0</v>
      </c>
      <c r="M134" s="513">
        <f t="shared" si="150"/>
        <v>0</v>
      </c>
      <c r="N134" s="642">
        <f>N135</f>
        <v>4742</v>
      </c>
      <c r="O134" s="642">
        <f>O135</f>
        <v>0</v>
      </c>
      <c r="P134" s="642"/>
      <c r="Q134" s="642"/>
      <c r="R134" s="642"/>
      <c r="S134" s="642"/>
      <c r="T134" s="642"/>
      <c r="U134" s="557">
        <f t="shared" si="150"/>
        <v>0</v>
      </c>
      <c r="V134" s="2646"/>
    </row>
    <row r="135" spans="1:22" s="832" customFormat="1" ht="13.5" customHeight="1" thickBot="1">
      <c r="A135" s="2813"/>
      <c r="B135" s="2132" t="s">
        <v>32</v>
      </c>
      <c r="C135" s="2436"/>
      <c r="D135" s="992">
        <f>M135+N135+O135+P135+Q135+R135</f>
        <v>4742</v>
      </c>
      <c r="E135" s="507">
        <v>0</v>
      </c>
      <c r="F135" s="507">
        <v>0</v>
      </c>
      <c r="G135" s="507"/>
      <c r="H135" s="507"/>
      <c r="I135" s="507">
        <v>0</v>
      </c>
      <c r="J135" s="507">
        <v>0</v>
      </c>
      <c r="K135" s="507">
        <v>0</v>
      </c>
      <c r="L135" s="507">
        <v>0</v>
      </c>
      <c r="M135" s="1461">
        <f t="shared" ref="M135" si="151">E135+I135+J135+K135+L135</f>
        <v>0</v>
      </c>
      <c r="N135" s="516">
        <f>4897-155</f>
        <v>4742</v>
      </c>
      <c r="O135" s="516">
        <f>7680-7680</f>
        <v>0</v>
      </c>
      <c r="P135" s="516"/>
      <c r="Q135" s="516"/>
      <c r="R135" s="516"/>
      <c r="S135" s="516"/>
      <c r="T135" s="516"/>
      <c r="U135" s="1462">
        <f>SUM(O135:T135)</f>
        <v>0</v>
      </c>
      <c r="V135" s="2646"/>
    </row>
    <row r="136" spans="1:22" s="832" customFormat="1" ht="15.75" customHeight="1">
      <c r="A136" s="2813"/>
      <c r="B136" s="561" t="s">
        <v>34</v>
      </c>
      <c r="C136" s="603"/>
      <c r="D136" s="518">
        <f>+D137</f>
        <v>4742</v>
      </c>
      <c r="E136" s="518">
        <f t="shared" ref="E136:N137" si="152">+E137</f>
        <v>0</v>
      </c>
      <c r="F136" s="518">
        <f t="shared" si="152"/>
        <v>0</v>
      </c>
      <c r="G136" s="518">
        <f t="shared" si="152"/>
        <v>0</v>
      </c>
      <c r="H136" s="518">
        <f t="shared" si="152"/>
        <v>0</v>
      </c>
      <c r="I136" s="518">
        <f t="shared" si="152"/>
        <v>0</v>
      </c>
      <c r="J136" s="518">
        <f t="shared" si="152"/>
        <v>0</v>
      </c>
      <c r="K136" s="518">
        <f t="shared" si="152"/>
        <v>0</v>
      </c>
      <c r="L136" s="518">
        <f t="shared" si="152"/>
        <v>0</v>
      </c>
      <c r="M136" s="518">
        <f t="shared" si="152"/>
        <v>0</v>
      </c>
      <c r="N136" s="518">
        <f t="shared" si="152"/>
        <v>2001</v>
      </c>
      <c r="O136" s="518">
        <f>O137</f>
        <v>2741</v>
      </c>
      <c r="P136" s="518"/>
      <c r="Q136" s="518"/>
      <c r="R136" s="496"/>
      <c r="S136" s="496"/>
      <c r="T136" s="496"/>
      <c r="U136" s="2437" t="s">
        <v>77</v>
      </c>
      <c r="V136" s="2646"/>
    </row>
    <row r="137" spans="1:22" s="832" customFormat="1" ht="12.75" customHeight="1">
      <c r="A137" s="2813"/>
      <c r="B137" s="605" t="s">
        <v>30</v>
      </c>
      <c r="C137" s="2490" t="s">
        <v>277</v>
      </c>
      <c r="D137" s="513">
        <f>+D138</f>
        <v>4742</v>
      </c>
      <c r="E137" s="513">
        <f t="shared" si="152"/>
        <v>0</v>
      </c>
      <c r="F137" s="513">
        <f t="shared" si="152"/>
        <v>0</v>
      </c>
      <c r="G137" s="513">
        <f t="shared" si="152"/>
        <v>0</v>
      </c>
      <c r="H137" s="513">
        <f t="shared" si="152"/>
        <v>0</v>
      </c>
      <c r="I137" s="513">
        <f t="shared" si="152"/>
        <v>0</v>
      </c>
      <c r="J137" s="513">
        <f t="shared" si="152"/>
        <v>0</v>
      </c>
      <c r="K137" s="513">
        <f t="shared" si="152"/>
        <v>0</v>
      </c>
      <c r="L137" s="513">
        <f t="shared" si="152"/>
        <v>0</v>
      </c>
      <c r="M137" s="513">
        <f t="shared" si="152"/>
        <v>0</v>
      </c>
      <c r="N137" s="514">
        <f t="shared" si="152"/>
        <v>2001</v>
      </c>
      <c r="O137" s="514">
        <f>O138</f>
        <v>2741</v>
      </c>
      <c r="P137" s="514"/>
      <c r="Q137" s="514"/>
      <c r="R137" s="514"/>
      <c r="S137" s="514"/>
      <c r="T137" s="514"/>
      <c r="U137" s="2438"/>
      <c r="V137" s="2646"/>
    </row>
    <row r="138" spans="1:22" s="832" customFormat="1" ht="15.75" customHeight="1" thickBot="1">
      <c r="A138" s="2814"/>
      <c r="B138" s="2132" t="s">
        <v>32</v>
      </c>
      <c r="C138" s="2491"/>
      <c r="D138" s="1494">
        <f>M138+N138+O138+P138+Q138+R138</f>
        <v>4742</v>
      </c>
      <c r="E138" s="592">
        <v>0</v>
      </c>
      <c r="F138" s="592"/>
      <c r="G138" s="592"/>
      <c r="H138" s="592"/>
      <c r="I138" s="592">
        <v>0</v>
      </c>
      <c r="J138" s="592">
        <v>0</v>
      </c>
      <c r="K138" s="592">
        <f>20000-2100-17900</f>
        <v>0</v>
      </c>
      <c r="L138" s="592">
        <v>0</v>
      </c>
      <c r="M138" s="1505">
        <f t="shared" ref="M138" si="153">E138+I138+J138+K138+L138</f>
        <v>0</v>
      </c>
      <c r="N138" s="2133">
        <v>2001</v>
      </c>
      <c r="O138" s="2133">
        <f>10576-7835</f>
        <v>2741</v>
      </c>
      <c r="P138" s="2133"/>
      <c r="Q138" s="2133"/>
      <c r="R138" s="2134"/>
      <c r="S138" s="2134"/>
      <c r="T138" s="2134"/>
      <c r="U138" s="2439"/>
      <c r="V138" s="2647"/>
    </row>
    <row r="139" spans="1:22" ht="21" customHeight="1">
      <c r="A139" s="2798" t="s">
        <v>114</v>
      </c>
      <c r="B139" s="1453" t="s">
        <v>371</v>
      </c>
      <c r="C139" s="2355" t="s">
        <v>138</v>
      </c>
      <c r="D139" s="2355"/>
      <c r="E139" s="2355"/>
      <c r="F139" s="2355"/>
      <c r="G139" s="2355"/>
      <c r="H139" s="2355"/>
      <c r="I139" s="2355"/>
      <c r="J139" s="2355"/>
      <c r="K139" s="2355"/>
      <c r="L139" s="2355"/>
      <c r="M139" s="2355"/>
      <c r="N139" s="2355"/>
      <c r="O139" s="531"/>
      <c r="P139" s="531"/>
      <c r="Q139" s="531"/>
      <c r="R139" s="531"/>
      <c r="S139" s="531"/>
      <c r="T139" s="531"/>
      <c r="U139" s="1455"/>
      <c r="V139" s="2383" t="s">
        <v>273</v>
      </c>
    </row>
    <row r="140" spans="1:22" ht="13.5" customHeight="1">
      <c r="A140" s="2799"/>
      <c r="B140" s="947" t="s">
        <v>22</v>
      </c>
      <c r="C140" s="2356"/>
      <c r="D140" s="1031">
        <f t="shared" ref="D140:U140" si="154">+D141+D144</f>
        <v>17000000</v>
      </c>
      <c r="E140" s="1031">
        <f t="shared" si="154"/>
        <v>0</v>
      </c>
      <c r="F140" s="1031">
        <f t="shared" si="154"/>
        <v>0</v>
      </c>
      <c r="G140" s="1031">
        <f t="shared" si="154"/>
        <v>0</v>
      </c>
      <c r="H140" s="1031">
        <f t="shared" si="154"/>
        <v>0</v>
      </c>
      <c r="I140" s="1031">
        <f t="shared" si="154"/>
        <v>0</v>
      </c>
      <c r="J140" s="1031">
        <f t="shared" si="154"/>
        <v>0</v>
      </c>
      <c r="K140" s="1031">
        <f t="shared" si="154"/>
        <v>0</v>
      </c>
      <c r="L140" s="1031">
        <f t="shared" si="154"/>
        <v>0</v>
      </c>
      <c r="M140" s="1031">
        <f t="shared" ref="M140" si="155">+M141+M144</f>
        <v>0</v>
      </c>
      <c r="N140" s="1031">
        <f t="shared" si="154"/>
        <v>0</v>
      </c>
      <c r="O140" s="1032">
        <f t="shared" si="154"/>
        <v>4000000</v>
      </c>
      <c r="P140" s="1032">
        <f t="shared" si="154"/>
        <v>5500000</v>
      </c>
      <c r="Q140" s="1032">
        <f t="shared" si="154"/>
        <v>2500000</v>
      </c>
      <c r="R140" s="1032">
        <f t="shared" si="154"/>
        <v>2500000</v>
      </c>
      <c r="S140" s="1032">
        <f t="shared" si="154"/>
        <v>2500000</v>
      </c>
      <c r="T140" s="1032"/>
      <c r="U140" s="1457">
        <f t="shared" si="154"/>
        <v>17000000</v>
      </c>
      <c r="V140" s="2384"/>
    </row>
    <row r="141" spans="1:22" ht="13.5" customHeight="1">
      <c r="A141" s="2799"/>
      <c r="B141" s="1458" t="s">
        <v>23</v>
      </c>
      <c r="C141" s="2794" t="s">
        <v>274</v>
      </c>
      <c r="D141" s="1459">
        <f>+D142+D143</f>
        <v>6183100</v>
      </c>
      <c r="E141" s="1459">
        <f t="shared" ref="E141:S141" si="156">+E142+E143</f>
        <v>0</v>
      </c>
      <c r="F141" s="1459">
        <f t="shared" si="156"/>
        <v>0</v>
      </c>
      <c r="G141" s="1459">
        <f t="shared" si="156"/>
        <v>0</v>
      </c>
      <c r="H141" s="1459">
        <f t="shared" si="156"/>
        <v>0</v>
      </c>
      <c r="I141" s="1459">
        <f t="shared" si="156"/>
        <v>0</v>
      </c>
      <c r="J141" s="1459">
        <f t="shared" si="156"/>
        <v>0</v>
      </c>
      <c r="K141" s="1459">
        <f t="shared" si="156"/>
        <v>0</v>
      </c>
      <c r="L141" s="1459">
        <f t="shared" si="156"/>
        <v>0</v>
      </c>
      <c r="M141" s="1459">
        <f t="shared" ref="M141" si="157">+M142+M143</f>
        <v>0</v>
      </c>
      <c r="N141" s="1459">
        <f t="shared" si="156"/>
        <v>0</v>
      </c>
      <c r="O141" s="1473">
        <f t="shared" si="156"/>
        <v>1455000</v>
      </c>
      <c r="P141" s="1473">
        <f t="shared" si="156"/>
        <v>2000350</v>
      </c>
      <c r="Q141" s="1473">
        <f t="shared" si="156"/>
        <v>909250</v>
      </c>
      <c r="R141" s="1473">
        <f t="shared" si="156"/>
        <v>909250</v>
      </c>
      <c r="S141" s="1473">
        <f t="shared" si="156"/>
        <v>909250</v>
      </c>
      <c r="T141" s="1473"/>
      <c r="U141" s="1460">
        <f>SUM(U142:U143)</f>
        <v>6183100</v>
      </c>
      <c r="V141" s="2384"/>
    </row>
    <row r="142" spans="1:22" ht="13.5" customHeight="1">
      <c r="A142" s="2799"/>
      <c r="B142" s="558" t="s">
        <v>24</v>
      </c>
      <c r="C142" s="2795"/>
      <c r="D142" s="992">
        <f>M142+N142+O142+P142+Q142+R142+S142</f>
        <v>0</v>
      </c>
      <c r="E142" s="1503">
        <v>0</v>
      </c>
      <c r="F142" s="1503"/>
      <c r="G142" s="1503"/>
      <c r="H142" s="1503"/>
      <c r="I142" s="1503">
        <v>0</v>
      </c>
      <c r="J142" s="1503">
        <v>0</v>
      </c>
      <c r="K142" s="1503">
        <v>0</v>
      </c>
      <c r="L142" s="1503">
        <v>0</v>
      </c>
      <c r="M142" s="1461">
        <f t="shared" ref="M142:M143" si="158">E142+I142+J142+K142+L142</f>
        <v>0</v>
      </c>
      <c r="N142" s="1503">
        <v>0</v>
      </c>
      <c r="O142" s="1461">
        <f>250000-250000</f>
        <v>0</v>
      </c>
      <c r="P142" s="1461">
        <f>500000-500000</f>
        <v>0</v>
      </c>
      <c r="Q142" s="1461">
        <f>450000-450000</f>
        <v>0</v>
      </c>
      <c r="R142" s="1461">
        <f>500000-500000</f>
        <v>0</v>
      </c>
      <c r="S142" s="1461">
        <v>0</v>
      </c>
      <c r="T142" s="1461"/>
      <c r="U142" s="1462">
        <f t="shared" ref="U142:U143" si="159">SUM(O142:T142)</f>
        <v>0</v>
      </c>
      <c r="V142" s="2384"/>
    </row>
    <row r="143" spans="1:22" ht="13.5" customHeight="1">
      <c r="A143" s="2799"/>
      <c r="B143" s="2357" t="s">
        <v>399</v>
      </c>
      <c r="C143" s="2795"/>
      <c r="D143" s="992">
        <f>M143+N143+O143+P143+Q143+R143+S143</f>
        <v>6183100</v>
      </c>
      <c r="E143" s="1503">
        <v>0</v>
      </c>
      <c r="F143" s="1503"/>
      <c r="G143" s="1503"/>
      <c r="H143" s="1503">
        <v>0</v>
      </c>
      <c r="I143" s="1503">
        <v>0</v>
      </c>
      <c r="J143" s="1503">
        <v>0</v>
      </c>
      <c r="K143" s="1503">
        <v>0</v>
      </c>
      <c r="L143" s="1503">
        <v>0</v>
      </c>
      <c r="M143" s="1461">
        <f t="shared" si="158"/>
        <v>0</v>
      </c>
      <c r="N143" s="1503">
        <v>0</v>
      </c>
      <c r="O143" s="1461">
        <v>1455000</v>
      </c>
      <c r="P143" s="1461">
        <f>2910000-909650</f>
        <v>2000350</v>
      </c>
      <c r="Q143" s="1461">
        <f>2546000-1636750</f>
        <v>909250</v>
      </c>
      <c r="R143" s="1461">
        <f>2910000-2000750</f>
        <v>909250</v>
      </c>
      <c r="S143" s="1461">
        <v>909250</v>
      </c>
      <c r="T143" s="1461"/>
      <c r="U143" s="1462">
        <f t="shared" si="159"/>
        <v>6183100</v>
      </c>
      <c r="V143" s="2384"/>
    </row>
    <row r="144" spans="1:22" ht="13.5" customHeight="1">
      <c r="A144" s="2799"/>
      <c r="B144" s="1465" t="s">
        <v>30</v>
      </c>
      <c r="C144" s="2795"/>
      <c r="D144" s="1459">
        <f>+D145</f>
        <v>10816900</v>
      </c>
      <c r="E144" s="1459">
        <f t="shared" ref="E144:S144" si="160">+E145</f>
        <v>0</v>
      </c>
      <c r="F144" s="1459">
        <f t="shared" si="160"/>
        <v>0</v>
      </c>
      <c r="G144" s="1459">
        <f t="shared" si="160"/>
        <v>0</v>
      </c>
      <c r="H144" s="1459">
        <f t="shared" si="160"/>
        <v>0</v>
      </c>
      <c r="I144" s="1459">
        <f t="shared" si="160"/>
        <v>0</v>
      </c>
      <c r="J144" s="1459">
        <f t="shared" si="160"/>
        <v>0</v>
      </c>
      <c r="K144" s="1459">
        <f t="shared" si="160"/>
        <v>0</v>
      </c>
      <c r="L144" s="1459">
        <f t="shared" si="160"/>
        <v>0</v>
      </c>
      <c r="M144" s="1459">
        <f t="shared" si="160"/>
        <v>0</v>
      </c>
      <c r="N144" s="1459">
        <f t="shared" si="160"/>
        <v>0</v>
      </c>
      <c r="O144" s="1459">
        <f t="shared" si="160"/>
        <v>2545000</v>
      </c>
      <c r="P144" s="1459">
        <f t="shared" si="160"/>
        <v>3499650</v>
      </c>
      <c r="Q144" s="1459">
        <f t="shared" si="160"/>
        <v>1590750</v>
      </c>
      <c r="R144" s="1459">
        <f t="shared" si="160"/>
        <v>1590750</v>
      </c>
      <c r="S144" s="1459">
        <f t="shared" si="160"/>
        <v>1590750</v>
      </c>
      <c r="T144" s="1459"/>
      <c r="U144" s="2358">
        <f>+U145</f>
        <v>10816900</v>
      </c>
      <c r="V144" s="2384"/>
    </row>
    <row r="145" spans="1:22" ht="13.5" customHeight="1">
      <c r="A145" s="2799"/>
      <c r="B145" s="2359" t="s">
        <v>400</v>
      </c>
      <c r="C145" s="2796"/>
      <c r="D145" s="992">
        <f>M145+N145+O145+P145+Q145+R145+S145</f>
        <v>10816900</v>
      </c>
      <c r="E145" s="1503">
        <v>0</v>
      </c>
      <c r="F145" s="1503"/>
      <c r="G145" s="1503"/>
      <c r="H145" s="1503">
        <v>0</v>
      </c>
      <c r="I145" s="1503">
        <v>0</v>
      </c>
      <c r="J145" s="1503">
        <v>0</v>
      </c>
      <c r="K145" s="1503">
        <v>0</v>
      </c>
      <c r="L145" s="1503">
        <v>0</v>
      </c>
      <c r="M145" s="1461">
        <f t="shared" ref="M145" si="161">E145+I145+J145+K145+L145</f>
        <v>0</v>
      </c>
      <c r="N145" s="1503">
        <v>0</v>
      </c>
      <c r="O145" s="1461">
        <v>2545000</v>
      </c>
      <c r="P145" s="1461">
        <f>5090000-1590350</f>
        <v>3499650</v>
      </c>
      <c r="Q145" s="1461">
        <f>4454000-2863250</f>
        <v>1590750</v>
      </c>
      <c r="R145" s="1461">
        <f>5090000-3499250</f>
        <v>1590750</v>
      </c>
      <c r="S145" s="1461">
        <v>1590750</v>
      </c>
      <c r="T145" s="1461"/>
      <c r="U145" s="1462">
        <f>SUM(O145:T145)</f>
        <v>10816900</v>
      </c>
      <c r="V145" s="2384"/>
    </row>
    <row r="146" spans="1:22" ht="14.25" customHeight="1">
      <c r="A146" s="2799"/>
      <c r="B146" s="947" t="s">
        <v>34</v>
      </c>
      <c r="C146" s="2356"/>
      <c r="D146" s="1032">
        <f>+D147+D150</f>
        <v>17000000</v>
      </c>
      <c r="E146" s="1032">
        <f>+E147+E150</f>
        <v>0</v>
      </c>
      <c r="F146" s="1032"/>
      <c r="G146" s="1032"/>
      <c r="H146" s="1032"/>
      <c r="I146" s="1032">
        <f t="shared" ref="I146:S146" si="162">+I147+I150</f>
        <v>0</v>
      </c>
      <c r="J146" s="1032">
        <f t="shared" si="162"/>
        <v>0</v>
      </c>
      <c r="K146" s="1032">
        <f t="shared" si="162"/>
        <v>0</v>
      </c>
      <c r="L146" s="1032">
        <f t="shared" si="162"/>
        <v>0</v>
      </c>
      <c r="M146" s="1032">
        <f t="shared" ref="M146" si="163">+M147+M150</f>
        <v>0</v>
      </c>
      <c r="N146" s="1032">
        <f t="shared" si="162"/>
        <v>0</v>
      </c>
      <c r="O146" s="1032">
        <f t="shared" si="162"/>
        <v>4000000</v>
      </c>
      <c r="P146" s="1032">
        <f t="shared" si="162"/>
        <v>5500000</v>
      </c>
      <c r="Q146" s="1032">
        <f t="shared" si="162"/>
        <v>2500000</v>
      </c>
      <c r="R146" s="1032">
        <f t="shared" si="162"/>
        <v>2500000</v>
      </c>
      <c r="S146" s="1032">
        <f t="shared" si="162"/>
        <v>2500000</v>
      </c>
      <c r="T146" s="1032"/>
      <c r="U146" s="2596" t="s">
        <v>77</v>
      </c>
      <c r="V146" s="2384"/>
    </row>
    <row r="147" spans="1:22" ht="13.5" customHeight="1">
      <c r="A147" s="2799"/>
      <c r="B147" s="1458" t="s">
        <v>23</v>
      </c>
      <c r="C147" s="2815" t="s">
        <v>274</v>
      </c>
      <c r="D147" s="720">
        <f>+D148</f>
        <v>6183100</v>
      </c>
      <c r="E147" s="720">
        <f t="shared" ref="E147:S147" si="164">+E148</f>
        <v>0</v>
      </c>
      <c r="F147" s="720">
        <f t="shared" si="164"/>
        <v>0</v>
      </c>
      <c r="G147" s="720">
        <f t="shared" si="164"/>
        <v>0</v>
      </c>
      <c r="H147" s="720">
        <f t="shared" si="164"/>
        <v>0</v>
      </c>
      <c r="I147" s="720">
        <f t="shared" si="164"/>
        <v>0</v>
      </c>
      <c r="J147" s="720">
        <f t="shared" si="164"/>
        <v>0</v>
      </c>
      <c r="K147" s="720">
        <f t="shared" si="164"/>
        <v>0</v>
      </c>
      <c r="L147" s="720">
        <f t="shared" si="164"/>
        <v>0</v>
      </c>
      <c r="M147" s="720">
        <f t="shared" si="164"/>
        <v>0</v>
      </c>
      <c r="N147" s="720">
        <f t="shared" si="164"/>
        <v>0</v>
      </c>
      <c r="O147" s="620">
        <f t="shared" si="164"/>
        <v>1455000</v>
      </c>
      <c r="P147" s="620">
        <f t="shared" si="164"/>
        <v>2000350</v>
      </c>
      <c r="Q147" s="620">
        <f t="shared" si="164"/>
        <v>909250</v>
      </c>
      <c r="R147" s="620">
        <f t="shared" si="164"/>
        <v>909250</v>
      </c>
      <c r="S147" s="620">
        <f t="shared" si="164"/>
        <v>909250</v>
      </c>
      <c r="T147" s="620"/>
      <c r="U147" s="2597"/>
      <c r="V147" s="2384"/>
    </row>
    <row r="148" spans="1:22" ht="12.75" customHeight="1">
      <c r="A148" s="2799"/>
      <c r="B148" s="2357" t="s">
        <v>399</v>
      </c>
      <c r="C148" s="2816"/>
      <c r="D148" s="992">
        <f>M148+N148+O148+P148+Q148+R148+S148</f>
        <v>6183100</v>
      </c>
      <c r="E148" s="1503">
        <v>0</v>
      </c>
      <c r="F148" s="1503"/>
      <c r="G148" s="1503"/>
      <c r="H148" s="1503"/>
      <c r="I148" s="1503">
        <v>0</v>
      </c>
      <c r="J148" s="1503">
        <v>0</v>
      </c>
      <c r="K148" s="1503">
        <v>0</v>
      </c>
      <c r="L148" s="1503">
        <v>0</v>
      </c>
      <c r="M148" s="1461">
        <f t="shared" ref="M148" si="165">E148+I148+J148+K148+L148</f>
        <v>0</v>
      </c>
      <c r="N148" s="1503">
        <v>0</v>
      </c>
      <c r="O148" s="1461">
        <v>1455000</v>
      </c>
      <c r="P148" s="1461">
        <f>2910000-909650</f>
        <v>2000350</v>
      </c>
      <c r="Q148" s="1461">
        <f>2546000-1636750</f>
        <v>909250</v>
      </c>
      <c r="R148" s="1461">
        <f>2910000-2000750</f>
        <v>909250</v>
      </c>
      <c r="S148" s="1461">
        <v>909250</v>
      </c>
      <c r="T148" s="1461"/>
      <c r="U148" s="2597"/>
      <c r="V148" s="2384"/>
    </row>
    <row r="149" spans="1:22" ht="11.25" hidden="1" customHeight="1">
      <c r="A149" s="2799"/>
      <c r="B149" s="691" t="s">
        <v>37</v>
      </c>
      <c r="C149" s="2816"/>
      <c r="D149" s="1503">
        <f>+E149+I149+J149+K149+L149+N149</f>
        <v>0</v>
      </c>
      <c r="E149" s="1503">
        <v>0</v>
      </c>
      <c r="F149" s="1503"/>
      <c r="G149" s="1503"/>
      <c r="H149" s="1503"/>
      <c r="I149" s="1503"/>
      <c r="J149" s="1503"/>
      <c r="K149" s="1503">
        <v>0</v>
      </c>
      <c r="L149" s="1503">
        <v>0</v>
      </c>
      <c r="M149" s="1503">
        <v>0</v>
      </c>
      <c r="N149" s="1503"/>
      <c r="O149" s="2360"/>
      <c r="P149" s="1818"/>
      <c r="Q149" s="1818"/>
      <c r="R149" s="1818"/>
      <c r="S149" s="1818"/>
      <c r="T149" s="1818"/>
      <c r="U149" s="2597"/>
      <c r="V149" s="2384"/>
    </row>
    <row r="150" spans="1:22" ht="12.75" customHeight="1">
      <c r="A150" s="2799"/>
      <c r="B150" s="1465" t="s">
        <v>30</v>
      </c>
      <c r="C150" s="2816"/>
      <c r="D150" s="720">
        <f>+D151</f>
        <v>10816900</v>
      </c>
      <c r="E150" s="720">
        <f t="shared" ref="E150:S150" si="166">+E151</f>
        <v>0</v>
      </c>
      <c r="F150" s="720">
        <f t="shared" si="166"/>
        <v>0</v>
      </c>
      <c r="G150" s="720">
        <f t="shared" si="166"/>
        <v>0</v>
      </c>
      <c r="H150" s="720">
        <f t="shared" si="166"/>
        <v>0</v>
      </c>
      <c r="I150" s="720">
        <f t="shared" si="166"/>
        <v>0</v>
      </c>
      <c r="J150" s="720">
        <f t="shared" si="166"/>
        <v>0</v>
      </c>
      <c r="K150" s="720">
        <f t="shared" si="166"/>
        <v>0</v>
      </c>
      <c r="L150" s="720">
        <f t="shared" si="166"/>
        <v>0</v>
      </c>
      <c r="M150" s="720">
        <f t="shared" si="166"/>
        <v>0</v>
      </c>
      <c r="N150" s="720">
        <f t="shared" si="166"/>
        <v>0</v>
      </c>
      <c r="O150" s="620">
        <f t="shared" si="166"/>
        <v>2545000</v>
      </c>
      <c r="P150" s="620">
        <f t="shared" si="166"/>
        <v>3499650</v>
      </c>
      <c r="Q150" s="620">
        <f t="shared" si="166"/>
        <v>1590750</v>
      </c>
      <c r="R150" s="620">
        <f t="shared" si="166"/>
        <v>1590750</v>
      </c>
      <c r="S150" s="620">
        <f t="shared" si="166"/>
        <v>1590750</v>
      </c>
      <c r="T150" s="620"/>
      <c r="U150" s="2597"/>
      <c r="V150" s="2384"/>
    </row>
    <row r="151" spans="1:22" ht="12.75" customHeight="1" thickBot="1">
      <c r="A151" s="2800"/>
      <c r="B151" s="2359" t="s">
        <v>400</v>
      </c>
      <c r="C151" s="2817"/>
      <c r="D151" s="992">
        <f>M151+N151+O151+P151+Q151+R151+S151</f>
        <v>10816900</v>
      </c>
      <c r="E151" s="1494">
        <v>0</v>
      </c>
      <c r="F151" s="1494"/>
      <c r="G151" s="1494"/>
      <c r="H151" s="1494"/>
      <c r="I151" s="1494">
        <v>0</v>
      </c>
      <c r="J151" s="1494">
        <v>0</v>
      </c>
      <c r="K151" s="1494">
        <v>0</v>
      </c>
      <c r="L151" s="1494">
        <v>0</v>
      </c>
      <c r="M151" s="1461">
        <f t="shared" ref="M151" si="167">E151+I151+J151+K151+L151</f>
        <v>0</v>
      </c>
      <c r="N151" s="1494">
        <v>0</v>
      </c>
      <c r="O151" s="1505">
        <v>2545000</v>
      </c>
      <c r="P151" s="1505">
        <f>5090000-1590350</f>
        <v>3499650</v>
      </c>
      <c r="Q151" s="1505">
        <f>4454000-2863250</f>
        <v>1590750</v>
      </c>
      <c r="R151" s="1505">
        <f>5090000-3499250</f>
        <v>1590750</v>
      </c>
      <c r="S151" s="1505">
        <v>1590750</v>
      </c>
      <c r="T151" s="1505"/>
      <c r="U151" s="2598"/>
      <c r="V151" s="2385"/>
    </row>
    <row r="152" spans="1:22" ht="11.25" hidden="1" customHeight="1" thickBot="1">
      <c r="A152" s="1076"/>
      <c r="B152" s="691" t="s">
        <v>32</v>
      </c>
      <c r="C152" s="1535"/>
      <c r="D152" s="1536">
        <f>+E152+I152+J152+K152+L152+N152</f>
        <v>0</v>
      </c>
      <c r="E152" s="1998">
        <v>0</v>
      </c>
      <c r="F152" s="1998"/>
      <c r="G152" s="1998"/>
      <c r="H152" s="1998"/>
      <c r="I152" s="791"/>
      <c r="J152" s="1062"/>
      <c r="K152" s="791"/>
      <c r="L152" s="791"/>
      <c r="M152" s="791"/>
      <c r="N152" s="791"/>
      <c r="O152" s="791"/>
      <c r="P152" s="791"/>
      <c r="Q152" s="791"/>
      <c r="R152" s="791"/>
      <c r="S152" s="791"/>
      <c r="T152" s="791"/>
      <c r="U152" s="1537"/>
      <c r="V152" s="1516"/>
    </row>
    <row r="153" spans="1:22" ht="27" customHeight="1">
      <c r="A153" s="2798" t="s">
        <v>115</v>
      </c>
      <c r="B153" s="1453" t="s">
        <v>372</v>
      </c>
      <c r="C153" s="1497" t="s">
        <v>102</v>
      </c>
      <c r="D153" s="2355"/>
      <c r="E153" s="1497"/>
      <c r="F153" s="1497"/>
      <c r="G153" s="1497"/>
      <c r="H153" s="1497"/>
      <c r="I153" s="1497"/>
      <c r="J153" s="1497"/>
      <c r="K153" s="1497"/>
      <c r="L153" s="1497"/>
      <c r="M153" s="1497"/>
      <c r="N153" s="1497"/>
      <c r="O153" s="1524"/>
      <c r="P153" s="1524"/>
      <c r="Q153" s="1524"/>
      <c r="R153" s="1524"/>
      <c r="S153" s="1524"/>
      <c r="T153" s="1524"/>
      <c r="U153" s="2361"/>
      <c r="V153" s="2378" t="s">
        <v>273</v>
      </c>
    </row>
    <row r="154" spans="1:22" ht="11.25" customHeight="1">
      <c r="A154" s="2799"/>
      <c r="B154" s="947" t="s">
        <v>22</v>
      </c>
      <c r="C154" s="1534"/>
      <c r="D154" s="1499">
        <f t="shared" ref="D154:U154" si="168">+D155+D158</f>
        <v>100000</v>
      </c>
      <c r="E154" s="1499">
        <f t="shared" si="168"/>
        <v>0</v>
      </c>
      <c r="F154" s="1499">
        <f t="shared" si="168"/>
        <v>0</v>
      </c>
      <c r="G154" s="1499">
        <f t="shared" si="168"/>
        <v>0</v>
      </c>
      <c r="H154" s="1499">
        <f t="shared" si="168"/>
        <v>0</v>
      </c>
      <c r="I154" s="1499">
        <f t="shared" si="168"/>
        <v>0</v>
      </c>
      <c r="J154" s="1499">
        <f t="shared" si="168"/>
        <v>0</v>
      </c>
      <c r="K154" s="1499">
        <f t="shared" si="168"/>
        <v>0</v>
      </c>
      <c r="L154" s="1499">
        <f t="shared" si="168"/>
        <v>0</v>
      </c>
      <c r="M154" s="1499">
        <f t="shared" ref="M154" si="169">+M155+M158</f>
        <v>0</v>
      </c>
      <c r="N154" s="1499">
        <f t="shared" si="168"/>
        <v>0</v>
      </c>
      <c r="O154" s="1445">
        <f t="shared" si="168"/>
        <v>100000</v>
      </c>
      <c r="P154" s="1445">
        <f t="shared" si="168"/>
        <v>0</v>
      </c>
      <c r="Q154" s="1445">
        <f t="shared" si="168"/>
        <v>0</v>
      </c>
      <c r="R154" s="1445">
        <f t="shared" si="168"/>
        <v>0</v>
      </c>
      <c r="S154" s="1445"/>
      <c r="T154" s="1445"/>
      <c r="U154" s="1501">
        <f t="shared" si="168"/>
        <v>100000</v>
      </c>
      <c r="V154" s="2379"/>
    </row>
    <row r="155" spans="1:22" ht="12.75" customHeight="1">
      <c r="A155" s="2799"/>
      <c r="B155" s="1458" t="s">
        <v>23</v>
      </c>
      <c r="C155" s="2490" t="s">
        <v>274</v>
      </c>
      <c r="D155" s="1520">
        <f t="shared" ref="D155:R155" si="170">+D156+D157</f>
        <v>36000</v>
      </c>
      <c r="E155" s="1520">
        <f t="shared" si="170"/>
        <v>0</v>
      </c>
      <c r="F155" s="1520">
        <f t="shared" si="170"/>
        <v>0</v>
      </c>
      <c r="G155" s="1520">
        <f t="shared" si="170"/>
        <v>0</v>
      </c>
      <c r="H155" s="1520">
        <f t="shared" si="170"/>
        <v>0</v>
      </c>
      <c r="I155" s="1520">
        <f t="shared" si="170"/>
        <v>0</v>
      </c>
      <c r="J155" s="1520">
        <f t="shared" si="170"/>
        <v>0</v>
      </c>
      <c r="K155" s="1520">
        <f t="shared" si="170"/>
        <v>0</v>
      </c>
      <c r="L155" s="1520">
        <f t="shared" si="170"/>
        <v>0</v>
      </c>
      <c r="M155" s="1520">
        <f t="shared" ref="M155" si="171">+M156+M157</f>
        <v>0</v>
      </c>
      <c r="N155" s="1520">
        <f t="shared" si="170"/>
        <v>0</v>
      </c>
      <c r="O155" s="1508">
        <f t="shared" si="170"/>
        <v>36000</v>
      </c>
      <c r="P155" s="1508">
        <f t="shared" si="170"/>
        <v>0</v>
      </c>
      <c r="Q155" s="1508">
        <f t="shared" si="170"/>
        <v>0</v>
      </c>
      <c r="R155" s="1508">
        <f t="shared" si="170"/>
        <v>0</v>
      </c>
      <c r="S155" s="1508"/>
      <c r="T155" s="1508"/>
      <c r="U155" s="1502">
        <f>SUM(U156:U157)</f>
        <v>36000</v>
      </c>
      <c r="V155" s="2379"/>
    </row>
    <row r="156" spans="1:22" ht="12.75" customHeight="1">
      <c r="A156" s="2799"/>
      <c r="B156" s="558" t="s">
        <v>24</v>
      </c>
      <c r="C156" s="2435"/>
      <c r="D156" s="992">
        <f t="shared" ref="D156:D157" si="172">M156+N156+O156+P156+Q156+R156</f>
        <v>0</v>
      </c>
      <c r="E156" s="890">
        <v>0</v>
      </c>
      <c r="F156" s="890"/>
      <c r="G156" s="890"/>
      <c r="H156" s="890"/>
      <c r="I156" s="890">
        <v>0</v>
      </c>
      <c r="J156" s="890">
        <v>0</v>
      </c>
      <c r="K156" s="890">
        <v>0</v>
      </c>
      <c r="L156" s="890">
        <v>0</v>
      </c>
      <c r="M156" s="1461">
        <f t="shared" ref="M156:M157" si="173">E156+I156+J156+K156+L156</f>
        <v>0</v>
      </c>
      <c r="N156" s="890">
        <v>0</v>
      </c>
      <c r="O156" s="1525">
        <f>23000-23000</f>
        <v>0</v>
      </c>
      <c r="P156" s="1525">
        <f>12000-12000</f>
        <v>0</v>
      </c>
      <c r="Q156" s="1525">
        <v>0</v>
      </c>
      <c r="R156" s="1525">
        <v>0</v>
      </c>
      <c r="S156" s="1525"/>
      <c r="T156" s="1525"/>
      <c r="U156" s="1462">
        <f t="shared" ref="U156:U157" si="174">SUM(O156:T156)</f>
        <v>0</v>
      </c>
      <c r="V156" s="2379"/>
    </row>
    <row r="157" spans="1:22" ht="12.75" customHeight="1">
      <c r="A157" s="2799"/>
      <c r="B157" s="2357" t="s">
        <v>399</v>
      </c>
      <c r="C157" s="2435"/>
      <c r="D157" s="992">
        <f t="shared" si="172"/>
        <v>36000</v>
      </c>
      <c r="E157" s="890">
        <v>0</v>
      </c>
      <c r="F157" s="890"/>
      <c r="G157" s="890"/>
      <c r="H157" s="890">
        <v>0</v>
      </c>
      <c r="I157" s="890">
        <v>0</v>
      </c>
      <c r="J157" s="890">
        <v>0</v>
      </c>
      <c r="K157" s="890">
        <v>0</v>
      </c>
      <c r="L157" s="890">
        <v>0</v>
      </c>
      <c r="M157" s="1461">
        <f t="shared" si="173"/>
        <v>0</v>
      </c>
      <c r="N157" s="890">
        <v>0</v>
      </c>
      <c r="O157" s="1525">
        <v>36000</v>
      </c>
      <c r="P157" s="1525">
        <f>18000-18000</f>
        <v>0</v>
      </c>
      <c r="Q157" s="1525">
        <v>0</v>
      </c>
      <c r="R157" s="1525">
        <v>0</v>
      </c>
      <c r="S157" s="1525"/>
      <c r="T157" s="1525"/>
      <c r="U157" s="1462">
        <f t="shared" si="174"/>
        <v>36000</v>
      </c>
      <c r="V157" s="2379"/>
    </row>
    <row r="158" spans="1:22" ht="12.75" customHeight="1">
      <c r="A158" s="2799"/>
      <c r="B158" s="1465" t="s">
        <v>30</v>
      </c>
      <c r="C158" s="2435"/>
      <c r="D158" s="1520">
        <f t="shared" ref="D158:U158" si="175">+D159</f>
        <v>64000</v>
      </c>
      <c r="E158" s="1520">
        <f t="shared" si="175"/>
        <v>0</v>
      </c>
      <c r="F158" s="1520">
        <f t="shared" si="175"/>
        <v>0</v>
      </c>
      <c r="G158" s="1520">
        <f t="shared" si="175"/>
        <v>0</v>
      </c>
      <c r="H158" s="1520">
        <f t="shared" si="175"/>
        <v>0</v>
      </c>
      <c r="I158" s="1520">
        <f t="shared" si="175"/>
        <v>0</v>
      </c>
      <c r="J158" s="1520">
        <f t="shared" si="175"/>
        <v>0</v>
      </c>
      <c r="K158" s="1520">
        <f t="shared" si="175"/>
        <v>0</v>
      </c>
      <c r="L158" s="1520">
        <f t="shared" si="175"/>
        <v>0</v>
      </c>
      <c r="M158" s="1520">
        <f t="shared" si="175"/>
        <v>0</v>
      </c>
      <c r="N158" s="1520">
        <f t="shared" si="175"/>
        <v>0</v>
      </c>
      <c r="O158" s="1520">
        <f t="shared" si="175"/>
        <v>64000</v>
      </c>
      <c r="P158" s="1520">
        <f t="shared" si="175"/>
        <v>0</v>
      </c>
      <c r="Q158" s="1520">
        <f t="shared" si="175"/>
        <v>0</v>
      </c>
      <c r="R158" s="1520">
        <f t="shared" si="175"/>
        <v>0</v>
      </c>
      <c r="S158" s="1520"/>
      <c r="T158" s="1520"/>
      <c r="U158" s="2362">
        <f t="shared" si="175"/>
        <v>64000</v>
      </c>
      <c r="V158" s="2379"/>
    </row>
    <row r="159" spans="1:22" ht="12.75" customHeight="1">
      <c r="A159" s="2799"/>
      <c r="B159" s="2359" t="s">
        <v>400</v>
      </c>
      <c r="C159" s="2436"/>
      <c r="D159" s="992">
        <f>M159+N159+O159+P159+Q159+R159</f>
        <v>64000</v>
      </c>
      <c r="E159" s="890">
        <v>0</v>
      </c>
      <c r="F159" s="890"/>
      <c r="G159" s="890"/>
      <c r="H159" s="890">
        <v>0</v>
      </c>
      <c r="I159" s="890">
        <v>0</v>
      </c>
      <c r="J159" s="890">
        <v>0</v>
      </c>
      <c r="K159" s="890">
        <v>0</v>
      </c>
      <c r="L159" s="890">
        <v>0</v>
      </c>
      <c r="M159" s="1461">
        <f t="shared" ref="M159" si="176">E159+I159+J159+K159+L159</f>
        <v>0</v>
      </c>
      <c r="N159" s="890">
        <v>0</v>
      </c>
      <c r="O159" s="1525">
        <v>64000</v>
      </c>
      <c r="P159" s="1525">
        <f>32000-32000</f>
        <v>0</v>
      </c>
      <c r="Q159" s="1525">
        <v>0</v>
      </c>
      <c r="R159" s="1525">
        <v>0</v>
      </c>
      <c r="S159" s="1525"/>
      <c r="T159" s="1525"/>
      <c r="U159" s="1462">
        <f>SUM(O159:T159)</f>
        <v>64000</v>
      </c>
      <c r="V159" s="2379"/>
    </row>
    <row r="160" spans="1:22" ht="13.5" customHeight="1">
      <c r="A160" s="2799"/>
      <c r="B160" s="947" t="s">
        <v>34</v>
      </c>
      <c r="C160" s="1534"/>
      <c r="D160" s="1445">
        <f>+D161+D164</f>
        <v>100000</v>
      </c>
      <c r="E160" s="1445">
        <f>+E161+E164</f>
        <v>0</v>
      </c>
      <c r="F160" s="1445"/>
      <c r="G160" s="1445"/>
      <c r="H160" s="1445"/>
      <c r="I160" s="1445">
        <f t="shared" ref="I160:R160" si="177">+I161+I164</f>
        <v>0</v>
      </c>
      <c r="J160" s="1445">
        <f t="shared" si="177"/>
        <v>0</v>
      </c>
      <c r="K160" s="1445">
        <f t="shared" si="177"/>
        <v>0</v>
      </c>
      <c r="L160" s="1445">
        <f t="shared" si="177"/>
        <v>0</v>
      </c>
      <c r="M160" s="1445">
        <f t="shared" ref="M160" si="178">+M161+M164</f>
        <v>0</v>
      </c>
      <c r="N160" s="1445">
        <f t="shared" si="177"/>
        <v>0</v>
      </c>
      <c r="O160" s="1445">
        <f t="shared" si="177"/>
        <v>100000</v>
      </c>
      <c r="P160" s="1445">
        <f t="shared" si="177"/>
        <v>0</v>
      </c>
      <c r="Q160" s="1445">
        <f t="shared" si="177"/>
        <v>0</v>
      </c>
      <c r="R160" s="1445">
        <f t="shared" si="177"/>
        <v>0</v>
      </c>
      <c r="S160" s="1445"/>
      <c r="T160" s="1445"/>
      <c r="U160" s="2612" t="s">
        <v>77</v>
      </c>
      <c r="V160" s="2379"/>
    </row>
    <row r="161" spans="1:22" ht="12.75" customHeight="1">
      <c r="A161" s="2799"/>
      <c r="B161" s="1458" t="s">
        <v>23</v>
      </c>
      <c r="C161" s="2818" t="s">
        <v>274</v>
      </c>
      <c r="D161" s="536">
        <f t="shared" ref="D161:R161" si="179">+D162</f>
        <v>36000</v>
      </c>
      <c r="E161" s="536">
        <f t="shared" si="179"/>
        <v>0</v>
      </c>
      <c r="F161" s="536">
        <f t="shared" si="179"/>
        <v>0</v>
      </c>
      <c r="G161" s="536">
        <f t="shared" si="179"/>
        <v>0</v>
      </c>
      <c r="H161" s="536">
        <f t="shared" si="179"/>
        <v>0</v>
      </c>
      <c r="I161" s="536">
        <f t="shared" si="179"/>
        <v>0</v>
      </c>
      <c r="J161" s="536">
        <f t="shared" si="179"/>
        <v>0</v>
      </c>
      <c r="K161" s="536">
        <f t="shared" si="179"/>
        <v>0</v>
      </c>
      <c r="L161" s="536">
        <f t="shared" si="179"/>
        <v>0</v>
      </c>
      <c r="M161" s="536">
        <f t="shared" si="179"/>
        <v>0</v>
      </c>
      <c r="N161" s="536">
        <f t="shared" si="179"/>
        <v>0</v>
      </c>
      <c r="O161" s="619">
        <f t="shared" si="179"/>
        <v>36000</v>
      </c>
      <c r="P161" s="619">
        <f t="shared" si="179"/>
        <v>0</v>
      </c>
      <c r="Q161" s="619">
        <f t="shared" si="179"/>
        <v>0</v>
      </c>
      <c r="R161" s="619">
        <f t="shared" si="179"/>
        <v>0</v>
      </c>
      <c r="S161" s="619"/>
      <c r="T161" s="619"/>
      <c r="U161" s="2613"/>
      <c r="V161" s="2379"/>
    </row>
    <row r="162" spans="1:22" ht="12.75" customHeight="1">
      <c r="A162" s="2799"/>
      <c r="B162" s="2357" t="s">
        <v>399</v>
      </c>
      <c r="C162" s="2819"/>
      <c r="D162" s="992">
        <f>M162+N162+O162+P162+Q162+R162</f>
        <v>36000</v>
      </c>
      <c r="E162" s="890">
        <v>0</v>
      </c>
      <c r="F162" s="890"/>
      <c r="G162" s="890"/>
      <c r="H162" s="890"/>
      <c r="I162" s="890">
        <v>0</v>
      </c>
      <c r="J162" s="890">
        <v>0</v>
      </c>
      <c r="K162" s="890">
        <v>0</v>
      </c>
      <c r="L162" s="890">
        <v>0</v>
      </c>
      <c r="M162" s="1461">
        <f t="shared" ref="M162" si="180">E162+I162+J162+K162+L162</f>
        <v>0</v>
      </c>
      <c r="N162" s="890">
        <v>0</v>
      </c>
      <c r="O162" s="1525">
        <v>36000</v>
      </c>
      <c r="P162" s="1525">
        <f>18000-18000</f>
        <v>0</v>
      </c>
      <c r="Q162" s="1525">
        <v>0</v>
      </c>
      <c r="R162" s="1525">
        <v>0</v>
      </c>
      <c r="S162" s="1525"/>
      <c r="T162" s="1525"/>
      <c r="U162" s="2613"/>
      <c r="V162" s="2379"/>
    </row>
    <row r="163" spans="1:22" ht="11.25" hidden="1" customHeight="1">
      <c r="A163" s="2799"/>
      <c r="B163" s="691" t="s">
        <v>37</v>
      </c>
      <c r="C163" s="2819"/>
      <c r="D163" s="890">
        <f>+E163+I163+J163+K163+L163+N163</f>
        <v>0</v>
      </c>
      <c r="E163" s="890">
        <v>0</v>
      </c>
      <c r="F163" s="890"/>
      <c r="G163" s="890"/>
      <c r="H163" s="890"/>
      <c r="I163" s="890"/>
      <c r="J163" s="890"/>
      <c r="K163" s="890">
        <v>0</v>
      </c>
      <c r="L163" s="890">
        <v>0</v>
      </c>
      <c r="M163" s="890">
        <v>0</v>
      </c>
      <c r="N163" s="890"/>
      <c r="O163" s="2363"/>
      <c r="P163" s="2364"/>
      <c r="Q163" s="2364"/>
      <c r="R163" s="2364"/>
      <c r="S163" s="2364"/>
      <c r="T163" s="2364"/>
      <c r="U163" s="2613"/>
      <c r="V163" s="2379"/>
    </row>
    <row r="164" spans="1:22" ht="12.75" customHeight="1">
      <c r="A164" s="2799"/>
      <c r="B164" s="1465" t="s">
        <v>30</v>
      </c>
      <c r="C164" s="2819"/>
      <c r="D164" s="536">
        <f t="shared" ref="D164:R164" si="181">+D165</f>
        <v>64000</v>
      </c>
      <c r="E164" s="536">
        <f t="shared" si="181"/>
        <v>0</v>
      </c>
      <c r="F164" s="536">
        <f t="shared" si="181"/>
        <v>0</v>
      </c>
      <c r="G164" s="536">
        <f t="shared" si="181"/>
        <v>0</v>
      </c>
      <c r="H164" s="536">
        <f t="shared" si="181"/>
        <v>0</v>
      </c>
      <c r="I164" s="536">
        <f t="shared" si="181"/>
        <v>0</v>
      </c>
      <c r="J164" s="536">
        <f t="shared" si="181"/>
        <v>0</v>
      </c>
      <c r="K164" s="536">
        <f t="shared" si="181"/>
        <v>0</v>
      </c>
      <c r="L164" s="536">
        <f t="shared" si="181"/>
        <v>0</v>
      </c>
      <c r="M164" s="536">
        <f t="shared" si="181"/>
        <v>0</v>
      </c>
      <c r="N164" s="536">
        <f t="shared" si="181"/>
        <v>0</v>
      </c>
      <c r="O164" s="619">
        <f t="shared" si="181"/>
        <v>64000</v>
      </c>
      <c r="P164" s="619">
        <f t="shared" si="181"/>
        <v>0</v>
      </c>
      <c r="Q164" s="619">
        <f t="shared" si="181"/>
        <v>0</v>
      </c>
      <c r="R164" s="619">
        <f t="shared" si="181"/>
        <v>0</v>
      </c>
      <c r="S164" s="619"/>
      <c r="T164" s="619"/>
      <c r="U164" s="2613"/>
      <c r="V164" s="2379"/>
    </row>
    <row r="165" spans="1:22" s="1999" customFormat="1" ht="15.75" customHeight="1" thickBot="1">
      <c r="A165" s="2800"/>
      <c r="B165" s="2359" t="s">
        <v>400</v>
      </c>
      <c r="C165" s="2820"/>
      <c r="D165" s="992">
        <f>M165+N165+O165+P165+Q165+R165</f>
        <v>64000</v>
      </c>
      <c r="E165" s="1220">
        <v>0</v>
      </c>
      <c r="F165" s="1220"/>
      <c r="G165" s="1220"/>
      <c r="H165" s="1220"/>
      <c r="I165" s="1220">
        <v>0</v>
      </c>
      <c r="J165" s="1220">
        <v>0</v>
      </c>
      <c r="K165" s="1220">
        <v>0</v>
      </c>
      <c r="L165" s="1220">
        <v>0</v>
      </c>
      <c r="M165" s="1461">
        <f t="shared" ref="M165" si="182">E165+I165+J165+K165+L165</f>
        <v>0</v>
      </c>
      <c r="N165" s="1220">
        <v>0</v>
      </c>
      <c r="O165" s="1538">
        <v>64000</v>
      </c>
      <c r="P165" s="1538">
        <f>32000-32000</f>
        <v>0</v>
      </c>
      <c r="Q165" s="1538">
        <v>0</v>
      </c>
      <c r="R165" s="1538">
        <v>0</v>
      </c>
      <c r="S165" s="1538"/>
      <c r="T165" s="1538"/>
      <c r="U165" s="2614"/>
      <c r="V165" s="2380"/>
    </row>
    <row r="166" spans="1:22" ht="35.25" hidden="1" customHeight="1">
      <c r="A166" s="2798">
        <v>0</v>
      </c>
      <c r="B166" s="1539" t="s">
        <v>278</v>
      </c>
      <c r="C166" s="1540" t="s">
        <v>102</v>
      </c>
      <c r="D166" s="1540"/>
      <c r="E166" s="2000"/>
      <c r="F166" s="2000"/>
      <c r="G166" s="2000"/>
      <c r="H166" s="2000"/>
      <c r="I166" s="759"/>
      <c r="J166" s="759"/>
      <c r="K166" s="759"/>
      <c r="L166" s="759"/>
      <c r="M166" s="759"/>
      <c r="N166" s="759"/>
      <c r="O166" s="759"/>
      <c r="P166" s="759"/>
      <c r="Q166" s="759"/>
      <c r="R166" s="759"/>
      <c r="S166" s="759"/>
      <c r="T166" s="759"/>
      <c r="U166" s="1541"/>
      <c r="V166" s="2383" t="s">
        <v>279</v>
      </c>
    </row>
    <row r="167" spans="1:22" ht="11.25" hidden="1" customHeight="1">
      <c r="A167" s="2799"/>
      <c r="B167" s="1542" t="s">
        <v>22</v>
      </c>
      <c r="C167" s="1534"/>
      <c r="D167" s="1543">
        <f t="shared" ref="D167:L167" si="183">+D168+D171</f>
        <v>0</v>
      </c>
      <c r="E167" s="2001">
        <f t="shared" si="183"/>
        <v>0</v>
      </c>
      <c r="F167" s="2002">
        <f t="shared" si="183"/>
        <v>0</v>
      </c>
      <c r="G167" s="2002">
        <f t="shared" si="183"/>
        <v>0</v>
      </c>
      <c r="H167" s="2002">
        <f t="shared" si="183"/>
        <v>0</v>
      </c>
      <c r="I167" s="2002">
        <f t="shared" si="183"/>
        <v>0</v>
      </c>
      <c r="J167" s="2002">
        <f t="shared" si="183"/>
        <v>0</v>
      </c>
      <c r="K167" s="2002">
        <f t="shared" si="183"/>
        <v>0</v>
      </c>
      <c r="L167" s="2002">
        <f t="shared" si="183"/>
        <v>0</v>
      </c>
      <c r="M167" s="1812"/>
      <c r="N167" s="1544"/>
      <c r="O167" s="1545"/>
      <c r="P167" s="1545"/>
      <c r="Q167" s="1545"/>
      <c r="R167" s="1545"/>
      <c r="S167" s="1545"/>
      <c r="T167" s="1545"/>
      <c r="U167" s="1546"/>
      <c r="V167" s="2384"/>
    </row>
    <row r="168" spans="1:22" ht="11.25" hidden="1" customHeight="1">
      <c r="A168" s="2799"/>
      <c r="B168" s="1547" t="s">
        <v>23</v>
      </c>
      <c r="C168" s="2821" t="s">
        <v>269</v>
      </c>
      <c r="D168" s="1548">
        <f>+D169+D170</f>
        <v>0</v>
      </c>
      <c r="E168" s="2003">
        <f>+E169+E170</f>
        <v>0</v>
      </c>
      <c r="F168" s="1548">
        <f>+F169+F170</f>
        <v>0</v>
      </c>
      <c r="G168" s="1548">
        <f>+G169+G170</f>
        <v>0</v>
      </c>
      <c r="H168" s="1548">
        <f>+H169+H170</f>
        <v>0</v>
      </c>
      <c r="I168" s="1549">
        <f>SUM(I169:I170)</f>
        <v>0</v>
      </c>
      <c r="J168" s="1549">
        <f>SUM(J169:J170)</f>
        <v>0</v>
      </c>
      <c r="K168" s="1549">
        <f>SUM(K169:K170)</f>
        <v>0</v>
      </c>
      <c r="L168" s="1549">
        <f>SUM(L169:L170)</f>
        <v>0</v>
      </c>
      <c r="M168" s="1549"/>
      <c r="N168" s="1550"/>
      <c r="O168" s="1551"/>
      <c r="P168" s="1551"/>
      <c r="Q168" s="1551"/>
      <c r="R168" s="1551"/>
      <c r="S168" s="1551"/>
      <c r="T168" s="1551"/>
      <c r="U168" s="1552"/>
      <c r="V168" s="2384"/>
    </row>
    <row r="169" spans="1:22" ht="11.25" hidden="1" customHeight="1">
      <c r="A169" s="2799"/>
      <c r="B169" s="757" t="s">
        <v>24</v>
      </c>
      <c r="C169" s="2446"/>
      <c r="D169" s="1553">
        <f>+E169+I169+J169+K169+L169+N169</f>
        <v>0</v>
      </c>
      <c r="E169" s="2004"/>
      <c r="F169" s="2005"/>
      <c r="G169" s="2005"/>
      <c r="H169" s="2005"/>
      <c r="I169" s="1554">
        <v>0</v>
      </c>
      <c r="J169" s="1554">
        <v>0</v>
      </c>
      <c r="K169" s="1554">
        <v>0</v>
      </c>
      <c r="L169" s="1554">
        <v>0</v>
      </c>
      <c r="M169" s="1554"/>
      <c r="N169" s="1555"/>
      <c r="O169" s="1554"/>
      <c r="P169" s="1554"/>
      <c r="Q169" s="1554"/>
      <c r="R169" s="1554"/>
      <c r="S169" s="1554"/>
      <c r="T169" s="1554"/>
      <c r="U169" s="1556"/>
      <c r="V169" s="2384"/>
    </row>
    <row r="170" spans="1:22" ht="11.25" hidden="1" customHeight="1">
      <c r="A170" s="2799"/>
      <c r="B170" s="1557" t="s">
        <v>25</v>
      </c>
      <c r="C170" s="2446"/>
      <c r="D170" s="1553">
        <f>+E170+I170+J170+K170+L170+N170</f>
        <v>0</v>
      </c>
      <c r="E170" s="2006">
        <v>0</v>
      </c>
      <c r="F170" s="2007"/>
      <c r="G170" s="2007"/>
      <c r="H170" s="2007">
        <v>0</v>
      </c>
      <c r="I170" s="2008"/>
      <c r="J170" s="2008"/>
      <c r="K170" s="1554"/>
      <c r="L170" s="1554"/>
      <c r="M170" s="1554"/>
      <c r="N170" s="1555"/>
      <c r="O170" s="1554"/>
      <c r="P170" s="1554"/>
      <c r="Q170" s="1554"/>
      <c r="R170" s="1554"/>
      <c r="S170" s="1554"/>
      <c r="T170" s="1554"/>
      <c r="U170" s="1556"/>
      <c r="V170" s="2384"/>
    </row>
    <row r="171" spans="1:22" ht="11.25" hidden="1" customHeight="1">
      <c r="A171" s="2799"/>
      <c r="B171" s="1558" t="s">
        <v>30</v>
      </c>
      <c r="C171" s="2446"/>
      <c r="D171" s="1548">
        <f t="shared" ref="D171:L171" si="184">+D172</f>
        <v>0</v>
      </c>
      <c r="E171" s="2003">
        <f t="shared" si="184"/>
        <v>0</v>
      </c>
      <c r="F171" s="1548"/>
      <c r="G171" s="1548"/>
      <c r="H171" s="1548">
        <f t="shared" si="184"/>
        <v>0</v>
      </c>
      <c r="I171" s="1559">
        <f t="shared" si="184"/>
        <v>0</v>
      </c>
      <c r="J171" s="1559">
        <f t="shared" si="184"/>
        <v>0</v>
      </c>
      <c r="K171" s="1559">
        <f>+K172</f>
        <v>0</v>
      </c>
      <c r="L171" s="1559">
        <f t="shared" si="184"/>
        <v>0</v>
      </c>
      <c r="M171" s="1559"/>
      <c r="N171" s="1560"/>
      <c r="O171" s="1548"/>
      <c r="P171" s="1548"/>
      <c r="Q171" s="1548"/>
      <c r="R171" s="1548"/>
      <c r="S171" s="1548"/>
      <c r="T171" s="1548"/>
      <c r="U171" s="1561"/>
      <c r="V171" s="2384"/>
    </row>
    <row r="172" spans="1:22" ht="11.25" hidden="1" customHeight="1">
      <c r="A172" s="2799"/>
      <c r="B172" s="1562" t="s">
        <v>33</v>
      </c>
      <c r="C172" s="2566"/>
      <c r="D172" s="1553">
        <f>+E172+I172+J172+K172+L172+N172</f>
        <v>0</v>
      </c>
      <c r="E172" s="2006">
        <v>0</v>
      </c>
      <c r="F172" s="2007"/>
      <c r="G172" s="2007"/>
      <c r="H172" s="2007">
        <v>0</v>
      </c>
      <c r="I172" s="2008"/>
      <c r="J172" s="2009"/>
      <c r="K172" s="1554"/>
      <c r="L172" s="1554"/>
      <c r="M172" s="1554"/>
      <c r="N172" s="1555"/>
      <c r="O172" s="1554"/>
      <c r="P172" s="1554"/>
      <c r="Q172" s="1554"/>
      <c r="R172" s="1554"/>
      <c r="S172" s="1554"/>
      <c r="T172" s="1554"/>
      <c r="U172" s="1556"/>
      <c r="V172" s="2384"/>
    </row>
    <row r="173" spans="1:22" ht="11.25" hidden="1" customHeight="1">
      <c r="A173" s="2799"/>
      <c r="B173" s="770" t="s">
        <v>34</v>
      </c>
      <c r="C173" s="1534"/>
      <c r="D173" s="1545">
        <f>+D174+D177</f>
        <v>0</v>
      </c>
      <c r="E173" s="2010">
        <f>+E174+E177</f>
        <v>0</v>
      </c>
      <c r="F173" s="2010"/>
      <c r="G173" s="2010"/>
      <c r="H173" s="2010"/>
      <c r="I173" s="1545">
        <f>+I174+I177</f>
        <v>0</v>
      </c>
      <c r="J173" s="1545">
        <f>+J174+J177</f>
        <v>0</v>
      </c>
      <c r="K173" s="1545">
        <f>+K174+K177</f>
        <v>0</v>
      </c>
      <c r="L173" s="2002">
        <f>+L174+L177</f>
        <v>0</v>
      </c>
      <c r="M173" s="1812"/>
      <c r="N173" s="1544"/>
      <c r="O173" s="1545"/>
      <c r="P173" s="1545"/>
      <c r="Q173" s="1545"/>
      <c r="R173" s="1545"/>
      <c r="S173" s="1819"/>
      <c r="T173" s="1819"/>
      <c r="U173" s="2822"/>
      <c r="V173" s="2384"/>
    </row>
    <row r="174" spans="1:22" ht="11.25" hidden="1" customHeight="1">
      <c r="A174" s="2799"/>
      <c r="B174" s="1547" t="s">
        <v>23</v>
      </c>
      <c r="C174" s="2824" t="s">
        <v>269</v>
      </c>
      <c r="D174" s="773">
        <f>+D175+D176</f>
        <v>0</v>
      </c>
      <c r="E174" s="2011">
        <f>+E175+E176</f>
        <v>0</v>
      </c>
      <c r="F174" s="2011"/>
      <c r="G174" s="2011"/>
      <c r="H174" s="2011"/>
      <c r="I174" s="1563">
        <f>+I175+I176</f>
        <v>0</v>
      </c>
      <c r="J174" s="1563">
        <f>+J175+J176</f>
        <v>0</v>
      </c>
      <c r="K174" s="772">
        <f>+K175+K176</f>
        <v>0</v>
      </c>
      <c r="L174" s="1563">
        <f>+L175+L176</f>
        <v>0</v>
      </c>
      <c r="M174" s="1563"/>
      <c r="N174" s="1564"/>
      <c r="O174" s="772"/>
      <c r="P174" s="772"/>
      <c r="Q174" s="772"/>
      <c r="R174" s="772"/>
      <c r="S174" s="1820"/>
      <c r="T174" s="1820"/>
      <c r="U174" s="2823"/>
      <c r="V174" s="2384"/>
    </row>
    <row r="175" spans="1:22" ht="11.25" hidden="1" customHeight="1">
      <c r="A175" s="2799"/>
      <c r="B175" s="1557" t="s">
        <v>25</v>
      </c>
      <c r="C175" s="2825"/>
      <c r="D175" s="1553">
        <f>+E175+I175+J175+K175+L175+N175</f>
        <v>0</v>
      </c>
      <c r="E175" s="2006">
        <v>0</v>
      </c>
      <c r="F175" s="2006"/>
      <c r="G175" s="2006"/>
      <c r="H175" s="2006"/>
      <c r="I175" s="2008"/>
      <c r="J175" s="2012"/>
      <c r="K175" s="2008"/>
      <c r="L175" s="1554"/>
      <c r="M175" s="1554"/>
      <c r="N175" s="1555"/>
      <c r="O175" s="1565"/>
      <c r="P175" s="1565"/>
      <c r="Q175" s="1565"/>
      <c r="R175" s="1565"/>
      <c r="S175" s="1565"/>
      <c r="T175" s="1565"/>
      <c r="U175" s="2823"/>
      <c r="V175" s="2384"/>
    </row>
    <row r="176" spans="1:22" ht="11.25" hidden="1" customHeight="1">
      <c r="A176" s="2799"/>
      <c r="B176" s="757" t="s">
        <v>37</v>
      </c>
      <c r="C176" s="2825"/>
      <c r="D176" s="1553">
        <f>+E176+I176+J176+K176+L176+N176</f>
        <v>0</v>
      </c>
      <c r="E176" s="2006">
        <v>0</v>
      </c>
      <c r="F176" s="2006"/>
      <c r="G176" s="2006"/>
      <c r="H176" s="2006"/>
      <c r="I176" s="1554"/>
      <c r="J176" s="2013"/>
      <c r="K176" s="2008">
        <v>0</v>
      </c>
      <c r="L176" s="1554">
        <v>0</v>
      </c>
      <c r="M176" s="1554"/>
      <c r="N176" s="1554"/>
      <c r="O176" s="1565"/>
      <c r="P176" s="1565"/>
      <c r="Q176" s="1565"/>
      <c r="R176" s="1565"/>
      <c r="S176" s="1565"/>
      <c r="T176" s="1565"/>
      <c r="U176" s="2823"/>
      <c r="V176" s="2384"/>
    </row>
    <row r="177" spans="1:22" ht="11.25" hidden="1" customHeight="1">
      <c r="A177" s="2799"/>
      <c r="B177" s="1558" t="s">
        <v>30</v>
      </c>
      <c r="C177" s="2825"/>
      <c r="D177" s="773">
        <f>+D178+D179</f>
        <v>0</v>
      </c>
      <c r="E177" s="2014">
        <f>+E178</f>
        <v>0</v>
      </c>
      <c r="F177" s="2014"/>
      <c r="G177" s="2014"/>
      <c r="H177" s="2014"/>
      <c r="I177" s="1563">
        <f>+I178+I179</f>
        <v>0</v>
      </c>
      <c r="J177" s="1563">
        <f>+J178+J179</f>
        <v>0</v>
      </c>
      <c r="K177" s="772">
        <f>+K178+K179</f>
        <v>0</v>
      </c>
      <c r="L177" s="1563">
        <f>+L178+L179</f>
        <v>0</v>
      </c>
      <c r="M177" s="1563"/>
      <c r="N177" s="1563"/>
      <c r="O177" s="772"/>
      <c r="P177" s="772"/>
      <c r="Q177" s="772"/>
      <c r="R177" s="772"/>
      <c r="S177" s="1820"/>
      <c r="T177" s="1820"/>
      <c r="U177" s="2823"/>
      <c r="V177" s="2384"/>
    </row>
    <row r="178" spans="1:22" ht="11.25" hidden="1" customHeight="1">
      <c r="A178" s="2799"/>
      <c r="B178" s="1557" t="s">
        <v>33</v>
      </c>
      <c r="C178" s="2825"/>
      <c r="D178" s="1553">
        <f>+E178+I178+J178+K178+L178+N178</f>
        <v>0</v>
      </c>
      <c r="E178" s="2015">
        <v>0</v>
      </c>
      <c r="F178" s="2015"/>
      <c r="G178" s="2015"/>
      <c r="H178" s="2015"/>
      <c r="I178" s="2016"/>
      <c r="J178" s="2017"/>
      <c r="K178" s="2016"/>
      <c r="L178" s="1566"/>
      <c r="M178" s="1566"/>
      <c r="N178" s="1555"/>
      <c r="O178" s="1554"/>
      <c r="P178" s="1554"/>
      <c r="Q178" s="1554"/>
      <c r="R178" s="1554"/>
      <c r="S178" s="1565"/>
      <c r="T178" s="1565"/>
      <c r="U178" s="2823"/>
      <c r="V178" s="2384"/>
    </row>
    <row r="179" spans="1:22" ht="11.25" hidden="1" customHeight="1" thickBot="1">
      <c r="A179" s="2800"/>
      <c r="B179" s="1567" t="s">
        <v>32</v>
      </c>
      <c r="C179" s="2826"/>
      <c r="D179" s="1568">
        <f>+E179+I179+J179+K179+L179+N179</f>
        <v>0</v>
      </c>
      <c r="E179" s="1998">
        <v>0</v>
      </c>
      <c r="F179" s="1998"/>
      <c r="G179" s="1998"/>
      <c r="H179" s="1998"/>
      <c r="I179" s="791"/>
      <c r="J179" s="1062"/>
      <c r="K179" s="791"/>
      <c r="L179" s="791"/>
      <c r="M179" s="791"/>
      <c r="N179" s="791"/>
      <c r="O179" s="791"/>
      <c r="P179" s="791"/>
      <c r="Q179" s="791"/>
      <c r="R179" s="791"/>
      <c r="S179" s="791"/>
      <c r="T179" s="791"/>
      <c r="U179" s="1537"/>
      <c r="V179" s="2385"/>
    </row>
    <row r="180" spans="1:22" s="1999" customFormat="1" ht="36" customHeight="1" thickBot="1">
      <c r="A180" s="1569" t="s">
        <v>280</v>
      </c>
      <c r="B180" s="1570"/>
      <c r="C180" s="1570"/>
      <c r="D180" s="1570"/>
      <c r="E180" s="2018"/>
      <c r="F180" s="2018">
        <f>+D184-D191</f>
        <v>0</v>
      </c>
      <c r="G180" s="2018"/>
      <c r="H180" s="2018"/>
      <c r="I180" s="1570"/>
      <c r="J180" s="1570"/>
      <c r="K180" s="1570"/>
      <c r="L180" s="1570"/>
      <c r="M180" s="1570"/>
      <c r="N180" s="1570"/>
      <c r="O180" s="1570"/>
      <c r="P180" s="1570"/>
      <c r="Q180" s="1570"/>
      <c r="R180" s="1570"/>
      <c r="S180" s="1570"/>
      <c r="T180" s="1570"/>
      <c r="U180" s="1571"/>
      <c r="V180" s="1572"/>
    </row>
    <row r="181" spans="1:22" s="1898" customFormat="1" ht="19.5" customHeight="1">
      <c r="A181" s="1424"/>
      <c r="B181" s="1099" t="s">
        <v>97</v>
      </c>
      <c r="C181" s="1107"/>
      <c r="D181" s="1100">
        <f>+D182+D183</f>
        <v>3128629</v>
      </c>
      <c r="E181" s="1100">
        <f t="shared" ref="E181:U181" si="185">+E182+E183</f>
        <v>0</v>
      </c>
      <c r="F181" s="1100">
        <f t="shared" si="185"/>
        <v>0</v>
      </c>
      <c r="G181" s="1100">
        <f t="shared" si="185"/>
        <v>0</v>
      </c>
      <c r="H181" s="1100">
        <f t="shared" si="185"/>
        <v>0</v>
      </c>
      <c r="I181" s="1100">
        <f t="shared" si="185"/>
        <v>0</v>
      </c>
      <c r="J181" s="1100">
        <f t="shared" si="185"/>
        <v>0</v>
      </c>
      <c r="K181" s="1100">
        <f t="shared" si="185"/>
        <v>94710</v>
      </c>
      <c r="L181" s="1100">
        <f t="shared" si="185"/>
        <v>1026450</v>
      </c>
      <c r="M181" s="1100">
        <f t="shared" ref="M181" si="186">+M182+M183</f>
        <v>1121160</v>
      </c>
      <c r="N181" s="1100">
        <f t="shared" si="185"/>
        <v>1465583</v>
      </c>
      <c r="O181" s="1100">
        <f t="shared" si="185"/>
        <v>541886</v>
      </c>
      <c r="P181" s="1100">
        <f t="shared" si="185"/>
        <v>0</v>
      </c>
      <c r="Q181" s="1100">
        <f t="shared" si="185"/>
        <v>0</v>
      </c>
      <c r="R181" s="1100">
        <f t="shared" si="185"/>
        <v>0</v>
      </c>
      <c r="S181" s="1111"/>
      <c r="T181" s="1111"/>
      <c r="U181" s="843">
        <f t="shared" si="185"/>
        <v>541886</v>
      </c>
      <c r="V181" s="399"/>
    </row>
    <row r="182" spans="1:22" s="1898" customFormat="1" ht="12.75" customHeight="1">
      <c r="A182" s="1425"/>
      <c r="B182" s="1093" t="s">
        <v>98</v>
      </c>
      <c r="C182" s="1094"/>
      <c r="D182" s="1095">
        <v>0</v>
      </c>
      <c r="E182" s="1095">
        <v>0</v>
      </c>
      <c r="F182" s="1095">
        <v>0</v>
      </c>
      <c r="G182" s="1095">
        <v>0</v>
      </c>
      <c r="H182" s="1095">
        <v>0</v>
      </c>
      <c r="I182" s="1095">
        <v>0</v>
      </c>
      <c r="J182" s="1095">
        <v>0</v>
      </c>
      <c r="K182" s="1095">
        <v>0</v>
      </c>
      <c r="L182" s="1095">
        <v>0</v>
      </c>
      <c r="M182" s="1095">
        <v>0</v>
      </c>
      <c r="N182" s="1095">
        <v>0</v>
      </c>
      <c r="O182" s="1095">
        <v>0</v>
      </c>
      <c r="P182" s="1095">
        <v>0</v>
      </c>
      <c r="Q182" s="1095">
        <v>0</v>
      </c>
      <c r="R182" s="1095">
        <v>0</v>
      </c>
      <c r="S182" s="1095"/>
      <c r="T182" s="1095"/>
      <c r="U182" s="400">
        <f>SUM(O182:R182)</f>
        <v>0</v>
      </c>
      <c r="V182" s="399"/>
    </row>
    <row r="183" spans="1:22" s="1898" customFormat="1" ht="15" customHeight="1" thickBot="1">
      <c r="A183" s="1425"/>
      <c r="B183" s="1096" t="s">
        <v>21</v>
      </c>
      <c r="C183" s="1097"/>
      <c r="D183" s="1098">
        <f>+D198+D210+D217</f>
        <v>3128629</v>
      </c>
      <c r="E183" s="1098">
        <f t="shared" ref="E183:R183" si="187">+E198+E210+E217</f>
        <v>0</v>
      </c>
      <c r="F183" s="1098">
        <f t="shared" si="187"/>
        <v>0</v>
      </c>
      <c r="G183" s="1098">
        <f t="shared" si="187"/>
        <v>0</v>
      </c>
      <c r="H183" s="1098">
        <f t="shared" si="187"/>
        <v>0</v>
      </c>
      <c r="I183" s="1098">
        <f t="shared" si="187"/>
        <v>0</v>
      </c>
      <c r="J183" s="1098">
        <f t="shared" si="187"/>
        <v>0</v>
      </c>
      <c r="K183" s="1098">
        <f t="shared" si="187"/>
        <v>94710</v>
      </c>
      <c r="L183" s="1098">
        <f t="shared" si="187"/>
        <v>1026450</v>
      </c>
      <c r="M183" s="1098">
        <f t="shared" ref="M183" si="188">+M198+M210+M217</f>
        <v>1121160</v>
      </c>
      <c r="N183" s="1098">
        <f t="shared" si="187"/>
        <v>1465583</v>
      </c>
      <c r="O183" s="1098">
        <f t="shared" si="187"/>
        <v>541886</v>
      </c>
      <c r="P183" s="1098">
        <f t="shared" si="187"/>
        <v>0</v>
      </c>
      <c r="Q183" s="1098">
        <f t="shared" si="187"/>
        <v>0</v>
      </c>
      <c r="R183" s="1098">
        <f t="shared" si="187"/>
        <v>0</v>
      </c>
      <c r="S183" s="1098"/>
      <c r="T183" s="1098"/>
      <c r="U183" s="843">
        <f>SUM(O183:R183)</f>
        <v>541886</v>
      </c>
      <c r="V183" s="399"/>
    </row>
    <row r="184" spans="1:22" ht="14.25" customHeight="1">
      <c r="A184" s="1425"/>
      <c r="B184" s="401" t="s">
        <v>22</v>
      </c>
      <c r="C184" s="1573"/>
      <c r="D184" s="1574">
        <f>+D185</f>
        <v>3128629</v>
      </c>
      <c r="E184" s="1575">
        <f t="shared" ref="E184:O184" si="189">+E185</f>
        <v>0</v>
      </c>
      <c r="F184" s="1574">
        <f t="shared" si="189"/>
        <v>0</v>
      </c>
      <c r="G184" s="1574">
        <f t="shared" si="189"/>
        <v>0</v>
      </c>
      <c r="H184" s="1574">
        <f t="shared" si="189"/>
        <v>0</v>
      </c>
      <c r="I184" s="1575">
        <f t="shared" si="189"/>
        <v>0</v>
      </c>
      <c r="J184" s="1575">
        <f t="shared" si="189"/>
        <v>0</v>
      </c>
      <c r="K184" s="1575">
        <f t="shared" si="189"/>
        <v>94710</v>
      </c>
      <c r="L184" s="1575">
        <f t="shared" si="189"/>
        <v>1026450</v>
      </c>
      <c r="M184" s="1575">
        <f t="shared" si="189"/>
        <v>1121160</v>
      </c>
      <c r="N184" s="1575">
        <f t="shared" si="189"/>
        <v>1465583</v>
      </c>
      <c r="O184" s="1575">
        <f t="shared" si="189"/>
        <v>541886</v>
      </c>
      <c r="P184" s="1575"/>
      <c r="Q184" s="1575"/>
      <c r="R184" s="1576"/>
      <c r="S184" s="1576"/>
      <c r="T184" s="1576"/>
      <c r="U184" s="850">
        <f>+U185</f>
        <v>541886</v>
      </c>
      <c r="V184" s="399"/>
    </row>
    <row r="185" spans="1:22" ht="12.95" customHeight="1">
      <c r="A185" s="1577"/>
      <c r="B185" s="405" t="s">
        <v>23</v>
      </c>
      <c r="C185" s="1434"/>
      <c r="D185" s="1435">
        <f>+D189+D190</f>
        <v>3128629</v>
      </c>
      <c r="E185" s="1435">
        <f t="shared" ref="E185:N185" si="190">+E189+E190</f>
        <v>0</v>
      </c>
      <c r="F185" s="1435">
        <f t="shared" si="190"/>
        <v>0</v>
      </c>
      <c r="G185" s="1435">
        <f t="shared" si="190"/>
        <v>0</v>
      </c>
      <c r="H185" s="1435">
        <f t="shared" si="190"/>
        <v>0</v>
      </c>
      <c r="I185" s="1435">
        <f t="shared" si="190"/>
        <v>0</v>
      </c>
      <c r="J185" s="1435">
        <f t="shared" si="190"/>
        <v>0</v>
      </c>
      <c r="K185" s="1435">
        <f t="shared" si="190"/>
        <v>94710</v>
      </c>
      <c r="L185" s="1435">
        <f t="shared" si="190"/>
        <v>1026450</v>
      </c>
      <c r="M185" s="1435">
        <f t="shared" ref="M185" si="191">+M189+M190</f>
        <v>1121160</v>
      </c>
      <c r="N185" s="1435">
        <f t="shared" si="190"/>
        <v>1465583</v>
      </c>
      <c r="O185" s="1435">
        <f>+O189+O190</f>
        <v>541886</v>
      </c>
      <c r="P185" s="1435"/>
      <c r="Q185" s="1435"/>
      <c r="R185" s="1435"/>
      <c r="S185" s="1435"/>
      <c r="T185" s="1435"/>
      <c r="U185" s="1436">
        <f>+U189+U190</f>
        <v>541886</v>
      </c>
      <c r="V185" s="399"/>
    </row>
    <row r="186" spans="1:22" ht="12.95" hidden="1" customHeight="1">
      <c r="A186" s="1437"/>
      <c r="B186" s="1438" t="s">
        <v>24</v>
      </c>
      <c r="C186" s="1439"/>
      <c r="D186" s="439">
        <v>0</v>
      </c>
      <c r="E186" s="439">
        <v>0</v>
      </c>
      <c r="F186" s="439">
        <v>0</v>
      </c>
      <c r="G186" s="439">
        <v>0</v>
      </c>
      <c r="H186" s="439">
        <v>0</v>
      </c>
      <c r="I186" s="439">
        <v>0</v>
      </c>
      <c r="J186" s="439">
        <v>0</v>
      </c>
      <c r="K186" s="439">
        <v>0</v>
      </c>
      <c r="L186" s="1578">
        <v>0</v>
      </c>
      <c r="M186" s="1578">
        <v>0</v>
      </c>
      <c r="N186" s="1578">
        <v>0</v>
      </c>
      <c r="O186" s="439"/>
      <c r="P186" s="439"/>
      <c r="Q186" s="439"/>
      <c r="R186" s="439"/>
      <c r="S186" s="439"/>
      <c r="T186" s="439"/>
      <c r="U186" s="1462">
        <f>+N186+O186+P186+Q186+R186</f>
        <v>0</v>
      </c>
      <c r="V186" s="399"/>
    </row>
    <row r="187" spans="1:22" ht="13.5" hidden="1" customHeight="1">
      <c r="A187" s="1437"/>
      <c r="B187" s="1579" t="s">
        <v>25</v>
      </c>
      <c r="C187" s="1580"/>
      <c r="D187" s="1581">
        <v>0</v>
      </c>
      <c r="E187" s="1581">
        <v>0</v>
      </c>
      <c r="F187" s="1581">
        <v>0</v>
      </c>
      <c r="G187" s="1581">
        <v>0</v>
      </c>
      <c r="H187" s="1581">
        <v>0</v>
      </c>
      <c r="I187" s="1581">
        <v>0</v>
      </c>
      <c r="J187" s="1581">
        <v>0</v>
      </c>
      <c r="K187" s="1581">
        <v>0</v>
      </c>
      <c r="L187" s="1582">
        <v>0</v>
      </c>
      <c r="M187" s="1582">
        <v>0</v>
      </c>
      <c r="N187" s="1582">
        <v>0</v>
      </c>
      <c r="O187" s="1581"/>
      <c r="P187" s="1581"/>
      <c r="Q187" s="1581"/>
      <c r="R187" s="1581"/>
      <c r="S187" s="1581"/>
      <c r="T187" s="1581"/>
      <c r="U187" s="1462">
        <f>+K187+L187+N187+O187+P187+Q187</f>
        <v>0</v>
      </c>
      <c r="V187" s="399"/>
    </row>
    <row r="188" spans="1:22" ht="12.75" hidden="1" customHeight="1">
      <c r="A188" s="1437"/>
      <c r="B188" s="426" t="s">
        <v>25</v>
      </c>
      <c r="C188" s="1580"/>
      <c r="D188" s="1581">
        <v>0</v>
      </c>
      <c r="E188" s="1581">
        <v>0</v>
      </c>
      <c r="F188" s="1581">
        <v>0</v>
      </c>
      <c r="G188" s="1581">
        <v>0</v>
      </c>
      <c r="H188" s="1581">
        <v>0</v>
      </c>
      <c r="I188" s="1581">
        <v>0</v>
      </c>
      <c r="J188" s="1581">
        <v>0</v>
      </c>
      <c r="K188" s="1581">
        <v>0</v>
      </c>
      <c r="L188" s="1582">
        <v>0</v>
      </c>
      <c r="M188" s="1582">
        <v>0</v>
      </c>
      <c r="N188" s="1582">
        <v>0</v>
      </c>
      <c r="O188" s="1581"/>
      <c r="P188" s="1581"/>
      <c r="Q188" s="1581"/>
      <c r="R188" s="1581"/>
      <c r="S188" s="1581"/>
      <c r="T188" s="1581"/>
      <c r="U188" s="1462">
        <f>+N188+O188+P188+Q188</f>
        <v>0</v>
      </c>
      <c r="V188" s="399"/>
    </row>
    <row r="189" spans="1:22" s="1999" customFormat="1" ht="12.75" customHeight="1">
      <c r="A189" s="1583"/>
      <c r="B189" s="1584" t="s">
        <v>26</v>
      </c>
      <c r="C189" s="1580"/>
      <c r="D189" s="1581">
        <f>+D201+D219</f>
        <v>47355</v>
      </c>
      <c r="E189" s="1581">
        <f t="shared" ref="E189:O189" si="192">+E201+E219</f>
        <v>0</v>
      </c>
      <c r="F189" s="1581">
        <f t="shared" si="192"/>
        <v>0</v>
      </c>
      <c r="G189" s="1581">
        <f t="shared" si="192"/>
        <v>0</v>
      </c>
      <c r="H189" s="1581">
        <f t="shared" si="192"/>
        <v>0</v>
      </c>
      <c r="I189" s="1581">
        <f t="shared" si="192"/>
        <v>0</v>
      </c>
      <c r="J189" s="1581">
        <f t="shared" si="192"/>
        <v>0</v>
      </c>
      <c r="K189" s="1581">
        <f t="shared" si="192"/>
        <v>47355</v>
      </c>
      <c r="L189" s="1581">
        <f t="shared" si="192"/>
        <v>0</v>
      </c>
      <c r="M189" s="1581">
        <f t="shared" ref="M189" si="193">+M201+M219</f>
        <v>47355</v>
      </c>
      <c r="N189" s="1581">
        <f t="shared" si="192"/>
        <v>0</v>
      </c>
      <c r="O189" s="1581">
        <f t="shared" si="192"/>
        <v>0</v>
      </c>
      <c r="P189" s="1581"/>
      <c r="Q189" s="1581"/>
      <c r="R189" s="1581"/>
      <c r="S189" s="1581"/>
      <c r="T189" s="1581"/>
      <c r="U189" s="1462">
        <f>SUM(O189:T189)</f>
        <v>0</v>
      </c>
      <c r="V189" s="1585"/>
    </row>
    <row r="190" spans="1:22" ht="12.75" customHeight="1">
      <c r="A190" s="1437"/>
      <c r="B190" s="1438" t="s">
        <v>78</v>
      </c>
      <c r="C190" s="421"/>
      <c r="D190" s="439">
        <f>+D202+D212+D220</f>
        <v>3081274</v>
      </c>
      <c r="E190" s="439">
        <f t="shared" ref="E190:O190" si="194">+E202+E212+E220</f>
        <v>0</v>
      </c>
      <c r="F190" s="439">
        <f t="shared" si="194"/>
        <v>0</v>
      </c>
      <c r="G190" s="439">
        <f t="shared" si="194"/>
        <v>0</v>
      </c>
      <c r="H190" s="439">
        <f t="shared" si="194"/>
        <v>0</v>
      </c>
      <c r="I190" s="439">
        <f t="shared" si="194"/>
        <v>0</v>
      </c>
      <c r="J190" s="439">
        <f t="shared" si="194"/>
        <v>0</v>
      </c>
      <c r="K190" s="439">
        <f t="shared" si="194"/>
        <v>47355</v>
      </c>
      <c r="L190" s="439">
        <f t="shared" si="194"/>
        <v>1026450</v>
      </c>
      <c r="M190" s="439">
        <f t="shared" ref="M190" si="195">+M202+M212+M220</f>
        <v>1073805</v>
      </c>
      <c r="N190" s="439">
        <f t="shared" si="194"/>
        <v>1465583</v>
      </c>
      <c r="O190" s="439">
        <f t="shared" si="194"/>
        <v>541886</v>
      </c>
      <c r="P190" s="439"/>
      <c r="Q190" s="439"/>
      <c r="R190" s="439"/>
      <c r="S190" s="439"/>
      <c r="T190" s="439"/>
      <c r="U190" s="1462">
        <f>SUM(O190:T190)</f>
        <v>541886</v>
      </c>
      <c r="V190" s="399"/>
    </row>
    <row r="191" spans="1:22" ht="15" customHeight="1">
      <c r="A191" s="1425"/>
      <c r="B191" s="427" t="s">
        <v>34</v>
      </c>
      <c r="C191" s="428"/>
      <c r="D191" s="1445">
        <f>+D192</f>
        <v>3128629</v>
      </c>
      <c r="E191" s="1445">
        <f t="shared" ref="E191:O191" si="196">+E192</f>
        <v>0</v>
      </c>
      <c r="F191" s="1445">
        <f t="shared" si="196"/>
        <v>0</v>
      </c>
      <c r="G191" s="1445">
        <f t="shared" si="196"/>
        <v>0</v>
      </c>
      <c r="H191" s="1445">
        <f t="shared" si="196"/>
        <v>0</v>
      </c>
      <c r="I191" s="1445">
        <f t="shared" si="196"/>
        <v>0</v>
      </c>
      <c r="J191" s="1445">
        <f t="shared" si="196"/>
        <v>0</v>
      </c>
      <c r="K191" s="1445">
        <f t="shared" si="196"/>
        <v>94710</v>
      </c>
      <c r="L191" s="1445">
        <f t="shared" si="196"/>
        <v>1026450</v>
      </c>
      <c r="M191" s="1445">
        <f t="shared" si="196"/>
        <v>1121160</v>
      </c>
      <c r="N191" s="1445">
        <f t="shared" si="196"/>
        <v>1465583</v>
      </c>
      <c r="O191" s="1445">
        <f t="shared" si="196"/>
        <v>541886</v>
      </c>
      <c r="P191" s="1445"/>
      <c r="Q191" s="1445"/>
      <c r="R191" s="1445"/>
      <c r="S191" s="1445"/>
      <c r="T191" s="1445"/>
      <c r="U191" s="2612" t="s">
        <v>77</v>
      </c>
      <c r="V191" s="399"/>
    </row>
    <row r="192" spans="1:22" ht="12" customHeight="1">
      <c r="A192" s="1432"/>
      <c r="B192" s="1433" t="s">
        <v>23</v>
      </c>
      <c r="C192" s="1434"/>
      <c r="D192" s="1435">
        <f t="shared" ref="D192:N192" si="197">SUM(D194:D196)</f>
        <v>3128629</v>
      </c>
      <c r="E192" s="1435">
        <f t="shared" si="197"/>
        <v>0</v>
      </c>
      <c r="F192" s="1435">
        <f t="shared" si="197"/>
        <v>0</v>
      </c>
      <c r="G192" s="1435">
        <f t="shared" si="197"/>
        <v>0</v>
      </c>
      <c r="H192" s="1435">
        <f t="shared" si="197"/>
        <v>0</v>
      </c>
      <c r="I192" s="1435">
        <f t="shared" si="197"/>
        <v>0</v>
      </c>
      <c r="J192" s="1435">
        <f t="shared" si="197"/>
        <v>0</v>
      </c>
      <c r="K192" s="1435">
        <f t="shared" si="197"/>
        <v>94710</v>
      </c>
      <c r="L192" s="1435">
        <f t="shared" si="197"/>
        <v>1026450</v>
      </c>
      <c r="M192" s="1435">
        <f t="shared" ref="M192" si="198">SUM(M194:M196)</f>
        <v>1121160</v>
      </c>
      <c r="N192" s="1435">
        <f t="shared" si="197"/>
        <v>1465583</v>
      </c>
      <c r="O192" s="1435">
        <f>SUM(O194:O196)</f>
        <v>541886</v>
      </c>
      <c r="P192" s="1435"/>
      <c r="Q192" s="1435"/>
      <c r="R192" s="1435"/>
      <c r="S192" s="1435"/>
      <c r="T192" s="1435"/>
      <c r="U192" s="2613"/>
      <c r="V192" s="399"/>
    </row>
    <row r="193" spans="1:22" ht="13.5" hidden="1" customHeight="1">
      <c r="A193" s="1437"/>
      <c r="B193" s="426" t="s">
        <v>25</v>
      </c>
      <c r="C193" s="421"/>
      <c r="D193" s="1578">
        <v>0</v>
      </c>
      <c r="E193" s="439">
        <v>0</v>
      </c>
      <c r="F193" s="439">
        <v>0</v>
      </c>
      <c r="G193" s="439">
        <v>0</v>
      </c>
      <c r="H193" s="439">
        <v>0</v>
      </c>
      <c r="I193" s="439">
        <v>0</v>
      </c>
      <c r="J193" s="439">
        <v>0</v>
      </c>
      <c r="K193" s="439">
        <v>0</v>
      </c>
      <c r="L193" s="1578">
        <v>0</v>
      </c>
      <c r="M193" s="1578">
        <v>0</v>
      </c>
      <c r="N193" s="1578">
        <v>0</v>
      </c>
      <c r="O193" s="439"/>
      <c r="P193" s="439"/>
      <c r="Q193" s="439"/>
      <c r="R193" s="439"/>
      <c r="S193" s="439"/>
      <c r="T193" s="439"/>
      <c r="U193" s="2613"/>
      <c r="V193" s="399"/>
    </row>
    <row r="194" spans="1:22" ht="12.95" hidden="1" customHeight="1">
      <c r="A194" s="1437"/>
      <c r="B194" s="426" t="s">
        <v>25</v>
      </c>
      <c r="C194" s="1439"/>
      <c r="D194" s="1578">
        <v>0</v>
      </c>
      <c r="E194" s="1578">
        <v>0</v>
      </c>
      <c r="F194" s="1578">
        <v>0</v>
      </c>
      <c r="G194" s="1578">
        <v>0</v>
      </c>
      <c r="H194" s="1578">
        <v>0</v>
      </c>
      <c r="I194" s="1578">
        <v>0</v>
      </c>
      <c r="J194" s="1578">
        <v>0</v>
      </c>
      <c r="K194" s="1578">
        <v>0</v>
      </c>
      <c r="L194" s="1578">
        <v>0</v>
      </c>
      <c r="M194" s="1578">
        <v>0</v>
      </c>
      <c r="N194" s="1578">
        <v>0</v>
      </c>
      <c r="O194" s="1578"/>
      <c r="P194" s="1578"/>
      <c r="Q194" s="1578"/>
      <c r="R194" s="1578"/>
      <c r="S194" s="1578"/>
      <c r="T194" s="1578"/>
      <c r="U194" s="2613"/>
      <c r="V194" s="399"/>
    </row>
    <row r="195" spans="1:22" ht="13.5" customHeight="1">
      <c r="A195" s="1437"/>
      <c r="B195" s="1438" t="s">
        <v>26</v>
      </c>
      <c r="C195" s="1439"/>
      <c r="D195" s="1578">
        <f>+D207+D223</f>
        <v>47355</v>
      </c>
      <c r="E195" s="1578">
        <f t="shared" ref="E195:O195" si="199">+E207+E223</f>
        <v>0</v>
      </c>
      <c r="F195" s="1578">
        <f t="shared" si="199"/>
        <v>0</v>
      </c>
      <c r="G195" s="1578">
        <f t="shared" si="199"/>
        <v>0</v>
      </c>
      <c r="H195" s="1578">
        <f t="shared" si="199"/>
        <v>0</v>
      </c>
      <c r="I195" s="1578">
        <f t="shared" si="199"/>
        <v>0</v>
      </c>
      <c r="J195" s="1578">
        <f t="shared" si="199"/>
        <v>0</v>
      </c>
      <c r="K195" s="1578">
        <f t="shared" si="199"/>
        <v>47355</v>
      </c>
      <c r="L195" s="1578">
        <f t="shared" si="199"/>
        <v>0</v>
      </c>
      <c r="M195" s="1578">
        <f t="shared" ref="M195" si="200">+M207+M223</f>
        <v>47355</v>
      </c>
      <c r="N195" s="1578">
        <f t="shared" si="199"/>
        <v>0</v>
      </c>
      <c r="O195" s="1578">
        <f t="shared" si="199"/>
        <v>0</v>
      </c>
      <c r="P195" s="1578"/>
      <c r="Q195" s="1578"/>
      <c r="R195" s="1578"/>
      <c r="S195" s="1578"/>
      <c r="T195" s="1578"/>
      <c r="U195" s="2613"/>
      <c r="V195" s="399"/>
    </row>
    <row r="196" spans="1:22" ht="14.25" customHeight="1" thickBot="1">
      <c r="A196" s="1437"/>
      <c r="B196" s="1438" t="s">
        <v>78</v>
      </c>
      <c r="C196" s="1439"/>
      <c r="D196" s="1578">
        <f>+D208+D215+D224</f>
        <v>3081274</v>
      </c>
      <c r="E196" s="1578">
        <f t="shared" ref="E196:O196" si="201">+E208+E215+E224</f>
        <v>0</v>
      </c>
      <c r="F196" s="1578">
        <f t="shared" si="201"/>
        <v>0</v>
      </c>
      <c r="G196" s="1578">
        <f t="shared" si="201"/>
        <v>0</v>
      </c>
      <c r="H196" s="1578">
        <f t="shared" si="201"/>
        <v>0</v>
      </c>
      <c r="I196" s="1578">
        <f t="shared" si="201"/>
        <v>0</v>
      </c>
      <c r="J196" s="1578">
        <f t="shared" si="201"/>
        <v>0</v>
      </c>
      <c r="K196" s="1578">
        <f t="shared" si="201"/>
        <v>47355</v>
      </c>
      <c r="L196" s="1578">
        <f t="shared" si="201"/>
        <v>1026450</v>
      </c>
      <c r="M196" s="1578">
        <f t="shared" ref="M196" si="202">+M208+M215+M224</f>
        <v>1073805</v>
      </c>
      <c r="N196" s="1578">
        <f t="shared" si="201"/>
        <v>1465583</v>
      </c>
      <c r="O196" s="1578">
        <f t="shared" si="201"/>
        <v>541886</v>
      </c>
      <c r="P196" s="1578"/>
      <c r="Q196" s="1578"/>
      <c r="R196" s="1578"/>
      <c r="S196" s="1578"/>
      <c r="T196" s="1578"/>
      <c r="U196" s="2613"/>
      <c r="V196" s="399"/>
    </row>
    <row r="197" spans="1:22" s="1980" customFormat="1" ht="18.75" hidden="1" customHeight="1">
      <c r="A197" s="2798" t="s">
        <v>82</v>
      </c>
      <c r="B197" s="1453" t="s">
        <v>281</v>
      </c>
      <c r="C197" s="1497" t="s">
        <v>102</v>
      </c>
      <c r="D197" s="1497"/>
      <c r="E197" s="530"/>
      <c r="F197" s="530"/>
      <c r="G197" s="530"/>
      <c r="H197" s="530"/>
      <c r="I197" s="531"/>
      <c r="J197" s="531"/>
      <c r="K197" s="531"/>
      <c r="L197" s="531"/>
      <c r="M197" s="531"/>
      <c r="N197" s="531"/>
      <c r="O197" s="1498"/>
      <c r="P197" s="1498"/>
      <c r="Q197" s="1498"/>
      <c r="R197" s="1498"/>
      <c r="S197" s="1498"/>
      <c r="T197" s="1498"/>
      <c r="U197" s="1455"/>
      <c r="V197" s="2383" t="s">
        <v>268</v>
      </c>
    </row>
    <row r="198" spans="1:22" s="1980" customFormat="1" ht="13.5" hidden="1" customHeight="1">
      <c r="A198" s="2799"/>
      <c r="B198" s="573" t="s">
        <v>22</v>
      </c>
      <c r="C198" s="1532"/>
      <c r="D198" s="1031">
        <f t="shared" ref="D198:L198" si="203">+D199+D203</f>
        <v>0</v>
      </c>
      <c r="E198" s="2019">
        <f t="shared" si="203"/>
        <v>0</v>
      </c>
      <c r="F198" s="2019">
        <f t="shared" si="203"/>
        <v>0</v>
      </c>
      <c r="G198" s="2019">
        <f t="shared" si="203"/>
        <v>0</v>
      </c>
      <c r="H198" s="2019">
        <f t="shared" si="203"/>
        <v>0</v>
      </c>
      <c r="I198" s="2019">
        <f t="shared" si="203"/>
        <v>0</v>
      </c>
      <c r="J198" s="2019">
        <f t="shared" si="203"/>
        <v>0</v>
      </c>
      <c r="K198" s="1031">
        <f t="shared" si="203"/>
        <v>0</v>
      </c>
      <c r="L198" s="1031">
        <f t="shared" si="203"/>
        <v>0</v>
      </c>
      <c r="M198" s="1031"/>
      <c r="N198" s="1031"/>
      <c r="O198" s="1031"/>
      <c r="P198" s="1031"/>
      <c r="Q198" s="1031"/>
      <c r="R198" s="1031"/>
      <c r="S198" s="1031"/>
      <c r="T198" s="1031"/>
      <c r="U198" s="1501"/>
      <c r="V198" s="2384"/>
    </row>
    <row r="199" spans="1:22" s="1980" customFormat="1" ht="13.5" hidden="1" customHeight="1">
      <c r="A199" s="2799"/>
      <c r="B199" s="1458" t="s">
        <v>23</v>
      </c>
      <c r="C199" s="2490" t="s">
        <v>269</v>
      </c>
      <c r="D199" s="1473">
        <f>+D200+D201+D202</f>
        <v>0</v>
      </c>
      <c r="E199" s="1489">
        <f t="shared" ref="E199:L199" si="204">+E200+E201+E202</f>
        <v>0</v>
      </c>
      <c r="F199" s="1489">
        <f t="shared" si="204"/>
        <v>0</v>
      </c>
      <c r="G199" s="1489">
        <f t="shared" si="204"/>
        <v>0</v>
      </c>
      <c r="H199" s="1489">
        <f t="shared" si="204"/>
        <v>0</v>
      </c>
      <c r="I199" s="1489">
        <f t="shared" si="204"/>
        <v>0</v>
      </c>
      <c r="J199" s="1489">
        <f t="shared" si="204"/>
        <v>0</v>
      </c>
      <c r="K199" s="1473">
        <f t="shared" si="204"/>
        <v>0</v>
      </c>
      <c r="L199" s="1473">
        <f t="shared" si="204"/>
        <v>0</v>
      </c>
      <c r="M199" s="1473"/>
      <c r="N199" s="1473"/>
      <c r="O199" s="1473"/>
      <c r="P199" s="1473"/>
      <c r="Q199" s="1473"/>
      <c r="R199" s="1473"/>
      <c r="S199" s="1473"/>
      <c r="T199" s="1473"/>
      <c r="U199" s="1502"/>
      <c r="V199" s="2384"/>
    </row>
    <row r="200" spans="1:22" s="1980" customFormat="1" ht="13.5" hidden="1" customHeight="1">
      <c r="A200" s="2799"/>
      <c r="B200" s="558" t="s">
        <v>24</v>
      </c>
      <c r="C200" s="2435"/>
      <c r="D200" s="992">
        <f>+E200+I200+J200+K200+L200+N200</f>
        <v>0</v>
      </c>
      <c r="E200" s="1997"/>
      <c r="F200" s="1997"/>
      <c r="G200" s="1997"/>
      <c r="H200" s="1997"/>
      <c r="I200" s="1483"/>
      <c r="J200" s="1483"/>
      <c r="K200" s="1461"/>
      <c r="L200" s="1461"/>
      <c r="M200" s="1461"/>
      <c r="N200" s="1461"/>
      <c r="O200" s="1586"/>
      <c r="P200" s="1461"/>
      <c r="Q200" s="1587"/>
      <c r="R200" s="1587"/>
      <c r="S200" s="1587"/>
      <c r="T200" s="1587"/>
      <c r="U200" s="1588"/>
      <c r="V200" s="2384"/>
    </row>
    <row r="201" spans="1:22" s="1980" customFormat="1" ht="14.25" hidden="1" customHeight="1">
      <c r="A201" s="2799"/>
      <c r="B201" s="558" t="s">
        <v>26</v>
      </c>
      <c r="C201" s="2435"/>
      <c r="D201" s="992">
        <f>+E201+I201+J201+K201+L201+N201</f>
        <v>0</v>
      </c>
      <c r="E201" s="1997">
        <v>0</v>
      </c>
      <c r="F201" s="1997"/>
      <c r="G201" s="1997"/>
      <c r="H201" s="1997"/>
      <c r="I201" s="1483">
        <v>0</v>
      </c>
      <c r="J201" s="1483">
        <v>0</v>
      </c>
      <c r="K201" s="1461"/>
      <c r="L201" s="1461"/>
      <c r="M201" s="1461"/>
      <c r="N201" s="1461"/>
      <c r="O201" s="1586"/>
      <c r="P201" s="1461"/>
      <c r="Q201" s="1461"/>
      <c r="R201" s="1461"/>
      <c r="S201" s="1461"/>
      <c r="T201" s="1461"/>
      <c r="U201" s="1462"/>
      <c r="V201" s="2384"/>
    </row>
    <row r="202" spans="1:22" s="1980" customFormat="1" ht="12.75" hidden="1" thickBot="1">
      <c r="A202" s="2799"/>
      <c r="B202" s="558" t="s">
        <v>28</v>
      </c>
      <c r="C202" s="2435"/>
      <c r="D202" s="1503">
        <f>+E202+I202+J202+K202+L202+N202+O202+P202</f>
        <v>0</v>
      </c>
      <c r="E202" s="1485">
        <v>0</v>
      </c>
      <c r="F202" s="1485"/>
      <c r="G202" s="1485"/>
      <c r="H202" s="1485"/>
      <c r="I202" s="1492">
        <v>0</v>
      </c>
      <c r="J202" s="1492">
        <v>0</v>
      </c>
      <c r="K202" s="1476"/>
      <c r="L202" s="1476"/>
      <c r="M202" s="1476"/>
      <c r="N202" s="1476"/>
      <c r="O202" s="1586"/>
      <c r="P202" s="1461"/>
      <c r="Q202" s="1461"/>
      <c r="R202" s="1461"/>
      <c r="S202" s="1461"/>
      <c r="T202" s="1461"/>
      <c r="U202" s="1462"/>
      <c r="V202" s="2384"/>
    </row>
    <row r="203" spans="1:22" s="1980" customFormat="1" ht="13.5" hidden="1" customHeight="1">
      <c r="A203" s="2799"/>
      <c r="B203" s="1504" t="s">
        <v>30</v>
      </c>
      <c r="C203" s="2435"/>
      <c r="D203" s="1459">
        <f t="shared" ref="D203:P203" si="205">+D204</f>
        <v>0</v>
      </c>
      <c r="E203" s="1481">
        <f t="shared" si="205"/>
        <v>0</v>
      </c>
      <c r="F203" s="1481"/>
      <c r="G203" s="1481"/>
      <c r="H203" s="1481">
        <f t="shared" si="205"/>
        <v>0</v>
      </c>
      <c r="I203" s="1489">
        <f t="shared" si="205"/>
        <v>0</v>
      </c>
      <c r="J203" s="1489">
        <f t="shared" si="205"/>
        <v>0</v>
      </c>
      <c r="K203" s="1473">
        <f t="shared" si="205"/>
        <v>0</v>
      </c>
      <c r="L203" s="1473">
        <f t="shared" si="205"/>
        <v>0</v>
      </c>
      <c r="M203" s="1473"/>
      <c r="N203" s="1473">
        <f t="shared" si="205"/>
        <v>0</v>
      </c>
      <c r="O203" s="1473">
        <f t="shared" si="205"/>
        <v>0</v>
      </c>
      <c r="P203" s="1473">
        <f t="shared" si="205"/>
        <v>0</v>
      </c>
      <c r="Q203" s="1589"/>
      <c r="R203" s="1589"/>
      <c r="S203" s="1589"/>
      <c r="T203" s="1589"/>
      <c r="U203" s="1511"/>
      <c r="V203" s="2384"/>
    </row>
    <row r="204" spans="1:22" s="1980" customFormat="1" ht="13.5" hidden="1" customHeight="1">
      <c r="A204" s="2799"/>
      <c r="B204" s="1590" t="s">
        <v>26</v>
      </c>
      <c r="C204" s="2436"/>
      <c r="D204" s="1503">
        <f>+E204+I204+J204+K204+L204+N204</f>
        <v>0</v>
      </c>
      <c r="E204" s="1997"/>
      <c r="F204" s="1997"/>
      <c r="G204" s="1997"/>
      <c r="H204" s="1997"/>
      <c r="I204" s="1483"/>
      <c r="J204" s="1483"/>
      <c r="K204" s="1461"/>
      <c r="L204" s="1461"/>
      <c r="M204" s="1461"/>
      <c r="N204" s="1461"/>
      <c r="O204" s="1591"/>
      <c r="P204" s="1476"/>
      <c r="Q204" s="1587"/>
      <c r="R204" s="1587"/>
      <c r="S204" s="1587"/>
      <c r="T204" s="1587"/>
      <c r="U204" s="1588"/>
      <c r="V204" s="2384"/>
    </row>
    <row r="205" spans="1:22" s="1980" customFormat="1" ht="13.5" hidden="1" customHeight="1">
      <c r="A205" s="2799"/>
      <c r="B205" s="427" t="s">
        <v>34</v>
      </c>
      <c r="C205" s="1592"/>
      <c r="D205" s="1031">
        <f>+D206</f>
        <v>0</v>
      </c>
      <c r="E205" s="2019">
        <f t="shared" ref="E205:L205" si="206">+E206</f>
        <v>0</v>
      </c>
      <c r="F205" s="2019">
        <f t="shared" si="206"/>
        <v>0</v>
      </c>
      <c r="G205" s="2019">
        <f t="shared" si="206"/>
        <v>0</v>
      </c>
      <c r="H205" s="2019">
        <f t="shared" si="206"/>
        <v>0</v>
      </c>
      <c r="I205" s="2019">
        <f t="shared" si="206"/>
        <v>0</v>
      </c>
      <c r="J205" s="2019">
        <f t="shared" si="206"/>
        <v>0</v>
      </c>
      <c r="K205" s="1031">
        <f t="shared" si="206"/>
        <v>0</v>
      </c>
      <c r="L205" s="1031">
        <f t="shared" si="206"/>
        <v>0</v>
      </c>
      <c r="M205" s="1031"/>
      <c r="N205" s="1031"/>
      <c r="O205" s="1031"/>
      <c r="P205" s="1031"/>
      <c r="Q205" s="1031"/>
      <c r="R205" s="1031"/>
      <c r="S205" s="1821"/>
      <c r="T205" s="1821"/>
      <c r="U205" s="2802"/>
      <c r="V205" s="2384"/>
    </row>
    <row r="206" spans="1:22" s="1980" customFormat="1" ht="13.5" hidden="1" customHeight="1">
      <c r="A206" s="2799"/>
      <c r="B206" s="1458" t="s">
        <v>23</v>
      </c>
      <c r="C206" s="2490" t="s">
        <v>269</v>
      </c>
      <c r="D206" s="1473">
        <f>+D207+D208</f>
        <v>0</v>
      </c>
      <c r="E206" s="1489">
        <f t="shared" ref="E206:L206" si="207">+E207+E208</f>
        <v>0</v>
      </c>
      <c r="F206" s="1489">
        <f t="shared" si="207"/>
        <v>0</v>
      </c>
      <c r="G206" s="1489">
        <f t="shared" si="207"/>
        <v>0</v>
      </c>
      <c r="H206" s="1489">
        <f t="shared" si="207"/>
        <v>0</v>
      </c>
      <c r="I206" s="1489">
        <f t="shared" si="207"/>
        <v>0</v>
      </c>
      <c r="J206" s="1489">
        <f t="shared" si="207"/>
        <v>0</v>
      </c>
      <c r="K206" s="1473">
        <f t="shared" si="207"/>
        <v>0</v>
      </c>
      <c r="L206" s="1473">
        <f t="shared" si="207"/>
        <v>0</v>
      </c>
      <c r="M206" s="1473"/>
      <c r="N206" s="1473"/>
      <c r="O206" s="1473"/>
      <c r="P206" s="1473"/>
      <c r="Q206" s="1473"/>
      <c r="R206" s="1473"/>
      <c r="S206" s="1067"/>
      <c r="T206" s="1067"/>
      <c r="U206" s="2802"/>
      <c r="V206" s="2384"/>
    </row>
    <row r="207" spans="1:22" s="1980" customFormat="1" ht="12" hidden="1" customHeight="1">
      <c r="A207" s="2799"/>
      <c r="B207" s="558" t="s">
        <v>26</v>
      </c>
      <c r="C207" s="2827"/>
      <c r="D207" s="992">
        <f>+E207+I207+J207+K207+L207+N207</f>
        <v>0</v>
      </c>
      <c r="E207" s="1997">
        <v>0</v>
      </c>
      <c r="F207" s="1997"/>
      <c r="G207" s="1997"/>
      <c r="H207" s="1997"/>
      <c r="I207" s="1483">
        <v>0</v>
      </c>
      <c r="J207" s="1483">
        <v>0</v>
      </c>
      <c r="K207" s="1461"/>
      <c r="L207" s="1461"/>
      <c r="M207" s="1461"/>
      <c r="N207" s="1461"/>
      <c r="O207" s="1586"/>
      <c r="P207" s="1461"/>
      <c r="Q207" s="1461"/>
      <c r="R207" s="1461"/>
      <c r="S207" s="1818"/>
      <c r="T207" s="1818"/>
      <c r="U207" s="2802"/>
      <c r="V207" s="2384"/>
    </row>
    <row r="208" spans="1:22" s="1980" customFormat="1" ht="12.75" hidden="1" customHeight="1" thickBot="1">
      <c r="A208" s="2800"/>
      <c r="B208" s="568" t="s">
        <v>28</v>
      </c>
      <c r="C208" s="2828"/>
      <c r="D208" s="1494">
        <f>+E208+I208+J208+K208+L208+N208+O208+P208</f>
        <v>0</v>
      </c>
      <c r="E208" s="2020">
        <v>0</v>
      </c>
      <c r="F208" s="2020"/>
      <c r="G208" s="2020"/>
      <c r="H208" s="2020"/>
      <c r="I208" s="1530">
        <v>0</v>
      </c>
      <c r="J208" s="1530">
        <v>0</v>
      </c>
      <c r="K208" s="1593"/>
      <c r="L208" s="1593"/>
      <c r="M208" s="1593"/>
      <c r="N208" s="1593"/>
      <c r="O208" s="1506"/>
      <c r="P208" s="1506"/>
      <c r="Q208" s="1506"/>
      <c r="R208" s="1506"/>
      <c r="S208" s="1822"/>
      <c r="T208" s="1822"/>
      <c r="U208" s="2737"/>
      <c r="V208" s="2385"/>
    </row>
    <row r="209" spans="1:22" ht="42" customHeight="1">
      <c r="A209" s="2798" t="s">
        <v>82</v>
      </c>
      <c r="B209" s="1453" t="s">
        <v>282</v>
      </c>
      <c r="C209" s="1497" t="s">
        <v>102</v>
      </c>
      <c r="D209" s="1594"/>
      <c r="E209" s="530"/>
      <c r="F209" s="530"/>
      <c r="G209" s="530"/>
      <c r="H209" s="530"/>
      <c r="I209" s="531"/>
      <c r="J209" s="531"/>
      <c r="K209" s="531"/>
      <c r="L209" s="531"/>
      <c r="M209" s="531"/>
      <c r="N209" s="531"/>
      <c r="O209" s="1595"/>
      <c r="P209" s="1595"/>
      <c r="Q209" s="531"/>
      <c r="R209" s="1498"/>
      <c r="S209" s="1498"/>
      <c r="T209" s="1498"/>
      <c r="U209" s="1455"/>
      <c r="V209" s="2383" t="s">
        <v>268</v>
      </c>
    </row>
    <row r="210" spans="1:22" ht="12.75" customHeight="1">
      <c r="A210" s="2799"/>
      <c r="B210" s="573" t="s">
        <v>22</v>
      </c>
      <c r="C210" s="1532"/>
      <c r="D210" s="1596">
        <f>+D211</f>
        <v>1493908</v>
      </c>
      <c r="E210" s="2021">
        <f t="shared" ref="E210:N211" si="208">+E211</f>
        <v>0</v>
      </c>
      <c r="F210" s="2022">
        <f t="shared" si="208"/>
        <v>0</v>
      </c>
      <c r="G210" s="2022">
        <f t="shared" si="208"/>
        <v>0</v>
      </c>
      <c r="H210" s="2022">
        <f t="shared" si="208"/>
        <v>0</v>
      </c>
      <c r="I210" s="1500">
        <f t="shared" si="208"/>
        <v>0</v>
      </c>
      <c r="J210" s="1500">
        <f t="shared" si="208"/>
        <v>0</v>
      </c>
      <c r="K210" s="2021">
        <f t="shared" si="208"/>
        <v>0</v>
      </c>
      <c r="L210" s="1597">
        <f t="shared" si="208"/>
        <v>1026450</v>
      </c>
      <c r="M210" s="1597">
        <f t="shared" si="208"/>
        <v>1026450</v>
      </c>
      <c r="N210" s="1598">
        <f t="shared" si="208"/>
        <v>467458</v>
      </c>
      <c r="O210" s="1598"/>
      <c r="P210" s="1597"/>
      <c r="Q210" s="1032"/>
      <c r="R210" s="1031"/>
      <c r="S210" s="1031"/>
      <c r="T210" s="1031"/>
      <c r="U210" s="1501">
        <f>+U211</f>
        <v>0</v>
      </c>
      <c r="V210" s="2384"/>
    </row>
    <row r="211" spans="1:22" ht="13.5" customHeight="1">
      <c r="A211" s="2799"/>
      <c r="B211" s="1458" t="s">
        <v>23</v>
      </c>
      <c r="C211" s="2490" t="s">
        <v>269</v>
      </c>
      <c r="D211" s="1473">
        <f>+D212</f>
        <v>1493908</v>
      </c>
      <c r="E211" s="1489">
        <f t="shared" si="208"/>
        <v>0</v>
      </c>
      <c r="F211" s="1489">
        <f t="shared" si="208"/>
        <v>0</v>
      </c>
      <c r="G211" s="1489">
        <f t="shared" si="208"/>
        <v>0</v>
      </c>
      <c r="H211" s="1489">
        <f t="shared" si="208"/>
        <v>0</v>
      </c>
      <c r="I211" s="1489">
        <f t="shared" si="208"/>
        <v>0</v>
      </c>
      <c r="J211" s="1489">
        <f t="shared" si="208"/>
        <v>0</v>
      </c>
      <c r="K211" s="1489">
        <f t="shared" si="208"/>
        <v>0</v>
      </c>
      <c r="L211" s="1473">
        <f t="shared" si="208"/>
        <v>1026450</v>
      </c>
      <c r="M211" s="1473">
        <f t="shared" si="208"/>
        <v>1026450</v>
      </c>
      <c r="N211" s="1473">
        <f t="shared" si="208"/>
        <v>467458</v>
      </c>
      <c r="O211" s="1473"/>
      <c r="P211" s="1473"/>
      <c r="Q211" s="1473"/>
      <c r="R211" s="1473"/>
      <c r="S211" s="1473"/>
      <c r="T211" s="1473"/>
      <c r="U211" s="1502">
        <f>U212</f>
        <v>0</v>
      </c>
      <c r="V211" s="2384"/>
    </row>
    <row r="212" spans="1:22" ht="13.5" customHeight="1">
      <c r="A212" s="2799"/>
      <c r="B212" s="558" t="s">
        <v>28</v>
      </c>
      <c r="C212" s="2435"/>
      <c r="D212" s="992">
        <f>M212+N212+O212+P212+Q212+R212</f>
        <v>1493908</v>
      </c>
      <c r="E212" s="1485">
        <v>0</v>
      </c>
      <c r="F212" s="1485"/>
      <c r="G212" s="1485"/>
      <c r="H212" s="1485"/>
      <c r="I212" s="1492">
        <v>0</v>
      </c>
      <c r="J212" s="1492">
        <v>0</v>
      </c>
      <c r="K212" s="1492">
        <v>0</v>
      </c>
      <c r="L212" s="1476">
        <f>1026677-227</f>
        <v>1026450</v>
      </c>
      <c r="M212" s="1461">
        <f t="shared" ref="M212" si="209">E212+I212+J212+K212+L212</f>
        <v>1026450</v>
      </c>
      <c r="N212" s="1476">
        <f>711011-243553</f>
        <v>467458</v>
      </c>
      <c r="O212" s="2209"/>
      <c r="P212" s="1461"/>
      <c r="Q212" s="1461"/>
      <c r="R212" s="1461"/>
      <c r="S212" s="1461"/>
      <c r="T212" s="1461"/>
      <c r="U212" s="1462">
        <f>SUM(O212:T212)</f>
        <v>0</v>
      </c>
      <c r="V212" s="2384"/>
    </row>
    <row r="213" spans="1:22" ht="13.5" customHeight="1">
      <c r="A213" s="2799"/>
      <c r="B213" s="427" t="s">
        <v>34</v>
      </c>
      <c r="C213" s="1592"/>
      <c r="D213" s="1445">
        <f>+D214</f>
        <v>1493908</v>
      </c>
      <c r="E213" s="1500">
        <f t="shared" ref="E213:N214" si="210">+E214</f>
        <v>0</v>
      </c>
      <c r="F213" s="1500">
        <f t="shared" si="210"/>
        <v>0</v>
      </c>
      <c r="G213" s="1500">
        <f t="shared" si="210"/>
        <v>0</v>
      </c>
      <c r="H213" s="1500">
        <f t="shared" si="210"/>
        <v>0</v>
      </c>
      <c r="I213" s="1500">
        <f t="shared" si="210"/>
        <v>0</v>
      </c>
      <c r="J213" s="1500">
        <f t="shared" si="210"/>
        <v>0</v>
      </c>
      <c r="K213" s="1500">
        <f t="shared" si="210"/>
        <v>0</v>
      </c>
      <c r="L213" s="1445">
        <f t="shared" si="210"/>
        <v>1026450</v>
      </c>
      <c r="M213" s="1445">
        <f t="shared" si="210"/>
        <v>1026450</v>
      </c>
      <c r="N213" s="1445">
        <f t="shared" si="210"/>
        <v>467458</v>
      </c>
      <c r="O213" s="1445"/>
      <c r="P213" s="1031"/>
      <c r="Q213" s="1031"/>
      <c r="R213" s="1031"/>
      <c r="S213" s="1031"/>
      <c r="T213" s="1031"/>
      <c r="U213" s="2802" t="s">
        <v>77</v>
      </c>
      <c r="V213" s="2384"/>
    </row>
    <row r="214" spans="1:22" ht="13.5" customHeight="1">
      <c r="A214" s="2799"/>
      <c r="B214" s="1458" t="s">
        <v>23</v>
      </c>
      <c r="C214" s="2490" t="s">
        <v>269</v>
      </c>
      <c r="D214" s="1473">
        <f>+D215</f>
        <v>1493908</v>
      </c>
      <c r="E214" s="1489">
        <f t="shared" si="210"/>
        <v>0</v>
      </c>
      <c r="F214" s="1489">
        <f t="shared" si="210"/>
        <v>0</v>
      </c>
      <c r="G214" s="1489">
        <f t="shared" si="210"/>
        <v>0</v>
      </c>
      <c r="H214" s="1489">
        <f t="shared" si="210"/>
        <v>0</v>
      </c>
      <c r="I214" s="1489">
        <f t="shared" si="210"/>
        <v>0</v>
      </c>
      <c r="J214" s="1489">
        <f t="shared" si="210"/>
        <v>0</v>
      </c>
      <c r="K214" s="1489">
        <f t="shared" si="210"/>
        <v>0</v>
      </c>
      <c r="L214" s="1473">
        <f t="shared" si="210"/>
        <v>1026450</v>
      </c>
      <c r="M214" s="1473">
        <f t="shared" si="210"/>
        <v>1026450</v>
      </c>
      <c r="N214" s="1473">
        <f t="shared" si="210"/>
        <v>467458</v>
      </c>
      <c r="O214" s="1473"/>
      <c r="P214" s="1473"/>
      <c r="Q214" s="1473"/>
      <c r="R214" s="1473"/>
      <c r="S214" s="1473"/>
      <c r="T214" s="1473"/>
      <c r="U214" s="2802"/>
      <c r="V214" s="2384"/>
    </row>
    <row r="215" spans="1:22" ht="14.25" customHeight="1" thickBot="1">
      <c r="A215" s="2800"/>
      <c r="B215" s="568" t="s">
        <v>28</v>
      </c>
      <c r="C215" s="2829"/>
      <c r="D215" s="1494">
        <f>M215+N215+O215+P215+Q215+R215</f>
        <v>1493908</v>
      </c>
      <c r="E215" s="2023">
        <v>0</v>
      </c>
      <c r="F215" s="2023"/>
      <c r="G215" s="2023"/>
      <c r="H215" s="2023"/>
      <c r="I215" s="1530">
        <v>0</v>
      </c>
      <c r="J215" s="1530">
        <v>0</v>
      </c>
      <c r="K215" s="1530">
        <v>0</v>
      </c>
      <c r="L215" s="546">
        <f>1026677-227</f>
        <v>1026450</v>
      </c>
      <c r="M215" s="1505">
        <f t="shared" ref="M215" si="211">E215+I215+J215+K215+L215</f>
        <v>1026450</v>
      </c>
      <c r="N215" s="546">
        <f>711011-243553</f>
        <v>467458</v>
      </c>
      <c r="O215" s="1506"/>
      <c r="P215" s="1506"/>
      <c r="Q215" s="1506"/>
      <c r="R215" s="1506"/>
      <c r="S215" s="1506"/>
      <c r="T215" s="1506"/>
      <c r="U215" s="2803"/>
      <c r="V215" s="2385"/>
    </row>
    <row r="216" spans="1:22" ht="29.25" customHeight="1">
      <c r="A216" s="2798" t="s">
        <v>83</v>
      </c>
      <c r="B216" s="1453" t="s">
        <v>283</v>
      </c>
      <c r="C216" s="1497" t="s">
        <v>102</v>
      </c>
      <c r="D216" s="1497"/>
      <c r="E216" s="530"/>
      <c r="F216" s="530"/>
      <c r="G216" s="530"/>
      <c r="H216" s="530"/>
      <c r="I216" s="531"/>
      <c r="J216" s="531"/>
      <c r="K216" s="531"/>
      <c r="L216" s="531"/>
      <c r="M216" s="531"/>
      <c r="N216" s="531"/>
      <c r="O216" s="1498"/>
      <c r="P216" s="1498"/>
      <c r="Q216" s="1498"/>
      <c r="R216" s="1498"/>
      <c r="S216" s="1498"/>
      <c r="T216" s="1498"/>
      <c r="U216" s="1455"/>
      <c r="V216" s="2383" t="s">
        <v>268</v>
      </c>
    </row>
    <row r="217" spans="1:22" ht="12.75" customHeight="1">
      <c r="A217" s="2799"/>
      <c r="B217" s="573" t="s">
        <v>22</v>
      </c>
      <c r="C217" s="1532"/>
      <c r="D217" s="1445">
        <f>+D218</f>
        <v>1634721</v>
      </c>
      <c r="E217" s="1500">
        <f t="shared" ref="E217:O217" si="212">+E218</f>
        <v>0</v>
      </c>
      <c r="F217" s="1500">
        <f t="shared" si="212"/>
        <v>0</v>
      </c>
      <c r="G217" s="1500">
        <f t="shared" si="212"/>
        <v>0</v>
      </c>
      <c r="H217" s="1500">
        <f t="shared" si="212"/>
        <v>0</v>
      </c>
      <c r="I217" s="1500">
        <f t="shared" si="212"/>
        <v>0</v>
      </c>
      <c r="J217" s="1500">
        <f t="shared" si="212"/>
        <v>0</v>
      </c>
      <c r="K217" s="1445">
        <f t="shared" si="212"/>
        <v>94710</v>
      </c>
      <c r="L217" s="1500">
        <f t="shared" si="212"/>
        <v>0</v>
      </c>
      <c r="M217" s="1445">
        <f t="shared" si="212"/>
        <v>94710</v>
      </c>
      <c r="N217" s="1445">
        <f t="shared" si="212"/>
        <v>998125</v>
      </c>
      <c r="O217" s="1445">
        <f t="shared" si="212"/>
        <v>541886</v>
      </c>
      <c r="P217" s="1031"/>
      <c r="Q217" s="1031"/>
      <c r="R217" s="1031"/>
      <c r="S217" s="1031"/>
      <c r="T217" s="1031"/>
      <c r="U217" s="1501">
        <f>+U218</f>
        <v>541886</v>
      </c>
      <c r="V217" s="2384"/>
    </row>
    <row r="218" spans="1:22" ht="13.5" customHeight="1">
      <c r="A218" s="2799"/>
      <c r="B218" s="1458" t="s">
        <v>23</v>
      </c>
      <c r="C218" s="2490" t="s">
        <v>269</v>
      </c>
      <c r="D218" s="1508">
        <f>+D220+D219</f>
        <v>1634721</v>
      </c>
      <c r="E218" s="1489">
        <f t="shared" ref="E218:O218" si="213">+E220+E219</f>
        <v>0</v>
      </c>
      <c r="F218" s="1489">
        <f t="shared" si="213"/>
        <v>0</v>
      </c>
      <c r="G218" s="1489">
        <f t="shared" si="213"/>
        <v>0</v>
      </c>
      <c r="H218" s="1489">
        <f t="shared" si="213"/>
        <v>0</v>
      </c>
      <c r="I218" s="1489">
        <f t="shared" si="213"/>
        <v>0</v>
      </c>
      <c r="J218" s="1489">
        <f t="shared" si="213"/>
        <v>0</v>
      </c>
      <c r="K218" s="1473">
        <f t="shared" si="213"/>
        <v>94710</v>
      </c>
      <c r="L218" s="1489">
        <f t="shared" si="213"/>
        <v>0</v>
      </c>
      <c r="M218" s="1473">
        <f t="shared" ref="M218" si="214">+M220+M219</f>
        <v>94710</v>
      </c>
      <c r="N218" s="1508">
        <f t="shared" si="213"/>
        <v>998125</v>
      </c>
      <c r="O218" s="1508">
        <f t="shared" si="213"/>
        <v>541886</v>
      </c>
      <c r="P218" s="1473"/>
      <c r="Q218" s="1473"/>
      <c r="R218" s="1473"/>
      <c r="S218" s="1473"/>
      <c r="T218" s="1473"/>
      <c r="U218" s="1502">
        <f>U220</f>
        <v>541886</v>
      </c>
      <c r="V218" s="2384"/>
    </row>
    <row r="219" spans="1:22" ht="13.5" customHeight="1">
      <c r="A219" s="2799"/>
      <c r="B219" s="558" t="s">
        <v>26</v>
      </c>
      <c r="C219" s="2699"/>
      <c r="D219" s="992">
        <f t="shared" ref="D219:D220" si="215">M219+N219+O219+P219+Q219+R219</f>
        <v>47355</v>
      </c>
      <c r="E219" s="1481"/>
      <c r="F219" s="1481"/>
      <c r="G219" s="1481"/>
      <c r="H219" s="1481"/>
      <c r="I219" s="1489"/>
      <c r="J219" s="1489"/>
      <c r="K219" s="1476">
        <v>47355</v>
      </c>
      <c r="L219" s="1492">
        <v>0</v>
      </c>
      <c r="M219" s="1461">
        <f t="shared" ref="M219:M220" si="216">E219+I219+J219+K219+L219</f>
        <v>47355</v>
      </c>
      <c r="N219" s="1526">
        <v>0</v>
      </c>
      <c r="O219" s="1526">
        <v>0</v>
      </c>
      <c r="P219" s="1473"/>
      <c r="Q219" s="1473"/>
      <c r="R219" s="1473"/>
      <c r="S219" s="1473"/>
      <c r="T219" s="1473"/>
      <c r="U219" s="1462">
        <f>SUM(O219:T219)</f>
        <v>0</v>
      </c>
      <c r="V219" s="2384"/>
    </row>
    <row r="220" spans="1:22" ht="13.5" customHeight="1">
      <c r="A220" s="2799"/>
      <c r="B220" s="558" t="s">
        <v>28</v>
      </c>
      <c r="C220" s="2435"/>
      <c r="D220" s="992">
        <f t="shared" si="215"/>
        <v>1587366</v>
      </c>
      <c r="E220" s="1485">
        <v>0</v>
      </c>
      <c r="F220" s="1485"/>
      <c r="G220" s="1485"/>
      <c r="H220" s="1485"/>
      <c r="I220" s="1492">
        <v>0</v>
      </c>
      <c r="J220" s="1492">
        <v>0</v>
      </c>
      <c r="K220" s="1476">
        <v>47355</v>
      </c>
      <c r="L220" s="1492">
        <v>0</v>
      </c>
      <c r="M220" s="1461">
        <f t="shared" si="216"/>
        <v>47355</v>
      </c>
      <c r="N220" s="549">
        <f>1014831-16706</f>
        <v>998125</v>
      </c>
      <c r="O220" s="549">
        <f>537881+4005</f>
        <v>541886</v>
      </c>
      <c r="P220" s="1461"/>
      <c r="Q220" s="1461"/>
      <c r="R220" s="1461"/>
      <c r="S220" s="1461"/>
      <c r="T220" s="1461"/>
      <c r="U220" s="1462">
        <f>SUM(O220:T220)</f>
        <v>541886</v>
      </c>
      <c r="V220" s="2384"/>
    </row>
    <row r="221" spans="1:22" ht="12.75" customHeight="1">
      <c r="A221" s="2799"/>
      <c r="B221" s="427" t="s">
        <v>34</v>
      </c>
      <c r="C221" s="1592"/>
      <c r="D221" s="1445">
        <f>+D222</f>
        <v>1634721</v>
      </c>
      <c r="E221" s="1500">
        <f t="shared" ref="E221:O221" si="217">+E222</f>
        <v>0</v>
      </c>
      <c r="F221" s="1500">
        <f t="shared" si="217"/>
        <v>0</v>
      </c>
      <c r="G221" s="1500">
        <f t="shared" si="217"/>
        <v>0</v>
      </c>
      <c r="H221" s="1500">
        <f t="shared" si="217"/>
        <v>0</v>
      </c>
      <c r="I221" s="1500">
        <f t="shared" si="217"/>
        <v>0</v>
      </c>
      <c r="J221" s="1500">
        <f t="shared" si="217"/>
        <v>0</v>
      </c>
      <c r="K221" s="1445">
        <f t="shared" si="217"/>
        <v>94710</v>
      </c>
      <c r="L221" s="1500">
        <f t="shared" si="217"/>
        <v>0</v>
      </c>
      <c r="M221" s="1445">
        <f t="shared" si="217"/>
        <v>94710</v>
      </c>
      <c r="N221" s="1445">
        <f t="shared" si="217"/>
        <v>998125</v>
      </c>
      <c r="O221" s="1445">
        <f t="shared" si="217"/>
        <v>541886</v>
      </c>
      <c r="P221" s="1445"/>
      <c r="Q221" s="1031"/>
      <c r="R221" s="1031"/>
      <c r="S221" s="1031"/>
      <c r="T221" s="1031"/>
      <c r="U221" s="2802" t="s">
        <v>77</v>
      </c>
      <c r="V221" s="2384"/>
    </row>
    <row r="222" spans="1:22" ht="13.5" customHeight="1">
      <c r="A222" s="2799"/>
      <c r="B222" s="1458" t="s">
        <v>23</v>
      </c>
      <c r="C222" s="2490" t="s">
        <v>269</v>
      </c>
      <c r="D222" s="1508">
        <f>+D224+D223</f>
        <v>1634721</v>
      </c>
      <c r="E222" s="1489">
        <f t="shared" ref="E222:J222" si="218">+E224</f>
        <v>0</v>
      </c>
      <c r="F222" s="1489">
        <f t="shared" si="218"/>
        <v>0</v>
      </c>
      <c r="G222" s="1489">
        <f t="shared" si="218"/>
        <v>0</v>
      </c>
      <c r="H222" s="1489">
        <f t="shared" si="218"/>
        <v>0</v>
      </c>
      <c r="I222" s="1489">
        <f t="shared" si="218"/>
        <v>0</v>
      </c>
      <c r="J222" s="1489">
        <f t="shared" si="218"/>
        <v>0</v>
      </c>
      <c r="K222" s="1473">
        <f>+K224+K223</f>
        <v>94710</v>
      </c>
      <c r="L222" s="1489">
        <f>+L224</f>
        <v>0</v>
      </c>
      <c r="M222" s="1473">
        <f>+M224+M223</f>
        <v>94710</v>
      </c>
      <c r="N222" s="1508">
        <f>+N224</f>
        <v>998125</v>
      </c>
      <c r="O222" s="1508">
        <f>+O224</f>
        <v>541886</v>
      </c>
      <c r="P222" s="1473"/>
      <c r="Q222" s="1473"/>
      <c r="R222" s="1473"/>
      <c r="S222" s="1473"/>
      <c r="T222" s="1473"/>
      <c r="U222" s="2802"/>
      <c r="V222" s="2384"/>
    </row>
    <row r="223" spans="1:22" ht="13.5" customHeight="1">
      <c r="A223" s="2799"/>
      <c r="B223" s="558" t="s">
        <v>26</v>
      </c>
      <c r="C223" s="2699"/>
      <c r="D223" s="992">
        <f t="shared" ref="D223:D224" si="219">M223+N223+O223+P223+Q223+R223</f>
        <v>47355</v>
      </c>
      <c r="E223" s="1487"/>
      <c r="F223" s="2024"/>
      <c r="G223" s="2024"/>
      <c r="H223" s="2024"/>
      <c r="I223" s="1487"/>
      <c r="J223" s="1487"/>
      <c r="K223" s="1461">
        <v>47355</v>
      </c>
      <c r="L223" s="1487">
        <v>0</v>
      </c>
      <c r="M223" s="1461">
        <f t="shared" ref="M223:M224" si="220">E223+I223+J223+K223+L223</f>
        <v>47355</v>
      </c>
      <c r="N223" s="1526">
        <v>0</v>
      </c>
      <c r="O223" s="1526">
        <v>0</v>
      </c>
      <c r="P223" s="1473"/>
      <c r="Q223" s="1473"/>
      <c r="R223" s="620"/>
      <c r="S223" s="620"/>
      <c r="T223" s="620"/>
      <c r="U223" s="2802"/>
      <c r="V223" s="2384"/>
    </row>
    <row r="224" spans="1:22" ht="13.5" thickBot="1">
      <c r="A224" s="2800"/>
      <c r="B224" s="568" t="s">
        <v>28</v>
      </c>
      <c r="C224" s="2829"/>
      <c r="D224" s="1494">
        <f t="shared" si="219"/>
        <v>1587366</v>
      </c>
      <c r="E224" s="2025">
        <v>0</v>
      </c>
      <c r="F224" s="2023"/>
      <c r="G224" s="2023"/>
      <c r="H224" s="2023"/>
      <c r="I224" s="1530">
        <v>0</v>
      </c>
      <c r="J224" s="1530">
        <v>0</v>
      </c>
      <c r="K224" s="546">
        <v>47355</v>
      </c>
      <c r="L224" s="1530">
        <v>0</v>
      </c>
      <c r="M224" s="1505">
        <f t="shared" si="220"/>
        <v>47355</v>
      </c>
      <c r="N224" s="552">
        <f>1014831-16706</f>
        <v>998125</v>
      </c>
      <c r="O224" s="552">
        <f>537881+4005</f>
        <v>541886</v>
      </c>
      <c r="P224" s="1478"/>
      <c r="Q224" s="1478"/>
      <c r="R224" s="1506"/>
      <c r="S224" s="1506"/>
      <c r="T224" s="1506"/>
      <c r="U224" s="2803"/>
      <c r="V224" s="2385"/>
    </row>
    <row r="225" spans="14:14">
      <c r="N225" s="1398"/>
    </row>
    <row r="226" spans="14:14">
      <c r="N226" s="1398"/>
    </row>
    <row r="227" spans="14:14">
      <c r="N227" s="1398"/>
    </row>
    <row r="228" spans="14:14">
      <c r="N228" s="1398"/>
    </row>
    <row r="229" spans="14:14">
      <c r="N229" s="1398"/>
    </row>
    <row r="230" spans="14:14">
      <c r="N230" s="1398"/>
    </row>
    <row r="231" spans="14:14">
      <c r="N231" s="1398"/>
    </row>
    <row r="232" spans="14:14">
      <c r="N232" s="1398"/>
    </row>
    <row r="233" spans="14:14">
      <c r="N233" s="1398"/>
    </row>
    <row r="234" spans="14:14">
      <c r="N234" s="1398"/>
    </row>
    <row r="235" spans="14:14">
      <c r="N235" s="1398"/>
    </row>
    <row r="236" spans="14:14">
      <c r="N236" s="1398"/>
    </row>
    <row r="237" spans="14:14">
      <c r="N237" s="1398"/>
    </row>
    <row r="238" spans="14:14">
      <c r="N238" s="1398"/>
    </row>
    <row r="239" spans="14:14">
      <c r="N239" s="1398"/>
    </row>
    <row r="240" spans="14:14">
      <c r="N240" s="1398"/>
    </row>
    <row r="241" spans="14:14">
      <c r="N241" s="1398"/>
    </row>
    <row r="242" spans="14:14">
      <c r="N242" s="1398"/>
    </row>
    <row r="243" spans="14:14">
      <c r="N243" s="1398"/>
    </row>
    <row r="244" spans="14:14">
      <c r="N244" s="1398"/>
    </row>
    <row r="245" spans="14:14">
      <c r="N245" s="1398"/>
    </row>
    <row r="246" spans="14:14">
      <c r="N246" s="1398"/>
    </row>
    <row r="247" spans="14:14">
      <c r="N247" s="1398"/>
    </row>
    <row r="248" spans="14:14">
      <c r="N248" s="1398"/>
    </row>
    <row r="249" spans="14:14">
      <c r="N249" s="1398"/>
    </row>
    <row r="250" spans="14:14">
      <c r="N250" s="1398"/>
    </row>
    <row r="251" spans="14:14">
      <c r="N251" s="1398"/>
    </row>
    <row r="252" spans="14:14">
      <c r="N252" s="1398"/>
    </row>
    <row r="253" spans="14:14">
      <c r="N253" s="1398"/>
    </row>
    <row r="254" spans="14:14">
      <c r="N254" s="1398"/>
    </row>
    <row r="255" spans="14:14">
      <c r="N255" s="1398"/>
    </row>
    <row r="256" spans="14:14">
      <c r="N256" s="1398"/>
    </row>
  </sheetData>
  <mergeCells count="82">
    <mergeCell ref="A216:A224"/>
    <mergeCell ref="V216:V224"/>
    <mergeCell ref="C218:C220"/>
    <mergeCell ref="U221:U224"/>
    <mergeCell ref="C222:C224"/>
    <mergeCell ref="A209:A215"/>
    <mergeCell ref="V209:V215"/>
    <mergeCell ref="C211:C212"/>
    <mergeCell ref="U213:U215"/>
    <mergeCell ref="C214:C215"/>
    <mergeCell ref="U191:U196"/>
    <mergeCell ref="A197:A208"/>
    <mergeCell ref="V197:V208"/>
    <mergeCell ref="C199:C204"/>
    <mergeCell ref="U205:U208"/>
    <mergeCell ref="C206:C208"/>
    <mergeCell ref="A166:A179"/>
    <mergeCell ref="V166:V179"/>
    <mergeCell ref="C168:C172"/>
    <mergeCell ref="U173:U178"/>
    <mergeCell ref="C174:C179"/>
    <mergeCell ref="A153:A165"/>
    <mergeCell ref="V153:V165"/>
    <mergeCell ref="C155:C159"/>
    <mergeCell ref="U160:U165"/>
    <mergeCell ref="C161:C165"/>
    <mergeCell ref="A139:A151"/>
    <mergeCell ref="V139:V151"/>
    <mergeCell ref="C141:C145"/>
    <mergeCell ref="U146:U151"/>
    <mergeCell ref="C147:C151"/>
    <mergeCell ref="A132:A138"/>
    <mergeCell ref="V132:V138"/>
    <mergeCell ref="C134:C135"/>
    <mergeCell ref="U136:U138"/>
    <mergeCell ref="C137:C138"/>
    <mergeCell ref="A120:A131"/>
    <mergeCell ref="V120:V131"/>
    <mergeCell ref="C122:C126"/>
    <mergeCell ref="U127:U131"/>
    <mergeCell ref="C128:C131"/>
    <mergeCell ref="A105:A119"/>
    <mergeCell ref="V105:V119"/>
    <mergeCell ref="C107:C112"/>
    <mergeCell ref="U113:U119"/>
    <mergeCell ref="C114:C119"/>
    <mergeCell ref="A92:A104"/>
    <mergeCell ref="V92:V104"/>
    <mergeCell ref="C94:C98"/>
    <mergeCell ref="U99:U104"/>
    <mergeCell ref="C100:C104"/>
    <mergeCell ref="A81:A91"/>
    <mergeCell ref="V81:V91"/>
    <mergeCell ref="C83:C86"/>
    <mergeCell ref="U87:U91"/>
    <mergeCell ref="C88:C91"/>
    <mergeCell ref="A68:A78"/>
    <mergeCell ref="V68:V78"/>
    <mergeCell ref="C70:C73"/>
    <mergeCell ref="U74:U78"/>
    <mergeCell ref="C75:C78"/>
    <mergeCell ref="A53:A66"/>
    <mergeCell ref="V53:V66"/>
    <mergeCell ref="C55:C59"/>
    <mergeCell ref="U61:U66"/>
    <mergeCell ref="C62:C66"/>
    <mergeCell ref="U23:U33"/>
    <mergeCell ref="A34:A52"/>
    <mergeCell ref="V34:V51"/>
    <mergeCell ref="C36:C43"/>
    <mergeCell ref="U44:U51"/>
    <mergeCell ref="C45:C52"/>
    <mergeCell ref="O5:T6"/>
    <mergeCell ref="P1:R1"/>
    <mergeCell ref="A4:V4"/>
    <mergeCell ref="B5:B7"/>
    <mergeCell ref="C5:C7"/>
    <mergeCell ref="D5:D7"/>
    <mergeCell ref="U5:U7"/>
    <mergeCell ref="V5:V7"/>
    <mergeCell ref="E5:K5"/>
    <mergeCell ref="M5:N6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70" firstPageNumber="48" orientation="landscape" useFirstPageNumber="1" r:id="rId1"/>
  <headerFooter alignWithMargins="0">
    <oddHeader>&amp;C&amp;"Arial,Kursywa"Wieloletnia prognoza finansowa Województwa Zachodniopomorskiego na lata 2015 - 2038&amp;"Arial,Normalny"
____________________________________________________________________________________________________________________________</oddHeader>
    <oddFooter>&amp;C&amp;8&amp;P</oddFooter>
  </headerFooter>
  <rowBreaks count="4" manualBreakCount="4">
    <brk id="52" max="19" man="1"/>
    <brk id="91" max="19" man="1"/>
    <brk id="138" max="19" man="1"/>
    <brk id="215" max="1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21"/>
  <sheetViews>
    <sheetView showGridLines="0" view="pageBreakPreview" zoomScaleNormal="100" zoomScaleSheetLayoutView="100" workbookViewId="0">
      <pane ySplit="7" topLeftCell="A8" activePane="bottomLeft" state="frozen"/>
      <selection activeCell="U30" sqref="U30"/>
      <selection pane="bottomLeft"/>
    </sheetView>
  </sheetViews>
  <sheetFormatPr defaultRowHeight="11.25"/>
  <cols>
    <col min="1" max="1" width="2.85546875" style="831" customWidth="1"/>
    <col min="2" max="2" width="65.85546875" style="832" customWidth="1"/>
    <col min="3" max="3" width="11" style="832" customWidth="1"/>
    <col min="4" max="4" width="14.28515625" style="832" customWidth="1"/>
    <col min="5" max="5" width="7.42578125" style="832" hidden="1" customWidth="1"/>
    <col min="6" max="8" width="11.5703125" style="832" hidden="1" customWidth="1"/>
    <col min="9" max="9" width="6" style="832" hidden="1" customWidth="1"/>
    <col min="10" max="10" width="8.5703125" style="832" hidden="1" customWidth="1"/>
    <col min="11" max="11" width="7.42578125" style="832" hidden="1" customWidth="1"/>
    <col min="12" max="12" width="9.7109375" style="832" hidden="1" customWidth="1"/>
    <col min="13" max="14" width="10.140625" style="832" customWidth="1"/>
    <col min="15" max="15" width="9.42578125" style="832" bestFit="1" customWidth="1"/>
    <col min="16" max="16" width="9.5703125" style="958" bestFit="1" customWidth="1"/>
    <col min="17" max="17" width="9.7109375" style="956" hidden="1" customWidth="1"/>
    <col min="18" max="18" width="8.42578125" style="956" customWidth="1"/>
    <col min="19" max="19" width="7.85546875" style="956" customWidth="1"/>
    <col min="20" max="20" width="8.5703125" style="956" customWidth="1"/>
    <col min="21" max="21" width="11" style="956" customWidth="1"/>
    <col min="22" max="22" width="14.5703125" style="955" customWidth="1"/>
    <col min="23" max="16384" width="9.140625" style="832"/>
  </cols>
  <sheetData>
    <row r="1" spans="1:22" ht="39" customHeight="1">
      <c r="O1" s="795"/>
      <c r="P1" s="832"/>
      <c r="R1" s="1882" t="s">
        <v>284</v>
      </c>
      <c r="S1" s="832"/>
      <c r="T1" s="377"/>
      <c r="U1" s="377"/>
      <c r="V1" s="378"/>
    </row>
    <row r="2" spans="1:22" ht="33.75" hidden="1" customHeight="1">
      <c r="N2" s="379"/>
      <c r="O2" s="833"/>
      <c r="P2" s="832"/>
      <c r="Q2" s="832"/>
      <c r="R2" s="832"/>
      <c r="S2" s="832"/>
      <c r="T2" s="377"/>
      <c r="U2" s="377"/>
      <c r="V2" s="378"/>
    </row>
    <row r="3" spans="1:22" ht="48" customHeight="1" thickBot="1">
      <c r="A3" s="2834" t="s">
        <v>285</v>
      </c>
      <c r="B3" s="2834"/>
      <c r="C3" s="2834"/>
      <c r="D3" s="2834"/>
      <c r="E3" s="2834"/>
      <c r="F3" s="2834"/>
      <c r="G3" s="2834"/>
      <c r="H3" s="2834"/>
      <c r="I3" s="2834"/>
      <c r="J3" s="2834"/>
      <c r="K3" s="2834"/>
      <c r="L3" s="2834"/>
      <c r="M3" s="2834"/>
      <c r="N3" s="2834"/>
      <c r="O3" s="2834"/>
      <c r="P3" s="2834"/>
      <c r="Q3" s="2834"/>
      <c r="R3" s="2834"/>
      <c r="S3" s="2834"/>
      <c r="T3" s="2834"/>
      <c r="U3" s="2834"/>
      <c r="V3" s="2834"/>
    </row>
    <row r="4" spans="1:22" ht="29.25" customHeight="1">
      <c r="A4" s="834"/>
      <c r="B4" s="2835" t="s">
        <v>96</v>
      </c>
      <c r="C4" s="2445" t="s">
        <v>91</v>
      </c>
      <c r="D4" s="2370" t="s">
        <v>158</v>
      </c>
      <c r="E4" s="2463" t="s">
        <v>3</v>
      </c>
      <c r="F4" s="2464"/>
      <c r="G4" s="2464"/>
      <c r="H4" s="2464"/>
      <c r="I4" s="2464"/>
      <c r="J4" s="2464"/>
      <c r="K4" s="2464"/>
      <c r="L4" s="2465"/>
      <c r="M4" s="2463" t="s">
        <v>320</v>
      </c>
      <c r="N4" s="2464"/>
      <c r="O4" s="2457" t="s">
        <v>325</v>
      </c>
      <c r="P4" s="2458"/>
      <c r="Q4" s="2458"/>
      <c r="R4" s="2458"/>
      <c r="S4" s="2458"/>
      <c r="T4" s="2459"/>
      <c r="U4" s="2451" t="s">
        <v>318</v>
      </c>
      <c r="V4" s="2625" t="s">
        <v>94</v>
      </c>
    </row>
    <row r="5" spans="1:22" ht="29.25" customHeight="1">
      <c r="A5" s="835" t="s">
        <v>95</v>
      </c>
      <c r="B5" s="2836"/>
      <c r="C5" s="2632"/>
      <c r="D5" s="2674"/>
      <c r="E5" s="2466"/>
      <c r="F5" s="2467"/>
      <c r="G5" s="2467"/>
      <c r="H5" s="2467"/>
      <c r="I5" s="2467"/>
      <c r="J5" s="2467"/>
      <c r="K5" s="2467"/>
      <c r="L5" s="2468"/>
      <c r="M5" s="2466"/>
      <c r="N5" s="2467"/>
      <c r="O5" s="2460"/>
      <c r="P5" s="2461"/>
      <c r="Q5" s="2461"/>
      <c r="R5" s="2461"/>
      <c r="S5" s="2461"/>
      <c r="T5" s="2462"/>
      <c r="U5" s="2452"/>
      <c r="V5" s="2626"/>
    </row>
    <row r="6" spans="1:22" ht="31.5" customHeight="1" thickBot="1">
      <c r="A6" s="835"/>
      <c r="B6" s="2837"/>
      <c r="C6" s="2632"/>
      <c r="D6" s="2675"/>
      <c r="E6" s="2208" t="s">
        <v>6</v>
      </c>
      <c r="F6" s="384" t="s">
        <v>7</v>
      </c>
      <c r="G6" s="384" t="s">
        <v>8</v>
      </c>
      <c r="H6" s="384" t="s">
        <v>9</v>
      </c>
      <c r="I6" s="2185" t="s">
        <v>10</v>
      </c>
      <c r="J6" s="2185" t="s">
        <v>11</v>
      </c>
      <c r="K6" s="2185" t="s">
        <v>12</v>
      </c>
      <c r="L6" s="2185" t="s">
        <v>13</v>
      </c>
      <c r="M6" s="2185" t="s">
        <v>321</v>
      </c>
      <c r="N6" s="2185" t="s">
        <v>14</v>
      </c>
      <c r="O6" s="2185" t="s">
        <v>15</v>
      </c>
      <c r="P6" s="2185" t="s">
        <v>16</v>
      </c>
      <c r="Q6" s="2185" t="s">
        <v>17</v>
      </c>
      <c r="R6" s="2185" t="s">
        <v>18</v>
      </c>
      <c r="S6" s="1791" t="s">
        <v>315</v>
      </c>
      <c r="T6" s="1791" t="s">
        <v>322</v>
      </c>
      <c r="U6" s="2453"/>
      <c r="V6" s="2627"/>
    </row>
    <row r="7" spans="1:22" ht="15" customHeight="1">
      <c r="A7" s="1025">
        <v>1</v>
      </c>
      <c r="B7" s="1026">
        <v>2</v>
      </c>
      <c r="C7" s="1027" t="s">
        <v>159</v>
      </c>
      <c r="D7" s="1028" t="s">
        <v>160</v>
      </c>
      <c r="E7" s="1028" t="s">
        <v>161</v>
      </c>
      <c r="F7" s="1028">
        <v>8</v>
      </c>
      <c r="G7" s="1028">
        <v>9</v>
      </c>
      <c r="H7" s="1028">
        <v>10</v>
      </c>
      <c r="I7" s="1028" t="s">
        <v>162</v>
      </c>
      <c r="J7" s="1028" t="s">
        <v>163</v>
      </c>
      <c r="K7" s="1028" t="s">
        <v>164</v>
      </c>
      <c r="L7" s="1028" t="s">
        <v>165</v>
      </c>
      <c r="M7" s="1802">
        <v>5</v>
      </c>
      <c r="N7" s="1803">
        <v>6</v>
      </c>
      <c r="O7" s="1803">
        <v>7</v>
      </c>
      <c r="P7" s="1803">
        <v>8</v>
      </c>
      <c r="Q7" s="1803">
        <v>9</v>
      </c>
      <c r="R7" s="1802">
        <v>10</v>
      </c>
      <c r="S7" s="1802">
        <v>11</v>
      </c>
      <c r="T7" s="1802">
        <v>12</v>
      </c>
      <c r="U7" s="1804">
        <v>13</v>
      </c>
      <c r="V7" s="1805">
        <v>14</v>
      </c>
    </row>
    <row r="8" spans="1:22" s="1898" customFormat="1" ht="16.5" customHeight="1">
      <c r="A8" s="805"/>
      <c r="B8" s="1114" t="s">
        <v>97</v>
      </c>
      <c r="C8" s="1115"/>
      <c r="D8" s="1111">
        <f>+D9+D10</f>
        <v>13327857</v>
      </c>
      <c r="E8" s="1111">
        <f t="shared" ref="E8:R8" si="0">+E9+E10</f>
        <v>0</v>
      </c>
      <c r="F8" s="1111">
        <f t="shared" si="0"/>
        <v>0</v>
      </c>
      <c r="G8" s="1111">
        <f t="shared" si="0"/>
        <v>0</v>
      </c>
      <c r="H8" s="1111">
        <f t="shared" si="0"/>
        <v>0</v>
      </c>
      <c r="I8" s="1111">
        <f t="shared" si="0"/>
        <v>0</v>
      </c>
      <c r="J8" s="1111">
        <f t="shared" si="0"/>
        <v>75251</v>
      </c>
      <c r="K8" s="1111">
        <f t="shared" si="0"/>
        <v>767860</v>
      </c>
      <c r="L8" s="1111">
        <f t="shared" si="0"/>
        <v>4075300</v>
      </c>
      <c r="M8" s="1111">
        <f t="shared" si="0"/>
        <v>4843461</v>
      </c>
      <c r="N8" s="1111">
        <f t="shared" si="0"/>
        <v>2853805</v>
      </c>
      <c r="O8" s="1111">
        <f>+O9+O10</f>
        <v>5630591</v>
      </c>
      <c r="P8" s="1111">
        <f t="shared" si="0"/>
        <v>0</v>
      </c>
      <c r="Q8" s="1111">
        <f t="shared" si="0"/>
        <v>0</v>
      </c>
      <c r="R8" s="1111">
        <f t="shared" si="0"/>
        <v>0</v>
      </c>
      <c r="S8" s="1111"/>
      <c r="T8" s="1111"/>
      <c r="U8" s="843">
        <f>+U9+U10</f>
        <v>5630591</v>
      </c>
      <c r="V8" s="399"/>
    </row>
    <row r="9" spans="1:22" s="1898" customFormat="1" ht="13.5" customHeight="1">
      <c r="A9" s="805"/>
      <c r="B9" s="1116" t="s">
        <v>98</v>
      </c>
      <c r="C9" s="1117"/>
      <c r="D9" s="1095">
        <f>+D22+D40+D49+D56+D72+D79+D93+D102</f>
        <v>12585668</v>
      </c>
      <c r="E9" s="1095">
        <f t="shared" ref="E9:T9" si="1">+E22+E40+E49+E56+E72+E79+E93+E102</f>
        <v>0</v>
      </c>
      <c r="F9" s="1095">
        <f t="shared" si="1"/>
        <v>0</v>
      </c>
      <c r="G9" s="1095">
        <f t="shared" si="1"/>
        <v>0</v>
      </c>
      <c r="H9" s="1095">
        <f t="shared" si="1"/>
        <v>0</v>
      </c>
      <c r="I9" s="1095">
        <f t="shared" si="1"/>
        <v>0</v>
      </c>
      <c r="J9" s="1095">
        <f t="shared" si="1"/>
        <v>75251</v>
      </c>
      <c r="K9" s="1095">
        <f t="shared" si="1"/>
        <v>751950</v>
      </c>
      <c r="L9" s="1095">
        <f t="shared" si="1"/>
        <v>3938590</v>
      </c>
      <c r="M9" s="1095">
        <f t="shared" si="1"/>
        <v>4765791</v>
      </c>
      <c r="N9" s="1095">
        <f t="shared" si="1"/>
        <v>2840120</v>
      </c>
      <c r="O9" s="1095">
        <f>+O22+O40+O49+O56+O72+O79+O93+O102</f>
        <v>4979757</v>
      </c>
      <c r="P9" s="1095">
        <f t="shared" si="1"/>
        <v>0</v>
      </c>
      <c r="Q9" s="1095">
        <f t="shared" si="1"/>
        <v>0</v>
      </c>
      <c r="R9" s="1095">
        <f t="shared" si="1"/>
        <v>0</v>
      </c>
      <c r="S9" s="1095">
        <f t="shared" si="1"/>
        <v>0</v>
      </c>
      <c r="T9" s="1095">
        <f t="shared" si="1"/>
        <v>0</v>
      </c>
      <c r="U9" s="400">
        <f>SUM(O9:R9)</f>
        <v>4979757</v>
      </c>
      <c r="V9" s="399"/>
    </row>
    <row r="10" spans="1:22" s="1898" customFormat="1" ht="13.5" customHeight="1" thickBot="1">
      <c r="A10" s="805"/>
      <c r="B10" s="1118" t="s">
        <v>21</v>
      </c>
      <c r="C10" s="1119"/>
      <c r="D10" s="1120">
        <f>D31+D65+D86+D109</f>
        <v>742189</v>
      </c>
      <c r="E10" s="1120">
        <f t="shared" ref="E10:T10" si="2">E31+E65+E86+E109</f>
        <v>0</v>
      </c>
      <c r="F10" s="1120">
        <f t="shared" si="2"/>
        <v>0</v>
      </c>
      <c r="G10" s="1120">
        <f t="shared" si="2"/>
        <v>0</v>
      </c>
      <c r="H10" s="1120">
        <f t="shared" si="2"/>
        <v>0</v>
      </c>
      <c r="I10" s="1120">
        <f t="shared" si="2"/>
        <v>0</v>
      </c>
      <c r="J10" s="1120">
        <f t="shared" si="2"/>
        <v>0</v>
      </c>
      <c r="K10" s="1120">
        <f t="shared" si="2"/>
        <v>15910</v>
      </c>
      <c r="L10" s="1120">
        <f t="shared" si="2"/>
        <v>136710</v>
      </c>
      <c r="M10" s="1120">
        <f t="shared" si="2"/>
        <v>77670</v>
      </c>
      <c r="N10" s="1120">
        <f t="shared" si="2"/>
        <v>13685</v>
      </c>
      <c r="O10" s="1120">
        <f t="shared" si="2"/>
        <v>650834</v>
      </c>
      <c r="P10" s="1120">
        <f t="shared" si="2"/>
        <v>0</v>
      </c>
      <c r="Q10" s="1120">
        <f t="shared" si="2"/>
        <v>0</v>
      </c>
      <c r="R10" s="1120">
        <f t="shared" si="2"/>
        <v>0</v>
      </c>
      <c r="S10" s="1120">
        <f t="shared" si="2"/>
        <v>0</v>
      </c>
      <c r="T10" s="1120">
        <f t="shared" si="2"/>
        <v>0</v>
      </c>
      <c r="U10" s="845">
        <f>SUM(O10:R10)</f>
        <v>650834</v>
      </c>
      <c r="V10" s="399"/>
    </row>
    <row r="11" spans="1:22" ht="17.25" customHeight="1">
      <c r="A11" s="805"/>
      <c r="B11" s="1030" t="s">
        <v>22</v>
      </c>
      <c r="C11" s="603"/>
      <c r="D11" s="1031">
        <f>D12+D14</f>
        <v>13327857</v>
      </c>
      <c r="E11" s="1032">
        <f t="shared" ref="E11:N11" si="3">E12+E14</f>
        <v>0</v>
      </c>
      <c r="F11" s="1032">
        <f t="shared" si="3"/>
        <v>0</v>
      </c>
      <c r="G11" s="1032">
        <f t="shared" si="3"/>
        <v>0</v>
      </c>
      <c r="H11" s="1032">
        <f t="shared" si="3"/>
        <v>0</v>
      </c>
      <c r="I11" s="1032">
        <f t="shared" si="3"/>
        <v>0</v>
      </c>
      <c r="J11" s="1032">
        <f t="shared" si="3"/>
        <v>75251</v>
      </c>
      <c r="K11" s="1032">
        <f t="shared" si="3"/>
        <v>751950</v>
      </c>
      <c r="L11" s="1032">
        <f t="shared" si="3"/>
        <v>4016260</v>
      </c>
      <c r="M11" s="1032">
        <f t="shared" si="3"/>
        <v>4843461</v>
      </c>
      <c r="N11" s="1032">
        <f t="shared" si="3"/>
        <v>2853805</v>
      </c>
      <c r="O11" s="1032">
        <f>O12+O14</f>
        <v>5630591</v>
      </c>
      <c r="P11" s="1032">
        <f>P12+P14</f>
        <v>0</v>
      </c>
      <c r="Q11" s="1032">
        <f>Q12+Q14</f>
        <v>0</v>
      </c>
      <c r="R11" s="1032">
        <f>R12+R14</f>
        <v>0</v>
      </c>
      <c r="S11" s="1032">
        <f t="shared" ref="S11:T11" si="4">S12+S14</f>
        <v>0</v>
      </c>
      <c r="T11" s="1032">
        <f t="shared" si="4"/>
        <v>0</v>
      </c>
      <c r="U11" s="418">
        <f>O11+P11+Q11+R11+T11</f>
        <v>5630591</v>
      </c>
      <c r="V11" s="739"/>
    </row>
    <row r="12" spans="1:22" ht="13.5" customHeight="1">
      <c r="A12" s="805"/>
      <c r="B12" s="1034" t="s">
        <v>36</v>
      </c>
      <c r="C12" s="1035"/>
      <c r="D12" s="1036">
        <f>D13</f>
        <v>234501</v>
      </c>
      <c r="E12" s="1036">
        <f t="shared" ref="E12:U12" si="5">+E13</f>
        <v>0</v>
      </c>
      <c r="F12" s="1036">
        <f t="shared" si="5"/>
        <v>0</v>
      </c>
      <c r="G12" s="1036">
        <f t="shared" si="5"/>
        <v>0</v>
      </c>
      <c r="H12" s="1036">
        <f t="shared" si="5"/>
        <v>0</v>
      </c>
      <c r="I12" s="1036">
        <f t="shared" si="5"/>
        <v>0</v>
      </c>
      <c r="J12" s="1036">
        <f t="shared" si="5"/>
        <v>11289</v>
      </c>
      <c r="K12" s="1036">
        <f t="shared" si="5"/>
        <v>28906</v>
      </c>
      <c r="L12" s="1036">
        <f t="shared" si="5"/>
        <v>91055</v>
      </c>
      <c r="M12" s="1036">
        <f t="shared" si="5"/>
        <v>133045</v>
      </c>
      <c r="N12" s="1036">
        <f t="shared" si="5"/>
        <v>47089</v>
      </c>
      <c r="O12" s="1036">
        <f>+O13</f>
        <v>54367</v>
      </c>
      <c r="P12" s="1036">
        <f t="shared" si="5"/>
        <v>0</v>
      </c>
      <c r="Q12" s="1036">
        <f t="shared" si="5"/>
        <v>0</v>
      </c>
      <c r="R12" s="1036">
        <f t="shared" si="5"/>
        <v>0</v>
      </c>
      <c r="S12" s="1036">
        <f t="shared" si="5"/>
        <v>0</v>
      </c>
      <c r="T12" s="1036">
        <f t="shared" si="5"/>
        <v>0</v>
      </c>
      <c r="U12" s="922">
        <f t="shared" si="5"/>
        <v>54367</v>
      </c>
      <c r="V12" s="2191"/>
    </row>
    <row r="13" spans="1:22" ht="13.5" customHeight="1">
      <c r="A13" s="805"/>
      <c r="B13" s="1037" t="s">
        <v>24</v>
      </c>
      <c r="C13" s="1038"/>
      <c r="D13" s="807">
        <f>+M13+N13+O13+P13+Q13+R13+S13+T13</f>
        <v>234501</v>
      </c>
      <c r="E13" s="937">
        <f>E24+E42+E33</f>
        <v>0</v>
      </c>
      <c r="F13" s="937">
        <f>F24+F42</f>
        <v>0</v>
      </c>
      <c r="G13" s="937">
        <f>G24+G42</f>
        <v>0</v>
      </c>
      <c r="H13" s="937">
        <f>H24+H42</f>
        <v>0</v>
      </c>
      <c r="I13" s="937">
        <f t="shared" ref="I13:T13" si="6">I24+I42+I33</f>
        <v>0</v>
      </c>
      <c r="J13" s="937">
        <f t="shared" si="6"/>
        <v>11289</v>
      </c>
      <c r="K13" s="937">
        <f t="shared" si="6"/>
        <v>28906</v>
      </c>
      <c r="L13" s="937">
        <f t="shared" si="6"/>
        <v>91055</v>
      </c>
      <c r="M13" s="937">
        <f>M24+M42+M33+M58+M95</f>
        <v>133045</v>
      </c>
      <c r="N13" s="937">
        <f>N24+N42+N33+N58+N95</f>
        <v>47089</v>
      </c>
      <c r="O13" s="937">
        <f>O24+O42+O33+O58+O95</f>
        <v>54367</v>
      </c>
      <c r="P13" s="937">
        <f t="shared" si="6"/>
        <v>0</v>
      </c>
      <c r="Q13" s="937">
        <f t="shared" si="6"/>
        <v>0</v>
      </c>
      <c r="R13" s="937">
        <f t="shared" si="6"/>
        <v>0</v>
      </c>
      <c r="S13" s="937">
        <f t="shared" si="6"/>
        <v>0</v>
      </c>
      <c r="T13" s="937">
        <f t="shared" si="6"/>
        <v>0</v>
      </c>
      <c r="U13" s="423">
        <f>+O13+P13+Q13+R13</f>
        <v>54367</v>
      </c>
      <c r="V13" s="2191"/>
    </row>
    <row r="14" spans="1:22" ht="13.5" customHeight="1">
      <c r="A14" s="805"/>
      <c r="B14" s="1034" t="s">
        <v>30</v>
      </c>
      <c r="C14" s="1035"/>
      <c r="D14" s="1036">
        <f>+D15+D16</f>
        <v>13093356</v>
      </c>
      <c r="E14" s="1036">
        <f t="shared" ref="E14:T14" si="7">+E15+E16</f>
        <v>0</v>
      </c>
      <c r="F14" s="1036">
        <f t="shared" si="7"/>
        <v>0</v>
      </c>
      <c r="G14" s="1036">
        <f t="shared" si="7"/>
        <v>0</v>
      </c>
      <c r="H14" s="1036">
        <f t="shared" si="7"/>
        <v>0</v>
      </c>
      <c r="I14" s="1036">
        <f t="shared" si="7"/>
        <v>0</v>
      </c>
      <c r="J14" s="1036">
        <f t="shared" si="7"/>
        <v>63962</v>
      </c>
      <c r="K14" s="1036">
        <f t="shared" si="7"/>
        <v>723044</v>
      </c>
      <c r="L14" s="1036">
        <f t="shared" si="7"/>
        <v>3925205</v>
      </c>
      <c r="M14" s="1036">
        <f t="shared" si="7"/>
        <v>4710416</v>
      </c>
      <c r="N14" s="1036">
        <f>+N15+N16</f>
        <v>2806716</v>
      </c>
      <c r="O14" s="1036">
        <f>+O15+O16</f>
        <v>5576224</v>
      </c>
      <c r="P14" s="1036">
        <f t="shared" si="7"/>
        <v>0</v>
      </c>
      <c r="Q14" s="1036">
        <f t="shared" si="7"/>
        <v>0</v>
      </c>
      <c r="R14" s="1036">
        <f t="shared" si="7"/>
        <v>0</v>
      </c>
      <c r="S14" s="1036">
        <f t="shared" si="7"/>
        <v>0</v>
      </c>
      <c r="T14" s="1036">
        <f t="shared" si="7"/>
        <v>0</v>
      </c>
      <c r="U14" s="922">
        <f>+U15</f>
        <v>5576224</v>
      </c>
      <c r="V14" s="2659"/>
    </row>
    <row r="15" spans="1:22" ht="13.5" customHeight="1">
      <c r="A15" s="805"/>
      <c r="B15" s="1037" t="s">
        <v>33</v>
      </c>
      <c r="C15" s="1039"/>
      <c r="D15" s="807">
        <f>+M15+N15+O15+P15+Q15+R15+S15+T15</f>
        <v>13093356</v>
      </c>
      <c r="E15" s="807">
        <f t="shared" ref="E15:N15" si="8">E26+E44+E51+E60+E67+E74+E35+E81+E97+E104</f>
        <v>0</v>
      </c>
      <c r="F15" s="807">
        <f t="shared" si="8"/>
        <v>0</v>
      </c>
      <c r="G15" s="807">
        <f t="shared" si="8"/>
        <v>0</v>
      </c>
      <c r="H15" s="807">
        <f t="shared" si="8"/>
        <v>0</v>
      </c>
      <c r="I15" s="807">
        <f t="shared" si="8"/>
        <v>0</v>
      </c>
      <c r="J15" s="807">
        <f t="shared" si="8"/>
        <v>63962</v>
      </c>
      <c r="K15" s="807">
        <f t="shared" si="8"/>
        <v>723044</v>
      </c>
      <c r="L15" s="807">
        <f t="shared" si="8"/>
        <v>3925205</v>
      </c>
      <c r="M15" s="807">
        <f t="shared" si="8"/>
        <v>4710416</v>
      </c>
      <c r="N15" s="807">
        <f t="shared" si="8"/>
        <v>2806716</v>
      </c>
      <c r="O15" s="807">
        <f>O26+O44+O51+O60+O67+O74+O35+O81+O97+O104+O88+O111</f>
        <v>5576224</v>
      </c>
      <c r="P15" s="807">
        <f>P26+P44+P51+P60+P67+P74+P35+P81+P97+P104</f>
        <v>0</v>
      </c>
      <c r="Q15" s="807">
        <f>Q26+Q44+Q51+Q60+Q67+Q74+Q35+Q81+Q97+Q104</f>
        <v>0</v>
      </c>
      <c r="R15" s="807">
        <f>R26+R44+R51+R60+R67+R74+R35+R81+R97+R104</f>
        <v>0</v>
      </c>
      <c r="S15" s="807">
        <f>S26+S44+S51+S60+S67+S74+S35+S81+S97+S104</f>
        <v>0</v>
      </c>
      <c r="T15" s="807">
        <f>T26+T44+T51+T60+T67+T74+T35+T81+T97+T104</f>
        <v>0</v>
      </c>
      <c r="U15" s="423">
        <f>+O15+P15+Q15+R15</f>
        <v>5576224</v>
      </c>
      <c r="V15" s="2659"/>
    </row>
    <row r="16" spans="1:22" ht="13.5" hidden="1" customHeight="1">
      <c r="A16" s="805"/>
      <c r="B16" s="2209" t="s">
        <v>32</v>
      </c>
      <c r="C16" s="2200"/>
      <c r="D16" s="807">
        <f>+N16+O16</f>
        <v>0</v>
      </c>
      <c r="E16" s="807">
        <f t="shared" ref="E16:R16" si="9">+E104</f>
        <v>0</v>
      </c>
      <c r="F16" s="807">
        <f t="shared" si="9"/>
        <v>0</v>
      </c>
      <c r="G16" s="807">
        <f t="shared" si="9"/>
        <v>0</v>
      </c>
      <c r="H16" s="807">
        <f t="shared" si="9"/>
        <v>0</v>
      </c>
      <c r="I16" s="807">
        <f t="shared" si="9"/>
        <v>0</v>
      </c>
      <c r="J16" s="807">
        <f t="shared" si="9"/>
        <v>0</v>
      </c>
      <c r="K16" s="807">
        <f t="shared" si="9"/>
        <v>0</v>
      </c>
      <c r="L16" s="807">
        <f t="shared" si="9"/>
        <v>0</v>
      </c>
      <c r="M16" s="807"/>
      <c r="N16" s="807">
        <f t="shared" si="9"/>
        <v>0</v>
      </c>
      <c r="O16" s="807">
        <f t="shared" si="9"/>
        <v>0</v>
      </c>
      <c r="P16" s="807">
        <f t="shared" si="9"/>
        <v>0</v>
      </c>
      <c r="Q16" s="807">
        <f t="shared" si="9"/>
        <v>0</v>
      </c>
      <c r="R16" s="807">
        <f t="shared" si="9"/>
        <v>0</v>
      </c>
      <c r="S16" s="807"/>
      <c r="T16" s="807"/>
      <c r="U16" s="423"/>
      <c r="V16" s="2659"/>
    </row>
    <row r="17" spans="1:22" ht="18.75" customHeight="1">
      <c r="A17" s="805"/>
      <c r="B17" s="1030" t="s">
        <v>34</v>
      </c>
      <c r="C17" s="428"/>
      <c r="D17" s="1031">
        <f t="shared" ref="D17:S18" si="10">D18</f>
        <v>13093356</v>
      </c>
      <c r="E17" s="1032">
        <f t="shared" si="10"/>
        <v>0</v>
      </c>
      <c r="F17" s="1032">
        <f t="shared" si="10"/>
        <v>0</v>
      </c>
      <c r="G17" s="1032">
        <f t="shared" si="10"/>
        <v>0</v>
      </c>
      <c r="H17" s="1032">
        <f t="shared" si="10"/>
        <v>0</v>
      </c>
      <c r="I17" s="1032">
        <f t="shared" si="10"/>
        <v>0</v>
      </c>
      <c r="J17" s="1032">
        <f t="shared" si="10"/>
        <v>1291</v>
      </c>
      <c r="K17" s="1032">
        <f t="shared" si="10"/>
        <v>163718</v>
      </c>
      <c r="L17" s="1032">
        <f t="shared" si="10"/>
        <v>2718868</v>
      </c>
      <c r="M17" s="1032">
        <f t="shared" si="10"/>
        <v>2883877</v>
      </c>
      <c r="N17" s="1032">
        <f t="shared" si="10"/>
        <v>2634720</v>
      </c>
      <c r="O17" s="1032">
        <f t="shared" si="10"/>
        <v>7574759</v>
      </c>
      <c r="P17" s="1032">
        <f t="shared" si="10"/>
        <v>0</v>
      </c>
      <c r="Q17" s="1032">
        <f t="shared" si="10"/>
        <v>0</v>
      </c>
      <c r="R17" s="1032">
        <f t="shared" si="10"/>
        <v>0</v>
      </c>
      <c r="S17" s="1032">
        <f t="shared" si="10"/>
        <v>0</v>
      </c>
      <c r="T17" s="1032">
        <f t="shared" ref="T17:T18" si="11">T18</f>
        <v>0</v>
      </c>
      <c r="U17" s="2437" t="s">
        <v>77</v>
      </c>
      <c r="V17" s="2659"/>
    </row>
    <row r="18" spans="1:22" ht="13.5" customHeight="1">
      <c r="A18" s="805"/>
      <c r="B18" s="1034" t="s">
        <v>30</v>
      </c>
      <c r="C18" s="1039"/>
      <c r="D18" s="1271">
        <f>+D19+D20</f>
        <v>13093356</v>
      </c>
      <c r="E18" s="1271">
        <f t="shared" si="10"/>
        <v>0</v>
      </c>
      <c r="F18" s="1271">
        <f t="shared" si="10"/>
        <v>0</v>
      </c>
      <c r="G18" s="1271">
        <f t="shared" si="10"/>
        <v>0</v>
      </c>
      <c r="H18" s="1271">
        <f t="shared" si="10"/>
        <v>0</v>
      </c>
      <c r="I18" s="1271">
        <f t="shared" si="10"/>
        <v>0</v>
      </c>
      <c r="J18" s="1271">
        <f t="shared" si="10"/>
        <v>1291</v>
      </c>
      <c r="K18" s="1271">
        <f t="shared" si="10"/>
        <v>163718</v>
      </c>
      <c r="L18" s="1271">
        <f t="shared" si="10"/>
        <v>2718868</v>
      </c>
      <c r="M18" s="1271">
        <f t="shared" si="10"/>
        <v>2883877</v>
      </c>
      <c r="N18" s="1271">
        <f t="shared" si="10"/>
        <v>2634720</v>
      </c>
      <c r="O18" s="1271">
        <f t="shared" si="10"/>
        <v>7574759</v>
      </c>
      <c r="P18" s="1271">
        <f t="shared" si="10"/>
        <v>0</v>
      </c>
      <c r="Q18" s="1271">
        <f t="shared" si="10"/>
        <v>0</v>
      </c>
      <c r="R18" s="1271">
        <f t="shared" si="10"/>
        <v>0</v>
      </c>
      <c r="S18" s="1271">
        <f t="shared" si="10"/>
        <v>0</v>
      </c>
      <c r="T18" s="1271">
        <f t="shared" si="11"/>
        <v>0</v>
      </c>
      <c r="U18" s="2438"/>
      <c r="V18" s="2659"/>
    </row>
    <row r="19" spans="1:22" ht="13.5" customHeight="1" thickBot="1">
      <c r="A19" s="805"/>
      <c r="B19" s="1037" t="s">
        <v>33</v>
      </c>
      <c r="C19" s="1039"/>
      <c r="D19" s="807">
        <f>+M19+N19+O19+P19+Q19+R19+S19+T19</f>
        <v>13093356</v>
      </c>
      <c r="E19" s="807">
        <f t="shared" ref="E19:N19" si="12">E29+E47+E54+E63+E70+E38+E77+E84+E100+E107</f>
        <v>0</v>
      </c>
      <c r="F19" s="807">
        <f t="shared" si="12"/>
        <v>0</v>
      </c>
      <c r="G19" s="807">
        <f t="shared" si="12"/>
        <v>0</v>
      </c>
      <c r="H19" s="807">
        <f t="shared" si="12"/>
        <v>0</v>
      </c>
      <c r="I19" s="807">
        <f t="shared" si="12"/>
        <v>0</v>
      </c>
      <c r="J19" s="807">
        <f t="shared" si="12"/>
        <v>1291</v>
      </c>
      <c r="K19" s="807">
        <f t="shared" si="12"/>
        <v>163718</v>
      </c>
      <c r="L19" s="807">
        <f t="shared" si="12"/>
        <v>2718868</v>
      </c>
      <c r="M19" s="807">
        <f>M29+M47+M54+M63+M70+M38+M77+M84+M100+M107</f>
        <v>2883877</v>
      </c>
      <c r="N19" s="807">
        <f t="shared" si="12"/>
        <v>2634720</v>
      </c>
      <c r="O19" s="807">
        <f>O29+O47+O54+O63+O70+O38+O77+O84+O100+O107+O91+O114</f>
        <v>7574759</v>
      </c>
      <c r="P19" s="807">
        <f>P29+P47+P54+P63+P70+P38+P77+P84+P100+P107</f>
        <v>0</v>
      </c>
      <c r="Q19" s="807">
        <f>Q29+Q47+Q54+Q63+Q70+Q38+Q77+Q84+Q100+Q107</f>
        <v>0</v>
      </c>
      <c r="R19" s="807">
        <f>R29+R47+R54+R63+R70+R38+R77+R84+R100+R107</f>
        <v>0</v>
      </c>
      <c r="S19" s="807">
        <f>S29+S47+S54+S63+S70+S38+S77+S84+S100+S107</f>
        <v>0</v>
      </c>
      <c r="T19" s="807">
        <f>T29+T47+T54+T63+T70+T38+T77+T84+T100+T107</f>
        <v>0</v>
      </c>
      <c r="U19" s="2438"/>
      <c r="V19" s="2659"/>
    </row>
    <row r="20" spans="1:22" ht="13.5" hidden="1" customHeight="1" thickBot="1">
      <c r="A20" s="1040"/>
      <c r="B20" s="2209" t="s">
        <v>32</v>
      </c>
      <c r="C20" s="2201"/>
      <c r="D20" s="2215">
        <f>+N20+O20</f>
        <v>0</v>
      </c>
      <c r="E20" s="2215">
        <f t="shared" ref="E20:R20" si="13">+E107</f>
        <v>0</v>
      </c>
      <c r="F20" s="2215">
        <f t="shared" si="13"/>
        <v>0</v>
      </c>
      <c r="G20" s="2215">
        <f t="shared" si="13"/>
        <v>0</v>
      </c>
      <c r="H20" s="2215">
        <f t="shared" si="13"/>
        <v>0</v>
      </c>
      <c r="I20" s="2215">
        <f t="shared" si="13"/>
        <v>0</v>
      </c>
      <c r="J20" s="2215">
        <f t="shared" si="13"/>
        <v>0</v>
      </c>
      <c r="K20" s="2215">
        <f t="shared" si="13"/>
        <v>0</v>
      </c>
      <c r="L20" s="2215">
        <f t="shared" si="13"/>
        <v>0</v>
      </c>
      <c r="M20" s="2215"/>
      <c r="N20" s="2215">
        <f t="shared" si="13"/>
        <v>0</v>
      </c>
      <c r="O20" s="2215">
        <f t="shared" si="13"/>
        <v>0</v>
      </c>
      <c r="P20" s="2215">
        <f t="shared" si="13"/>
        <v>0</v>
      </c>
      <c r="Q20" s="2215">
        <f t="shared" si="13"/>
        <v>0</v>
      </c>
      <c r="R20" s="2215">
        <f t="shared" si="13"/>
        <v>0</v>
      </c>
      <c r="S20" s="2215"/>
      <c r="T20" s="2215"/>
      <c r="U20" s="2439"/>
      <c r="V20" s="2743"/>
    </row>
    <row r="21" spans="1:22" ht="42" customHeight="1">
      <c r="A21" s="2693" t="s">
        <v>82</v>
      </c>
      <c r="B21" s="1934" t="s">
        <v>286</v>
      </c>
      <c r="C21" s="2026" t="s">
        <v>138</v>
      </c>
      <c r="D21" s="954"/>
      <c r="E21" s="882"/>
      <c r="F21" s="882"/>
      <c r="G21" s="882"/>
      <c r="H21" s="882"/>
      <c r="I21" s="882"/>
      <c r="J21" s="882"/>
      <c r="K21" s="882"/>
      <c r="L21" s="944"/>
      <c r="M21" s="944"/>
      <c r="N21" s="944"/>
      <c r="O21" s="944"/>
      <c r="P21" s="945"/>
      <c r="Q21" s="945"/>
      <c r="R21" s="945"/>
      <c r="S21" s="945"/>
      <c r="T21" s="944"/>
      <c r="U21" s="946"/>
      <c r="V21" s="2618" t="s">
        <v>356</v>
      </c>
    </row>
    <row r="22" spans="1:22" ht="17.25" customHeight="1">
      <c r="A22" s="2694"/>
      <c r="B22" s="452" t="s">
        <v>22</v>
      </c>
      <c r="C22" s="428"/>
      <c r="D22" s="518">
        <f t="shared" ref="D22:M22" si="14">+D23+D25</f>
        <v>537945</v>
      </c>
      <c r="E22" s="496">
        <f t="shared" si="14"/>
        <v>0</v>
      </c>
      <c r="F22" s="496">
        <f t="shared" si="14"/>
        <v>0</v>
      </c>
      <c r="G22" s="496">
        <f t="shared" si="14"/>
        <v>0</v>
      </c>
      <c r="H22" s="496">
        <f t="shared" si="14"/>
        <v>0</v>
      </c>
      <c r="I22" s="496">
        <f t="shared" si="14"/>
        <v>0</v>
      </c>
      <c r="J22" s="496">
        <f t="shared" si="14"/>
        <v>75251</v>
      </c>
      <c r="K22" s="496">
        <f t="shared" si="14"/>
        <v>89219</v>
      </c>
      <c r="L22" s="496">
        <f t="shared" si="14"/>
        <v>263517</v>
      </c>
      <c r="M22" s="496">
        <f t="shared" si="14"/>
        <v>427987</v>
      </c>
      <c r="N22" s="496">
        <f>+N23+N25</f>
        <v>109958</v>
      </c>
      <c r="O22" s="496">
        <f t="shared" ref="O22" si="15">+O23+O25</f>
        <v>0</v>
      </c>
      <c r="P22" s="496">
        <f t="shared" ref="P22:T22" si="16">+P23+P25</f>
        <v>0</v>
      </c>
      <c r="Q22" s="496">
        <f t="shared" si="16"/>
        <v>0</v>
      </c>
      <c r="R22" s="496">
        <f t="shared" si="16"/>
        <v>0</v>
      </c>
      <c r="S22" s="496">
        <f t="shared" si="16"/>
        <v>0</v>
      </c>
      <c r="T22" s="496">
        <f t="shared" si="16"/>
        <v>0</v>
      </c>
      <c r="U22" s="535">
        <f>+U23+U25</f>
        <v>0</v>
      </c>
      <c r="V22" s="2619"/>
    </row>
    <row r="23" spans="1:22" ht="14.25" customHeight="1">
      <c r="A23" s="2694"/>
      <c r="B23" s="498" t="s">
        <v>36</v>
      </c>
      <c r="C23" s="2433" t="s">
        <v>287</v>
      </c>
      <c r="D23" s="567">
        <f>+D24</f>
        <v>80694</v>
      </c>
      <c r="E23" s="567">
        <f t="shared" ref="E23:J23" si="17">+E24</f>
        <v>0</v>
      </c>
      <c r="F23" s="567">
        <f t="shared" si="17"/>
        <v>0</v>
      </c>
      <c r="G23" s="567">
        <f t="shared" si="17"/>
        <v>0</v>
      </c>
      <c r="H23" s="567">
        <f t="shared" si="17"/>
        <v>0</v>
      </c>
      <c r="I23" s="567">
        <f t="shared" si="17"/>
        <v>0</v>
      </c>
      <c r="J23" s="567">
        <f t="shared" si="17"/>
        <v>11289</v>
      </c>
      <c r="K23" s="1041">
        <f>+K24</f>
        <v>13383</v>
      </c>
      <c r="L23" s="1042">
        <f>+L24</f>
        <v>39528</v>
      </c>
      <c r="M23" s="1042">
        <f>+M24</f>
        <v>64200</v>
      </c>
      <c r="N23" s="1042">
        <f>+N24</f>
        <v>16494</v>
      </c>
      <c r="O23" s="567">
        <f t="shared" ref="O23:T23" si="18">+O24</f>
        <v>0</v>
      </c>
      <c r="P23" s="567">
        <f t="shared" si="18"/>
        <v>0</v>
      </c>
      <c r="Q23" s="567">
        <f t="shared" si="18"/>
        <v>0</v>
      </c>
      <c r="R23" s="567">
        <f t="shared" si="18"/>
        <v>0</v>
      </c>
      <c r="S23" s="567">
        <f t="shared" si="18"/>
        <v>0</v>
      </c>
      <c r="T23" s="567">
        <f t="shared" si="18"/>
        <v>0</v>
      </c>
      <c r="U23" s="418">
        <f>+U24</f>
        <v>0</v>
      </c>
      <c r="V23" s="2646"/>
    </row>
    <row r="24" spans="1:22" ht="13.5" customHeight="1">
      <c r="A24" s="2694"/>
      <c r="B24" s="539" t="s">
        <v>24</v>
      </c>
      <c r="C24" s="2435"/>
      <c r="D24" s="520">
        <f>+M24+N24+O24+P24+Q24+R24+S24+T24</f>
        <v>80694</v>
      </c>
      <c r="E24" s="510">
        <v>0</v>
      </c>
      <c r="F24" s="511"/>
      <c r="G24" s="511"/>
      <c r="H24" s="510"/>
      <c r="I24" s="510">
        <v>0</v>
      </c>
      <c r="J24" s="510">
        <f>24000-10770-1942+1</f>
        <v>11289</v>
      </c>
      <c r="K24" s="510">
        <f>47400+6631-35991-4657</f>
        <v>13383</v>
      </c>
      <c r="L24" s="510">
        <f>23813+1942+35991+4657-15000-11875</f>
        <v>39528</v>
      </c>
      <c r="M24" s="510">
        <f>+L24+K24+J24+I24</f>
        <v>64200</v>
      </c>
      <c r="N24" s="510">
        <v>16494</v>
      </c>
      <c r="O24" s="510">
        <v>0</v>
      </c>
      <c r="P24" s="510">
        <v>0</v>
      </c>
      <c r="Q24" s="510">
        <v>0</v>
      </c>
      <c r="R24" s="510">
        <v>0</v>
      </c>
      <c r="S24" s="510">
        <v>0</v>
      </c>
      <c r="T24" s="510">
        <v>0</v>
      </c>
      <c r="U24" s="423">
        <f>+O24+P24+Q24+R24</f>
        <v>0</v>
      </c>
      <c r="V24" s="2646"/>
    </row>
    <row r="25" spans="1:22" ht="14.25" customHeight="1">
      <c r="A25" s="2694"/>
      <c r="B25" s="512" t="s">
        <v>30</v>
      </c>
      <c r="C25" s="2435"/>
      <c r="D25" s="513">
        <f t="shared" ref="D25:U25" si="19">+D26</f>
        <v>457251</v>
      </c>
      <c r="E25" s="514">
        <f t="shared" si="19"/>
        <v>0</v>
      </c>
      <c r="F25" s="514">
        <f t="shared" si="19"/>
        <v>0</v>
      </c>
      <c r="G25" s="514">
        <f t="shared" si="19"/>
        <v>0</v>
      </c>
      <c r="H25" s="514">
        <f t="shared" si="19"/>
        <v>0</v>
      </c>
      <c r="I25" s="635">
        <f t="shared" si="19"/>
        <v>0</v>
      </c>
      <c r="J25" s="635">
        <f t="shared" si="19"/>
        <v>63962</v>
      </c>
      <c r="K25" s="635">
        <f t="shared" si="19"/>
        <v>75836</v>
      </c>
      <c r="L25" s="1043">
        <f t="shared" si="19"/>
        <v>223989</v>
      </c>
      <c r="M25" s="1043">
        <f t="shared" si="19"/>
        <v>363787</v>
      </c>
      <c r="N25" s="1043">
        <f t="shared" si="19"/>
        <v>93464</v>
      </c>
      <c r="O25" s="635">
        <f t="shared" ref="O25:T25" si="20">+O26</f>
        <v>0</v>
      </c>
      <c r="P25" s="635">
        <f t="shared" si="20"/>
        <v>0</v>
      </c>
      <c r="Q25" s="635">
        <f t="shared" si="20"/>
        <v>0</v>
      </c>
      <c r="R25" s="635">
        <f t="shared" si="20"/>
        <v>0</v>
      </c>
      <c r="S25" s="635">
        <f t="shared" si="20"/>
        <v>0</v>
      </c>
      <c r="T25" s="635">
        <f t="shared" si="20"/>
        <v>0</v>
      </c>
      <c r="U25" s="557">
        <f t="shared" si="19"/>
        <v>0</v>
      </c>
      <c r="V25" s="2646"/>
    </row>
    <row r="26" spans="1:22" ht="12" customHeight="1">
      <c r="A26" s="2694"/>
      <c r="B26" s="2027" t="s">
        <v>33</v>
      </c>
      <c r="C26" s="2838"/>
      <c r="D26" s="520">
        <f>+M26+N26+O26+P26+Q26+R26+S26+T26</f>
        <v>457251</v>
      </c>
      <c r="E26" s="508">
        <v>0</v>
      </c>
      <c r="F26" s="2209">
        <v>0</v>
      </c>
      <c r="G26" s="2209"/>
      <c r="H26" s="508"/>
      <c r="I26" s="508">
        <v>0</v>
      </c>
      <c r="J26" s="508">
        <f>136000-61030-11007-1</f>
        <v>63962</v>
      </c>
      <c r="K26" s="508">
        <f>268600+37578-203949-26393</f>
        <v>75836</v>
      </c>
      <c r="L26" s="508">
        <f>111489+23453+11007+203949+26393-85000-67302</f>
        <v>223989</v>
      </c>
      <c r="M26" s="508">
        <f>+L26+K26+J26+I26</f>
        <v>363787</v>
      </c>
      <c r="N26" s="508">
        <v>93464</v>
      </c>
      <c r="O26" s="508">
        <v>0</v>
      </c>
      <c r="P26" s="508">
        <v>0</v>
      </c>
      <c r="Q26" s="508">
        <v>0</v>
      </c>
      <c r="R26" s="508">
        <v>0</v>
      </c>
      <c r="S26" s="508">
        <v>0</v>
      </c>
      <c r="T26" s="508">
        <v>0</v>
      </c>
      <c r="U26" s="423">
        <f>+O26+P26+Q26+R26</f>
        <v>0</v>
      </c>
      <c r="V26" s="2646"/>
    </row>
    <row r="27" spans="1:22" ht="14.25" customHeight="1">
      <c r="A27" s="2694"/>
      <c r="B27" s="427" t="s">
        <v>34</v>
      </c>
      <c r="C27" s="953"/>
      <c r="D27" s="518">
        <f>+D28</f>
        <v>457251</v>
      </c>
      <c r="E27" s="496">
        <f t="shared" ref="E27:T28" si="21">+E28</f>
        <v>0</v>
      </c>
      <c r="F27" s="496">
        <f t="shared" si="21"/>
        <v>0</v>
      </c>
      <c r="G27" s="496">
        <f t="shared" si="21"/>
        <v>0</v>
      </c>
      <c r="H27" s="496">
        <f t="shared" si="21"/>
        <v>0</v>
      </c>
      <c r="I27" s="496">
        <f t="shared" si="21"/>
        <v>0</v>
      </c>
      <c r="J27" s="496">
        <f t="shared" si="21"/>
        <v>1291</v>
      </c>
      <c r="K27" s="496">
        <f t="shared" si="21"/>
        <v>77806</v>
      </c>
      <c r="L27" s="496">
        <f t="shared" si="21"/>
        <v>57053</v>
      </c>
      <c r="M27" s="496">
        <f t="shared" si="21"/>
        <v>136150</v>
      </c>
      <c r="N27" s="496">
        <f t="shared" si="21"/>
        <v>212832</v>
      </c>
      <c r="O27" s="496">
        <f t="shared" si="21"/>
        <v>108269</v>
      </c>
      <c r="P27" s="496">
        <f t="shared" si="21"/>
        <v>0</v>
      </c>
      <c r="Q27" s="496">
        <f t="shared" si="21"/>
        <v>0</v>
      </c>
      <c r="R27" s="496">
        <f t="shared" si="21"/>
        <v>0</v>
      </c>
      <c r="S27" s="496">
        <f t="shared" si="21"/>
        <v>0</v>
      </c>
      <c r="T27" s="496">
        <f t="shared" si="21"/>
        <v>0</v>
      </c>
      <c r="U27" s="2437" t="s">
        <v>77</v>
      </c>
      <c r="V27" s="2646"/>
    </row>
    <row r="28" spans="1:22" ht="14.25" customHeight="1">
      <c r="A28" s="2694"/>
      <c r="B28" s="574" t="s">
        <v>30</v>
      </c>
      <c r="C28" s="2839" t="s">
        <v>288</v>
      </c>
      <c r="D28" s="513">
        <f>+D29</f>
        <v>457251</v>
      </c>
      <c r="E28" s="514">
        <f t="shared" si="21"/>
        <v>0</v>
      </c>
      <c r="F28" s="514">
        <f t="shared" si="21"/>
        <v>0</v>
      </c>
      <c r="G28" s="514">
        <f t="shared" si="21"/>
        <v>0</v>
      </c>
      <c r="H28" s="514">
        <f t="shared" si="21"/>
        <v>0</v>
      </c>
      <c r="I28" s="514">
        <f t="shared" si="21"/>
        <v>0</v>
      </c>
      <c r="J28" s="514">
        <f t="shared" si="21"/>
        <v>1291</v>
      </c>
      <c r="K28" s="514">
        <f t="shared" si="21"/>
        <v>77806</v>
      </c>
      <c r="L28" s="514">
        <f t="shared" si="21"/>
        <v>57053</v>
      </c>
      <c r="M28" s="514">
        <f t="shared" si="21"/>
        <v>136150</v>
      </c>
      <c r="N28" s="514">
        <f t="shared" si="21"/>
        <v>212832</v>
      </c>
      <c r="O28" s="514">
        <f t="shared" si="21"/>
        <v>108269</v>
      </c>
      <c r="P28" s="514">
        <f t="shared" si="21"/>
        <v>0</v>
      </c>
      <c r="Q28" s="514">
        <f t="shared" si="21"/>
        <v>0</v>
      </c>
      <c r="R28" s="514">
        <f t="shared" si="21"/>
        <v>0</v>
      </c>
      <c r="S28" s="514">
        <f t="shared" si="21"/>
        <v>0</v>
      </c>
      <c r="T28" s="514">
        <f t="shared" si="21"/>
        <v>0</v>
      </c>
      <c r="U28" s="2438"/>
      <c r="V28" s="2646"/>
    </row>
    <row r="29" spans="1:22" s="1044" customFormat="1" ht="15.75" customHeight="1" thickBot="1">
      <c r="A29" s="2695"/>
      <c r="B29" s="1896" t="s">
        <v>33</v>
      </c>
      <c r="C29" s="2840"/>
      <c r="D29" s="520">
        <f>+M29+N29+O29+P29+Q29+R29+S29+T29</f>
        <v>457251</v>
      </c>
      <c r="E29" s="508"/>
      <c r="F29" s="2214"/>
      <c r="G29" s="2214"/>
      <c r="H29" s="508"/>
      <c r="I29" s="508">
        <v>0</v>
      </c>
      <c r="J29" s="508">
        <f>38250-36990+31</f>
        <v>1291</v>
      </c>
      <c r="K29" s="508">
        <f>200000-100000-22100-94</f>
        <v>77806</v>
      </c>
      <c r="L29" s="508">
        <f>200000+50000-148000-44947</f>
        <v>57053</v>
      </c>
      <c r="M29" s="508">
        <f>+L29+K29+J29+I29</f>
        <v>136150</v>
      </c>
      <c r="N29" s="508">
        <v>212832</v>
      </c>
      <c r="O29" s="508">
        <v>108269</v>
      </c>
      <c r="P29" s="546">
        <v>0</v>
      </c>
      <c r="Q29" s="546">
        <v>0</v>
      </c>
      <c r="R29" s="546">
        <v>0</v>
      </c>
      <c r="S29" s="546">
        <v>0</v>
      </c>
      <c r="T29" s="546">
        <v>0</v>
      </c>
      <c r="U29" s="2438"/>
      <c r="V29" s="2659"/>
    </row>
    <row r="30" spans="1:22" ht="42.75" customHeight="1">
      <c r="A30" s="2841" t="s">
        <v>83</v>
      </c>
      <c r="B30" s="941" t="s">
        <v>374</v>
      </c>
      <c r="C30" s="2206" t="s">
        <v>102</v>
      </c>
      <c r="D30" s="954"/>
      <c r="E30" s="882"/>
      <c r="F30" s="882"/>
      <c r="G30" s="882"/>
      <c r="H30" s="882"/>
      <c r="I30" s="882"/>
      <c r="J30" s="882"/>
      <c r="K30" s="882"/>
      <c r="L30" s="944"/>
      <c r="M30" s="944"/>
      <c r="N30" s="944"/>
      <c r="O30" s="944"/>
      <c r="P30" s="945"/>
      <c r="Q30" s="945"/>
      <c r="R30" s="945"/>
      <c r="S30" s="945"/>
      <c r="T30" s="944"/>
      <c r="U30" s="946"/>
      <c r="V30" s="2618" t="s">
        <v>356</v>
      </c>
    </row>
    <row r="31" spans="1:22" ht="15.75" customHeight="1">
      <c r="A31" s="2842"/>
      <c r="B31" s="452" t="s">
        <v>22</v>
      </c>
      <c r="C31" s="428"/>
      <c r="D31" s="518">
        <f t="shared" ref="D31:M31" si="22">+D32+D34</f>
        <v>57585</v>
      </c>
      <c r="E31" s="496">
        <f t="shared" si="22"/>
        <v>0</v>
      </c>
      <c r="F31" s="496">
        <f t="shared" si="22"/>
        <v>0</v>
      </c>
      <c r="G31" s="496">
        <f t="shared" si="22"/>
        <v>0</v>
      </c>
      <c r="H31" s="496">
        <f t="shared" si="22"/>
        <v>0</v>
      </c>
      <c r="I31" s="496">
        <f t="shared" si="22"/>
        <v>0</v>
      </c>
      <c r="J31" s="496">
        <f t="shared" si="22"/>
        <v>0</v>
      </c>
      <c r="K31" s="496">
        <f t="shared" si="22"/>
        <v>0</v>
      </c>
      <c r="L31" s="496">
        <f t="shared" si="22"/>
        <v>43900</v>
      </c>
      <c r="M31" s="496">
        <f t="shared" si="22"/>
        <v>43900</v>
      </c>
      <c r="N31" s="496">
        <f>+N32+N34</f>
        <v>13685</v>
      </c>
      <c r="O31" s="496">
        <f t="shared" ref="O31" si="23">+O32+O34</f>
        <v>0</v>
      </c>
      <c r="P31" s="496">
        <f t="shared" ref="P31:T31" si="24">+P32+P34</f>
        <v>0</v>
      </c>
      <c r="Q31" s="496">
        <f t="shared" si="24"/>
        <v>0</v>
      </c>
      <c r="R31" s="496">
        <f t="shared" si="24"/>
        <v>0</v>
      </c>
      <c r="S31" s="496">
        <f t="shared" si="24"/>
        <v>0</v>
      </c>
      <c r="T31" s="496">
        <f t="shared" si="24"/>
        <v>0</v>
      </c>
      <c r="U31" s="535">
        <f>+U32+U34</f>
        <v>0</v>
      </c>
      <c r="V31" s="2619"/>
    </row>
    <row r="32" spans="1:22" ht="15.75" customHeight="1">
      <c r="A32" s="2842"/>
      <c r="B32" s="498" t="s">
        <v>36</v>
      </c>
      <c r="C32" s="2433" t="s">
        <v>287</v>
      </c>
      <c r="D32" s="567">
        <f>+D33</f>
        <v>8638</v>
      </c>
      <c r="E32" s="567">
        <f t="shared" ref="E32:J32" si="25">+E33</f>
        <v>0</v>
      </c>
      <c r="F32" s="567">
        <f t="shared" si="25"/>
        <v>0</v>
      </c>
      <c r="G32" s="567">
        <f t="shared" si="25"/>
        <v>0</v>
      </c>
      <c r="H32" s="567">
        <f t="shared" si="25"/>
        <v>0</v>
      </c>
      <c r="I32" s="567">
        <f t="shared" si="25"/>
        <v>0</v>
      </c>
      <c r="J32" s="567">
        <f t="shared" si="25"/>
        <v>0</v>
      </c>
      <c r="K32" s="1041">
        <f>+K33</f>
        <v>0</v>
      </c>
      <c r="L32" s="1042">
        <f>+L33</f>
        <v>6585</v>
      </c>
      <c r="M32" s="1042">
        <f>+M33</f>
        <v>6585</v>
      </c>
      <c r="N32" s="1042">
        <f>+N33</f>
        <v>2053</v>
      </c>
      <c r="O32" s="567">
        <f t="shared" ref="O32:T32" si="26">+O33</f>
        <v>0</v>
      </c>
      <c r="P32" s="567">
        <f t="shared" si="26"/>
        <v>0</v>
      </c>
      <c r="Q32" s="567">
        <f t="shared" si="26"/>
        <v>0</v>
      </c>
      <c r="R32" s="567">
        <f t="shared" si="26"/>
        <v>0</v>
      </c>
      <c r="S32" s="567">
        <f t="shared" si="26"/>
        <v>0</v>
      </c>
      <c r="T32" s="567">
        <f t="shared" si="26"/>
        <v>0</v>
      </c>
      <c r="U32" s="418">
        <f>+U33</f>
        <v>0</v>
      </c>
      <c r="V32" s="2646"/>
    </row>
    <row r="33" spans="1:22" ht="15.75" customHeight="1">
      <c r="A33" s="2842"/>
      <c r="B33" s="539" t="s">
        <v>24</v>
      </c>
      <c r="C33" s="2435"/>
      <c r="D33" s="520">
        <f>+M33+N33+O33+P33+Q33+R33+S33+T33</f>
        <v>8638</v>
      </c>
      <c r="E33" s="510">
        <v>0</v>
      </c>
      <c r="F33" s="511"/>
      <c r="G33" s="511"/>
      <c r="H33" s="510"/>
      <c r="I33" s="510">
        <v>0</v>
      </c>
      <c r="J33" s="510">
        <v>0</v>
      </c>
      <c r="K33" s="510">
        <v>0</v>
      </c>
      <c r="L33" s="510">
        <f>15000-8415</f>
        <v>6585</v>
      </c>
      <c r="M33" s="510">
        <f>+L33+K33+J33+I33</f>
        <v>6585</v>
      </c>
      <c r="N33" s="510">
        <f>8415-6362</f>
        <v>2053</v>
      </c>
      <c r="O33" s="510">
        <v>0</v>
      </c>
      <c r="P33" s="510">
        <v>0</v>
      </c>
      <c r="Q33" s="510">
        <v>0</v>
      </c>
      <c r="R33" s="510">
        <v>0</v>
      </c>
      <c r="S33" s="510">
        <v>0</v>
      </c>
      <c r="T33" s="510">
        <v>0</v>
      </c>
      <c r="U33" s="423">
        <f>+O33+P33+Q33+R33</f>
        <v>0</v>
      </c>
      <c r="V33" s="2646"/>
    </row>
    <row r="34" spans="1:22" ht="12">
      <c r="A34" s="2842"/>
      <c r="B34" s="539" t="s">
        <v>30</v>
      </c>
      <c r="C34" s="2435"/>
      <c r="D34" s="513">
        <f t="shared" ref="D34:U34" si="27">+D35</f>
        <v>48947</v>
      </c>
      <c r="E34" s="514">
        <f t="shared" si="27"/>
        <v>0</v>
      </c>
      <c r="F34" s="514">
        <f t="shared" si="27"/>
        <v>0</v>
      </c>
      <c r="G34" s="514">
        <f t="shared" si="27"/>
        <v>0</v>
      </c>
      <c r="H34" s="514">
        <f t="shared" si="27"/>
        <v>0</v>
      </c>
      <c r="I34" s="635">
        <f t="shared" si="27"/>
        <v>0</v>
      </c>
      <c r="J34" s="635">
        <f t="shared" si="27"/>
        <v>0</v>
      </c>
      <c r="K34" s="635">
        <f t="shared" si="27"/>
        <v>0</v>
      </c>
      <c r="L34" s="1043">
        <f t="shared" si="27"/>
        <v>37315</v>
      </c>
      <c r="M34" s="1043">
        <f t="shared" si="27"/>
        <v>37315</v>
      </c>
      <c r="N34" s="1043">
        <f t="shared" si="27"/>
        <v>11632</v>
      </c>
      <c r="O34" s="635">
        <f t="shared" si="27"/>
        <v>0</v>
      </c>
      <c r="P34" s="635">
        <f t="shared" si="27"/>
        <v>0</v>
      </c>
      <c r="Q34" s="635">
        <f t="shared" si="27"/>
        <v>0</v>
      </c>
      <c r="R34" s="635">
        <f t="shared" si="27"/>
        <v>0</v>
      </c>
      <c r="S34" s="635">
        <f t="shared" si="27"/>
        <v>0</v>
      </c>
      <c r="T34" s="635">
        <f t="shared" si="27"/>
        <v>0</v>
      </c>
      <c r="U34" s="557">
        <f t="shared" si="27"/>
        <v>0</v>
      </c>
      <c r="V34" s="2646"/>
    </row>
    <row r="35" spans="1:22" ht="12.75" customHeight="1">
      <c r="A35" s="2842"/>
      <c r="B35" s="539" t="s">
        <v>33</v>
      </c>
      <c r="C35" s="2435"/>
      <c r="D35" s="520">
        <f>+M35+N35+O35+P35+Q35+R35+S35+T35</f>
        <v>48947</v>
      </c>
      <c r="E35" s="508">
        <v>0</v>
      </c>
      <c r="F35" s="2209">
        <v>0</v>
      </c>
      <c r="G35" s="2209"/>
      <c r="H35" s="508"/>
      <c r="I35" s="508">
        <v>0</v>
      </c>
      <c r="J35" s="508">
        <v>0</v>
      </c>
      <c r="K35" s="508">
        <v>0</v>
      </c>
      <c r="L35" s="508">
        <f>85000-47685</f>
        <v>37315</v>
      </c>
      <c r="M35" s="508">
        <f>+L35+K35+J35+I35</f>
        <v>37315</v>
      </c>
      <c r="N35" s="508">
        <f>47685-36053</f>
        <v>11632</v>
      </c>
      <c r="O35" s="508">
        <v>0</v>
      </c>
      <c r="P35" s="508">
        <v>0</v>
      </c>
      <c r="Q35" s="508">
        <v>0</v>
      </c>
      <c r="R35" s="508">
        <v>0</v>
      </c>
      <c r="S35" s="508">
        <v>0</v>
      </c>
      <c r="T35" s="508">
        <v>0</v>
      </c>
      <c r="U35" s="423">
        <f>+O35+P35+Q35+R35</f>
        <v>0</v>
      </c>
      <c r="V35" s="2646"/>
    </row>
    <row r="36" spans="1:22" ht="13.5" customHeight="1">
      <c r="A36" s="2842"/>
      <c r="B36" s="452" t="s">
        <v>34</v>
      </c>
      <c r="C36" s="428"/>
      <c r="D36" s="518">
        <f>+D37</f>
        <v>48947</v>
      </c>
      <c r="E36" s="496">
        <f t="shared" ref="E36:T37" si="28">+E37</f>
        <v>0</v>
      </c>
      <c r="F36" s="496">
        <f t="shared" si="28"/>
        <v>0</v>
      </c>
      <c r="G36" s="496">
        <f t="shared" si="28"/>
        <v>0</v>
      </c>
      <c r="H36" s="496">
        <f t="shared" si="28"/>
        <v>0</v>
      </c>
      <c r="I36" s="496">
        <f t="shared" si="28"/>
        <v>0</v>
      </c>
      <c r="J36" s="496">
        <f t="shared" si="28"/>
        <v>0</v>
      </c>
      <c r="K36" s="496">
        <f t="shared" si="28"/>
        <v>0</v>
      </c>
      <c r="L36" s="518">
        <f t="shared" si="28"/>
        <v>0</v>
      </c>
      <c r="M36" s="518">
        <f t="shared" si="28"/>
        <v>0</v>
      </c>
      <c r="N36" s="518">
        <f t="shared" si="28"/>
        <v>35499</v>
      </c>
      <c r="O36" s="518">
        <f t="shared" si="28"/>
        <v>13448</v>
      </c>
      <c r="P36" s="496">
        <f t="shared" si="28"/>
        <v>0</v>
      </c>
      <c r="Q36" s="496">
        <f t="shared" si="28"/>
        <v>0</v>
      </c>
      <c r="R36" s="496">
        <f t="shared" si="28"/>
        <v>0</v>
      </c>
      <c r="S36" s="496">
        <f t="shared" si="28"/>
        <v>0</v>
      </c>
      <c r="T36" s="496">
        <f t="shared" si="28"/>
        <v>0</v>
      </c>
      <c r="U36" s="2437" t="s">
        <v>77</v>
      </c>
      <c r="V36" s="2646"/>
    </row>
    <row r="37" spans="1:22" ht="13.5" customHeight="1">
      <c r="A37" s="2842"/>
      <c r="B37" s="1046" t="s">
        <v>30</v>
      </c>
      <c r="C37" s="2434" t="s">
        <v>288</v>
      </c>
      <c r="D37" s="513">
        <f>+D38</f>
        <v>48947</v>
      </c>
      <c r="E37" s="514">
        <f t="shared" si="28"/>
        <v>0</v>
      </c>
      <c r="F37" s="514">
        <f t="shared" si="28"/>
        <v>0</v>
      </c>
      <c r="G37" s="514">
        <f t="shared" si="28"/>
        <v>0</v>
      </c>
      <c r="H37" s="514">
        <f t="shared" si="28"/>
        <v>0</v>
      </c>
      <c r="I37" s="514">
        <f t="shared" si="28"/>
        <v>0</v>
      </c>
      <c r="J37" s="514">
        <f t="shared" si="28"/>
        <v>0</v>
      </c>
      <c r="K37" s="514">
        <f t="shared" si="28"/>
        <v>0</v>
      </c>
      <c r="L37" s="514">
        <f t="shared" si="28"/>
        <v>0</v>
      </c>
      <c r="M37" s="514">
        <f t="shared" si="28"/>
        <v>0</v>
      </c>
      <c r="N37" s="514">
        <f t="shared" si="28"/>
        <v>35499</v>
      </c>
      <c r="O37" s="514">
        <f t="shared" si="28"/>
        <v>13448</v>
      </c>
      <c r="P37" s="514">
        <f t="shared" si="28"/>
        <v>0</v>
      </c>
      <c r="Q37" s="514">
        <f t="shared" si="28"/>
        <v>0</v>
      </c>
      <c r="R37" s="514">
        <f t="shared" si="28"/>
        <v>0</v>
      </c>
      <c r="S37" s="514">
        <f t="shared" si="28"/>
        <v>0</v>
      </c>
      <c r="T37" s="514">
        <f t="shared" si="28"/>
        <v>0</v>
      </c>
      <c r="U37" s="2438"/>
      <c r="V37" s="2646"/>
    </row>
    <row r="38" spans="1:22" ht="13.5" thickBot="1">
      <c r="A38" s="2843"/>
      <c r="B38" s="2215" t="s">
        <v>33</v>
      </c>
      <c r="C38" s="2633"/>
      <c r="D38" s="592">
        <f>+M38+N38+O38+P38+Q38+R38+S38+T38</f>
        <v>48947</v>
      </c>
      <c r="E38" s="546"/>
      <c r="F38" s="2215"/>
      <c r="G38" s="2215"/>
      <c r="H38" s="546"/>
      <c r="I38" s="546">
        <v>0</v>
      </c>
      <c r="J38" s="546">
        <v>0</v>
      </c>
      <c r="K38" s="546">
        <v>0</v>
      </c>
      <c r="L38" s="546">
        <v>0</v>
      </c>
      <c r="M38" s="546">
        <f>+L38+K38+J38+I38</f>
        <v>0</v>
      </c>
      <c r="N38" s="546">
        <v>35499</v>
      </c>
      <c r="O38" s="546">
        <v>13448</v>
      </c>
      <c r="P38" s="546">
        <v>0</v>
      </c>
      <c r="Q38" s="546">
        <v>0</v>
      </c>
      <c r="R38" s="546">
        <v>0</v>
      </c>
      <c r="S38" s="546">
        <v>0</v>
      </c>
      <c r="T38" s="546">
        <v>0</v>
      </c>
      <c r="U38" s="2439"/>
      <c r="V38" s="2743"/>
    </row>
    <row r="39" spans="1:22" s="1898" customFormat="1" ht="45" customHeight="1">
      <c r="A39" s="2698" t="s">
        <v>84</v>
      </c>
      <c r="B39" s="2028" t="s">
        <v>375</v>
      </c>
      <c r="C39" s="2029" t="s">
        <v>138</v>
      </c>
      <c r="D39" s="2030"/>
      <c r="E39" s="2030"/>
      <c r="F39" s="2030"/>
      <c r="G39" s="2030"/>
      <c r="H39" s="2030"/>
      <c r="I39" s="2030"/>
      <c r="J39" s="2030"/>
      <c r="K39" s="2030"/>
      <c r="L39" s="2030"/>
      <c r="M39" s="2030"/>
      <c r="N39" s="2030"/>
      <c r="O39" s="2030"/>
      <c r="P39" s="2031"/>
      <c r="Q39" s="2031"/>
      <c r="R39" s="2031"/>
      <c r="S39" s="2031"/>
      <c r="T39" s="2030"/>
      <c r="U39" s="2032"/>
      <c r="V39" s="2619" t="s">
        <v>356</v>
      </c>
    </row>
    <row r="40" spans="1:22" s="1898" customFormat="1" ht="16.5" customHeight="1">
      <c r="A40" s="2698"/>
      <c r="B40" s="452" t="s">
        <v>22</v>
      </c>
      <c r="C40" s="428"/>
      <c r="D40" s="496">
        <f t="shared" ref="D40:M40" si="29">+D41+D43</f>
        <v>950750</v>
      </c>
      <c r="E40" s="496">
        <f t="shared" si="29"/>
        <v>0</v>
      </c>
      <c r="F40" s="496">
        <f t="shared" si="29"/>
        <v>0</v>
      </c>
      <c r="G40" s="496">
        <f t="shared" si="29"/>
        <v>0</v>
      </c>
      <c r="H40" s="496">
        <f t="shared" si="29"/>
        <v>0</v>
      </c>
      <c r="I40" s="496">
        <f t="shared" si="29"/>
        <v>0</v>
      </c>
      <c r="J40" s="496">
        <f t="shared" si="29"/>
        <v>0</v>
      </c>
      <c r="K40" s="496">
        <f t="shared" si="29"/>
        <v>103502</v>
      </c>
      <c r="L40" s="496">
        <f t="shared" si="29"/>
        <v>299609</v>
      </c>
      <c r="M40" s="496">
        <f t="shared" si="29"/>
        <v>403111</v>
      </c>
      <c r="N40" s="496">
        <f>N41+N43</f>
        <v>190278</v>
      </c>
      <c r="O40" s="496">
        <f>O41+O43</f>
        <v>357361</v>
      </c>
      <c r="P40" s="496">
        <f>P41+P43</f>
        <v>0</v>
      </c>
      <c r="Q40" s="496">
        <f>Q41+Q43</f>
        <v>0</v>
      </c>
      <c r="R40" s="496">
        <f t="shared" ref="R40:T40" si="30">R41+R43</f>
        <v>0</v>
      </c>
      <c r="S40" s="496">
        <f t="shared" si="30"/>
        <v>0</v>
      </c>
      <c r="T40" s="496">
        <f t="shared" si="30"/>
        <v>0</v>
      </c>
      <c r="U40" s="535">
        <f>+U41+U43</f>
        <v>357361</v>
      </c>
      <c r="V40" s="2619"/>
    </row>
    <row r="41" spans="1:22" s="1898" customFormat="1" ht="14.25" customHeight="1">
      <c r="A41" s="2698"/>
      <c r="B41" s="1046" t="s">
        <v>36</v>
      </c>
      <c r="C41" s="2845" t="s">
        <v>287</v>
      </c>
      <c r="D41" s="575">
        <f>+D42</f>
        <v>142364</v>
      </c>
      <c r="E41" s="567">
        <f t="shared" ref="E41:J41" si="31">+E42</f>
        <v>0</v>
      </c>
      <c r="F41" s="567">
        <f t="shared" si="31"/>
        <v>0</v>
      </c>
      <c r="G41" s="567">
        <f t="shared" si="31"/>
        <v>0</v>
      </c>
      <c r="H41" s="567">
        <f t="shared" si="31"/>
        <v>0</v>
      </c>
      <c r="I41" s="567">
        <f t="shared" si="31"/>
        <v>0</v>
      </c>
      <c r="J41" s="567">
        <f t="shared" si="31"/>
        <v>0</v>
      </c>
      <c r="K41" s="1041">
        <f>+K42</f>
        <v>15523</v>
      </c>
      <c r="L41" s="1042">
        <f>+L42</f>
        <v>44942</v>
      </c>
      <c r="M41" s="1042">
        <f>+M42</f>
        <v>60465</v>
      </c>
      <c r="N41" s="1042">
        <f>N42</f>
        <v>28542</v>
      </c>
      <c r="O41" s="1042">
        <f>O42</f>
        <v>53357</v>
      </c>
      <c r="P41" s="1042">
        <f>P42</f>
        <v>0</v>
      </c>
      <c r="Q41" s="1042">
        <f>Q42</f>
        <v>0</v>
      </c>
      <c r="R41" s="1042">
        <f t="shared" ref="R41:T41" si="32">R42</f>
        <v>0</v>
      </c>
      <c r="S41" s="1042">
        <f t="shared" si="32"/>
        <v>0</v>
      </c>
      <c r="T41" s="1042">
        <f t="shared" si="32"/>
        <v>0</v>
      </c>
      <c r="U41" s="418">
        <f>+U42</f>
        <v>53357</v>
      </c>
      <c r="V41" s="2646"/>
    </row>
    <row r="42" spans="1:22" s="1898" customFormat="1" ht="12.75" customHeight="1">
      <c r="A42" s="2698"/>
      <c r="B42" s="598" t="s">
        <v>24</v>
      </c>
      <c r="C42" s="2632"/>
      <c r="D42" s="521">
        <f>+M42+N42+O42+P42+Q42+R42+S42+T42</f>
        <v>142364</v>
      </c>
      <c r="E42" s="510">
        <v>0</v>
      </c>
      <c r="F42" s="511"/>
      <c r="G42" s="511"/>
      <c r="H42" s="510"/>
      <c r="I42" s="510">
        <v>0</v>
      </c>
      <c r="J42" s="510">
        <v>0</v>
      </c>
      <c r="K42" s="510">
        <f>34500-17553-1424</f>
        <v>15523</v>
      </c>
      <c r="L42" s="510">
        <f>54750+17553-27361</f>
        <v>44942</v>
      </c>
      <c r="M42" s="510">
        <f>+L42+K42+J42+I42</f>
        <v>60465</v>
      </c>
      <c r="N42" s="510">
        <f>29370-828</f>
        <v>28542</v>
      </c>
      <c r="O42" s="510">
        <f>52529+828</f>
        <v>53357</v>
      </c>
      <c r="P42" s="510">
        <v>0</v>
      </c>
      <c r="Q42" s="510">
        <v>0</v>
      </c>
      <c r="R42" s="510">
        <v>0</v>
      </c>
      <c r="S42" s="510">
        <v>0</v>
      </c>
      <c r="T42" s="510">
        <v>0</v>
      </c>
      <c r="U42" s="423">
        <f>+O42+P42+Q42+R42</f>
        <v>53357</v>
      </c>
      <c r="V42" s="2646"/>
    </row>
    <row r="43" spans="1:22" s="1898" customFormat="1" ht="14.25" customHeight="1">
      <c r="A43" s="2698"/>
      <c r="B43" s="901" t="s">
        <v>30</v>
      </c>
      <c r="C43" s="2632"/>
      <c r="D43" s="514">
        <f t="shared" ref="D43:M43" si="33">+D44</f>
        <v>808386</v>
      </c>
      <c r="E43" s="514">
        <f t="shared" si="33"/>
        <v>0</v>
      </c>
      <c r="F43" s="514">
        <f t="shared" si="33"/>
        <v>0</v>
      </c>
      <c r="G43" s="514">
        <f t="shared" si="33"/>
        <v>0</v>
      </c>
      <c r="H43" s="514">
        <f t="shared" si="33"/>
        <v>0</v>
      </c>
      <c r="I43" s="635">
        <f t="shared" si="33"/>
        <v>0</v>
      </c>
      <c r="J43" s="635">
        <f t="shared" si="33"/>
        <v>0</v>
      </c>
      <c r="K43" s="635">
        <f t="shared" si="33"/>
        <v>87979</v>
      </c>
      <c r="L43" s="1043">
        <f t="shared" si="33"/>
        <v>254667</v>
      </c>
      <c r="M43" s="1043">
        <f t="shared" si="33"/>
        <v>342646</v>
      </c>
      <c r="N43" s="1043">
        <f>N44</f>
        <v>161736</v>
      </c>
      <c r="O43" s="1043">
        <f>O44</f>
        <v>304004</v>
      </c>
      <c r="P43" s="1043">
        <f>P44</f>
        <v>0</v>
      </c>
      <c r="Q43" s="1043">
        <f>Q44</f>
        <v>0</v>
      </c>
      <c r="R43" s="1043">
        <f t="shared" ref="R43:T43" si="34">R44</f>
        <v>0</v>
      </c>
      <c r="S43" s="1043">
        <f t="shared" si="34"/>
        <v>0</v>
      </c>
      <c r="T43" s="1043">
        <f t="shared" si="34"/>
        <v>0</v>
      </c>
      <c r="U43" s="557">
        <f>+U44</f>
        <v>304004</v>
      </c>
      <c r="V43" s="2646"/>
    </row>
    <row r="44" spans="1:22" s="1898" customFormat="1" ht="13.5" customHeight="1">
      <c r="A44" s="2698"/>
      <c r="B44" s="2209" t="s">
        <v>33</v>
      </c>
      <c r="C44" s="2846"/>
      <c r="D44" s="521">
        <f>+M44+N44+O44+P44+Q44+R44+S44+T44</f>
        <v>808386</v>
      </c>
      <c r="E44" s="508">
        <v>0</v>
      </c>
      <c r="F44" s="2209">
        <v>0</v>
      </c>
      <c r="G44" s="2209"/>
      <c r="H44" s="508"/>
      <c r="I44" s="508">
        <v>0</v>
      </c>
      <c r="J44" s="508">
        <v>0</v>
      </c>
      <c r="K44" s="508">
        <f>195500-99464-8057</f>
        <v>87979</v>
      </c>
      <c r="L44" s="508">
        <f>310250+99464-155047</f>
        <v>254667</v>
      </c>
      <c r="M44" s="508">
        <f>+L44+K44+J44+I44</f>
        <v>342646</v>
      </c>
      <c r="N44" s="508">
        <f>166410-4674</f>
        <v>161736</v>
      </c>
      <c r="O44" s="508">
        <f>299330+4674</f>
        <v>304004</v>
      </c>
      <c r="P44" s="508">
        <v>0</v>
      </c>
      <c r="Q44" s="508">
        <v>0</v>
      </c>
      <c r="R44" s="508">
        <v>0</v>
      </c>
      <c r="S44" s="508">
        <v>0</v>
      </c>
      <c r="T44" s="508">
        <v>0</v>
      </c>
      <c r="U44" s="423">
        <f>+O44+P44+Q44+R44</f>
        <v>304004</v>
      </c>
      <c r="V44" s="2646"/>
    </row>
    <row r="45" spans="1:22" s="1898" customFormat="1" ht="15.75" customHeight="1">
      <c r="A45" s="2698"/>
      <c r="B45" s="452" t="s">
        <v>34</v>
      </c>
      <c r="C45" s="724"/>
      <c r="D45" s="496">
        <f>+D46</f>
        <v>808386</v>
      </c>
      <c r="E45" s="496">
        <f t="shared" ref="E45:N46" si="35">+E46</f>
        <v>0</v>
      </c>
      <c r="F45" s="496">
        <f t="shared" si="35"/>
        <v>0</v>
      </c>
      <c r="G45" s="496">
        <f t="shared" si="35"/>
        <v>0</v>
      </c>
      <c r="H45" s="496">
        <f t="shared" si="35"/>
        <v>0</v>
      </c>
      <c r="I45" s="496">
        <f t="shared" si="35"/>
        <v>0</v>
      </c>
      <c r="J45" s="496">
        <f t="shared" si="35"/>
        <v>0</v>
      </c>
      <c r="K45" s="496">
        <f t="shared" si="35"/>
        <v>0</v>
      </c>
      <c r="L45" s="496">
        <f t="shared" si="35"/>
        <v>75215</v>
      </c>
      <c r="M45" s="496">
        <f t="shared" si="35"/>
        <v>75215</v>
      </c>
      <c r="N45" s="518">
        <f t="shared" si="35"/>
        <v>64397</v>
      </c>
      <c r="O45" s="518">
        <f t="shared" ref="O45:T46" si="36">O46</f>
        <v>668774</v>
      </c>
      <c r="P45" s="518">
        <f t="shared" si="36"/>
        <v>0</v>
      </c>
      <c r="Q45" s="518">
        <f t="shared" si="36"/>
        <v>0</v>
      </c>
      <c r="R45" s="518">
        <f t="shared" si="36"/>
        <v>0</v>
      </c>
      <c r="S45" s="518">
        <f t="shared" si="36"/>
        <v>0</v>
      </c>
      <c r="T45" s="518">
        <f t="shared" si="36"/>
        <v>0</v>
      </c>
      <c r="U45" s="2437" t="s">
        <v>77</v>
      </c>
      <c r="V45" s="2646"/>
    </row>
    <row r="46" spans="1:22" s="1898" customFormat="1" ht="12.75" customHeight="1">
      <c r="A46" s="2698"/>
      <c r="B46" s="512" t="s">
        <v>30</v>
      </c>
      <c r="C46" s="2847" t="s">
        <v>287</v>
      </c>
      <c r="D46" s="514">
        <f>+D47</f>
        <v>808386</v>
      </c>
      <c r="E46" s="514">
        <f t="shared" si="35"/>
        <v>0</v>
      </c>
      <c r="F46" s="514">
        <f t="shared" si="35"/>
        <v>0</v>
      </c>
      <c r="G46" s="514">
        <f t="shared" si="35"/>
        <v>0</v>
      </c>
      <c r="H46" s="514">
        <f t="shared" si="35"/>
        <v>0</v>
      </c>
      <c r="I46" s="514">
        <f t="shared" si="35"/>
        <v>0</v>
      </c>
      <c r="J46" s="514">
        <f t="shared" si="35"/>
        <v>0</v>
      </c>
      <c r="K46" s="514">
        <f t="shared" si="35"/>
        <v>0</v>
      </c>
      <c r="L46" s="514">
        <f t="shared" si="35"/>
        <v>75215</v>
      </c>
      <c r="M46" s="514">
        <f t="shared" si="35"/>
        <v>75215</v>
      </c>
      <c r="N46" s="514">
        <f t="shared" si="35"/>
        <v>64397</v>
      </c>
      <c r="O46" s="514">
        <f t="shared" si="36"/>
        <v>668774</v>
      </c>
      <c r="P46" s="514">
        <f t="shared" si="36"/>
        <v>0</v>
      </c>
      <c r="Q46" s="514">
        <f t="shared" si="36"/>
        <v>0</v>
      </c>
      <c r="R46" s="514">
        <f t="shared" si="36"/>
        <v>0</v>
      </c>
      <c r="S46" s="514">
        <f t="shared" si="36"/>
        <v>0</v>
      </c>
      <c r="T46" s="514">
        <f t="shared" si="36"/>
        <v>0</v>
      </c>
      <c r="U46" s="2438"/>
      <c r="V46" s="2646"/>
    </row>
    <row r="47" spans="1:22" s="1898" customFormat="1" ht="12.75" customHeight="1" thickBot="1">
      <c r="A47" s="2844"/>
      <c r="B47" s="2209" t="s">
        <v>33</v>
      </c>
      <c r="C47" s="2848"/>
      <c r="D47" s="546">
        <f>+M47+N47+O47+P47+Q47+R47+S47+T47</f>
        <v>808386</v>
      </c>
      <c r="E47" s="508">
        <v>0</v>
      </c>
      <c r="F47" s="508"/>
      <c r="G47" s="508"/>
      <c r="H47" s="508"/>
      <c r="I47" s="508">
        <v>0</v>
      </c>
      <c r="J47" s="508">
        <v>0</v>
      </c>
      <c r="K47" s="508">
        <f>20000-2100-17900</f>
        <v>0</v>
      </c>
      <c r="L47" s="508">
        <f>80000+2100+17900-24785</f>
        <v>75215</v>
      </c>
      <c r="M47" s="508">
        <f>+L47+K47+J47+I47</f>
        <v>75215</v>
      </c>
      <c r="N47" s="508">
        <f>280000-215603</f>
        <v>64397</v>
      </c>
      <c r="O47" s="508">
        <f>453171+215603</f>
        <v>668774</v>
      </c>
      <c r="P47" s="508">
        <v>0</v>
      </c>
      <c r="Q47" s="508">
        <v>0</v>
      </c>
      <c r="R47" s="508">
        <v>0</v>
      </c>
      <c r="S47" s="508">
        <v>0</v>
      </c>
      <c r="T47" s="508">
        <v>0</v>
      </c>
      <c r="U47" s="2438"/>
      <c r="V47" s="2659"/>
    </row>
    <row r="48" spans="1:22" ht="30.75" customHeight="1">
      <c r="A48" s="2693" t="s">
        <v>85</v>
      </c>
      <c r="B48" s="941" t="s">
        <v>376</v>
      </c>
      <c r="C48" s="2206" t="s">
        <v>138</v>
      </c>
      <c r="D48" s="954"/>
      <c r="E48" s="882"/>
      <c r="F48" s="882"/>
      <c r="G48" s="882"/>
      <c r="H48" s="882"/>
      <c r="I48" s="882"/>
      <c r="J48" s="882"/>
      <c r="K48" s="882"/>
      <c r="L48" s="944"/>
      <c r="M48" s="944"/>
      <c r="N48" s="944"/>
      <c r="O48" s="944"/>
      <c r="P48" s="945"/>
      <c r="Q48" s="945"/>
      <c r="R48" s="945"/>
      <c r="S48" s="945"/>
      <c r="T48" s="944"/>
      <c r="U48" s="946"/>
      <c r="V48" s="2618" t="s">
        <v>356</v>
      </c>
    </row>
    <row r="49" spans="1:23" ht="15.75" customHeight="1">
      <c r="A49" s="2694"/>
      <c r="B49" s="452" t="s">
        <v>22</v>
      </c>
      <c r="C49" s="428"/>
      <c r="D49" s="518">
        <f>+D50</f>
        <v>1893381</v>
      </c>
      <c r="E49" s="518">
        <f t="shared" ref="E49:T50" si="37">+E50</f>
        <v>0</v>
      </c>
      <c r="F49" s="518">
        <f t="shared" si="37"/>
        <v>0</v>
      </c>
      <c r="G49" s="518">
        <f t="shared" si="37"/>
        <v>0</v>
      </c>
      <c r="H49" s="518">
        <f t="shared" si="37"/>
        <v>0</v>
      </c>
      <c r="I49" s="518">
        <f t="shared" si="37"/>
        <v>0</v>
      </c>
      <c r="J49" s="518">
        <f t="shared" si="37"/>
        <v>0</v>
      </c>
      <c r="K49" s="518">
        <f t="shared" si="37"/>
        <v>11071</v>
      </c>
      <c r="L49" s="518">
        <f t="shared" si="37"/>
        <v>1409734</v>
      </c>
      <c r="M49" s="518">
        <f t="shared" si="37"/>
        <v>1420805</v>
      </c>
      <c r="N49" s="518">
        <f t="shared" si="37"/>
        <v>472576</v>
      </c>
      <c r="O49" s="518">
        <f t="shared" si="37"/>
        <v>0</v>
      </c>
      <c r="P49" s="518">
        <f t="shared" si="37"/>
        <v>0</v>
      </c>
      <c r="Q49" s="518">
        <f t="shared" si="37"/>
        <v>0</v>
      </c>
      <c r="R49" s="518">
        <f t="shared" si="37"/>
        <v>0</v>
      </c>
      <c r="S49" s="518">
        <f t="shared" si="37"/>
        <v>0</v>
      </c>
      <c r="T49" s="518">
        <f t="shared" si="37"/>
        <v>0</v>
      </c>
      <c r="U49" s="535" t="str">
        <f>+U50</f>
        <v>x</v>
      </c>
      <c r="V49" s="2619"/>
      <c r="W49" s="1033"/>
    </row>
    <row r="50" spans="1:23" s="1044" customFormat="1" ht="14.25" customHeight="1">
      <c r="A50" s="2694"/>
      <c r="B50" s="621" t="s">
        <v>30</v>
      </c>
      <c r="C50" s="2433" t="s">
        <v>287</v>
      </c>
      <c r="D50" s="513">
        <f>+D51</f>
        <v>1893381</v>
      </c>
      <c r="E50" s="514">
        <f t="shared" si="37"/>
        <v>0</v>
      </c>
      <c r="F50" s="514">
        <f t="shared" si="37"/>
        <v>0</v>
      </c>
      <c r="G50" s="514">
        <f t="shared" si="37"/>
        <v>0</v>
      </c>
      <c r="H50" s="514">
        <f t="shared" si="37"/>
        <v>0</v>
      </c>
      <c r="I50" s="635">
        <f t="shared" si="37"/>
        <v>0</v>
      </c>
      <c r="J50" s="635">
        <f t="shared" si="37"/>
        <v>0</v>
      </c>
      <c r="K50" s="635">
        <f t="shared" si="37"/>
        <v>11071</v>
      </c>
      <c r="L50" s="635">
        <f t="shared" si="37"/>
        <v>1409734</v>
      </c>
      <c r="M50" s="635">
        <f t="shared" si="37"/>
        <v>1420805</v>
      </c>
      <c r="N50" s="642">
        <f>N51</f>
        <v>472576</v>
      </c>
      <c r="O50" s="642">
        <f>O51</f>
        <v>0</v>
      </c>
      <c r="P50" s="642">
        <f t="shared" ref="P50:T50" si="38">P51</f>
        <v>0</v>
      </c>
      <c r="Q50" s="642">
        <f t="shared" si="38"/>
        <v>0</v>
      </c>
      <c r="R50" s="642">
        <f t="shared" si="38"/>
        <v>0</v>
      </c>
      <c r="S50" s="642">
        <f t="shared" si="38"/>
        <v>0</v>
      </c>
      <c r="T50" s="642">
        <f t="shared" si="38"/>
        <v>0</v>
      </c>
      <c r="U50" s="557" t="str">
        <f>+U51</f>
        <v>x</v>
      </c>
      <c r="V50" s="2646"/>
      <c r="W50" s="1045"/>
    </row>
    <row r="51" spans="1:23" ht="12.75">
      <c r="A51" s="2694"/>
      <c r="B51" s="2214" t="s">
        <v>33</v>
      </c>
      <c r="C51" s="2435"/>
      <c r="D51" s="507">
        <f>+M51+N51+O51+P51+Q51+R51+S51+T51</f>
        <v>1893381</v>
      </c>
      <c r="E51" s="508">
        <v>0</v>
      </c>
      <c r="F51" s="516">
        <v>0</v>
      </c>
      <c r="G51" s="516"/>
      <c r="H51" s="508"/>
      <c r="I51" s="508">
        <v>0</v>
      </c>
      <c r="J51" s="508">
        <v>0</v>
      </c>
      <c r="K51" s="508">
        <f>42390-31319</f>
        <v>11071</v>
      </c>
      <c r="L51" s="508">
        <f>1683240+197535-100000-344006-27035</f>
        <v>1409734</v>
      </c>
      <c r="M51" s="516">
        <f>+L51+K51+J51+I51</f>
        <v>1420805</v>
      </c>
      <c r="N51" s="516">
        <f>744560-166216+100000+344006-549774</f>
        <v>472576</v>
      </c>
      <c r="O51" s="516">
        <v>0</v>
      </c>
      <c r="P51" s="516">
        <v>0</v>
      </c>
      <c r="Q51" s="516">
        <v>0</v>
      </c>
      <c r="R51" s="516">
        <v>0</v>
      </c>
      <c r="S51" s="516">
        <v>0</v>
      </c>
      <c r="T51" s="516">
        <v>0</v>
      </c>
      <c r="U51" s="2033" t="str">
        <f>+U52</f>
        <v>x</v>
      </c>
      <c r="V51" s="2646"/>
    </row>
    <row r="52" spans="1:23" ht="15.75" customHeight="1">
      <c r="A52" s="2694"/>
      <c r="B52" s="427" t="s">
        <v>34</v>
      </c>
      <c r="C52" s="428"/>
      <c r="D52" s="518">
        <f>+D53</f>
        <v>1893381</v>
      </c>
      <c r="E52" s="518">
        <f t="shared" ref="E52:N53" si="39">+E53</f>
        <v>0</v>
      </c>
      <c r="F52" s="518">
        <f t="shared" si="39"/>
        <v>0</v>
      </c>
      <c r="G52" s="518">
        <f t="shared" si="39"/>
        <v>0</v>
      </c>
      <c r="H52" s="518">
        <f t="shared" si="39"/>
        <v>0</v>
      </c>
      <c r="I52" s="518">
        <f t="shared" si="39"/>
        <v>0</v>
      </c>
      <c r="J52" s="518">
        <f t="shared" si="39"/>
        <v>0</v>
      </c>
      <c r="K52" s="518">
        <f t="shared" si="39"/>
        <v>0</v>
      </c>
      <c r="L52" s="518">
        <f t="shared" si="39"/>
        <v>1412580</v>
      </c>
      <c r="M52" s="518">
        <f t="shared" si="39"/>
        <v>1412580</v>
      </c>
      <c r="N52" s="518">
        <f t="shared" si="39"/>
        <v>358215</v>
      </c>
      <c r="O52" s="518">
        <f>O53</f>
        <v>122586</v>
      </c>
      <c r="P52" s="518">
        <f t="shared" ref="P52:T53" si="40">P53</f>
        <v>0</v>
      </c>
      <c r="Q52" s="518">
        <f t="shared" si="40"/>
        <v>0</v>
      </c>
      <c r="R52" s="518">
        <f t="shared" si="40"/>
        <v>0</v>
      </c>
      <c r="S52" s="518">
        <f t="shared" si="40"/>
        <v>0</v>
      </c>
      <c r="T52" s="518">
        <f t="shared" si="40"/>
        <v>0</v>
      </c>
      <c r="U52" s="2437" t="s">
        <v>77</v>
      </c>
      <c r="V52" s="2646"/>
    </row>
    <row r="53" spans="1:23" s="1044" customFormat="1" ht="15" customHeight="1">
      <c r="A53" s="2694"/>
      <c r="B53" s="886" t="s">
        <v>30</v>
      </c>
      <c r="C53" s="2490" t="s">
        <v>106</v>
      </c>
      <c r="D53" s="513">
        <f>+D54</f>
        <v>1893381</v>
      </c>
      <c r="E53" s="514">
        <f t="shared" si="39"/>
        <v>0</v>
      </c>
      <c r="F53" s="514">
        <f t="shared" si="39"/>
        <v>0</v>
      </c>
      <c r="G53" s="514">
        <f t="shared" si="39"/>
        <v>0</v>
      </c>
      <c r="H53" s="514">
        <f t="shared" si="39"/>
        <v>0</v>
      </c>
      <c r="I53" s="514">
        <f t="shared" si="39"/>
        <v>0</v>
      </c>
      <c r="J53" s="514">
        <f t="shared" si="39"/>
        <v>0</v>
      </c>
      <c r="K53" s="514">
        <f t="shared" si="39"/>
        <v>0</v>
      </c>
      <c r="L53" s="514">
        <f t="shared" si="39"/>
        <v>1412580</v>
      </c>
      <c r="M53" s="514">
        <f t="shared" si="39"/>
        <v>1412580</v>
      </c>
      <c r="N53" s="514">
        <f t="shared" si="39"/>
        <v>358215</v>
      </c>
      <c r="O53" s="514">
        <f>O54</f>
        <v>122586</v>
      </c>
      <c r="P53" s="514">
        <f t="shared" si="40"/>
        <v>0</v>
      </c>
      <c r="Q53" s="514">
        <f t="shared" si="40"/>
        <v>0</v>
      </c>
      <c r="R53" s="514">
        <f t="shared" si="40"/>
        <v>0</v>
      </c>
      <c r="S53" s="514">
        <f t="shared" si="40"/>
        <v>0</v>
      </c>
      <c r="T53" s="514">
        <f t="shared" si="40"/>
        <v>0</v>
      </c>
      <c r="U53" s="2438"/>
      <c r="V53" s="2646"/>
    </row>
    <row r="54" spans="1:23" ht="13.5" thickBot="1">
      <c r="A54" s="2695"/>
      <c r="B54" s="2201" t="s">
        <v>33</v>
      </c>
      <c r="C54" s="2491"/>
      <c r="D54" s="592">
        <f>+M54+N54+O54+P54+Q54+R54+S54+T54</f>
        <v>1893381</v>
      </c>
      <c r="E54" s="546">
        <v>0</v>
      </c>
      <c r="F54" s="547"/>
      <c r="G54" s="546"/>
      <c r="H54" s="546"/>
      <c r="I54" s="546">
        <v>0</v>
      </c>
      <c r="J54" s="546">
        <v>0</v>
      </c>
      <c r="K54" s="546">
        <f>42390-42390</f>
        <v>0</v>
      </c>
      <c r="L54" s="546">
        <f>1683240-37713-201404-232946+201403</f>
        <v>1412580</v>
      </c>
      <c r="M54" s="547">
        <f>+L54+K54+J54+I54</f>
        <v>1412580</v>
      </c>
      <c r="N54" s="547">
        <f>744560+201404+232946-820695</f>
        <v>358215</v>
      </c>
      <c r="O54" s="546">
        <f>80103+42483</f>
        <v>122586</v>
      </c>
      <c r="P54" s="546">
        <v>0</v>
      </c>
      <c r="Q54" s="546">
        <v>0</v>
      </c>
      <c r="R54" s="546">
        <v>0</v>
      </c>
      <c r="S54" s="546">
        <v>0</v>
      </c>
      <c r="T54" s="546">
        <v>0</v>
      </c>
      <c r="U54" s="2439"/>
      <c r="V54" s="2647"/>
    </row>
    <row r="55" spans="1:23" s="1898" customFormat="1" ht="38.25" customHeight="1">
      <c r="A55" s="2693" t="s">
        <v>86</v>
      </c>
      <c r="B55" s="941" t="s">
        <v>435</v>
      </c>
      <c r="C55" s="2206" t="s">
        <v>289</v>
      </c>
      <c r="D55" s="954"/>
      <c r="E55" s="882"/>
      <c r="F55" s="882"/>
      <c r="G55" s="882"/>
      <c r="H55" s="882"/>
      <c r="I55" s="882"/>
      <c r="J55" s="882"/>
      <c r="K55" s="882"/>
      <c r="L55" s="944"/>
      <c r="M55" s="944"/>
      <c r="N55" s="944"/>
      <c r="O55" s="944"/>
      <c r="P55" s="945"/>
      <c r="Q55" s="945"/>
      <c r="R55" s="945"/>
      <c r="S55" s="945"/>
      <c r="T55" s="944"/>
      <c r="U55" s="946"/>
      <c r="V55" s="2618" t="s">
        <v>356</v>
      </c>
    </row>
    <row r="56" spans="1:23" s="1313" customFormat="1" ht="15.75" customHeight="1">
      <c r="A56" s="2694"/>
      <c r="B56" s="452" t="s">
        <v>22</v>
      </c>
      <c r="C56" s="428"/>
      <c r="D56" s="1031">
        <f>+D59+D57</f>
        <v>2803921</v>
      </c>
      <c r="E56" s="1031">
        <f t="shared" ref="E56:N56" si="41">+E59</f>
        <v>0</v>
      </c>
      <c r="F56" s="1031">
        <f t="shared" si="41"/>
        <v>0</v>
      </c>
      <c r="G56" s="1031">
        <f t="shared" si="41"/>
        <v>0</v>
      </c>
      <c r="H56" s="1031">
        <f t="shared" si="41"/>
        <v>0</v>
      </c>
      <c r="I56" s="1031">
        <f t="shared" si="41"/>
        <v>0</v>
      </c>
      <c r="J56" s="1031">
        <f t="shared" si="41"/>
        <v>0</v>
      </c>
      <c r="K56" s="1031">
        <f t="shared" si="41"/>
        <v>532248</v>
      </c>
      <c r="L56" s="1031">
        <f t="shared" si="41"/>
        <v>904690</v>
      </c>
      <c r="M56" s="1031">
        <f t="shared" si="41"/>
        <v>1436938</v>
      </c>
      <c r="N56" s="1031">
        <f t="shared" si="41"/>
        <v>1028038</v>
      </c>
      <c r="O56" s="1031">
        <f>+O59+O57</f>
        <v>338945</v>
      </c>
      <c r="P56" s="1031">
        <f t="shared" ref="P56:U56" si="42">+P59</f>
        <v>0</v>
      </c>
      <c r="Q56" s="1031">
        <f t="shared" si="42"/>
        <v>0</v>
      </c>
      <c r="R56" s="1031">
        <f t="shared" si="42"/>
        <v>0</v>
      </c>
      <c r="S56" s="1031">
        <f t="shared" si="42"/>
        <v>0</v>
      </c>
      <c r="T56" s="1031">
        <f t="shared" si="42"/>
        <v>0</v>
      </c>
      <c r="U56" s="535">
        <f t="shared" si="42"/>
        <v>338945</v>
      </c>
      <c r="V56" s="2619"/>
    </row>
    <row r="57" spans="1:23" s="2154" customFormat="1" ht="15.75" hidden="1" customHeight="1">
      <c r="A57" s="2694"/>
      <c r="B57" s="1046" t="s">
        <v>36</v>
      </c>
      <c r="C57" s="2433" t="s">
        <v>287</v>
      </c>
      <c r="D57" s="513">
        <f>D58</f>
        <v>0</v>
      </c>
      <c r="E57" s="514"/>
      <c r="F57" s="514"/>
      <c r="G57" s="514"/>
      <c r="H57" s="514"/>
      <c r="I57" s="635"/>
      <c r="J57" s="635"/>
      <c r="K57" s="635"/>
      <c r="L57" s="635"/>
      <c r="M57" s="635">
        <f>M58</f>
        <v>0</v>
      </c>
      <c r="N57" s="642">
        <f>N58</f>
        <v>0</v>
      </c>
      <c r="O57" s="642">
        <f>O58</f>
        <v>0</v>
      </c>
      <c r="P57" s="642"/>
      <c r="Q57" s="642"/>
      <c r="R57" s="642"/>
      <c r="S57" s="642"/>
      <c r="T57" s="642"/>
      <c r="U57" s="557"/>
      <c r="V57" s="2619"/>
    </row>
    <row r="58" spans="1:23" s="2154" customFormat="1" ht="15.75" hidden="1" customHeight="1">
      <c r="A58" s="2694"/>
      <c r="B58" s="598" t="s">
        <v>24</v>
      </c>
      <c r="C58" s="2434"/>
      <c r="D58" s="507">
        <f>M58+N58+O58</f>
        <v>0</v>
      </c>
      <c r="E58" s="508"/>
      <c r="F58" s="516"/>
      <c r="G58" s="516"/>
      <c r="H58" s="508"/>
      <c r="I58" s="508"/>
      <c r="J58" s="508"/>
      <c r="K58" s="508"/>
      <c r="L58" s="508"/>
      <c r="M58" s="516">
        <v>0</v>
      </c>
      <c r="N58" s="516">
        <v>0</v>
      </c>
      <c r="O58" s="516">
        <v>0</v>
      </c>
      <c r="P58" s="516"/>
      <c r="Q58" s="516"/>
      <c r="R58" s="516"/>
      <c r="S58" s="516"/>
      <c r="T58" s="516"/>
      <c r="U58" s="423"/>
      <c r="V58" s="2619"/>
    </row>
    <row r="59" spans="1:23" s="1898" customFormat="1" ht="14.25" customHeight="1">
      <c r="A59" s="2694"/>
      <c r="B59" s="621" t="s">
        <v>30</v>
      </c>
      <c r="C59" s="2434"/>
      <c r="D59" s="513">
        <f>+D60</f>
        <v>2803921</v>
      </c>
      <c r="E59" s="514">
        <f t="shared" ref="E59:M59" si="43">+E60</f>
        <v>0</v>
      </c>
      <c r="F59" s="514">
        <f t="shared" si="43"/>
        <v>0</v>
      </c>
      <c r="G59" s="514">
        <f t="shared" si="43"/>
        <v>0</v>
      </c>
      <c r="H59" s="514">
        <f t="shared" si="43"/>
        <v>0</v>
      </c>
      <c r="I59" s="635">
        <f t="shared" si="43"/>
        <v>0</v>
      </c>
      <c r="J59" s="635">
        <f t="shared" si="43"/>
        <v>0</v>
      </c>
      <c r="K59" s="635">
        <f t="shared" si="43"/>
        <v>532248</v>
      </c>
      <c r="L59" s="635">
        <f t="shared" si="43"/>
        <v>904690</v>
      </c>
      <c r="M59" s="635">
        <f t="shared" si="43"/>
        <v>1436938</v>
      </c>
      <c r="N59" s="642">
        <f>N60</f>
        <v>1028038</v>
      </c>
      <c r="O59" s="642">
        <f>O60</f>
        <v>338945</v>
      </c>
      <c r="P59" s="642">
        <f>P60</f>
        <v>0</v>
      </c>
      <c r="Q59" s="642">
        <f>Q60</f>
        <v>0</v>
      </c>
      <c r="R59" s="642">
        <f t="shared" ref="R59:T59" si="44">R60</f>
        <v>0</v>
      </c>
      <c r="S59" s="642">
        <f t="shared" si="44"/>
        <v>0</v>
      </c>
      <c r="T59" s="642">
        <f t="shared" si="44"/>
        <v>0</v>
      </c>
      <c r="U59" s="557">
        <f>+O59+P59+Q59+R59</f>
        <v>338945</v>
      </c>
      <c r="V59" s="2646"/>
    </row>
    <row r="60" spans="1:23" s="1898" customFormat="1" ht="11.25" customHeight="1">
      <c r="A60" s="2694"/>
      <c r="B60" s="2214" t="s">
        <v>33</v>
      </c>
      <c r="C60" s="2483"/>
      <c r="D60" s="507">
        <f>+M60+N60+O60+P60+Q60+R60+S60+T60</f>
        <v>2803921</v>
      </c>
      <c r="E60" s="508">
        <v>0</v>
      </c>
      <c r="F60" s="516">
        <v>0</v>
      </c>
      <c r="G60" s="516"/>
      <c r="H60" s="508"/>
      <c r="I60" s="508">
        <v>0</v>
      </c>
      <c r="J60" s="508">
        <v>0</v>
      </c>
      <c r="K60" s="508">
        <f>986400-456805+2653</f>
        <v>532248</v>
      </c>
      <c r="L60" s="508">
        <f>2567000-33770-109651-680000-838889</f>
        <v>904690</v>
      </c>
      <c r="M60" s="516">
        <f>+L60+K60+J60+I60</f>
        <v>1436938</v>
      </c>
      <c r="N60" s="516">
        <f>2387000+566456+680000+836236-14000-3368388-59237-29</f>
        <v>1028038</v>
      </c>
      <c r="O60" s="516">
        <f>426175-48313-38917</f>
        <v>338945</v>
      </c>
      <c r="P60" s="516">
        <v>0</v>
      </c>
      <c r="Q60" s="516">
        <v>0</v>
      </c>
      <c r="R60" s="516">
        <v>0</v>
      </c>
      <c r="S60" s="516">
        <v>0</v>
      </c>
      <c r="T60" s="516">
        <v>0</v>
      </c>
      <c r="U60" s="423">
        <f>O60+P60+Q60</f>
        <v>338945</v>
      </c>
      <c r="V60" s="2646"/>
    </row>
    <row r="61" spans="1:23" s="1898" customFormat="1" ht="15.75" customHeight="1">
      <c r="A61" s="2694"/>
      <c r="B61" s="427" t="s">
        <v>34</v>
      </c>
      <c r="C61" s="428"/>
      <c r="D61" s="518">
        <f>+D62</f>
        <v>2803921</v>
      </c>
      <c r="E61" s="518">
        <f t="shared" ref="E61:N62" si="45">+E62</f>
        <v>0</v>
      </c>
      <c r="F61" s="518">
        <f t="shared" si="45"/>
        <v>0</v>
      </c>
      <c r="G61" s="518">
        <f t="shared" si="45"/>
        <v>0</v>
      </c>
      <c r="H61" s="518">
        <f t="shared" si="45"/>
        <v>0</v>
      </c>
      <c r="I61" s="518">
        <f t="shared" si="45"/>
        <v>0</v>
      </c>
      <c r="J61" s="518">
        <f t="shared" si="45"/>
        <v>0</v>
      </c>
      <c r="K61" s="518">
        <f t="shared" si="45"/>
        <v>85912</v>
      </c>
      <c r="L61" s="518">
        <f t="shared" si="45"/>
        <v>1140250</v>
      </c>
      <c r="M61" s="518">
        <f t="shared" si="45"/>
        <v>1226162</v>
      </c>
      <c r="N61" s="518">
        <f t="shared" si="45"/>
        <v>746824</v>
      </c>
      <c r="O61" s="518">
        <f t="shared" ref="O61:T62" si="46">O62</f>
        <v>830935</v>
      </c>
      <c r="P61" s="518">
        <f t="shared" si="46"/>
        <v>0</v>
      </c>
      <c r="Q61" s="518">
        <f t="shared" si="46"/>
        <v>0</v>
      </c>
      <c r="R61" s="518">
        <f t="shared" si="46"/>
        <v>0</v>
      </c>
      <c r="S61" s="518">
        <f t="shared" si="46"/>
        <v>0</v>
      </c>
      <c r="T61" s="518">
        <f t="shared" si="46"/>
        <v>0</v>
      </c>
      <c r="U61" s="2437" t="s">
        <v>77</v>
      </c>
      <c r="V61" s="2646"/>
    </row>
    <row r="62" spans="1:23" s="1898" customFormat="1" ht="12.75">
      <c r="A62" s="2694"/>
      <c r="B62" s="886" t="s">
        <v>30</v>
      </c>
      <c r="C62" s="2490" t="s">
        <v>106</v>
      </c>
      <c r="D62" s="513">
        <f>+D63</f>
        <v>2803921</v>
      </c>
      <c r="E62" s="514">
        <f t="shared" si="45"/>
        <v>0</v>
      </c>
      <c r="F62" s="514">
        <f t="shared" si="45"/>
        <v>0</v>
      </c>
      <c r="G62" s="514">
        <f t="shared" si="45"/>
        <v>0</v>
      </c>
      <c r="H62" s="514">
        <f t="shared" si="45"/>
        <v>0</v>
      </c>
      <c r="I62" s="514">
        <f t="shared" si="45"/>
        <v>0</v>
      </c>
      <c r="J62" s="514">
        <f t="shared" si="45"/>
        <v>0</v>
      </c>
      <c r="K62" s="514">
        <f t="shared" si="45"/>
        <v>85912</v>
      </c>
      <c r="L62" s="514">
        <f t="shared" si="45"/>
        <v>1140250</v>
      </c>
      <c r="M62" s="514">
        <f t="shared" si="45"/>
        <v>1226162</v>
      </c>
      <c r="N62" s="514">
        <f t="shared" si="45"/>
        <v>746824</v>
      </c>
      <c r="O62" s="514">
        <f t="shared" si="46"/>
        <v>830935</v>
      </c>
      <c r="P62" s="514">
        <f t="shared" si="46"/>
        <v>0</v>
      </c>
      <c r="Q62" s="514">
        <f t="shared" si="46"/>
        <v>0</v>
      </c>
      <c r="R62" s="514">
        <f t="shared" si="46"/>
        <v>0</v>
      </c>
      <c r="S62" s="514">
        <f t="shared" si="46"/>
        <v>0</v>
      </c>
      <c r="T62" s="514">
        <f t="shared" si="46"/>
        <v>0</v>
      </c>
      <c r="U62" s="2438"/>
      <c r="V62" s="2646"/>
    </row>
    <row r="63" spans="1:23" s="1898" customFormat="1" ht="12" customHeight="1" thickBot="1">
      <c r="A63" s="2695"/>
      <c r="B63" s="2201" t="s">
        <v>33</v>
      </c>
      <c r="C63" s="2491"/>
      <c r="D63" s="592">
        <f>+M63+N63+O63+P63+Q63+R63+S63+T63</f>
        <v>2803921</v>
      </c>
      <c r="E63" s="546">
        <v>0</v>
      </c>
      <c r="F63" s="547"/>
      <c r="G63" s="546"/>
      <c r="H63" s="546"/>
      <c r="I63" s="546">
        <v>0</v>
      </c>
      <c r="J63" s="546">
        <v>0</v>
      </c>
      <c r="K63" s="546">
        <f>986400-324740-575748</f>
        <v>85912</v>
      </c>
      <c r="L63" s="546">
        <f>2567000-256800-33770-1255748+119552+16</f>
        <v>1140250</v>
      </c>
      <c r="M63" s="547">
        <f>+L63+K63+J63+I63</f>
        <v>1226162</v>
      </c>
      <c r="N63" s="547">
        <f>2387000-387000+1255748+456196-2963044-2076</f>
        <v>746824</v>
      </c>
      <c r="O63" s="546">
        <f>968540-14000+20816+15-105474-38962</f>
        <v>830935</v>
      </c>
      <c r="P63" s="546">
        <v>0</v>
      </c>
      <c r="Q63" s="546">
        <v>0</v>
      </c>
      <c r="R63" s="546">
        <v>0</v>
      </c>
      <c r="S63" s="546">
        <v>0</v>
      </c>
      <c r="T63" s="546">
        <v>0</v>
      </c>
      <c r="U63" s="2439"/>
      <c r="V63" s="2659"/>
    </row>
    <row r="64" spans="1:23" s="1898" customFormat="1" ht="39.75" customHeight="1">
      <c r="A64" s="2693" t="s">
        <v>149</v>
      </c>
      <c r="B64" s="941" t="s">
        <v>377</v>
      </c>
      <c r="C64" s="2206" t="s">
        <v>102</v>
      </c>
      <c r="D64" s="954"/>
      <c r="E64" s="882"/>
      <c r="F64" s="882"/>
      <c r="G64" s="882"/>
      <c r="H64" s="882"/>
      <c r="I64" s="882"/>
      <c r="J64" s="882"/>
      <c r="K64" s="882"/>
      <c r="L64" s="944"/>
      <c r="M64" s="944"/>
      <c r="N64" s="944"/>
      <c r="O64" s="944"/>
      <c r="P64" s="945"/>
      <c r="Q64" s="945"/>
      <c r="R64" s="945"/>
      <c r="S64" s="945"/>
      <c r="T64" s="944"/>
      <c r="U64" s="946"/>
      <c r="V64" s="2618" t="s">
        <v>356</v>
      </c>
    </row>
    <row r="65" spans="1:22" s="1898" customFormat="1" ht="14.25" customHeight="1">
      <c r="A65" s="2694"/>
      <c r="B65" s="452" t="s">
        <v>22</v>
      </c>
      <c r="C65" s="428"/>
      <c r="D65" s="518">
        <f t="shared" ref="D65:U66" si="47">+D66</f>
        <v>33770</v>
      </c>
      <c r="E65" s="518">
        <f t="shared" si="47"/>
        <v>0</v>
      </c>
      <c r="F65" s="518">
        <f t="shared" si="47"/>
        <v>0</v>
      </c>
      <c r="G65" s="518">
        <f t="shared" si="47"/>
        <v>0</v>
      </c>
      <c r="H65" s="518">
        <f t="shared" si="47"/>
        <v>0</v>
      </c>
      <c r="I65" s="518">
        <f t="shared" si="47"/>
        <v>0</v>
      </c>
      <c r="J65" s="518">
        <f t="shared" si="47"/>
        <v>0</v>
      </c>
      <c r="K65" s="518">
        <f t="shared" si="47"/>
        <v>0</v>
      </c>
      <c r="L65" s="518">
        <f t="shared" si="47"/>
        <v>33770</v>
      </c>
      <c r="M65" s="518">
        <f t="shared" si="47"/>
        <v>33770</v>
      </c>
      <c r="N65" s="518">
        <f t="shared" si="47"/>
        <v>0</v>
      </c>
      <c r="O65" s="518">
        <f t="shared" si="47"/>
        <v>0</v>
      </c>
      <c r="P65" s="518">
        <f t="shared" si="47"/>
        <v>0</v>
      </c>
      <c r="Q65" s="518">
        <f t="shared" si="47"/>
        <v>0</v>
      </c>
      <c r="R65" s="518">
        <f t="shared" si="47"/>
        <v>0</v>
      </c>
      <c r="S65" s="518">
        <f t="shared" si="47"/>
        <v>0</v>
      </c>
      <c r="T65" s="518">
        <f t="shared" si="47"/>
        <v>0</v>
      </c>
      <c r="U65" s="535">
        <f t="shared" si="47"/>
        <v>0</v>
      </c>
      <c r="V65" s="2619"/>
    </row>
    <row r="66" spans="1:22" s="1898" customFormat="1" ht="14.25" customHeight="1">
      <c r="A66" s="2694"/>
      <c r="B66" s="621" t="s">
        <v>30</v>
      </c>
      <c r="C66" s="2433" t="s">
        <v>287</v>
      </c>
      <c r="D66" s="513">
        <f t="shared" si="47"/>
        <v>33770</v>
      </c>
      <c r="E66" s="514">
        <f t="shared" si="47"/>
        <v>0</v>
      </c>
      <c r="F66" s="514">
        <f t="shared" si="47"/>
        <v>0</v>
      </c>
      <c r="G66" s="514">
        <f t="shared" si="47"/>
        <v>0</v>
      </c>
      <c r="H66" s="514">
        <f t="shared" si="47"/>
        <v>0</v>
      </c>
      <c r="I66" s="635">
        <f t="shared" si="47"/>
        <v>0</v>
      </c>
      <c r="J66" s="635">
        <f t="shared" si="47"/>
        <v>0</v>
      </c>
      <c r="K66" s="635">
        <f t="shared" si="47"/>
        <v>0</v>
      </c>
      <c r="L66" s="635">
        <f t="shared" si="47"/>
        <v>33770</v>
      </c>
      <c r="M66" s="635">
        <f t="shared" si="47"/>
        <v>33770</v>
      </c>
      <c r="N66" s="642">
        <f>N67</f>
        <v>0</v>
      </c>
      <c r="O66" s="642">
        <v>0</v>
      </c>
      <c r="P66" s="642">
        <v>0</v>
      </c>
      <c r="Q66" s="642">
        <v>0</v>
      </c>
      <c r="R66" s="642">
        <v>0</v>
      </c>
      <c r="S66" s="642">
        <v>0</v>
      </c>
      <c r="T66" s="642">
        <v>0</v>
      </c>
      <c r="U66" s="557">
        <f t="shared" si="47"/>
        <v>0</v>
      </c>
      <c r="V66" s="2646"/>
    </row>
    <row r="67" spans="1:22" s="1898" customFormat="1" ht="11.25" customHeight="1">
      <c r="A67" s="2694"/>
      <c r="B67" s="2214" t="s">
        <v>33</v>
      </c>
      <c r="C67" s="2435"/>
      <c r="D67" s="507">
        <f>+M67+N67+O67+P67+Q67+R67+S67+T67</f>
        <v>33770</v>
      </c>
      <c r="E67" s="508">
        <v>0</v>
      </c>
      <c r="F67" s="516">
        <v>0</v>
      </c>
      <c r="G67" s="516"/>
      <c r="H67" s="508"/>
      <c r="I67" s="508">
        <v>0</v>
      </c>
      <c r="J67" s="508">
        <v>0</v>
      </c>
      <c r="K67" s="508">
        <v>0</v>
      </c>
      <c r="L67" s="508">
        <v>33770</v>
      </c>
      <c r="M67" s="508">
        <f>+L67+K67+J67+I67</f>
        <v>33770</v>
      </c>
      <c r="N67" s="516">
        <f>14000-14000</f>
        <v>0</v>
      </c>
      <c r="O67" s="516">
        <v>0</v>
      </c>
      <c r="P67" s="516">
        <v>0</v>
      </c>
      <c r="Q67" s="516">
        <v>0</v>
      </c>
      <c r="R67" s="516">
        <v>0</v>
      </c>
      <c r="S67" s="516">
        <v>0</v>
      </c>
      <c r="T67" s="516">
        <v>0</v>
      </c>
      <c r="U67" s="423">
        <f>+O67+P67+Q67+R67</f>
        <v>0</v>
      </c>
      <c r="V67" s="2646"/>
    </row>
    <row r="68" spans="1:22" s="1898" customFormat="1" ht="13.5" customHeight="1">
      <c r="A68" s="2694"/>
      <c r="B68" s="427" t="s">
        <v>34</v>
      </c>
      <c r="C68" s="428"/>
      <c r="D68" s="518">
        <f>+D69</f>
        <v>33770</v>
      </c>
      <c r="E68" s="518">
        <f t="shared" ref="E68:N69" si="48">+E69</f>
        <v>0</v>
      </c>
      <c r="F68" s="518">
        <f t="shared" si="48"/>
        <v>0</v>
      </c>
      <c r="G68" s="518">
        <f t="shared" si="48"/>
        <v>0</v>
      </c>
      <c r="H68" s="518">
        <f t="shared" si="48"/>
        <v>0</v>
      </c>
      <c r="I68" s="518">
        <f t="shared" si="48"/>
        <v>0</v>
      </c>
      <c r="J68" s="518">
        <f t="shared" si="48"/>
        <v>0</v>
      </c>
      <c r="K68" s="518">
        <f t="shared" si="48"/>
        <v>0</v>
      </c>
      <c r="L68" s="518">
        <f t="shared" si="48"/>
        <v>33770</v>
      </c>
      <c r="M68" s="518">
        <f t="shared" si="48"/>
        <v>33770</v>
      </c>
      <c r="N68" s="518">
        <f t="shared" si="48"/>
        <v>0</v>
      </c>
      <c r="O68" s="518">
        <f t="shared" ref="O68:T69" si="49">O69</f>
        <v>0</v>
      </c>
      <c r="P68" s="518">
        <f t="shared" si="49"/>
        <v>0</v>
      </c>
      <c r="Q68" s="518">
        <f t="shared" si="49"/>
        <v>0</v>
      </c>
      <c r="R68" s="518">
        <f t="shared" si="49"/>
        <v>0</v>
      </c>
      <c r="S68" s="518">
        <f t="shared" si="49"/>
        <v>0</v>
      </c>
      <c r="T68" s="518">
        <f t="shared" si="49"/>
        <v>0</v>
      </c>
      <c r="U68" s="2437" t="s">
        <v>77</v>
      </c>
      <c r="V68" s="2646"/>
    </row>
    <row r="69" spans="1:22" s="1898" customFormat="1" ht="12" customHeight="1">
      <c r="A69" s="2694"/>
      <c r="B69" s="886" t="s">
        <v>30</v>
      </c>
      <c r="C69" s="2490" t="s">
        <v>106</v>
      </c>
      <c r="D69" s="513">
        <f>+D70</f>
        <v>33770</v>
      </c>
      <c r="E69" s="514">
        <f t="shared" si="48"/>
        <v>0</v>
      </c>
      <c r="F69" s="514">
        <f t="shared" si="48"/>
        <v>0</v>
      </c>
      <c r="G69" s="514">
        <f t="shared" si="48"/>
        <v>0</v>
      </c>
      <c r="H69" s="514">
        <f t="shared" si="48"/>
        <v>0</v>
      </c>
      <c r="I69" s="514">
        <f t="shared" si="48"/>
        <v>0</v>
      </c>
      <c r="J69" s="514">
        <f t="shared" si="48"/>
        <v>0</v>
      </c>
      <c r="K69" s="514">
        <f t="shared" si="48"/>
        <v>0</v>
      </c>
      <c r="L69" s="514">
        <f t="shared" si="48"/>
        <v>33770</v>
      </c>
      <c r="M69" s="514">
        <f t="shared" si="48"/>
        <v>33770</v>
      </c>
      <c r="N69" s="514">
        <f t="shared" si="48"/>
        <v>0</v>
      </c>
      <c r="O69" s="514">
        <f t="shared" si="49"/>
        <v>0</v>
      </c>
      <c r="P69" s="514">
        <f t="shared" si="49"/>
        <v>0</v>
      </c>
      <c r="Q69" s="514">
        <f t="shared" si="49"/>
        <v>0</v>
      </c>
      <c r="R69" s="514">
        <f t="shared" si="49"/>
        <v>0</v>
      </c>
      <c r="S69" s="514">
        <f t="shared" si="49"/>
        <v>0</v>
      </c>
      <c r="T69" s="514">
        <f t="shared" si="49"/>
        <v>0</v>
      </c>
      <c r="U69" s="2438"/>
      <c r="V69" s="2646"/>
    </row>
    <row r="70" spans="1:22" s="1898" customFormat="1" ht="13.5" thickBot="1">
      <c r="A70" s="2695"/>
      <c r="B70" s="2201" t="s">
        <v>33</v>
      </c>
      <c r="C70" s="2491"/>
      <c r="D70" s="592">
        <f>+M70+N70+O70+P70+Q70+R70+S70+T70</f>
        <v>33770</v>
      </c>
      <c r="E70" s="546">
        <v>0</v>
      </c>
      <c r="F70" s="547"/>
      <c r="G70" s="546"/>
      <c r="H70" s="546"/>
      <c r="I70" s="546">
        <v>0</v>
      </c>
      <c r="J70" s="546">
        <v>0</v>
      </c>
      <c r="K70" s="546">
        <v>0</v>
      </c>
      <c r="L70" s="546">
        <v>33770</v>
      </c>
      <c r="M70" s="547">
        <f>+L70+K70+J70+I70</f>
        <v>33770</v>
      </c>
      <c r="N70" s="547">
        <v>0</v>
      </c>
      <c r="O70" s="546">
        <f>14000-14000</f>
        <v>0</v>
      </c>
      <c r="P70" s="546">
        <v>0</v>
      </c>
      <c r="Q70" s="546">
        <v>0</v>
      </c>
      <c r="R70" s="546">
        <v>0</v>
      </c>
      <c r="S70" s="546">
        <v>0</v>
      </c>
      <c r="T70" s="546">
        <v>0</v>
      </c>
      <c r="U70" s="2439"/>
      <c r="V70" s="2659"/>
    </row>
    <row r="71" spans="1:22" s="1898" customFormat="1" ht="30" customHeight="1">
      <c r="A71" s="2693" t="s">
        <v>111</v>
      </c>
      <c r="B71" s="941" t="s">
        <v>436</v>
      </c>
      <c r="C71" s="2206" t="s">
        <v>289</v>
      </c>
      <c r="D71" s="954"/>
      <c r="E71" s="882"/>
      <c r="F71" s="882"/>
      <c r="G71" s="882"/>
      <c r="H71" s="882"/>
      <c r="I71" s="882"/>
      <c r="J71" s="882"/>
      <c r="K71" s="882"/>
      <c r="L71" s="944"/>
      <c r="M71" s="944"/>
      <c r="N71" s="944"/>
      <c r="O71" s="944"/>
      <c r="P71" s="945"/>
      <c r="Q71" s="945"/>
      <c r="R71" s="945"/>
      <c r="S71" s="945"/>
      <c r="T71" s="944"/>
      <c r="U71" s="946"/>
      <c r="V71" s="2618" t="s">
        <v>356</v>
      </c>
    </row>
    <row r="72" spans="1:22" s="1898" customFormat="1" ht="12.75">
      <c r="A72" s="2694"/>
      <c r="B72" s="452" t="s">
        <v>22</v>
      </c>
      <c r="C72" s="428"/>
      <c r="D72" s="518">
        <f t="shared" ref="D72:U73" si="50">+D73</f>
        <v>5896404</v>
      </c>
      <c r="E72" s="518">
        <f t="shared" si="50"/>
        <v>0</v>
      </c>
      <c r="F72" s="518">
        <f t="shared" si="50"/>
        <v>0</v>
      </c>
      <c r="G72" s="518">
        <f t="shared" si="50"/>
        <v>0</v>
      </c>
      <c r="H72" s="518">
        <f t="shared" si="50"/>
        <v>0</v>
      </c>
      <c r="I72" s="518">
        <f t="shared" si="50"/>
        <v>0</v>
      </c>
      <c r="J72" s="518">
        <f t="shared" si="50"/>
        <v>0</v>
      </c>
      <c r="K72" s="518">
        <f t="shared" si="50"/>
        <v>0</v>
      </c>
      <c r="L72" s="518">
        <f t="shared" si="50"/>
        <v>1002000</v>
      </c>
      <c r="M72" s="518">
        <f t="shared" si="50"/>
        <v>1002000</v>
      </c>
      <c r="N72" s="518">
        <f t="shared" si="50"/>
        <v>952679</v>
      </c>
      <c r="O72" s="518">
        <f t="shared" si="50"/>
        <v>3941725</v>
      </c>
      <c r="P72" s="518">
        <f t="shared" si="50"/>
        <v>0</v>
      </c>
      <c r="Q72" s="518">
        <f t="shared" si="50"/>
        <v>0</v>
      </c>
      <c r="R72" s="518">
        <f t="shared" si="50"/>
        <v>0</v>
      </c>
      <c r="S72" s="518">
        <f t="shared" si="50"/>
        <v>0</v>
      </c>
      <c r="T72" s="518">
        <f t="shared" si="50"/>
        <v>0</v>
      </c>
      <c r="U72" s="535">
        <f t="shared" si="50"/>
        <v>3941725</v>
      </c>
      <c r="V72" s="2619"/>
    </row>
    <row r="73" spans="1:22" s="1898" customFormat="1" ht="12.75" customHeight="1">
      <c r="A73" s="2694"/>
      <c r="B73" s="621" t="s">
        <v>30</v>
      </c>
      <c r="C73" s="2433" t="s">
        <v>287</v>
      </c>
      <c r="D73" s="513">
        <f t="shared" si="50"/>
        <v>5896404</v>
      </c>
      <c r="E73" s="514">
        <f t="shared" si="50"/>
        <v>0</v>
      </c>
      <c r="F73" s="514">
        <f t="shared" si="50"/>
        <v>0</v>
      </c>
      <c r="G73" s="514">
        <f t="shared" si="50"/>
        <v>0</v>
      </c>
      <c r="H73" s="514">
        <f t="shared" si="50"/>
        <v>0</v>
      </c>
      <c r="I73" s="635">
        <f t="shared" si="50"/>
        <v>0</v>
      </c>
      <c r="J73" s="635">
        <f t="shared" si="50"/>
        <v>0</v>
      </c>
      <c r="K73" s="635">
        <f t="shared" si="50"/>
        <v>0</v>
      </c>
      <c r="L73" s="635">
        <f t="shared" si="50"/>
        <v>1002000</v>
      </c>
      <c r="M73" s="635">
        <f t="shared" si="50"/>
        <v>1002000</v>
      </c>
      <c r="N73" s="642">
        <f>N74</f>
        <v>952679</v>
      </c>
      <c r="O73" s="642">
        <f>O74</f>
        <v>3941725</v>
      </c>
      <c r="P73" s="642">
        <v>0</v>
      </c>
      <c r="Q73" s="642">
        <v>0</v>
      </c>
      <c r="R73" s="642">
        <v>0</v>
      </c>
      <c r="S73" s="642">
        <v>0</v>
      </c>
      <c r="T73" s="642">
        <v>0</v>
      </c>
      <c r="U73" s="557">
        <f t="shared" si="50"/>
        <v>3941725</v>
      </c>
      <c r="V73" s="2646"/>
    </row>
    <row r="74" spans="1:22" s="1898" customFormat="1" ht="12.75">
      <c r="A74" s="2694"/>
      <c r="B74" s="2214" t="s">
        <v>33</v>
      </c>
      <c r="C74" s="2435"/>
      <c r="D74" s="507">
        <f>+M74+N74+O74+P74+Q74+R74+S74+T74</f>
        <v>5896404</v>
      </c>
      <c r="E74" s="508">
        <v>0</v>
      </c>
      <c r="F74" s="516">
        <v>0</v>
      </c>
      <c r="G74" s="516"/>
      <c r="H74" s="508"/>
      <c r="I74" s="508">
        <v>0</v>
      </c>
      <c r="J74" s="508">
        <v>0</v>
      </c>
      <c r="K74" s="508">
        <v>0</v>
      </c>
      <c r="L74" s="508">
        <f>1022296-20296</f>
        <v>1002000</v>
      </c>
      <c r="M74" s="516">
        <f>+L74+K74+J74+I74</f>
        <v>1002000</v>
      </c>
      <c r="N74" s="516">
        <f>4227704-1512646-1623959-134824-3596</f>
        <v>952679</v>
      </c>
      <c r="O74" s="516">
        <f>750000+1532942+1623959+134824-100000</f>
        <v>3941725</v>
      </c>
      <c r="P74" s="516">
        <v>0</v>
      </c>
      <c r="Q74" s="516">
        <v>0</v>
      </c>
      <c r="R74" s="516">
        <v>0</v>
      </c>
      <c r="S74" s="516">
        <v>0</v>
      </c>
      <c r="T74" s="516">
        <v>0</v>
      </c>
      <c r="U74" s="423">
        <f>+O74+P74+Q74+R74</f>
        <v>3941725</v>
      </c>
      <c r="V74" s="2646"/>
    </row>
    <row r="75" spans="1:22" s="1898" customFormat="1" ht="12.75">
      <c r="A75" s="2694"/>
      <c r="B75" s="427" t="s">
        <v>34</v>
      </c>
      <c r="C75" s="428"/>
      <c r="D75" s="518">
        <f>+D76</f>
        <v>5896404</v>
      </c>
      <c r="E75" s="518">
        <f t="shared" ref="E75:N76" si="51">+E76</f>
        <v>0</v>
      </c>
      <c r="F75" s="518">
        <f t="shared" si="51"/>
        <v>0</v>
      </c>
      <c r="G75" s="518">
        <f t="shared" si="51"/>
        <v>0</v>
      </c>
      <c r="H75" s="518">
        <f t="shared" si="51"/>
        <v>0</v>
      </c>
      <c r="I75" s="518">
        <f t="shared" si="51"/>
        <v>0</v>
      </c>
      <c r="J75" s="518">
        <f t="shared" si="51"/>
        <v>0</v>
      </c>
      <c r="K75" s="518">
        <f t="shared" si="51"/>
        <v>0</v>
      </c>
      <c r="L75" s="518">
        <f t="shared" si="51"/>
        <v>0</v>
      </c>
      <c r="M75" s="518">
        <f t="shared" si="51"/>
        <v>0</v>
      </c>
      <c r="N75" s="518">
        <f t="shared" si="51"/>
        <v>1216953</v>
      </c>
      <c r="O75" s="518">
        <f t="shared" ref="O75:T76" si="52">O76</f>
        <v>4679451</v>
      </c>
      <c r="P75" s="518">
        <f t="shared" si="52"/>
        <v>0</v>
      </c>
      <c r="Q75" s="518">
        <f t="shared" si="52"/>
        <v>0</v>
      </c>
      <c r="R75" s="518">
        <f t="shared" si="52"/>
        <v>0</v>
      </c>
      <c r="S75" s="518">
        <f t="shared" si="52"/>
        <v>0</v>
      </c>
      <c r="T75" s="518">
        <f t="shared" si="52"/>
        <v>0</v>
      </c>
      <c r="U75" s="2437" t="s">
        <v>77</v>
      </c>
      <c r="V75" s="2646"/>
    </row>
    <row r="76" spans="1:22" s="1898" customFormat="1" ht="12.75" customHeight="1">
      <c r="A76" s="2694"/>
      <c r="B76" s="886" t="s">
        <v>30</v>
      </c>
      <c r="C76" s="2490" t="s">
        <v>106</v>
      </c>
      <c r="D76" s="513">
        <f>+D77</f>
        <v>5896404</v>
      </c>
      <c r="E76" s="514">
        <f t="shared" si="51"/>
        <v>0</v>
      </c>
      <c r="F76" s="514">
        <f t="shared" si="51"/>
        <v>0</v>
      </c>
      <c r="G76" s="514">
        <f t="shared" si="51"/>
        <v>0</v>
      </c>
      <c r="H76" s="514">
        <f t="shared" si="51"/>
        <v>0</v>
      </c>
      <c r="I76" s="514">
        <f t="shared" si="51"/>
        <v>0</v>
      </c>
      <c r="J76" s="514">
        <f t="shared" si="51"/>
        <v>0</v>
      </c>
      <c r="K76" s="514">
        <f t="shared" si="51"/>
        <v>0</v>
      </c>
      <c r="L76" s="514">
        <f t="shared" si="51"/>
        <v>0</v>
      </c>
      <c r="M76" s="514">
        <f t="shared" si="51"/>
        <v>0</v>
      </c>
      <c r="N76" s="514">
        <f t="shared" si="51"/>
        <v>1216953</v>
      </c>
      <c r="O76" s="514">
        <f t="shared" si="52"/>
        <v>4679451</v>
      </c>
      <c r="P76" s="514">
        <f t="shared" si="52"/>
        <v>0</v>
      </c>
      <c r="Q76" s="514">
        <f t="shared" si="52"/>
        <v>0</v>
      </c>
      <c r="R76" s="514">
        <f t="shared" si="52"/>
        <v>0</v>
      </c>
      <c r="S76" s="514">
        <f t="shared" si="52"/>
        <v>0</v>
      </c>
      <c r="T76" s="514">
        <f t="shared" si="52"/>
        <v>0</v>
      </c>
      <c r="U76" s="2438"/>
      <c r="V76" s="2646"/>
    </row>
    <row r="77" spans="1:22" s="1898" customFormat="1" ht="13.5" thickBot="1">
      <c r="A77" s="2695"/>
      <c r="B77" s="2201" t="s">
        <v>33</v>
      </c>
      <c r="C77" s="2491"/>
      <c r="D77" s="592">
        <f>+M77+N77+O77+P77+Q77+R77+S77+T77</f>
        <v>5896404</v>
      </c>
      <c r="E77" s="546">
        <v>0</v>
      </c>
      <c r="F77" s="547"/>
      <c r="G77" s="546"/>
      <c r="H77" s="546"/>
      <c r="I77" s="546">
        <v>0</v>
      </c>
      <c r="J77" s="546">
        <v>0</v>
      </c>
      <c r="K77" s="546">
        <v>0</v>
      </c>
      <c r="L77" s="546">
        <v>0</v>
      </c>
      <c r="M77" s="547">
        <f>+L77+K77+J77+I77</f>
        <v>0</v>
      </c>
      <c r="N77" s="547">
        <f>4217574-1538016-1458955-54-3596</f>
        <v>1216953</v>
      </c>
      <c r="O77" s="546">
        <f>1782426+1538016+1458955+54-100000</f>
        <v>4679451</v>
      </c>
      <c r="P77" s="546">
        <v>0</v>
      </c>
      <c r="Q77" s="546">
        <v>0</v>
      </c>
      <c r="R77" s="546">
        <v>0</v>
      </c>
      <c r="S77" s="546">
        <v>0</v>
      </c>
      <c r="T77" s="546">
        <v>0</v>
      </c>
      <c r="U77" s="2439"/>
      <c r="V77" s="2743"/>
    </row>
    <row r="78" spans="1:22" s="1898" customFormat="1" ht="27.75" customHeight="1">
      <c r="A78" s="2698" t="s">
        <v>112</v>
      </c>
      <c r="B78" s="941" t="s">
        <v>437</v>
      </c>
      <c r="C78" s="2206" t="s">
        <v>289</v>
      </c>
      <c r="D78" s="954"/>
      <c r="E78" s="882"/>
      <c r="F78" s="882"/>
      <c r="G78" s="882"/>
      <c r="H78" s="882"/>
      <c r="I78" s="882"/>
      <c r="J78" s="882"/>
      <c r="K78" s="882"/>
      <c r="L78" s="944"/>
      <c r="M78" s="944"/>
      <c r="N78" s="944"/>
      <c r="O78" s="944"/>
      <c r="P78" s="945"/>
      <c r="Q78" s="945"/>
      <c r="R78" s="945"/>
      <c r="S78" s="945"/>
      <c r="T78" s="944"/>
      <c r="U78" s="946"/>
      <c r="V78" s="2619" t="s">
        <v>356</v>
      </c>
    </row>
    <row r="79" spans="1:22" s="1898" customFormat="1" ht="12.75">
      <c r="A79" s="2694"/>
      <c r="B79" s="452" t="s">
        <v>22</v>
      </c>
      <c r="C79" s="428"/>
      <c r="D79" s="518">
        <f t="shared" ref="D79:D83" si="53">I79+J79+K79+L79+N79+O79+P79+Q79+R79</f>
        <v>445191</v>
      </c>
      <c r="E79" s="518">
        <f t="shared" ref="E79:U80" si="54">+E80</f>
        <v>0</v>
      </c>
      <c r="F79" s="518">
        <f t="shared" si="54"/>
        <v>0</v>
      </c>
      <c r="G79" s="518">
        <f t="shared" si="54"/>
        <v>0</v>
      </c>
      <c r="H79" s="518">
        <f t="shared" si="54"/>
        <v>0</v>
      </c>
      <c r="I79" s="518">
        <f t="shared" si="54"/>
        <v>0</v>
      </c>
      <c r="J79" s="518">
        <f t="shared" si="54"/>
        <v>0</v>
      </c>
      <c r="K79" s="518">
        <f t="shared" si="54"/>
        <v>14569</v>
      </c>
      <c r="L79" s="518">
        <f t="shared" si="54"/>
        <v>47822</v>
      </c>
      <c r="M79" s="518">
        <f t="shared" si="54"/>
        <v>62391</v>
      </c>
      <c r="N79" s="518">
        <f t="shared" si="54"/>
        <v>71268</v>
      </c>
      <c r="O79" s="518">
        <f t="shared" si="54"/>
        <v>311532</v>
      </c>
      <c r="P79" s="518">
        <f t="shared" si="54"/>
        <v>0</v>
      </c>
      <c r="Q79" s="518">
        <f t="shared" si="54"/>
        <v>0</v>
      </c>
      <c r="R79" s="518">
        <f t="shared" si="54"/>
        <v>0</v>
      </c>
      <c r="S79" s="518">
        <f t="shared" si="54"/>
        <v>0</v>
      </c>
      <c r="T79" s="518">
        <f t="shared" si="54"/>
        <v>0</v>
      </c>
      <c r="U79" s="535">
        <f t="shared" si="54"/>
        <v>311532</v>
      </c>
      <c r="V79" s="2619"/>
    </row>
    <row r="80" spans="1:22" s="1898" customFormat="1" ht="12.75">
      <c r="A80" s="2694"/>
      <c r="B80" s="621" t="s">
        <v>30</v>
      </c>
      <c r="C80" s="2433" t="s">
        <v>287</v>
      </c>
      <c r="D80" s="513">
        <f t="shared" si="53"/>
        <v>445191</v>
      </c>
      <c r="E80" s="514">
        <f t="shared" si="54"/>
        <v>0</v>
      </c>
      <c r="F80" s="514">
        <f t="shared" si="54"/>
        <v>0</v>
      </c>
      <c r="G80" s="514">
        <f t="shared" si="54"/>
        <v>0</v>
      </c>
      <c r="H80" s="514">
        <f t="shared" si="54"/>
        <v>0</v>
      </c>
      <c r="I80" s="635">
        <f t="shared" si="54"/>
        <v>0</v>
      </c>
      <c r="J80" s="635">
        <f t="shared" si="54"/>
        <v>0</v>
      </c>
      <c r="K80" s="635">
        <f t="shared" si="54"/>
        <v>14569</v>
      </c>
      <c r="L80" s="635">
        <f t="shared" si="54"/>
        <v>47822</v>
      </c>
      <c r="M80" s="635">
        <f t="shared" si="54"/>
        <v>62391</v>
      </c>
      <c r="N80" s="642">
        <f>N81</f>
        <v>71268</v>
      </c>
      <c r="O80" s="642">
        <f>O81</f>
        <v>311532</v>
      </c>
      <c r="P80" s="642">
        <v>0</v>
      </c>
      <c r="Q80" s="642">
        <v>0</v>
      </c>
      <c r="R80" s="642">
        <v>0</v>
      </c>
      <c r="S80" s="642">
        <v>0</v>
      </c>
      <c r="T80" s="642">
        <v>0</v>
      </c>
      <c r="U80" s="557">
        <f t="shared" si="54"/>
        <v>311532</v>
      </c>
      <c r="V80" s="2646"/>
    </row>
    <row r="81" spans="1:22" s="1898" customFormat="1" ht="12.75">
      <c r="A81" s="2694"/>
      <c r="B81" s="2214" t="s">
        <v>33</v>
      </c>
      <c r="C81" s="2435"/>
      <c r="D81" s="507">
        <f>+M81+N81+O81+P81+Q81+R81+S81+T81</f>
        <v>445191</v>
      </c>
      <c r="E81" s="508"/>
      <c r="F81" s="516">
        <v>0</v>
      </c>
      <c r="G81" s="516"/>
      <c r="H81" s="508"/>
      <c r="I81" s="508"/>
      <c r="J81" s="508"/>
      <c r="K81" s="508">
        <v>14569</v>
      </c>
      <c r="L81" s="508">
        <v>47822</v>
      </c>
      <c r="M81" s="516">
        <f>+L81+K81+J81+I81</f>
        <v>62391</v>
      </c>
      <c r="N81" s="516">
        <f>621201-549933</f>
        <v>71268</v>
      </c>
      <c r="O81" s="516">
        <f>549933-238401</f>
        <v>311532</v>
      </c>
      <c r="P81" s="516">
        <v>0</v>
      </c>
      <c r="Q81" s="516">
        <v>0</v>
      </c>
      <c r="R81" s="516">
        <v>0</v>
      </c>
      <c r="S81" s="516">
        <v>0</v>
      </c>
      <c r="T81" s="516">
        <v>0</v>
      </c>
      <c r="U81" s="423">
        <f>+O81+P81+Q81+R81</f>
        <v>311532</v>
      </c>
      <c r="V81" s="2646"/>
    </row>
    <row r="82" spans="1:22" s="1898" customFormat="1" ht="12.75">
      <c r="A82" s="2694"/>
      <c r="B82" s="427" t="s">
        <v>34</v>
      </c>
      <c r="C82" s="428"/>
      <c r="D82" s="518">
        <f t="shared" si="53"/>
        <v>445191</v>
      </c>
      <c r="E82" s="518">
        <f t="shared" ref="E82:N83" si="55">+E83</f>
        <v>0</v>
      </c>
      <c r="F82" s="518">
        <f t="shared" si="55"/>
        <v>0</v>
      </c>
      <c r="G82" s="518">
        <f t="shared" si="55"/>
        <v>0</v>
      </c>
      <c r="H82" s="518">
        <f t="shared" si="55"/>
        <v>0</v>
      </c>
      <c r="I82" s="518">
        <f t="shared" si="55"/>
        <v>0</v>
      </c>
      <c r="J82" s="518">
        <f t="shared" si="55"/>
        <v>0</v>
      </c>
      <c r="K82" s="518">
        <f t="shared" si="55"/>
        <v>0</v>
      </c>
      <c r="L82" s="518">
        <f t="shared" si="55"/>
        <v>0</v>
      </c>
      <c r="M82" s="518">
        <f t="shared" si="55"/>
        <v>0</v>
      </c>
      <c r="N82" s="518">
        <f t="shared" si="55"/>
        <v>0</v>
      </c>
      <c r="O82" s="518">
        <f t="shared" ref="O82:T83" si="56">O83</f>
        <v>445191</v>
      </c>
      <c r="P82" s="518">
        <f t="shared" si="56"/>
        <v>0</v>
      </c>
      <c r="Q82" s="518">
        <f t="shared" si="56"/>
        <v>0</v>
      </c>
      <c r="R82" s="518">
        <f t="shared" si="56"/>
        <v>0</v>
      </c>
      <c r="S82" s="518">
        <f t="shared" si="56"/>
        <v>0</v>
      </c>
      <c r="T82" s="518">
        <f t="shared" si="56"/>
        <v>0</v>
      </c>
      <c r="U82" s="2437" t="s">
        <v>77</v>
      </c>
      <c r="V82" s="2646"/>
    </row>
    <row r="83" spans="1:22" s="1898" customFormat="1" ht="12.75" customHeight="1">
      <c r="A83" s="2694"/>
      <c r="B83" s="886" t="s">
        <v>30</v>
      </c>
      <c r="C83" s="2490" t="s">
        <v>106</v>
      </c>
      <c r="D83" s="513">
        <f t="shared" si="53"/>
        <v>445191</v>
      </c>
      <c r="E83" s="514">
        <f t="shared" si="55"/>
        <v>0</v>
      </c>
      <c r="F83" s="514">
        <f t="shared" si="55"/>
        <v>0</v>
      </c>
      <c r="G83" s="514">
        <f t="shared" si="55"/>
        <v>0</v>
      </c>
      <c r="H83" s="514">
        <f t="shared" si="55"/>
        <v>0</v>
      </c>
      <c r="I83" s="514">
        <f t="shared" si="55"/>
        <v>0</v>
      </c>
      <c r="J83" s="514">
        <f t="shared" si="55"/>
        <v>0</v>
      </c>
      <c r="K83" s="514">
        <f t="shared" si="55"/>
        <v>0</v>
      </c>
      <c r="L83" s="514">
        <f t="shared" si="55"/>
        <v>0</v>
      </c>
      <c r="M83" s="514">
        <f t="shared" si="55"/>
        <v>0</v>
      </c>
      <c r="N83" s="514">
        <f t="shared" si="55"/>
        <v>0</v>
      </c>
      <c r="O83" s="514">
        <f t="shared" si="56"/>
        <v>445191</v>
      </c>
      <c r="P83" s="514">
        <f t="shared" si="56"/>
        <v>0</v>
      </c>
      <c r="Q83" s="514">
        <f t="shared" si="56"/>
        <v>0</v>
      </c>
      <c r="R83" s="514">
        <f t="shared" si="56"/>
        <v>0</v>
      </c>
      <c r="S83" s="514">
        <f t="shared" si="56"/>
        <v>0</v>
      </c>
      <c r="T83" s="514">
        <f t="shared" si="56"/>
        <v>0</v>
      </c>
      <c r="U83" s="2438"/>
      <c r="V83" s="2646"/>
    </row>
    <row r="84" spans="1:22" s="1898" customFormat="1" ht="13.5" thickBot="1">
      <c r="A84" s="2695"/>
      <c r="B84" s="2201" t="s">
        <v>33</v>
      </c>
      <c r="C84" s="2491"/>
      <c r="D84" s="592">
        <f>+M84+N84+O84+P84+Q84+R84+S84+T84</f>
        <v>445191</v>
      </c>
      <c r="E84" s="546"/>
      <c r="F84" s="547"/>
      <c r="G84" s="546"/>
      <c r="H84" s="546"/>
      <c r="I84" s="546">
        <v>0</v>
      </c>
      <c r="J84" s="546">
        <v>0</v>
      </c>
      <c r="K84" s="546">
        <v>0</v>
      </c>
      <c r="L84" s="546">
        <v>0</v>
      </c>
      <c r="M84" s="547">
        <f>+L84+K84+J84+I84</f>
        <v>0</v>
      </c>
      <c r="N84" s="547">
        <v>0</v>
      </c>
      <c r="O84" s="546">
        <f>683592-238401</f>
        <v>445191</v>
      </c>
      <c r="P84" s="546">
        <v>0</v>
      </c>
      <c r="Q84" s="546">
        <v>0</v>
      </c>
      <c r="R84" s="546">
        <v>0</v>
      </c>
      <c r="S84" s="546">
        <v>0</v>
      </c>
      <c r="T84" s="546">
        <v>0</v>
      </c>
      <c r="U84" s="2439"/>
      <c r="V84" s="2659"/>
    </row>
    <row r="85" spans="1:22" s="2171" customFormat="1" ht="27.75" customHeight="1">
      <c r="A85" s="2698" t="s">
        <v>114</v>
      </c>
      <c r="B85" s="941" t="s">
        <v>437</v>
      </c>
      <c r="C85" s="2206" t="s">
        <v>102</v>
      </c>
      <c r="D85" s="954"/>
      <c r="E85" s="882"/>
      <c r="F85" s="882"/>
      <c r="G85" s="882"/>
      <c r="H85" s="882"/>
      <c r="I85" s="882"/>
      <c r="J85" s="882"/>
      <c r="K85" s="882"/>
      <c r="L85" s="944"/>
      <c r="M85" s="944"/>
      <c r="N85" s="944"/>
      <c r="O85" s="944"/>
      <c r="P85" s="945"/>
      <c r="Q85" s="945"/>
      <c r="R85" s="945"/>
      <c r="S85" s="945"/>
      <c r="T85" s="944"/>
      <c r="U85" s="946"/>
      <c r="V85" s="2619" t="s">
        <v>356</v>
      </c>
    </row>
    <row r="86" spans="1:22" s="2171" customFormat="1" ht="12.75">
      <c r="A86" s="2694"/>
      <c r="B86" s="452" t="s">
        <v>22</v>
      </c>
      <c r="C86" s="428"/>
      <c r="D86" s="518">
        <f>D87</f>
        <v>238401</v>
      </c>
      <c r="E86" s="518">
        <f t="shared" ref="E86:U87" si="57">+E87</f>
        <v>0</v>
      </c>
      <c r="F86" s="518">
        <f t="shared" si="57"/>
        <v>0</v>
      </c>
      <c r="G86" s="518">
        <f t="shared" si="57"/>
        <v>0</v>
      </c>
      <c r="H86" s="518">
        <f t="shared" si="57"/>
        <v>0</v>
      </c>
      <c r="I86" s="518">
        <f t="shared" si="57"/>
        <v>0</v>
      </c>
      <c r="J86" s="518">
        <f t="shared" si="57"/>
        <v>0</v>
      </c>
      <c r="K86" s="518">
        <f t="shared" si="57"/>
        <v>14569</v>
      </c>
      <c r="L86" s="518">
        <f t="shared" si="57"/>
        <v>47822</v>
      </c>
      <c r="M86" s="518">
        <f t="shared" si="57"/>
        <v>0</v>
      </c>
      <c r="N86" s="518">
        <f t="shared" si="57"/>
        <v>0</v>
      </c>
      <c r="O86" s="518">
        <f t="shared" si="57"/>
        <v>238401</v>
      </c>
      <c r="P86" s="518">
        <f t="shared" si="57"/>
        <v>0</v>
      </c>
      <c r="Q86" s="518">
        <f t="shared" si="57"/>
        <v>0</v>
      </c>
      <c r="R86" s="518">
        <f t="shared" si="57"/>
        <v>0</v>
      </c>
      <c r="S86" s="518">
        <f t="shared" si="57"/>
        <v>0</v>
      </c>
      <c r="T86" s="518">
        <f t="shared" si="57"/>
        <v>0</v>
      </c>
      <c r="U86" s="535">
        <f t="shared" si="57"/>
        <v>238401</v>
      </c>
      <c r="V86" s="2619"/>
    </row>
    <row r="87" spans="1:22" s="2171" customFormat="1" ht="12.75">
      <c r="A87" s="2694"/>
      <c r="B87" s="621" t="s">
        <v>30</v>
      </c>
      <c r="C87" s="2433" t="s">
        <v>287</v>
      </c>
      <c r="D87" s="513">
        <f>D88</f>
        <v>238401</v>
      </c>
      <c r="E87" s="514">
        <f t="shared" si="57"/>
        <v>0</v>
      </c>
      <c r="F87" s="514">
        <f t="shared" si="57"/>
        <v>0</v>
      </c>
      <c r="G87" s="514">
        <f t="shared" si="57"/>
        <v>0</v>
      </c>
      <c r="H87" s="514">
        <f t="shared" si="57"/>
        <v>0</v>
      </c>
      <c r="I87" s="635">
        <f t="shared" si="57"/>
        <v>0</v>
      </c>
      <c r="J87" s="635">
        <f t="shared" si="57"/>
        <v>0</v>
      </c>
      <c r="K87" s="635">
        <f t="shared" si="57"/>
        <v>14569</v>
      </c>
      <c r="L87" s="635">
        <f t="shared" si="57"/>
        <v>47822</v>
      </c>
      <c r="M87" s="635">
        <f t="shared" si="57"/>
        <v>0</v>
      </c>
      <c r="N87" s="642">
        <f>N88</f>
        <v>0</v>
      </c>
      <c r="O87" s="642">
        <f>O88</f>
        <v>238401</v>
      </c>
      <c r="P87" s="642">
        <v>0</v>
      </c>
      <c r="Q87" s="642">
        <v>0</v>
      </c>
      <c r="R87" s="642">
        <v>0</v>
      </c>
      <c r="S87" s="642">
        <v>0</v>
      </c>
      <c r="T87" s="642">
        <v>0</v>
      </c>
      <c r="U87" s="557">
        <f t="shared" si="57"/>
        <v>238401</v>
      </c>
      <c r="V87" s="2646"/>
    </row>
    <row r="88" spans="1:22" s="2171" customFormat="1" ht="12.75">
      <c r="A88" s="2694"/>
      <c r="B88" s="2214" t="s">
        <v>33</v>
      </c>
      <c r="C88" s="2435"/>
      <c r="D88" s="507">
        <f>O88</f>
        <v>238401</v>
      </c>
      <c r="E88" s="508"/>
      <c r="F88" s="516">
        <v>0</v>
      </c>
      <c r="G88" s="516"/>
      <c r="H88" s="508"/>
      <c r="I88" s="508"/>
      <c r="J88" s="508"/>
      <c r="K88" s="508">
        <v>14569</v>
      </c>
      <c r="L88" s="508">
        <v>47822</v>
      </c>
      <c r="M88" s="516">
        <v>0</v>
      </c>
      <c r="N88" s="516">
        <v>0</v>
      </c>
      <c r="O88" s="516">
        <v>238401</v>
      </c>
      <c r="P88" s="516">
        <v>0</v>
      </c>
      <c r="Q88" s="516">
        <v>0</v>
      </c>
      <c r="R88" s="516">
        <v>0</v>
      </c>
      <c r="S88" s="516">
        <v>0</v>
      </c>
      <c r="T88" s="516">
        <v>0</v>
      </c>
      <c r="U88" s="423">
        <f>+O88+P88+Q88+R88</f>
        <v>238401</v>
      </c>
      <c r="V88" s="2646"/>
    </row>
    <row r="89" spans="1:22" s="2171" customFormat="1" ht="12.75">
      <c r="A89" s="2694"/>
      <c r="B89" s="427" t="s">
        <v>34</v>
      </c>
      <c r="C89" s="428"/>
      <c r="D89" s="518">
        <f t="shared" ref="D89:D90" si="58">I89+J89+K89+L89+N89+O89+P89+Q89+R89</f>
        <v>238401</v>
      </c>
      <c r="E89" s="518">
        <f t="shared" ref="E89:N90" si="59">+E90</f>
        <v>0</v>
      </c>
      <c r="F89" s="518">
        <f t="shared" si="59"/>
        <v>0</v>
      </c>
      <c r="G89" s="518">
        <f t="shared" si="59"/>
        <v>0</v>
      </c>
      <c r="H89" s="518">
        <f t="shared" si="59"/>
        <v>0</v>
      </c>
      <c r="I89" s="518">
        <f t="shared" si="59"/>
        <v>0</v>
      </c>
      <c r="J89" s="518">
        <f t="shared" si="59"/>
        <v>0</v>
      </c>
      <c r="K89" s="518">
        <f t="shared" si="59"/>
        <v>0</v>
      </c>
      <c r="L89" s="518">
        <f t="shared" si="59"/>
        <v>0</v>
      </c>
      <c r="M89" s="518">
        <f t="shared" si="59"/>
        <v>0</v>
      </c>
      <c r="N89" s="518">
        <f t="shared" si="59"/>
        <v>0</v>
      </c>
      <c r="O89" s="518">
        <f t="shared" ref="O89:T90" si="60">O90</f>
        <v>238401</v>
      </c>
      <c r="P89" s="518">
        <f t="shared" si="60"/>
        <v>0</v>
      </c>
      <c r="Q89" s="518">
        <f t="shared" si="60"/>
        <v>0</v>
      </c>
      <c r="R89" s="518">
        <f t="shared" si="60"/>
        <v>0</v>
      </c>
      <c r="S89" s="518">
        <f t="shared" si="60"/>
        <v>0</v>
      </c>
      <c r="T89" s="518">
        <f t="shared" si="60"/>
        <v>0</v>
      </c>
      <c r="U89" s="2437" t="s">
        <v>77</v>
      </c>
      <c r="V89" s="2646"/>
    </row>
    <row r="90" spans="1:22" s="2171" customFormat="1" ht="12.75" customHeight="1">
      <c r="A90" s="2694"/>
      <c r="B90" s="886" t="s">
        <v>30</v>
      </c>
      <c r="C90" s="2490" t="s">
        <v>106</v>
      </c>
      <c r="D90" s="513">
        <f t="shared" si="58"/>
        <v>238401</v>
      </c>
      <c r="E90" s="514">
        <f t="shared" si="59"/>
        <v>0</v>
      </c>
      <c r="F90" s="514">
        <f t="shared" si="59"/>
        <v>0</v>
      </c>
      <c r="G90" s="514">
        <f t="shared" si="59"/>
        <v>0</v>
      </c>
      <c r="H90" s="514">
        <f t="shared" si="59"/>
        <v>0</v>
      </c>
      <c r="I90" s="514">
        <f t="shared" si="59"/>
        <v>0</v>
      </c>
      <c r="J90" s="514">
        <f t="shared" si="59"/>
        <v>0</v>
      </c>
      <c r="K90" s="514">
        <f t="shared" si="59"/>
        <v>0</v>
      </c>
      <c r="L90" s="514">
        <f t="shared" si="59"/>
        <v>0</v>
      </c>
      <c r="M90" s="514">
        <f t="shared" si="59"/>
        <v>0</v>
      </c>
      <c r="N90" s="514">
        <f t="shared" si="59"/>
        <v>0</v>
      </c>
      <c r="O90" s="514">
        <f t="shared" si="60"/>
        <v>238401</v>
      </c>
      <c r="P90" s="514">
        <f t="shared" si="60"/>
        <v>0</v>
      </c>
      <c r="Q90" s="514">
        <f t="shared" si="60"/>
        <v>0</v>
      </c>
      <c r="R90" s="514">
        <f t="shared" si="60"/>
        <v>0</v>
      </c>
      <c r="S90" s="514">
        <f t="shared" si="60"/>
        <v>0</v>
      </c>
      <c r="T90" s="514">
        <f t="shared" si="60"/>
        <v>0</v>
      </c>
      <c r="U90" s="2438"/>
      <c r="V90" s="2646"/>
    </row>
    <row r="91" spans="1:22" s="2171" customFormat="1" ht="13.5" thickBot="1">
      <c r="A91" s="2695"/>
      <c r="B91" s="2201" t="s">
        <v>33</v>
      </c>
      <c r="C91" s="2491"/>
      <c r="D91" s="592">
        <f>+M91+N91+O91+P91+Q91+R91+S91+T91</f>
        <v>238401</v>
      </c>
      <c r="E91" s="546"/>
      <c r="F91" s="547"/>
      <c r="G91" s="546"/>
      <c r="H91" s="546"/>
      <c r="I91" s="546">
        <v>0</v>
      </c>
      <c r="J91" s="546">
        <v>0</v>
      </c>
      <c r="K91" s="546">
        <v>0</v>
      </c>
      <c r="L91" s="546">
        <v>0</v>
      </c>
      <c r="M91" s="547">
        <f>+L91+K91+J91+I91</f>
        <v>0</v>
      </c>
      <c r="N91" s="547">
        <v>0</v>
      </c>
      <c r="O91" s="546">
        <v>238401</v>
      </c>
      <c r="P91" s="546">
        <v>0</v>
      </c>
      <c r="Q91" s="546">
        <v>0</v>
      </c>
      <c r="R91" s="546">
        <v>0</v>
      </c>
      <c r="S91" s="546">
        <v>0</v>
      </c>
      <c r="T91" s="546">
        <v>0</v>
      </c>
      <c r="U91" s="2439"/>
      <c r="V91" s="2659"/>
    </row>
    <row r="92" spans="1:22" s="1898" customFormat="1" ht="29.25" customHeight="1">
      <c r="A92" s="2693" t="s">
        <v>115</v>
      </c>
      <c r="B92" s="941" t="s">
        <v>438</v>
      </c>
      <c r="C92" s="2206" t="s">
        <v>289</v>
      </c>
      <c r="D92" s="954"/>
      <c r="E92" s="882"/>
      <c r="F92" s="882"/>
      <c r="G92" s="882"/>
      <c r="H92" s="882"/>
      <c r="I92" s="882"/>
      <c r="J92" s="882"/>
      <c r="K92" s="882"/>
      <c r="L92" s="944"/>
      <c r="M92" s="944"/>
      <c r="N92" s="944"/>
      <c r="O92" s="944"/>
      <c r="P92" s="945"/>
      <c r="Q92" s="945"/>
      <c r="R92" s="945"/>
      <c r="S92" s="945"/>
      <c r="T92" s="944"/>
      <c r="U92" s="946"/>
      <c r="V92" s="2618" t="s">
        <v>356</v>
      </c>
    </row>
    <row r="93" spans="1:22" s="1898" customFormat="1" ht="14.25" customHeight="1">
      <c r="A93" s="2694"/>
      <c r="B93" s="452" t="s">
        <v>22</v>
      </c>
      <c r="C93" s="428"/>
      <c r="D93" s="518">
        <f>D94+D96</f>
        <v>58076</v>
      </c>
      <c r="E93" s="518">
        <f t="shared" ref="E93:T93" si="61">+E96</f>
        <v>0</v>
      </c>
      <c r="F93" s="518">
        <f t="shared" si="61"/>
        <v>0</v>
      </c>
      <c r="G93" s="518">
        <f t="shared" si="61"/>
        <v>0</v>
      </c>
      <c r="H93" s="518">
        <f t="shared" si="61"/>
        <v>0</v>
      </c>
      <c r="I93" s="518">
        <f t="shared" si="61"/>
        <v>0</v>
      </c>
      <c r="J93" s="518">
        <f t="shared" si="61"/>
        <v>0</v>
      </c>
      <c r="K93" s="518">
        <f t="shared" si="61"/>
        <v>1341</v>
      </c>
      <c r="L93" s="518">
        <f t="shared" si="61"/>
        <v>11218</v>
      </c>
      <c r="M93" s="518">
        <f>+M96+M94</f>
        <v>12559</v>
      </c>
      <c r="N93" s="518">
        <f t="shared" si="61"/>
        <v>15323</v>
      </c>
      <c r="O93" s="518">
        <f>+O96+O94</f>
        <v>30194</v>
      </c>
      <c r="P93" s="518">
        <f t="shared" si="61"/>
        <v>0</v>
      </c>
      <c r="Q93" s="518">
        <f t="shared" si="61"/>
        <v>0</v>
      </c>
      <c r="R93" s="518">
        <f t="shared" si="61"/>
        <v>0</v>
      </c>
      <c r="S93" s="518">
        <f t="shared" si="61"/>
        <v>0</v>
      </c>
      <c r="T93" s="518">
        <f t="shared" si="61"/>
        <v>0</v>
      </c>
      <c r="U93" s="535">
        <f>+U96+U94</f>
        <v>30194</v>
      </c>
      <c r="V93" s="2619"/>
    </row>
    <row r="94" spans="1:22" s="2154" customFormat="1" ht="14.25" customHeight="1">
      <c r="A94" s="2694"/>
      <c r="B94" s="1046" t="s">
        <v>36</v>
      </c>
      <c r="C94" s="2433" t="s">
        <v>287</v>
      </c>
      <c r="D94" s="513">
        <f>D95</f>
        <v>2805</v>
      </c>
      <c r="E94" s="514"/>
      <c r="F94" s="514"/>
      <c r="G94" s="514"/>
      <c r="H94" s="514"/>
      <c r="I94" s="635"/>
      <c r="J94" s="635"/>
      <c r="K94" s="635"/>
      <c r="L94" s="635"/>
      <c r="M94" s="635">
        <f>M95</f>
        <v>1795</v>
      </c>
      <c r="N94" s="642">
        <f>N95</f>
        <v>0</v>
      </c>
      <c r="O94" s="642">
        <f>O95</f>
        <v>1010</v>
      </c>
      <c r="P94" s="642"/>
      <c r="Q94" s="642"/>
      <c r="R94" s="642"/>
      <c r="S94" s="642"/>
      <c r="T94" s="642"/>
      <c r="U94" s="557">
        <f>U95</f>
        <v>1010</v>
      </c>
      <c r="V94" s="2619"/>
    </row>
    <row r="95" spans="1:22" s="2154" customFormat="1" ht="14.25" customHeight="1">
      <c r="A95" s="2694"/>
      <c r="B95" s="598" t="s">
        <v>24</v>
      </c>
      <c r="C95" s="2434"/>
      <c r="D95" s="507">
        <f>M95+O95</f>
        <v>2805</v>
      </c>
      <c r="E95" s="508"/>
      <c r="F95" s="516"/>
      <c r="G95" s="516"/>
      <c r="H95" s="508"/>
      <c r="I95" s="508"/>
      <c r="J95" s="508"/>
      <c r="K95" s="508"/>
      <c r="L95" s="508"/>
      <c r="M95" s="516">
        <v>1795</v>
      </c>
      <c r="N95" s="516">
        <v>0</v>
      </c>
      <c r="O95" s="516">
        <v>1010</v>
      </c>
      <c r="P95" s="516"/>
      <c r="Q95" s="516"/>
      <c r="R95" s="516"/>
      <c r="S95" s="516"/>
      <c r="T95" s="516"/>
      <c r="U95" s="423">
        <f>+O95+P95+Q95+R95</f>
        <v>1010</v>
      </c>
      <c r="V95" s="2619"/>
    </row>
    <row r="96" spans="1:22" s="1898" customFormat="1" ht="14.25" customHeight="1">
      <c r="A96" s="2694"/>
      <c r="B96" s="621" t="s">
        <v>30</v>
      </c>
      <c r="C96" s="2434"/>
      <c r="D96" s="513">
        <f>D97</f>
        <v>55271</v>
      </c>
      <c r="E96" s="514">
        <f t="shared" ref="E96:M96" si="62">+E97</f>
        <v>0</v>
      </c>
      <c r="F96" s="514">
        <f t="shared" si="62"/>
        <v>0</v>
      </c>
      <c r="G96" s="514">
        <f t="shared" si="62"/>
        <v>0</v>
      </c>
      <c r="H96" s="514">
        <f t="shared" si="62"/>
        <v>0</v>
      </c>
      <c r="I96" s="635">
        <f t="shared" si="62"/>
        <v>0</v>
      </c>
      <c r="J96" s="635">
        <f t="shared" si="62"/>
        <v>0</v>
      </c>
      <c r="K96" s="635">
        <f t="shared" si="62"/>
        <v>1341</v>
      </c>
      <c r="L96" s="635">
        <f t="shared" si="62"/>
        <v>11218</v>
      </c>
      <c r="M96" s="635">
        <f t="shared" si="62"/>
        <v>10764</v>
      </c>
      <c r="N96" s="642">
        <f>N97</f>
        <v>15323</v>
      </c>
      <c r="O96" s="642">
        <f>O97</f>
        <v>29184</v>
      </c>
      <c r="P96" s="642">
        <v>0</v>
      </c>
      <c r="Q96" s="642">
        <v>0</v>
      </c>
      <c r="R96" s="642">
        <v>0</v>
      </c>
      <c r="S96" s="642">
        <v>0</v>
      </c>
      <c r="T96" s="642">
        <v>0</v>
      </c>
      <c r="U96" s="557">
        <f>+U97</f>
        <v>29184</v>
      </c>
      <c r="V96" s="2646"/>
    </row>
    <row r="97" spans="1:22" s="1898" customFormat="1" ht="15" customHeight="1">
      <c r="A97" s="2694"/>
      <c r="B97" s="2214" t="s">
        <v>33</v>
      </c>
      <c r="C97" s="2483"/>
      <c r="D97" s="507">
        <f>+M97+N97+O97+P97+Q97+R97+S97+T97</f>
        <v>55271</v>
      </c>
      <c r="E97" s="508"/>
      <c r="F97" s="516">
        <v>0</v>
      </c>
      <c r="G97" s="516"/>
      <c r="H97" s="508"/>
      <c r="I97" s="508"/>
      <c r="J97" s="508"/>
      <c r="K97" s="508">
        <v>1341</v>
      </c>
      <c r="L97" s="508">
        <v>11218</v>
      </c>
      <c r="M97" s="516">
        <f>+L97+K97+J97+I97-1795</f>
        <v>10764</v>
      </c>
      <c r="N97" s="516">
        <f>954700-920500-18877</f>
        <v>15323</v>
      </c>
      <c r="O97" s="516">
        <f>920500+18877-497760-412433</f>
        <v>29184</v>
      </c>
      <c r="P97" s="516">
        <v>0</v>
      </c>
      <c r="Q97" s="516">
        <v>0</v>
      </c>
      <c r="R97" s="516">
        <v>0</v>
      </c>
      <c r="S97" s="516">
        <v>0</v>
      </c>
      <c r="T97" s="516">
        <v>0</v>
      </c>
      <c r="U97" s="423">
        <f>+O97+P97+Q97+R97</f>
        <v>29184</v>
      </c>
      <c r="V97" s="2646"/>
    </row>
    <row r="98" spans="1:22" s="1898" customFormat="1" ht="14.25" customHeight="1">
      <c r="A98" s="2694"/>
      <c r="B98" s="427" t="s">
        <v>34</v>
      </c>
      <c r="C98" s="428"/>
      <c r="D98" s="518">
        <f t="shared" ref="D98" si="63">I98+J98+K98+L98+N98+O98+P98+Q98+R98</f>
        <v>55271</v>
      </c>
      <c r="E98" s="518">
        <f t="shared" ref="E98:N99" si="64">+E99</f>
        <v>0</v>
      </c>
      <c r="F98" s="518">
        <f t="shared" si="64"/>
        <v>0</v>
      </c>
      <c r="G98" s="518">
        <f t="shared" si="64"/>
        <v>0</v>
      </c>
      <c r="H98" s="518">
        <f t="shared" si="64"/>
        <v>0</v>
      </c>
      <c r="I98" s="518">
        <f t="shared" si="64"/>
        <v>0</v>
      </c>
      <c r="J98" s="518">
        <f t="shared" si="64"/>
        <v>0</v>
      </c>
      <c r="K98" s="518">
        <f t="shared" si="64"/>
        <v>0</v>
      </c>
      <c r="L98" s="518">
        <f t="shared" si="64"/>
        <v>0</v>
      </c>
      <c r="M98" s="518">
        <f t="shared" si="64"/>
        <v>0</v>
      </c>
      <c r="N98" s="518">
        <f t="shared" si="64"/>
        <v>0</v>
      </c>
      <c r="O98" s="518">
        <f t="shared" ref="O98:T99" si="65">O99</f>
        <v>55271</v>
      </c>
      <c r="P98" s="518">
        <f t="shared" si="65"/>
        <v>0</v>
      </c>
      <c r="Q98" s="518">
        <f t="shared" si="65"/>
        <v>0</v>
      </c>
      <c r="R98" s="518">
        <f t="shared" si="65"/>
        <v>0</v>
      </c>
      <c r="S98" s="518">
        <f t="shared" si="65"/>
        <v>0</v>
      </c>
      <c r="T98" s="518">
        <f t="shared" si="65"/>
        <v>0</v>
      </c>
      <c r="U98" s="2437" t="s">
        <v>77</v>
      </c>
      <c r="V98" s="2646"/>
    </row>
    <row r="99" spans="1:22" s="1898" customFormat="1" ht="14.25" customHeight="1">
      <c r="A99" s="2694"/>
      <c r="B99" s="886" t="s">
        <v>30</v>
      </c>
      <c r="C99" s="2490" t="s">
        <v>106</v>
      </c>
      <c r="D99" s="513">
        <f>I99+J99+K99+L99+N99+O99+P99+Q99+R99</f>
        <v>55271</v>
      </c>
      <c r="E99" s="514">
        <f t="shared" si="64"/>
        <v>0</v>
      </c>
      <c r="F99" s="514">
        <f t="shared" si="64"/>
        <v>0</v>
      </c>
      <c r="G99" s="514">
        <f t="shared" si="64"/>
        <v>0</v>
      </c>
      <c r="H99" s="514">
        <f t="shared" si="64"/>
        <v>0</v>
      </c>
      <c r="I99" s="514">
        <f t="shared" si="64"/>
        <v>0</v>
      </c>
      <c r="J99" s="514">
        <f t="shared" si="64"/>
        <v>0</v>
      </c>
      <c r="K99" s="514">
        <f t="shared" si="64"/>
        <v>0</v>
      </c>
      <c r="L99" s="514">
        <f t="shared" si="64"/>
        <v>0</v>
      </c>
      <c r="M99" s="514">
        <f t="shared" si="64"/>
        <v>0</v>
      </c>
      <c r="N99" s="514">
        <f t="shared" si="64"/>
        <v>0</v>
      </c>
      <c r="O99" s="514">
        <f t="shared" si="65"/>
        <v>55271</v>
      </c>
      <c r="P99" s="514">
        <f t="shared" si="65"/>
        <v>0</v>
      </c>
      <c r="Q99" s="514">
        <f t="shared" si="65"/>
        <v>0</v>
      </c>
      <c r="R99" s="514">
        <f t="shared" si="65"/>
        <v>0</v>
      </c>
      <c r="S99" s="514">
        <f t="shared" si="65"/>
        <v>0</v>
      </c>
      <c r="T99" s="514">
        <f t="shared" si="65"/>
        <v>0</v>
      </c>
      <c r="U99" s="2438"/>
      <c r="V99" s="2646"/>
    </row>
    <row r="100" spans="1:22" s="1898" customFormat="1" ht="14.25" customHeight="1" thickBot="1">
      <c r="A100" s="2695"/>
      <c r="B100" s="2201" t="s">
        <v>33</v>
      </c>
      <c r="C100" s="2491"/>
      <c r="D100" s="592">
        <f>+M100+N100+O100+P100+Q100+R100+S100+T100</f>
        <v>55271</v>
      </c>
      <c r="E100" s="546"/>
      <c r="F100" s="547"/>
      <c r="G100" s="546"/>
      <c r="H100" s="546"/>
      <c r="I100" s="546">
        <v>0</v>
      </c>
      <c r="J100" s="546">
        <v>0</v>
      </c>
      <c r="K100" s="546">
        <v>0</v>
      </c>
      <c r="L100" s="546">
        <v>0</v>
      </c>
      <c r="M100" s="547">
        <f>+L100+K100+J100+I100</f>
        <v>0</v>
      </c>
      <c r="N100" s="547"/>
      <c r="O100" s="546">
        <f>967259-499555-412433</f>
        <v>55271</v>
      </c>
      <c r="P100" s="546">
        <v>0</v>
      </c>
      <c r="Q100" s="546">
        <v>0</v>
      </c>
      <c r="R100" s="546">
        <v>0</v>
      </c>
      <c r="S100" s="546">
        <v>0</v>
      </c>
      <c r="T100" s="546">
        <v>0</v>
      </c>
      <c r="U100" s="2439"/>
      <c r="V100" s="2659"/>
    </row>
    <row r="101" spans="1:22" ht="33" hidden="1" customHeight="1">
      <c r="A101" s="2693" t="s">
        <v>115</v>
      </c>
      <c r="B101" s="1047"/>
      <c r="C101" s="1048"/>
      <c r="D101" s="1049"/>
      <c r="E101" s="1050"/>
      <c r="F101" s="1047"/>
      <c r="G101" s="1048"/>
      <c r="H101" s="1050"/>
      <c r="I101" s="1050"/>
      <c r="J101" s="1050"/>
      <c r="K101" s="1050"/>
      <c r="L101" s="1051"/>
      <c r="M101" s="1051"/>
      <c r="N101" s="1051"/>
      <c r="O101" s="1051"/>
      <c r="P101" s="1052"/>
      <c r="Q101" s="1052"/>
      <c r="R101" s="1052"/>
      <c r="S101" s="1052"/>
      <c r="T101" s="1051"/>
      <c r="U101" s="1053"/>
      <c r="V101" s="2556" t="s">
        <v>139</v>
      </c>
    </row>
    <row r="102" spans="1:22" ht="16.5" hidden="1" customHeight="1">
      <c r="A102" s="2698"/>
      <c r="B102" s="2365" t="s">
        <v>22</v>
      </c>
      <c r="C102" s="736"/>
      <c r="D102" s="1054">
        <f>+D103</f>
        <v>0</v>
      </c>
      <c r="E102" s="1054">
        <f t="shared" ref="E102:Q102" si="66">+E103</f>
        <v>0</v>
      </c>
      <c r="F102" s="1054">
        <f t="shared" si="66"/>
        <v>0</v>
      </c>
      <c r="G102" s="1054">
        <f t="shared" si="66"/>
        <v>0</v>
      </c>
      <c r="H102" s="1054">
        <f t="shared" si="66"/>
        <v>0</v>
      </c>
      <c r="I102" s="1054">
        <f t="shared" si="66"/>
        <v>0</v>
      </c>
      <c r="J102" s="1054">
        <f t="shared" si="66"/>
        <v>0</v>
      </c>
      <c r="K102" s="1054">
        <f t="shared" si="66"/>
        <v>0</v>
      </c>
      <c r="L102" s="1054">
        <f t="shared" si="66"/>
        <v>0</v>
      </c>
      <c r="M102" s="1054"/>
      <c r="N102" s="1054">
        <f t="shared" si="66"/>
        <v>0</v>
      </c>
      <c r="O102" s="1054">
        <f t="shared" si="66"/>
        <v>0</v>
      </c>
      <c r="P102" s="1054">
        <f t="shared" si="66"/>
        <v>0</v>
      </c>
      <c r="Q102" s="1054">
        <f t="shared" si="66"/>
        <v>0</v>
      </c>
      <c r="R102" s="776"/>
      <c r="S102" s="1054"/>
      <c r="T102" s="1054"/>
      <c r="U102" s="762"/>
      <c r="V102" s="2557"/>
    </row>
    <row r="103" spans="1:22" ht="14.25" hidden="1" customHeight="1">
      <c r="A103" s="2698"/>
      <c r="B103" s="2366" t="s">
        <v>30</v>
      </c>
      <c r="C103" s="2821"/>
      <c r="D103" s="1055">
        <f t="shared" ref="D103:L103" si="67">+D104</f>
        <v>0</v>
      </c>
      <c r="E103" s="1056">
        <f t="shared" si="67"/>
        <v>0</v>
      </c>
      <c r="F103" s="1056">
        <f t="shared" si="67"/>
        <v>0</v>
      </c>
      <c r="G103" s="1056">
        <f t="shared" si="67"/>
        <v>0</v>
      </c>
      <c r="H103" s="1056">
        <f t="shared" si="67"/>
        <v>0</v>
      </c>
      <c r="I103" s="1057">
        <f t="shared" si="67"/>
        <v>0</v>
      </c>
      <c r="J103" s="1057">
        <f t="shared" si="67"/>
        <v>0</v>
      </c>
      <c r="K103" s="1057">
        <f t="shared" si="67"/>
        <v>0</v>
      </c>
      <c r="L103" s="1057">
        <f t="shared" si="67"/>
        <v>0</v>
      </c>
      <c r="M103" s="1058"/>
      <c r="N103" s="1058">
        <f>N104</f>
        <v>0</v>
      </c>
      <c r="O103" s="1058">
        <f>O104</f>
        <v>0</v>
      </c>
      <c r="P103" s="1058">
        <f>P104</f>
        <v>0</v>
      </c>
      <c r="Q103" s="1058">
        <f>Q104</f>
        <v>0</v>
      </c>
      <c r="R103" s="1058"/>
      <c r="S103" s="1058"/>
      <c r="T103" s="1058"/>
      <c r="U103" s="743"/>
      <c r="V103" s="2557"/>
    </row>
    <row r="104" spans="1:22" ht="13.5" hidden="1" customHeight="1" thickBot="1">
      <c r="A104" s="2698"/>
      <c r="B104" s="785" t="s">
        <v>32</v>
      </c>
      <c r="C104" s="2849"/>
      <c r="D104" s="1059"/>
      <c r="E104" s="775"/>
      <c r="F104" s="768"/>
      <c r="G104" s="768"/>
      <c r="H104" s="775"/>
      <c r="I104" s="775"/>
      <c r="J104" s="775"/>
      <c r="K104" s="775"/>
      <c r="L104" s="775"/>
      <c r="M104" s="768"/>
      <c r="N104" s="768"/>
      <c r="O104" s="768"/>
      <c r="P104" s="768"/>
      <c r="Q104" s="768"/>
      <c r="R104" s="768"/>
      <c r="S104" s="768"/>
      <c r="T104" s="768"/>
      <c r="U104" s="1060"/>
      <c r="V104" s="2557"/>
    </row>
    <row r="105" spans="1:22" ht="15.75" hidden="1" customHeight="1">
      <c r="A105" s="2698"/>
      <c r="B105" s="770" t="s">
        <v>34</v>
      </c>
      <c r="C105" s="761"/>
      <c r="D105" s="1054">
        <f>+D106</f>
        <v>0</v>
      </c>
      <c r="E105" s="1054">
        <f t="shared" ref="E105:N106" si="68">+E106</f>
        <v>0</v>
      </c>
      <c r="F105" s="1054">
        <f t="shared" si="68"/>
        <v>0</v>
      </c>
      <c r="G105" s="1054">
        <f t="shared" si="68"/>
        <v>0</v>
      </c>
      <c r="H105" s="1054">
        <f t="shared" si="68"/>
        <v>0</v>
      </c>
      <c r="I105" s="1054">
        <f t="shared" si="68"/>
        <v>0</v>
      </c>
      <c r="J105" s="1054">
        <f t="shared" si="68"/>
        <v>0</v>
      </c>
      <c r="K105" s="1054">
        <f t="shared" si="68"/>
        <v>0</v>
      </c>
      <c r="L105" s="1054">
        <f t="shared" si="68"/>
        <v>0</v>
      </c>
      <c r="M105" s="1054"/>
      <c r="N105" s="1054">
        <f t="shared" si="68"/>
        <v>0</v>
      </c>
      <c r="O105" s="1054">
        <f t="shared" ref="O105:Q106" si="69">O106</f>
        <v>0</v>
      </c>
      <c r="P105" s="1054">
        <f t="shared" si="69"/>
        <v>0</v>
      </c>
      <c r="Q105" s="1054">
        <f t="shared" si="69"/>
        <v>0</v>
      </c>
      <c r="R105" s="776"/>
      <c r="S105" s="1054"/>
      <c r="T105" s="1054"/>
      <c r="U105" s="2534"/>
      <c r="V105" s="2557"/>
    </row>
    <row r="106" spans="1:22" ht="12.75" hidden="1" customHeight="1">
      <c r="A106" s="2698"/>
      <c r="B106" s="2366" t="s">
        <v>30</v>
      </c>
      <c r="C106" s="2821"/>
      <c r="D106" s="1055">
        <f>+D107</f>
        <v>0</v>
      </c>
      <c r="E106" s="1056">
        <f t="shared" si="68"/>
        <v>0</v>
      </c>
      <c r="F106" s="1056">
        <f t="shared" si="68"/>
        <v>0</v>
      </c>
      <c r="G106" s="1056">
        <f t="shared" si="68"/>
        <v>0</v>
      </c>
      <c r="H106" s="1056">
        <f t="shared" si="68"/>
        <v>0</v>
      </c>
      <c r="I106" s="1056">
        <f t="shared" si="68"/>
        <v>0</v>
      </c>
      <c r="J106" s="1056">
        <f t="shared" si="68"/>
        <v>0</v>
      </c>
      <c r="K106" s="1056">
        <f t="shared" si="68"/>
        <v>0</v>
      </c>
      <c r="L106" s="1056">
        <f t="shared" si="68"/>
        <v>0</v>
      </c>
      <c r="M106" s="1056"/>
      <c r="N106" s="1056">
        <f t="shared" si="68"/>
        <v>0</v>
      </c>
      <c r="O106" s="1056">
        <f t="shared" si="69"/>
        <v>0</v>
      </c>
      <c r="P106" s="1056">
        <f t="shared" si="69"/>
        <v>0</v>
      </c>
      <c r="Q106" s="1056">
        <f t="shared" si="69"/>
        <v>0</v>
      </c>
      <c r="R106" s="1056"/>
      <c r="S106" s="1056"/>
      <c r="T106" s="1056"/>
      <c r="U106" s="2535"/>
      <c r="V106" s="2557"/>
    </row>
    <row r="107" spans="1:22" ht="17.25" hidden="1" customHeight="1" thickBot="1">
      <c r="A107" s="2844"/>
      <c r="B107" s="785" t="s">
        <v>32</v>
      </c>
      <c r="C107" s="2850"/>
      <c r="D107" s="792"/>
      <c r="E107" s="766"/>
      <c r="F107" s="767"/>
      <c r="G107" s="766"/>
      <c r="H107" s="766"/>
      <c r="I107" s="766"/>
      <c r="J107" s="766"/>
      <c r="K107" s="766"/>
      <c r="L107" s="1061"/>
      <c r="M107" s="1061"/>
      <c r="N107" s="1061"/>
      <c r="O107" s="1061"/>
      <c r="P107" s="1061"/>
      <c r="Q107" s="1061"/>
      <c r="R107" s="1062"/>
      <c r="S107" s="1062"/>
      <c r="T107" s="1061"/>
      <c r="U107" s="2536"/>
      <c r="V107" s="2558"/>
    </row>
    <row r="108" spans="1:22" s="2172" customFormat="1" ht="29.25" customHeight="1">
      <c r="A108" s="2693" t="s">
        <v>116</v>
      </c>
      <c r="B108" s="941" t="s">
        <v>439</v>
      </c>
      <c r="C108" s="2206" t="s">
        <v>102</v>
      </c>
      <c r="D108" s="954"/>
      <c r="E108" s="882"/>
      <c r="F108" s="882"/>
      <c r="G108" s="882"/>
      <c r="H108" s="882"/>
      <c r="I108" s="882"/>
      <c r="J108" s="882"/>
      <c r="K108" s="882"/>
      <c r="L108" s="944"/>
      <c r="M108" s="944"/>
      <c r="N108" s="944"/>
      <c r="O108" s="944"/>
      <c r="P108" s="945"/>
      <c r="Q108" s="945"/>
      <c r="R108" s="945"/>
      <c r="S108" s="945"/>
      <c r="T108" s="944"/>
      <c r="U108" s="946"/>
      <c r="V108" s="2618" t="s">
        <v>356</v>
      </c>
    </row>
    <row r="109" spans="1:22" s="2172" customFormat="1" ht="14.25" customHeight="1">
      <c r="A109" s="2694"/>
      <c r="B109" s="452" t="s">
        <v>22</v>
      </c>
      <c r="C109" s="428"/>
      <c r="D109" s="518">
        <f>D110</f>
        <v>412433</v>
      </c>
      <c r="E109" s="518">
        <f t="shared" ref="E109:U109" si="70">+E110</f>
        <v>0</v>
      </c>
      <c r="F109" s="518">
        <f t="shared" si="70"/>
        <v>0</v>
      </c>
      <c r="G109" s="518">
        <f t="shared" si="70"/>
        <v>0</v>
      </c>
      <c r="H109" s="518">
        <f t="shared" si="70"/>
        <v>0</v>
      </c>
      <c r="I109" s="518">
        <f t="shared" si="70"/>
        <v>0</v>
      </c>
      <c r="J109" s="518">
        <f t="shared" si="70"/>
        <v>0</v>
      </c>
      <c r="K109" s="518">
        <f t="shared" si="70"/>
        <v>1341</v>
      </c>
      <c r="L109" s="518">
        <f t="shared" si="70"/>
        <v>11218</v>
      </c>
      <c r="M109" s="518">
        <f>M110</f>
        <v>0</v>
      </c>
      <c r="N109" s="518">
        <f>N110</f>
        <v>0</v>
      </c>
      <c r="O109" s="518">
        <f>O110</f>
        <v>412433</v>
      </c>
      <c r="P109" s="518">
        <f t="shared" si="70"/>
        <v>0</v>
      </c>
      <c r="Q109" s="518">
        <f t="shared" si="70"/>
        <v>0</v>
      </c>
      <c r="R109" s="518">
        <f t="shared" si="70"/>
        <v>0</v>
      </c>
      <c r="S109" s="518">
        <f t="shared" si="70"/>
        <v>0</v>
      </c>
      <c r="T109" s="518">
        <f t="shared" si="70"/>
        <v>0</v>
      </c>
      <c r="U109" s="535">
        <f t="shared" si="70"/>
        <v>412433</v>
      </c>
      <c r="V109" s="2619"/>
    </row>
    <row r="110" spans="1:22" s="2172" customFormat="1" ht="14.25" customHeight="1">
      <c r="A110" s="2694"/>
      <c r="B110" s="621" t="s">
        <v>30</v>
      </c>
      <c r="C110" s="2434" t="s">
        <v>287</v>
      </c>
      <c r="D110" s="513">
        <f>D111</f>
        <v>412433</v>
      </c>
      <c r="E110" s="514">
        <f t="shared" ref="E110:M110" si="71">+E111</f>
        <v>0</v>
      </c>
      <c r="F110" s="514">
        <f t="shared" si="71"/>
        <v>0</v>
      </c>
      <c r="G110" s="514">
        <f t="shared" si="71"/>
        <v>0</v>
      </c>
      <c r="H110" s="514">
        <f t="shared" si="71"/>
        <v>0</v>
      </c>
      <c r="I110" s="635">
        <f t="shared" si="71"/>
        <v>0</v>
      </c>
      <c r="J110" s="635">
        <f t="shared" si="71"/>
        <v>0</v>
      </c>
      <c r="K110" s="635">
        <f t="shared" si="71"/>
        <v>1341</v>
      </c>
      <c r="L110" s="635">
        <f t="shared" si="71"/>
        <v>11218</v>
      </c>
      <c r="M110" s="635">
        <f t="shared" si="71"/>
        <v>0</v>
      </c>
      <c r="N110" s="642">
        <f>N111</f>
        <v>0</v>
      </c>
      <c r="O110" s="642">
        <f>O111</f>
        <v>412433</v>
      </c>
      <c r="P110" s="642">
        <v>0</v>
      </c>
      <c r="Q110" s="642">
        <v>0</v>
      </c>
      <c r="R110" s="642">
        <v>0</v>
      </c>
      <c r="S110" s="642">
        <v>0</v>
      </c>
      <c r="T110" s="642">
        <v>0</v>
      </c>
      <c r="U110" s="557">
        <f>+U111</f>
        <v>412433</v>
      </c>
      <c r="V110" s="2646"/>
    </row>
    <row r="111" spans="1:22" s="2172" customFormat="1" ht="15" customHeight="1">
      <c r="A111" s="2694"/>
      <c r="B111" s="2214" t="s">
        <v>33</v>
      </c>
      <c r="C111" s="2483"/>
      <c r="D111" s="507">
        <f>+M111+N111+O111+P111+Q111+R111+S111+T111</f>
        <v>412433</v>
      </c>
      <c r="E111" s="508"/>
      <c r="F111" s="516">
        <v>0</v>
      </c>
      <c r="G111" s="516"/>
      <c r="H111" s="508"/>
      <c r="I111" s="508"/>
      <c r="J111" s="508"/>
      <c r="K111" s="508">
        <v>1341</v>
      </c>
      <c r="L111" s="508">
        <v>11218</v>
      </c>
      <c r="M111" s="516">
        <v>0</v>
      </c>
      <c r="N111" s="516">
        <v>0</v>
      </c>
      <c r="O111" s="516">
        <v>412433</v>
      </c>
      <c r="P111" s="516">
        <v>0</v>
      </c>
      <c r="Q111" s="516">
        <v>0</v>
      </c>
      <c r="R111" s="516">
        <v>0</v>
      </c>
      <c r="S111" s="516">
        <v>0</v>
      </c>
      <c r="T111" s="516">
        <v>0</v>
      </c>
      <c r="U111" s="423">
        <f>+O111+P111+Q111+R111</f>
        <v>412433</v>
      </c>
      <c r="V111" s="2646"/>
    </row>
    <row r="112" spans="1:22" s="2172" customFormat="1" ht="14.25" customHeight="1">
      <c r="A112" s="2694"/>
      <c r="B112" s="427" t="s">
        <v>34</v>
      </c>
      <c r="C112" s="428"/>
      <c r="D112" s="518">
        <f t="shared" ref="D112" si="72">I112+J112+K112+L112+N112+O112+P112+Q112+R112</f>
        <v>412433</v>
      </c>
      <c r="E112" s="518">
        <f t="shared" ref="E112:N113" si="73">+E113</f>
        <v>0</v>
      </c>
      <c r="F112" s="518">
        <f t="shared" si="73"/>
        <v>0</v>
      </c>
      <c r="G112" s="518">
        <f t="shared" si="73"/>
        <v>0</v>
      </c>
      <c r="H112" s="518">
        <f t="shared" si="73"/>
        <v>0</v>
      </c>
      <c r="I112" s="518">
        <f t="shared" si="73"/>
        <v>0</v>
      </c>
      <c r="J112" s="518">
        <f t="shared" si="73"/>
        <v>0</v>
      </c>
      <c r="K112" s="518">
        <f t="shared" si="73"/>
        <v>0</v>
      </c>
      <c r="L112" s="518">
        <f t="shared" si="73"/>
        <v>0</v>
      </c>
      <c r="M112" s="518">
        <f t="shared" si="73"/>
        <v>0</v>
      </c>
      <c r="N112" s="518">
        <f t="shared" si="73"/>
        <v>0</v>
      </c>
      <c r="O112" s="518">
        <f t="shared" ref="O112:T113" si="74">O113</f>
        <v>412433</v>
      </c>
      <c r="P112" s="518">
        <f t="shared" si="74"/>
        <v>0</v>
      </c>
      <c r="Q112" s="518">
        <f t="shared" si="74"/>
        <v>0</v>
      </c>
      <c r="R112" s="518">
        <f t="shared" si="74"/>
        <v>0</v>
      </c>
      <c r="S112" s="518">
        <f t="shared" si="74"/>
        <v>0</v>
      </c>
      <c r="T112" s="518">
        <f t="shared" si="74"/>
        <v>0</v>
      </c>
      <c r="U112" s="2437" t="s">
        <v>77</v>
      </c>
      <c r="V112" s="2646"/>
    </row>
    <row r="113" spans="1:22" s="2172" customFormat="1" ht="14.25" customHeight="1">
      <c r="A113" s="2694"/>
      <c r="B113" s="886" t="s">
        <v>30</v>
      </c>
      <c r="C113" s="2490" t="s">
        <v>106</v>
      </c>
      <c r="D113" s="513">
        <f>I113+J113+K113+L113+N113+O113+P113+Q113+R113</f>
        <v>412433</v>
      </c>
      <c r="E113" s="514">
        <f t="shared" si="73"/>
        <v>0</v>
      </c>
      <c r="F113" s="514">
        <f t="shared" si="73"/>
        <v>0</v>
      </c>
      <c r="G113" s="514">
        <f t="shared" si="73"/>
        <v>0</v>
      </c>
      <c r="H113" s="514">
        <f t="shared" si="73"/>
        <v>0</v>
      </c>
      <c r="I113" s="514">
        <f t="shared" si="73"/>
        <v>0</v>
      </c>
      <c r="J113" s="514">
        <f t="shared" si="73"/>
        <v>0</v>
      </c>
      <c r="K113" s="514">
        <f t="shared" si="73"/>
        <v>0</v>
      </c>
      <c r="L113" s="514">
        <f t="shared" si="73"/>
        <v>0</v>
      </c>
      <c r="M113" s="514">
        <f t="shared" si="73"/>
        <v>0</v>
      </c>
      <c r="N113" s="514">
        <f t="shared" si="73"/>
        <v>0</v>
      </c>
      <c r="O113" s="514">
        <f t="shared" si="74"/>
        <v>412433</v>
      </c>
      <c r="P113" s="514">
        <f t="shared" si="74"/>
        <v>0</v>
      </c>
      <c r="Q113" s="514">
        <f t="shared" si="74"/>
        <v>0</v>
      </c>
      <c r="R113" s="514">
        <f t="shared" si="74"/>
        <v>0</v>
      </c>
      <c r="S113" s="514">
        <f t="shared" si="74"/>
        <v>0</v>
      </c>
      <c r="T113" s="514">
        <f t="shared" si="74"/>
        <v>0</v>
      </c>
      <c r="U113" s="2438"/>
      <c r="V113" s="2646"/>
    </row>
    <row r="114" spans="1:22" s="2172" customFormat="1" ht="14.25" customHeight="1" thickBot="1">
      <c r="A114" s="2695"/>
      <c r="B114" s="2201" t="s">
        <v>33</v>
      </c>
      <c r="C114" s="2491"/>
      <c r="D114" s="592">
        <f>+M114+N114+O114+P114+Q114+R114+S114+T114</f>
        <v>412433</v>
      </c>
      <c r="E114" s="546"/>
      <c r="F114" s="547"/>
      <c r="G114" s="546"/>
      <c r="H114" s="546"/>
      <c r="I114" s="546">
        <v>0</v>
      </c>
      <c r="J114" s="546">
        <v>0</v>
      </c>
      <c r="K114" s="546">
        <v>0</v>
      </c>
      <c r="L114" s="546">
        <v>0</v>
      </c>
      <c r="M114" s="547">
        <f>+L114+K114+J114+I114</f>
        <v>0</v>
      </c>
      <c r="N114" s="547"/>
      <c r="O114" s="546">
        <v>412433</v>
      </c>
      <c r="P114" s="546">
        <v>0</v>
      </c>
      <c r="Q114" s="546">
        <v>0</v>
      </c>
      <c r="R114" s="546">
        <v>0</v>
      </c>
      <c r="S114" s="546">
        <v>0</v>
      </c>
      <c r="T114" s="546">
        <v>0</v>
      </c>
      <c r="U114" s="2439"/>
      <c r="V114" s="2659"/>
    </row>
    <row r="115" spans="1:22" ht="31.5" customHeight="1" thickBot="1">
      <c r="A115" s="997" t="s">
        <v>290</v>
      </c>
      <c r="B115" s="998"/>
      <c r="C115" s="998"/>
      <c r="D115" s="998"/>
      <c r="E115" s="999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1000"/>
      <c r="V115" s="1001"/>
    </row>
    <row r="116" spans="1:22" ht="18.75" customHeight="1">
      <c r="A116" s="963"/>
      <c r="B116" s="1109" t="s">
        <v>97</v>
      </c>
      <c r="C116" s="1225"/>
      <c r="D116" s="1092">
        <f>+D117+D118</f>
        <v>8004300</v>
      </c>
      <c r="E116" s="1092">
        <f t="shared" ref="E116:Q116" si="75">+E117+E118</f>
        <v>0</v>
      </c>
      <c r="F116" s="1092">
        <f t="shared" si="75"/>
        <v>0</v>
      </c>
      <c r="G116" s="1092">
        <f t="shared" si="75"/>
        <v>0</v>
      </c>
      <c r="H116" s="1092">
        <f t="shared" si="75"/>
        <v>0</v>
      </c>
      <c r="I116" s="1092">
        <f t="shared" si="75"/>
        <v>0</v>
      </c>
      <c r="J116" s="1092">
        <f t="shared" si="75"/>
        <v>0</v>
      </c>
      <c r="K116" s="1092">
        <f t="shared" si="75"/>
        <v>1341</v>
      </c>
      <c r="L116" s="1092">
        <f t="shared" si="75"/>
        <v>11218</v>
      </c>
      <c r="M116" s="1092">
        <f t="shared" si="75"/>
        <v>0</v>
      </c>
      <c r="N116" s="1111">
        <f t="shared" si="75"/>
        <v>2798000</v>
      </c>
      <c r="O116" s="1111">
        <f t="shared" si="75"/>
        <v>2378300</v>
      </c>
      <c r="P116" s="1111">
        <f t="shared" si="75"/>
        <v>2828000</v>
      </c>
      <c r="Q116" s="1111">
        <f t="shared" si="75"/>
        <v>0</v>
      </c>
      <c r="R116" s="1111">
        <f t="shared" ref="R116:T116" si="76">+R117+R118</f>
        <v>0</v>
      </c>
      <c r="S116" s="1111">
        <f t="shared" si="76"/>
        <v>0</v>
      </c>
      <c r="T116" s="1111">
        <f t="shared" si="76"/>
        <v>0</v>
      </c>
      <c r="U116" s="843">
        <f>+U117+U118</f>
        <v>5206300</v>
      </c>
      <c r="V116" s="2854"/>
    </row>
    <row r="117" spans="1:22" ht="12.75" customHeight="1">
      <c r="A117" s="963"/>
      <c r="B117" s="1093" t="s">
        <v>98</v>
      </c>
      <c r="C117" s="1095"/>
      <c r="D117" s="1095">
        <f>+N117+O117+P117+Q117</f>
        <v>8004300</v>
      </c>
      <c r="E117" s="1095">
        <f>+E131</f>
        <v>0</v>
      </c>
      <c r="F117" s="1095">
        <f>+F129</f>
        <v>0</v>
      </c>
      <c r="G117" s="1095">
        <f t="shared" ref="G117:H117" si="77">+G129</f>
        <v>0</v>
      </c>
      <c r="H117" s="1095">
        <f t="shared" si="77"/>
        <v>0</v>
      </c>
      <c r="I117" s="1095">
        <f>+I131</f>
        <v>0</v>
      </c>
      <c r="J117" s="1095">
        <f>+J131</f>
        <v>0</v>
      </c>
      <c r="K117" s="1095">
        <f>+K131</f>
        <v>1341</v>
      </c>
      <c r="L117" s="1095">
        <f>+L131</f>
        <v>11218</v>
      </c>
      <c r="M117" s="1095">
        <f>+M131</f>
        <v>0</v>
      </c>
      <c r="N117" s="1095">
        <f>N127+N131</f>
        <v>2798000</v>
      </c>
      <c r="O117" s="1095">
        <f t="shared" ref="O117:T117" si="78">O127+O131</f>
        <v>2378300</v>
      </c>
      <c r="P117" s="1095">
        <f t="shared" si="78"/>
        <v>2828000</v>
      </c>
      <c r="Q117" s="1095">
        <f t="shared" si="78"/>
        <v>0</v>
      </c>
      <c r="R117" s="1095">
        <f t="shared" si="78"/>
        <v>0</v>
      </c>
      <c r="S117" s="1095">
        <f t="shared" si="78"/>
        <v>0</v>
      </c>
      <c r="T117" s="1095">
        <f t="shared" si="78"/>
        <v>0</v>
      </c>
      <c r="U117" s="400">
        <f>SUM(O117:R117)</f>
        <v>5206300</v>
      </c>
      <c r="V117" s="2733"/>
    </row>
    <row r="118" spans="1:22" ht="13.5" customHeight="1" thickBot="1">
      <c r="A118" s="963"/>
      <c r="B118" s="1135" t="s">
        <v>21</v>
      </c>
      <c r="C118" s="1120"/>
      <c r="D118" s="1120">
        <v>0</v>
      </c>
      <c r="E118" s="1120">
        <f>+E127</f>
        <v>0</v>
      </c>
      <c r="F118" s="1120">
        <v>0</v>
      </c>
      <c r="G118" s="1120">
        <v>0</v>
      </c>
      <c r="H118" s="1120">
        <v>0</v>
      </c>
      <c r="I118" s="1120">
        <f>+I127</f>
        <v>0</v>
      </c>
      <c r="J118" s="1120">
        <f>+J127</f>
        <v>0</v>
      </c>
      <c r="K118" s="1120">
        <f t="shared" ref="K118:Q118" si="79">+K127</f>
        <v>0</v>
      </c>
      <c r="L118" s="1120">
        <f t="shared" si="79"/>
        <v>0</v>
      </c>
      <c r="M118" s="1120">
        <f t="shared" si="79"/>
        <v>0</v>
      </c>
      <c r="N118" s="1120">
        <v>0</v>
      </c>
      <c r="O118" s="1120">
        <v>0</v>
      </c>
      <c r="P118" s="1120">
        <v>0</v>
      </c>
      <c r="Q118" s="1120">
        <f t="shared" si="79"/>
        <v>0</v>
      </c>
      <c r="R118" s="1120">
        <f t="shared" ref="R118:T118" si="80">+R127</f>
        <v>0</v>
      </c>
      <c r="S118" s="1120">
        <f t="shared" si="80"/>
        <v>0</v>
      </c>
      <c r="T118" s="1120">
        <f t="shared" si="80"/>
        <v>0</v>
      </c>
      <c r="U118" s="845">
        <f>SUM(O118:T118)</f>
        <v>0</v>
      </c>
      <c r="V118" s="2733"/>
    </row>
    <row r="119" spans="1:22" ht="16.5" customHeight="1">
      <c r="A119" s="846"/>
      <c r="B119" s="573" t="s">
        <v>22</v>
      </c>
      <c r="C119" s="948"/>
      <c r="D119" s="1031">
        <f>+M119+N119+O119+P119+Q119+R119+S119+T119</f>
        <v>8004300</v>
      </c>
      <c r="E119" s="1002">
        <f t="shared" ref="E119:T119" si="81">+E120</f>
        <v>0</v>
      </c>
      <c r="F119" s="1002">
        <f t="shared" si="81"/>
        <v>0</v>
      </c>
      <c r="G119" s="1002">
        <f t="shared" si="81"/>
        <v>0</v>
      </c>
      <c r="H119" s="1002">
        <f t="shared" si="81"/>
        <v>0</v>
      </c>
      <c r="I119" s="1002">
        <f t="shared" si="81"/>
        <v>0</v>
      </c>
      <c r="J119" s="1002">
        <f t="shared" si="81"/>
        <v>0</v>
      </c>
      <c r="K119" s="1002">
        <f t="shared" si="81"/>
        <v>1341</v>
      </c>
      <c r="L119" s="1002">
        <f t="shared" si="81"/>
        <v>11218</v>
      </c>
      <c r="M119" s="1002">
        <f t="shared" si="81"/>
        <v>0</v>
      </c>
      <c r="N119" s="1002">
        <f t="shared" si="81"/>
        <v>2798000</v>
      </c>
      <c r="O119" s="1002">
        <f t="shared" si="81"/>
        <v>2378300</v>
      </c>
      <c r="P119" s="1002">
        <f t="shared" si="81"/>
        <v>2828000</v>
      </c>
      <c r="Q119" s="1002">
        <f t="shared" si="81"/>
        <v>0</v>
      </c>
      <c r="R119" s="1002">
        <f t="shared" si="81"/>
        <v>0</v>
      </c>
      <c r="S119" s="1002">
        <f t="shared" si="81"/>
        <v>0</v>
      </c>
      <c r="T119" s="1002">
        <f t="shared" si="81"/>
        <v>0</v>
      </c>
      <c r="U119" s="950">
        <f>+U120</f>
        <v>5206300</v>
      </c>
      <c r="V119" s="2733"/>
    </row>
    <row r="120" spans="1:22" ht="15" customHeight="1">
      <c r="A120" s="1003"/>
      <c r="B120" s="852" t="s">
        <v>23</v>
      </c>
      <c r="C120" s="2735" t="s">
        <v>77</v>
      </c>
      <c r="D120" s="1271">
        <f t="shared" ref="D120:D121" si="82">+M120+N120+O120+P120+Q120+R120+S120+T120</f>
        <v>8004300</v>
      </c>
      <c r="E120" s="1004">
        <f t="shared" ref="E120:M120" si="83">+E122</f>
        <v>0</v>
      </c>
      <c r="F120" s="1004">
        <f t="shared" si="83"/>
        <v>0</v>
      </c>
      <c r="G120" s="1004">
        <f t="shared" si="83"/>
        <v>0</v>
      </c>
      <c r="H120" s="1004">
        <f t="shared" si="83"/>
        <v>0</v>
      </c>
      <c r="I120" s="1004">
        <f t="shared" si="83"/>
        <v>0</v>
      </c>
      <c r="J120" s="1004">
        <f t="shared" si="83"/>
        <v>0</v>
      </c>
      <c r="K120" s="1004">
        <f t="shared" si="83"/>
        <v>1341</v>
      </c>
      <c r="L120" s="1004">
        <f t="shared" si="83"/>
        <v>11218</v>
      </c>
      <c r="M120" s="1004">
        <f t="shared" si="83"/>
        <v>0</v>
      </c>
      <c r="N120" s="1004">
        <f>+N121+N122</f>
        <v>2798000</v>
      </c>
      <c r="O120" s="1004">
        <f t="shared" ref="O120:U120" si="84">+O121+O122</f>
        <v>2378300</v>
      </c>
      <c r="P120" s="1004">
        <f t="shared" si="84"/>
        <v>2828000</v>
      </c>
      <c r="Q120" s="1004">
        <f t="shared" si="84"/>
        <v>0</v>
      </c>
      <c r="R120" s="1004">
        <f t="shared" si="84"/>
        <v>0</v>
      </c>
      <c r="S120" s="1004">
        <f t="shared" si="84"/>
        <v>0</v>
      </c>
      <c r="T120" s="1004">
        <f t="shared" si="84"/>
        <v>0</v>
      </c>
      <c r="U120" s="557">
        <f t="shared" si="84"/>
        <v>5206300</v>
      </c>
      <c r="V120" s="2733"/>
    </row>
    <row r="121" spans="1:22" ht="13.5" customHeight="1">
      <c r="A121" s="1003"/>
      <c r="B121" s="859" t="s">
        <v>78</v>
      </c>
      <c r="C121" s="2736"/>
      <c r="D121" s="807">
        <f t="shared" si="82"/>
        <v>0</v>
      </c>
      <c r="E121" s="1004"/>
      <c r="F121" s="1004"/>
      <c r="G121" s="1004"/>
      <c r="H121" s="1004"/>
      <c r="I121" s="1004"/>
      <c r="J121" s="1004"/>
      <c r="K121" s="1004"/>
      <c r="L121" s="1004"/>
      <c r="M121" s="807">
        <f>M133</f>
        <v>0</v>
      </c>
      <c r="N121" s="807">
        <f>N133</f>
        <v>0</v>
      </c>
      <c r="O121" s="807">
        <f>O133</f>
        <v>0</v>
      </c>
      <c r="P121" s="807">
        <f t="shared" ref="P121:T121" si="85">P133</f>
        <v>0</v>
      </c>
      <c r="Q121" s="807">
        <f t="shared" si="85"/>
        <v>0</v>
      </c>
      <c r="R121" s="807">
        <f t="shared" si="85"/>
        <v>0</v>
      </c>
      <c r="S121" s="807">
        <f t="shared" si="85"/>
        <v>0</v>
      </c>
      <c r="T121" s="807">
        <f t="shared" si="85"/>
        <v>0</v>
      </c>
      <c r="U121" s="1006">
        <f>U133</f>
        <v>0</v>
      </c>
      <c r="V121" s="2733"/>
    </row>
    <row r="122" spans="1:22" ht="15.75" customHeight="1">
      <c r="A122" s="858"/>
      <c r="B122" s="859" t="s">
        <v>294</v>
      </c>
      <c r="C122" s="2736"/>
      <c r="D122" s="807">
        <f>+M122+N122+O122+P122+Q122+R122+S122+T122</f>
        <v>8004300</v>
      </c>
      <c r="E122" s="1005">
        <f t="shared" ref="E122:M122" si="86">+E129+E133</f>
        <v>0</v>
      </c>
      <c r="F122" s="1005">
        <f t="shared" si="86"/>
        <v>0</v>
      </c>
      <c r="G122" s="1005">
        <f t="shared" si="86"/>
        <v>0</v>
      </c>
      <c r="H122" s="1005">
        <f t="shared" si="86"/>
        <v>0</v>
      </c>
      <c r="I122" s="1005">
        <f t="shared" si="86"/>
        <v>0</v>
      </c>
      <c r="J122" s="1005">
        <f t="shared" si="86"/>
        <v>0</v>
      </c>
      <c r="K122" s="1005">
        <f t="shared" si="86"/>
        <v>1341</v>
      </c>
      <c r="L122" s="1005">
        <f t="shared" si="86"/>
        <v>11218</v>
      </c>
      <c r="M122" s="1005">
        <f t="shared" si="86"/>
        <v>0</v>
      </c>
      <c r="N122" s="1005">
        <f t="shared" ref="N122:T122" si="87">+N129</f>
        <v>2798000</v>
      </c>
      <c r="O122" s="1005">
        <f t="shared" si="87"/>
        <v>2378300</v>
      </c>
      <c r="P122" s="1005">
        <f t="shared" si="87"/>
        <v>2828000</v>
      </c>
      <c r="Q122" s="1005">
        <f t="shared" si="87"/>
        <v>0</v>
      </c>
      <c r="R122" s="1005">
        <f t="shared" si="87"/>
        <v>0</v>
      </c>
      <c r="S122" s="1005">
        <f t="shared" si="87"/>
        <v>0</v>
      </c>
      <c r="T122" s="1005">
        <f t="shared" si="87"/>
        <v>0</v>
      </c>
      <c r="U122" s="1006">
        <f>U129</f>
        <v>5206300</v>
      </c>
      <c r="V122" s="2733"/>
    </row>
    <row r="123" spans="1:22" ht="18.75" customHeight="1">
      <c r="A123" s="805"/>
      <c r="B123" s="1030" t="s">
        <v>34</v>
      </c>
      <c r="C123" s="428"/>
      <c r="D123" s="1031">
        <f t="shared" ref="D123:D124" si="88">+M123+N123+O123+P123+Q123+R123+S123+T123</f>
        <v>0</v>
      </c>
      <c r="E123" s="1032">
        <f t="shared" ref="E123:S124" si="89">E124</f>
        <v>0</v>
      </c>
      <c r="F123" s="1032">
        <f t="shared" si="89"/>
        <v>0</v>
      </c>
      <c r="G123" s="1032">
        <f t="shared" si="89"/>
        <v>0</v>
      </c>
      <c r="H123" s="1032">
        <f t="shared" si="89"/>
        <v>0</v>
      </c>
      <c r="I123" s="1032">
        <f t="shared" si="89"/>
        <v>0</v>
      </c>
      <c r="J123" s="1032">
        <f t="shared" si="89"/>
        <v>0</v>
      </c>
      <c r="K123" s="1032">
        <f t="shared" si="89"/>
        <v>0</v>
      </c>
      <c r="L123" s="1032">
        <f t="shared" si="89"/>
        <v>0</v>
      </c>
      <c r="M123" s="1032">
        <f t="shared" si="89"/>
        <v>0</v>
      </c>
      <c r="N123" s="1032">
        <f t="shared" si="89"/>
        <v>0</v>
      </c>
      <c r="O123" s="1032">
        <f>O134</f>
        <v>0</v>
      </c>
      <c r="P123" s="1032">
        <f t="shared" si="89"/>
        <v>0</v>
      </c>
      <c r="Q123" s="1032">
        <f t="shared" si="89"/>
        <v>0</v>
      </c>
      <c r="R123" s="1032">
        <f t="shared" si="89"/>
        <v>0</v>
      </c>
      <c r="S123" s="1032">
        <f t="shared" si="89"/>
        <v>0</v>
      </c>
      <c r="T123" s="1032">
        <f t="shared" ref="T123:T124" si="90">T124</f>
        <v>0</v>
      </c>
      <c r="U123" s="2437" t="s">
        <v>77</v>
      </c>
      <c r="V123" s="2733"/>
    </row>
    <row r="124" spans="1:22" ht="13.5" customHeight="1">
      <c r="A124" s="805"/>
      <c r="B124" s="1034" t="s">
        <v>23</v>
      </c>
      <c r="C124" s="1039"/>
      <c r="D124" s="1271">
        <f t="shared" si="88"/>
        <v>0</v>
      </c>
      <c r="E124" s="1271">
        <f t="shared" si="89"/>
        <v>0</v>
      </c>
      <c r="F124" s="1271">
        <f t="shared" si="89"/>
        <v>0</v>
      </c>
      <c r="G124" s="1271">
        <f t="shared" si="89"/>
        <v>0</v>
      </c>
      <c r="H124" s="1271">
        <f t="shared" si="89"/>
        <v>0</v>
      </c>
      <c r="I124" s="1271">
        <f t="shared" si="89"/>
        <v>0</v>
      </c>
      <c r="J124" s="1271">
        <f t="shared" si="89"/>
        <v>0</v>
      </c>
      <c r="K124" s="1271">
        <f t="shared" si="89"/>
        <v>0</v>
      </c>
      <c r="L124" s="1271">
        <f t="shared" si="89"/>
        <v>0</v>
      </c>
      <c r="M124" s="1271">
        <f t="shared" si="89"/>
        <v>0</v>
      </c>
      <c r="N124" s="1271">
        <f t="shared" si="89"/>
        <v>0</v>
      </c>
      <c r="O124" s="1271">
        <f>O135</f>
        <v>0</v>
      </c>
      <c r="P124" s="1271">
        <f>P125</f>
        <v>0</v>
      </c>
      <c r="Q124" s="1271">
        <f t="shared" si="89"/>
        <v>0</v>
      </c>
      <c r="R124" s="1271">
        <f t="shared" si="89"/>
        <v>0</v>
      </c>
      <c r="S124" s="1271">
        <f t="shared" si="89"/>
        <v>0</v>
      </c>
      <c r="T124" s="1271">
        <f t="shared" si="90"/>
        <v>0</v>
      </c>
      <c r="U124" s="2438"/>
      <c r="V124" s="2733"/>
    </row>
    <row r="125" spans="1:22" ht="13.5" customHeight="1" thickBot="1">
      <c r="A125" s="805"/>
      <c r="B125" s="1037" t="s">
        <v>78</v>
      </c>
      <c r="C125" s="1039"/>
      <c r="D125" s="807">
        <f>+M125+N125+O125+P125+Q125+R125+S125+T125</f>
        <v>0</v>
      </c>
      <c r="E125" s="807">
        <f t="shared" ref="E125:T125" si="91">E135+E153+E160+E167+E174+E144+E181+E188+E195+E202</f>
        <v>0</v>
      </c>
      <c r="F125" s="807">
        <f t="shared" si="91"/>
        <v>0</v>
      </c>
      <c r="G125" s="807">
        <f t="shared" si="91"/>
        <v>0</v>
      </c>
      <c r="H125" s="807">
        <f t="shared" si="91"/>
        <v>0</v>
      </c>
      <c r="I125" s="807">
        <f t="shared" si="91"/>
        <v>0</v>
      </c>
      <c r="J125" s="807">
        <f t="shared" si="91"/>
        <v>0</v>
      </c>
      <c r="K125" s="807">
        <f t="shared" si="91"/>
        <v>0</v>
      </c>
      <c r="L125" s="807">
        <f t="shared" si="91"/>
        <v>0</v>
      </c>
      <c r="M125" s="807">
        <f t="shared" si="91"/>
        <v>0</v>
      </c>
      <c r="N125" s="807">
        <f t="shared" si="91"/>
        <v>0</v>
      </c>
      <c r="O125" s="807">
        <f>O136</f>
        <v>0</v>
      </c>
      <c r="P125" s="807">
        <f>P136</f>
        <v>0</v>
      </c>
      <c r="Q125" s="807">
        <f t="shared" si="91"/>
        <v>0</v>
      </c>
      <c r="R125" s="807">
        <f t="shared" si="91"/>
        <v>0</v>
      </c>
      <c r="S125" s="807">
        <f t="shared" si="91"/>
        <v>0</v>
      </c>
      <c r="T125" s="807">
        <f t="shared" si="91"/>
        <v>0</v>
      </c>
      <c r="U125" s="2439"/>
      <c r="V125" s="2734"/>
    </row>
    <row r="126" spans="1:22" ht="27.75" customHeight="1">
      <c r="A126" s="2851" t="s">
        <v>82</v>
      </c>
      <c r="B126" s="941" t="s">
        <v>291</v>
      </c>
      <c r="C126" s="2206" t="s">
        <v>289</v>
      </c>
      <c r="D126" s="954"/>
      <c r="E126" s="882"/>
      <c r="F126" s="882"/>
      <c r="G126" s="882"/>
      <c r="H126" s="882"/>
      <c r="I126" s="882"/>
      <c r="J126" s="882"/>
      <c r="K126" s="882"/>
      <c r="L126" s="944"/>
      <c r="M126" s="944"/>
      <c r="N126" s="944"/>
      <c r="O126" s="944"/>
      <c r="P126" s="945"/>
      <c r="Q126" s="945"/>
      <c r="R126" s="945"/>
      <c r="S126" s="945"/>
      <c r="T126" s="944"/>
      <c r="U126" s="946"/>
      <c r="V126" s="2556" t="s">
        <v>292</v>
      </c>
    </row>
    <row r="127" spans="1:22" s="1044" customFormat="1" ht="15.75" customHeight="1">
      <c r="A127" s="2852"/>
      <c r="B127" s="427" t="s">
        <v>22</v>
      </c>
      <c r="C127" s="428"/>
      <c r="D127" s="1031">
        <f>+M127+N127+O127+P127+Q127+R127+S127+T127</f>
        <v>8004300</v>
      </c>
      <c r="E127" s="1031">
        <f t="shared" ref="E127:U128" si="92">+E128</f>
        <v>0</v>
      </c>
      <c r="F127" s="1031">
        <f t="shared" si="92"/>
        <v>0</v>
      </c>
      <c r="G127" s="1031">
        <f t="shared" si="92"/>
        <v>0</v>
      </c>
      <c r="H127" s="1031">
        <f t="shared" si="92"/>
        <v>0</v>
      </c>
      <c r="I127" s="1031">
        <f t="shared" si="92"/>
        <v>0</v>
      </c>
      <c r="J127" s="1031">
        <f t="shared" si="92"/>
        <v>0</v>
      </c>
      <c r="K127" s="1031">
        <f t="shared" si="92"/>
        <v>0</v>
      </c>
      <c r="L127" s="1031">
        <f t="shared" si="92"/>
        <v>0</v>
      </c>
      <c r="M127" s="1031">
        <f t="shared" si="92"/>
        <v>0</v>
      </c>
      <c r="N127" s="1031">
        <f t="shared" si="92"/>
        <v>2798000</v>
      </c>
      <c r="O127" s="1031">
        <f t="shared" si="92"/>
        <v>2378300</v>
      </c>
      <c r="P127" s="1031">
        <f t="shared" si="92"/>
        <v>2828000</v>
      </c>
      <c r="Q127" s="1031">
        <f t="shared" si="92"/>
        <v>0</v>
      </c>
      <c r="R127" s="1031">
        <f t="shared" si="92"/>
        <v>0</v>
      </c>
      <c r="S127" s="1031">
        <f t="shared" si="92"/>
        <v>0</v>
      </c>
      <c r="T127" s="1031">
        <f t="shared" si="92"/>
        <v>0</v>
      </c>
      <c r="U127" s="1078">
        <f t="shared" si="92"/>
        <v>5206300</v>
      </c>
      <c r="V127" s="2557"/>
    </row>
    <row r="128" spans="1:22" s="1044" customFormat="1" ht="14.25" customHeight="1">
      <c r="A128" s="2852"/>
      <c r="B128" s="2067" t="s">
        <v>36</v>
      </c>
      <c r="C128" s="2433" t="s">
        <v>293</v>
      </c>
      <c r="D128" s="513">
        <f>+M128+N128+O128+P128+Q128+R128+S128+T128</f>
        <v>8004300</v>
      </c>
      <c r="E128" s="514">
        <f t="shared" si="92"/>
        <v>0</v>
      </c>
      <c r="F128" s="514">
        <f t="shared" si="92"/>
        <v>0</v>
      </c>
      <c r="G128" s="514">
        <f t="shared" si="92"/>
        <v>0</v>
      </c>
      <c r="H128" s="514">
        <f t="shared" si="92"/>
        <v>0</v>
      </c>
      <c r="I128" s="635">
        <f t="shared" si="92"/>
        <v>0</v>
      </c>
      <c r="J128" s="635">
        <f t="shared" si="92"/>
        <v>0</v>
      </c>
      <c r="K128" s="635">
        <f t="shared" si="92"/>
        <v>0</v>
      </c>
      <c r="L128" s="635">
        <f t="shared" si="92"/>
        <v>0</v>
      </c>
      <c r="M128" s="635">
        <f t="shared" si="92"/>
        <v>0</v>
      </c>
      <c r="N128" s="642">
        <f>N129</f>
        <v>2798000</v>
      </c>
      <c r="O128" s="642">
        <f>O129</f>
        <v>2378300</v>
      </c>
      <c r="P128" s="642">
        <f>P129</f>
        <v>2828000</v>
      </c>
      <c r="Q128" s="642">
        <v>0</v>
      </c>
      <c r="R128" s="642">
        <v>0</v>
      </c>
      <c r="S128" s="642">
        <v>0</v>
      </c>
      <c r="T128" s="642">
        <v>0</v>
      </c>
      <c r="U128" s="557">
        <f t="shared" si="92"/>
        <v>5206300</v>
      </c>
      <c r="V128" s="2557"/>
    </row>
    <row r="129" spans="1:22" s="1044" customFormat="1" ht="15.75" customHeight="1" thickBot="1">
      <c r="A129" s="2853"/>
      <c r="B129" s="1227" t="s">
        <v>294</v>
      </c>
      <c r="C129" s="2443"/>
      <c r="D129" s="591">
        <f>+M129+N129+O129+P129+Q129+R129+S129+T129</f>
        <v>8004300</v>
      </c>
      <c r="E129" s="546">
        <v>0</v>
      </c>
      <c r="F129" s="547">
        <v>0</v>
      </c>
      <c r="G129" s="547"/>
      <c r="H129" s="546"/>
      <c r="I129" s="546">
        <v>0</v>
      </c>
      <c r="J129" s="546">
        <v>0</v>
      </c>
      <c r="K129" s="546">
        <v>0</v>
      </c>
      <c r="L129" s="546">
        <v>0</v>
      </c>
      <c r="M129" s="547">
        <f>+L129+K129+J129+I129</f>
        <v>0</v>
      </c>
      <c r="N129" s="547">
        <f>2758000+40000</f>
        <v>2798000</v>
      </c>
      <c r="O129" s="547">
        <f>1650000+728300</f>
        <v>2378300</v>
      </c>
      <c r="P129" s="547">
        <v>2828000</v>
      </c>
      <c r="Q129" s="547">
        <v>0</v>
      </c>
      <c r="R129" s="547">
        <v>0</v>
      </c>
      <c r="S129" s="547">
        <v>0</v>
      </c>
      <c r="T129" s="547">
        <v>0</v>
      </c>
      <c r="U129" s="1228">
        <f>+O129+P129+Q129+R129</f>
        <v>5206300</v>
      </c>
      <c r="V129" s="2558"/>
    </row>
    <row r="130" spans="1:22" ht="40.5" hidden="1" customHeight="1">
      <c r="A130" s="2830" t="s">
        <v>83</v>
      </c>
      <c r="B130" s="2135" t="s">
        <v>349</v>
      </c>
      <c r="C130" s="2029" t="s">
        <v>289</v>
      </c>
      <c r="D130" s="2136"/>
      <c r="E130" s="1949"/>
      <c r="F130" s="1949"/>
      <c r="G130" s="1949"/>
      <c r="H130" s="1949"/>
      <c r="I130" s="1949"/>
      <c r="J130" s="1949"/>
      <c r="K130" s="1949"/>
      <c r="L130" s="2030"/>
      <c r="M130" s="2030"/>
      <c r="N130" s="2030"/>
      <c r="O130" s="2030"/>
      <c r="P130" s="2031"/>
      <c r="Q130" s="2031"/>
      <c r="R130" s="2031"/>
      <c r="S130" s="2031"/>
      <c r="T130" s="2030"/>
      <c r="U130" s="2032"/>
      <c r="V130" s="2831" t="s">
        <v>348</v>
      </c>
    </row>
    <row r="131" spans="1:22" ht="17.25" hidden="1" customHeight="1">
      <c r="A131" s="2830"/>
      <c r="B131" s="724" t="s">
        <v>22</v>
      </c>
      <c r="C131" s="724"/>
      <c r="D131" s="1445">
        <f>M131+N131+O131+P131+Q131+R131</f>
        <v>0</v>
      </c>
      <c r="E131" s="2137">
        <f t="shared" ref="E131:U132" si="93">+E132</f>
        <v>0</v>
      </c>
      <c r="F131" s="2138">
        <f t="shared" si="93"/>
        <v>0</v>
      </c>
      <c r="G131" s="2138">
        <f t="shared" si="93"/>
        <v>0</v>
      </c>
      <c r="H131" s="2138">
        <f t="shared" si="93"/>
        <v>0</v>
      </c>
      <c r="I131" s="2138">
        <f t="shared" si="93"/>
        <v>0</v>
      </c>
      <c r="J131" s="2138">
        <f t="shared" si="93"/>
        <v>0</v>
      </c>
      <c r="K131" s="2138">
        <f t="shared" si="93"/>
        <v>1341</v>
      </c>
      <c r="L131" s="2139">
        <f t="shared" si="93"/>
        <v>11218</v>
      </c>
      <c r="M131" s="1445">
        <f>+M132</f>
        <v>0</v>
      </c>
      <c r="N131" s="2140">
        <f t="shared" si="93"/>
        <v>0</v>
      </c>
      <c r="O131" s="2141">
        <f t="shared" si="93"/>
        <v>0</v>
      </c>
      <c r="P131" s="1445">
        <f>+P132</f>
        <v>0</v>
      </c>
      <c r="Q131" s="2142">
        <f t="shared" si="93"/>
        <v>0</v>
      </c>
      <c r="R131" s="2141">
        <f t="shared" si="93"/>
        <v>0</v>
      </c>
      <c r="S131" s="2141">
        <f t="shared" si="93"/>
        <v>0</v>
      </c>
      <c r="T131" s="2142">
        <f t="shared" si="93"/>
        <v>0</v>
      </c>
      <c r="U131" s="535">
        <f t="shared" si="93"/>
        <v>0</v>
      </c>
      <c r="V131" s="2831"/>
    </row>
    <row r="132" spans="1:22" ht="16.5" hidden="1" customHeight="1">
      <c r="A132" s="2830"/>
      <c r="B132" s="898" t="s">
        <v>350</v>
      </c>
      <c r="C132" s="2832" t="s">
        <v>347</v>
      </c>
      <c r="D132" s="2143">
        <f>M132+N132+O132+P132+Q132+R132</f>
        <v>0</v>
      </c>
      <c r="E132" s="2144">
        <f t="shared" si="93"/>
        <v>0</v>
      </c>
      <c r="F132" s="2144">
        <f t="shared" si="93"/>
        <v>0</v>
      </c>
      <c r="G132" s="2144">
        <f t="shared" si="93"/>
        <v>0</v>
      </c>
      <c r="H132" s="2144">
        <f t="shared" si="93"/>
        <v>0</v>
      </c>
      <c r="I132" s="2145">
        <f t="shared" si="93"/>
        <v>0</v>
      </c>
      <c r="J132" s="2145">
        <f t="shared" si="93"/>
        <v>0</v>
      </c>
      <c r="K132" s="2145">
        <f t="shared" si="93"/>
        <v>1341</v>
      </c>
      <c r="L132" s="2145">
        <f t="shared" si="93"/>
        <v>11218</v>
      </c>
      <c r="M132" s="2145">
        <f t="shared" si="93"/>
        <v>0</v>
      </c>
      <c r="N132" s="2145">
        <f>N133</f>
        <v>0</v>
      </c>
      <c r="O132" s="2145">
        <f>O133</f>
        <v>0</v>
      </c>
      <c r="P132" s="2145">
        <f>+P133</f>
        <v>0</v>
      </c>
      <c r="Q132" s="2145">
        <f>Q133</f>
        <v>0</v>
      </c>
      <c r="R132" s="2145">
        <f>R133</f>
        <v>0</v>
      </c>
      <c r="S132" s="2145">
        <f>S133</f>
        <v>0</v>
      </c>
      <c r="T132" s="2146">
        <f>T133</f>
        <v>0</v>
      </c>
      <c r="U132" s="557">
        <f>+U133</f>
        <v>0</v>
      </c>
      <c r="V132" s="2831"/>
    </row>
    <row r="133" spans="1:22" ht="13.5" hidden="1" customHeight="1">
      <c r="A133" s="2830"/>
      <c r="B133" s="2147" t="s">
        <v>78</v>
      </c>
      <c r="C133" s="2833"/>
      <c r="D133" s="2148">
        <f>+M133+N133+O133+P133+Q133+R133+S133+T133</f>
        <v>0</v>
      </c>
      <c r="E133" s="2149"/>
      <c r="F133" s="2149">
        <v>0</v>
      </c>
      <c r="G133" s="2149"/>
      <c r="H133" s="2149"/>
      <c r="I133" s="2149"/>
      <c r="J133" s="2149"/>
      <c r="K133" s="2149">
        <v>1341</v>
      </c>
      <c r="L133" s="2149">
        <v>11218</v>
      </c>
      <c r="M133" s="2149">
        <v>0</v>
      </c>
      <c r="N133" s="2149">
        <v>0</v>
      </c>
      <c r="O133" s="2149">
        <v>0</v>
      </c>
      <c r="P133" s="2149">
        <v>0</v>
      </c>
      <c r="Q133" s="2149">
        <v>0</v>
      </c>
      <c r="R133" s="2149">
        <v>0</v>
      </c>
      <c r="S133" s="2149">
        <v>0</v>
      </c>
      <c r="T133" s="2149">
        <v>0</v>
      </c>
      <c r="U133" s="2150">
        <f>+O133+P133+Q133+R133</f>
        <v>0</v>
      </c>
      <c r="V133" s="2831"/>
    </row>
    <row r="134" spans="1:22" ht="15.75" hidden="1" customHeight="1">
      <c r="A134" s="2830"/>
      <c r="B134" s="2151" t="s">
        <v>34</v>
      </c>
      <c r="C134" s="428"/>
      <c r="D134" s="2152">
        <f>MI134+N134+O134+P134+Q134+R134</f>
        <v>0</v>
      </c>
      <c r="E134" s="518">
        <f t="shared" ref="E134:N135" si="94">+E135</f>
        <v>0</v>
      </c>
      <c r="F134" s="518">
        <f t="shared" si="94"/>
        <v>0</v>
      </c>
      <c r="G134" s="518">
        <f t="shared" si="94"/>
        <v>0</v>
      </c>
      <c r="H134" s="518">
        <f t="shared" si="94"/>
        <v>0</v>
      </c>
      <c r="I134" s="518">
        <f t="shared" si="94"/>
        <v>0</v>
      </c>
      <c r="J134" s="518">
        <f t="shared" si="94"/>
        <v>0</v>
      </c>
      <c r="K134" s="518">
        <f t="shared" si="94"/>
        <v>0</v>
      </c>
      <c r="L134" s="518">
        <f t="shared" si="94"/>
        <v>0</v>
      </c>
      <c r="M134" s="518">
        <f t="shared" si="94"/>
        <v>0</v>
      </c>
      <c r="N134" s="518">
        <f t="shared" si="94"/>
        <v>0</v>
      </c>
      <c r="O134" s="518">
        <f t="shared" ref="O134:T135" si="95">O135</f>
        <v>0</v>
      </c>
      <c r="P134" s="518">
        <f t="shared" si="95"/>
        <v>0</v>
      </c>
      <c r="Q134" s="518">
        <f t="shared" si="95"/>
        <v>0</v>
      </c>
      <c r="R134" s="518">
        <f t="shared" si="95"/>
        <v>0</v>
      </c>
      <c r="S134" s="518">
        <f t="shared" si="95"/>
        <v>0</v>
      </c>
      <c r="T134" s="518">
        <f t="shared" si="95"/>
        <v>0</v>
      </c>
      <c r="U134" s="2438" t="s">
        <v>77</v>
      </c>
      <c r="V134" s="2831"/>
    </row>
    <row r="135" spans="1:22" ht="16.5" hidden="1" customHeight="1">
      <c r="A135" s="2830"/>
      <c r="B135" s="898" t="s">
        <v>23</v>
      </c>
      <c r="C135" s="2490" t="s">
        <v>347</v>
      </c>
      <c r="D135" s="688">
        <f>M135+N135+O135+P135+Q135+R135</f>
        <v>0</v>
      </c>
      <c r="E135" s="514">
        <f t="shared" si="94"/>
        <v>0</v>
      </c>
      <c r="F135" s="514">
        <f t="shared" si="94"/>
        <v>0</v>
      </c>
      <c r="G135" s="514">
        <f t="shared" si="94"/>
        <v>0</v>
      </c>
      <c r="H135" s="514">
        <f t="shared" si="94"/>
        <v>0</v>
      </c>
      <c r="I135" s="514">
        <f t="shared" si="94"/>
        <v>0</v>
      </c>
      <c r="J135" s="514">
        <f t="shared" si="94"/>
        <v>0</v>
      </c>
      <c r="K135" s="514">
        <f t="shared" si="94"/>
        <v>0</v>
      </c>
      <c r="L135" s="514">
        <f t="shared" si="94"/>
        <v>0</v>
      </c>
      <c r="M135" s="514">
        <f t="shared" si="94"/>
        <v>0</v>
      </c>
      <c r="N135" s="514">
        <f t="shared" si="94"/>
        <v>0</v>
      </c>
      <c r="O135" s="514">
        <f t="shared" si="95"/>
        <v>0</v>
      </c>
      <c r="P135" s="514">
        <f t="shared" si="95"/>
        <v>0</v>
      </c>
      <c r="Q135" s="514">
        <f t="shared" si="95"/>
        <v>0</v>
      </c>
      <c r="R135" s="514">
        <f t="shared" si="95"/>
        <v>0</v>
      </c>
      <c r="S135" s="514">
        <f t="shared" si="95"/>
        <v>0</v>
      </c>
      <c r="T135" s="514">
        <f t="shared" si="95"/>
        <v>0</v>
      </c>
      <c r="U135" s="2438"/>
      <c r="V135" s="2831"/>
    </row>
    <row r="136" spans="1:22" ht="13.5" hidden="1" thickBot="1">
      <c r="A136" s="2830"/>
      <c r="B136" s="2201" t="s">
        <v>78</v>
      </c>
      <c r="C136" s="2491"/>
      <c r="D136" s="2153">
        <f>+M136+N136+O136+P136+Q136+R136+S136+T136</f>
        <v>0</v>
      </c>
      <c r="E136" s="546"/>
      <c r="F136" s="547"/>
      <c r="G136" s="546"/>
      <c r="H136" s="546"/>
      <c r="I136" s="546">
        <v>0</v>
      </c>
      <c r="J136" s="546">
        <v>0</v>
      </c>
      <c r="K136" s="546">
        <v>0</v>
      </c>
      <c r="L136" s="546">
        <v>0</v>
      </c>
      <c r="M136" s="547">
        <f>+L136+K136+J136+I136</f>
        <v>0</v>
      </c>
      <c r="N136" s="547"/>
      <c r="O136" s="546">
        <v>0</v>
      </c>
      <c r="P136" s="546">
        <v>0</v>
      </c>
      <c r="Q136" s="546">
        <v>0</v>
      </c>
      <c r="R136" s="546">
        <v>0</v>
      </c>
      <c r="S136" s="546">
        <v>0</v>
      </c>
      <c r="T136" s="546">
        <v>0</v>
      </c>
      <c r="U136" s="2439"/>
      <c r="V136" s="2831"/>
    </row>
    <row r="137" spans="1:22">
      <c r="E137" s="956"/>
      <c r="F137" s="956"/>
      <c r="G137" s="956"/>
      <c r="H137" s="956"/>
      <c r="I137" s="956"/>
      <c r="J137" s="956"/>
      <c r="K137" s="956"/>
      <c r="L137" s="956"/>
      <c r="M137" s="956"/>
      <c r="N137" s="956"/>
      <c r="O137" s="956"/>
      <c r="P137" s="956"/>
      <c r="V137" s="957"/>
    </row>
    <row r="138" spans="1:22">
      <c r="E138" s="956"/>
      <c r="F138" s="956"/>
      <c r="G138" s="956"/>
      <c r="H138" s="956"/>
      <c r="I138" s="956"/>
      <c r="J138" s="956"/>
      <c r="K138" s="956"/>
      <c r="L138" s="956"/>
      <c r="M138" s="956"/>
      <c r="N138" s="956"/>
      <c r="O138" s="956"/>
      <c r="P138" s="956"/>
      <c r="V138" s="957"/>
    </row>
    <row r="139" spans="1:22"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V139" s="957"/>
    </row>
    <row r="140" spans="1:22"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956"/>
      <c r="V140" s="957"/>
    </row>
    <row r="141" spans="1:22">
      <c r="E141" s="956"/>
      <c r="F141" s="956"/>
      <c r="G141" s="956"/>
      <c r="H141" s="956"/>
      <c r="I141" s="956"/>
      <c r="J141" s="956"/>
      <c r="K141" s="956"/>
      <c r="L141" s="956"/>
      <c r="M141" s="956"/>
      <c r="N141" s="956"/>
      <c r="O141" s="956"/>
      <c r="P141" s="956"/>
      <c r="V141" s="957"/>
    </row>
    <row r="142" spans="1:22">
      <c r="E142" s="956"/>
      <c r="F142" s="956"/>
      <c r="G142" s="956"/>
      <c r="H142" s="956"/>
      <c r="I142" s="956"/>
      <c r="J142" s="956"/>
      <c r="K142" s="956"/>
      <c r="L142" s="956"/>
      <c r="M142" s="956"/>
      <c r="N142" s="956"/>
      <c r="O142" s="956"/>
      <c r="P142" s="956"/>
      <c r="V142" s="957"/>
    </row>
    <row r="143" spans="1:22">
      <c r="E143" s="956"/>
      <c r="F143" s="956"/>
      <c r="G143" s="956"/>
      <c r="H143" s="956"/>
      <c r="I143" s="956"/>
      <c r="J143" s="956"/>
      <c r="K143" s="956"/>
      <c r="L143" s="956"/>
      <c r="M143" s="956"/>
      <c r="N143" s="956"/>
      <c r="O143" s="956"/>
      <c r="P143" s="956"/>
      <c r="V143" s="957"/>
    </row>
    <row r="144" spans="1:22">
      <c r="E144" s="956"/>
      <c r="F144" s="956"/>
      <c r="G144" s="956"/>
      <c r="H144" s="956"/>
      <c r="I144" s="956"/>
      <c r="J144" s="956"/>
      <c r="K144" s="956"/>
      <c r="L144" s="956"/>
      <c r="M144" s="956"/>
      <c r="N144" s="956"/>
      <c r="O144" s="956"/>
      <c r="P144" s="956"/>
      <c r="V144" s="957"/>
    </row>
    <row r="145" spans="5:22"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V145" s="957"/>
    </row>
    <row r="146" spans="5:22">
      <c r="E146" s="956"/>
      <c r="F146" s="956"/>
      <c r="G146" s="956"/>
      <c r="H146" s="956"/>
      <c r="I146" s="956"/>
      <c r="J146" s="956"/>
      <c r="K146" s="956"/>
      <c r="L146" s="956"/>
      <c r="M146" s="956"/>
      <c r="N146" s="956"/>
      <c r="O146" s="956"/>
      <c r="P146" s="956"/>
      <c r="V146" s="957"/>
    </row>
    <row r="147" spans="5:22"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6"/>
      <c r="P147" s="956"/>
      <c r="V147" s="957"/>
    </row>
    <row r="148" spans="5:22">
      <c r="E148" s="956"/>
      <c r="F148" s="956"/>
      <c r="G148" s="956"/>
      <c r="H148" s="956"/>
      <c r="I148" s="956"/>
      <c r="J148" s="956"/>
      <c r="K148" s="956"/>
      <c r="L148" s="956"/>
      <c r="M148" s="956"/>
      <c r="N148" s="956"/>
      <c r="O148" s="956"/>
      <c r="P148" s="956"/>
      <c r="V148" s="957"/>
    </row>
    <row r="149" spans="5:22"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V149" s="957"/>
    </row>
    <row r="150" spans="5:22">
      <c r="E150" s="956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V150" s="957"/>
    </row>
    <row r="151" spans="5:22">
      <c r="E151" s="956"/>
      <c r="F151" s="956"/>
      <c r="G151" s="956"/>
      <c r="H151" s="956"/>
      <c r="I151" s="956"/>
      <c r="J151" s="956"/>
      <c r="K151" s="956"/>
      <c r="L151" s="956"/>
      <c r="M151" s="956"/>
      <c r="N151" s="956"/>
      <c r="O151" s="956"/>
      <c r="P151" s="956"/>
      <c r="V151" s="957"/>
    </row>
    <row r="152" spans="5:22">
      <c r="E152" s="956"/>
      <c r="F152" s="956"/>
      <c r="G152" s="956"/>
      <c r="H152" s="956"/>
      <c r="I152" s="956"/>
      <c r="J152" s="956"/>
      <c r="K152" s="956"/>
      <c r="L152" s="956"/>
      <c r="M152" s="956"/>
      <c r="N152" s="956"/>
      <c r="O152" s="956"/>
      <c r="P152" s="956"/>
      <c r="V152" s="957"/>
    </row>
    <row r="153" spans="5:22">
      <c r="E153" s="956"/>
      <c r="F153" s="956"/>
      <c r="G153" s="956"/>
      <c r="H153" s="956"/>
      <c r="I153" s="956"/>
      <c r="J153" s="956"/>
      <c r="K153" s="956"/>
      <c r="L153" s="956"/>
      <c r="M153" s="956"/>
      <c r="N153" s="956"/>
      <c r="O153" s="956"/>
      <c r="P153" s="956"/>
      <c r="V153" s="957"/>
    </row>
    <row r="154" spans="5:22">
      <c r="E154" s="956"/>
      <c r="F154" s="956"/>
      <c r="G154" s="956"/>
      <c r="H154" s="956"/>
      <c r="I154" s="956"/>
      <c r="J154" s="956"/>
      <c r="K154" s="956"/>
      <c r="L154" s="956"/>
      <c r="M154" s="956"/>
      <c r="N154" s="956"/>
      <c r="O154" s="956"/>
      <c r="P154" s="956"/>
      <c r="V154" s="957"/>
    </row>
    <row r="155" spans="5:22">
      <c r="E155" s="956"/>
      <c r="F155" s="956"/>
      <c r="G155" s="956"/>
      <c r="H155" s="956"/>
      <c r="I155" s="956"/>
      <c r="J155" s="956"/>
      <c r="K155" s="956"/>
      <c r="L155" s="956"/>
      <c r="M155" s="956"/>
      <c r="N155" s="956"/>
      <c r="O155" s="956"/>
      <c r="P155" s="956"/>
      <c r="V155" s="957"/>
    </row>
    <row r="156" spans="5:22">
      <c r="E156" s="956"/>
      <c r="F156" s="956"/>
      <c r="G156" s="956"/>
      <c r="H156" s="956"/>
      <c r="I156" s="956"/>
      <c r="J156" s="956"/>
      <c r="K156" s="956"/>
      <c r="L156" s="956"/>
      <c r="M156" s="956"/>
      <c r="N156" s="956"/>
      <c r="O156" s="956"/>
      <c r="P156" s="956"/>
      <c r="V156" s="957"/>
    </row>
    <row r="157" spans="5:22">
      <c r="E157" s="956"/>
      <c r="F157" s="956"/>
      <c r="G157" s="956"/>
      <c r="H157" s="956"/>
      <c r="I157" s="956"/>
      <c r="J157" s="956"/>
      <c r="K157" s="956"/>
      <c r="L157" s="956"/>
      <c r="M157" s="956"/>
      <c r="N157" s="956"/>
      <c r="O157" s="956"/>
      <c r="P157" s="956"/>
      <c r="V157" s="957"/>
    </row>
    <row r="158" spans="5:22">
      <c r="E158" s="956"/>
      <c r="F158" s="956"/>
      <c r="G158" s="956"/>
      <c r="H158" s="956"/>
      <c r="I158" s="956"/>
      <c r="J158" s="956"/>
      <c r="K158" s="956"/>
      <c r="L158" s="956"/>
      <c r="M158" s="956"/>
      <c r="N158" s="956"/>
      <c r="O158" s="956"/>
      <c r="P158" s="956"/>
      <c r="V158" s="957"/>
    </row>
    <row r="159" spans="5:22">
      <c r="E159" s="956"/>
      <c r="F159" s="956"/>
      <c r="G159" s="956"/>
      <c r="H159" s="956"/>
      <c r="I159" s="956"/>
      <c r="J159" s="956"/>
      <c r="K159" s="956"/>
      <c r="L159" s="956"/>
      <c r="M159" s="956"/>
      <c r="N159" s="956"/>
      <c r="O159" s="956"/>
      <c r="P159" s="956"/>
      <c r="V159" s="957"/>
    </row>
    <row r="160" spans="5:22">
      <c r="E160" s="956"/>
      <c r="F160" s="956"/>
      <c r="G160" s="956"/>
      <c r="H160" s="956"/>
      <c r="I160" s="956"/>
      <c r="J160" s="956"/>
      <c r="K160" s="956"/>
      <c r="L160" s="956"/>
      <c r="M160" s="956"/>
      <c r="N160" s="956"/>
      <c r="O160" s="956"/>
      <c r="P160" s="956"/>
      <c r="V160" s="957"/>
    </row>
    <row r="161" spans="5:22">
      <c r="E161" s="956"/>
      <c r="F161" s="956"/>
      <c r="G161" s="956"/>
      <c r="H161" s="956"/>
      <c r="I161" s="956"/>
      <c r="J161" s="956"/>
      <c r="K161" s="956"/>
      <c r="L161" s="956"/>
      <c r="M161" s="956"/>
      <c r="N161" s="956"/>
      <c r="O161" s="956"/>
      <c r="P161" s="956"/>
      <c r="V161" s="957"/>
    </row>
    <row r="162" spans="5:22">
      <c r="E162" s="956"/>
      <c r="F162" s="956"/>
      <c r="G162" s="956"/>
      <c r="H162" s="956"/>
      <c r="I162" s="956"/>
      <c r="J162" s="956"/>
      <c r="K162" s="956"/>
      <c r="L162" s="956"/>
      <c r="M162" s="956"/>
      <c r="N162" s="956"/>
      <c r="O162" s="956"/>
      <c r="P162" s="956"/>
      <c r="V162" s="957"/>
    </row>
    <row r="163" spans="5:22">
      <c r="E163" s="956"/>
      <c r="F163" s="956"/>
      <c r="G163" s="956"/>
      <c r="H163" s="956"/>
      <c r="I163" s="956"/>
      <c r="J163" s="956"/>
      <c r="K163" s="956"/>
      <c r="L163" s="956"/>
      <c r="M163" s="956"/>
      <c r="N163" s="956"/>
      <c r="O163" s="956"/>
      <c r="P163" s="956"/>
      <c r="V163" s="957"/>
    </row>
    <row r="164" spans="5:22">
      <c r="E164" s="956"/>
      <c r="F164" s="956"/>
      <c r="G164" s="956"/>
      <c r="H164" s="956"/>
      <c r="I164" s="956"/>
      <c r="J164" s="956"/>
      <c r="K164" s="956"/>
      <c r="L164" s="956"/>
      <c r="M164" s="956"/>
      <c r="N164" s="956"/>
      <c r="O164" s="956"/>
      <c r="P164" s="956"/>
      <c r="V164" s="957"/>
    </row>
    <row r="165" spans="5:22"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V165" s="957"/>
    </row>
    <row r="166" spans="5:22"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V166" s="957"/>
    </row>
    <row r="167" spans="5:22">
      <c r="E167" s="956"/>
      <c r="F167" s="956"/>
      <c r="G167" s="956"/>
      <c r="H167" s="956"/>
      <c r="I167" s="956"/>
      <c r="J167" s="956"/>
      <c r="K167" s="956"/>
      <c r="L167" s="956"/>
      <c r="M167" s="956"/>
      <c r="N167" s="956"/>
      <c r="O167" s="956"/>
      <c r="P167" s="956"/>
      <c r="V167" s="957"/>
    </row>
    <row r="168" spans="5:22">
      <c r="E168" s="956"/>
      <c r="F168" s="956"/>
      <c r="G168" s="956"/>
      <c r="H168" s="956"/>
      <c r="I168" s="956"/>
      <c r="J168" s="956"/>
      <c r="K168" s="956"/>
      <c r="L168" s="956"/>
      <c r="M168" s="956"/>
      <c r="N168" s="956"/>
      <c r="O168" s="956"/>
      <c r="P168" s="956"/>
      <c r="V168" s="957"/>
    </row>
    <row r="169" spans="5:22"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V169" s="957"/>
    </row>
    <row r="170" spans="5:22">
      <c r="E170" s="956"/>
      <c r="F170" s="956"/>
      <c r="G170" s="956"/>
      <c r="H170" s="956"/>
      <c r="I170" s="956"/>
      <c r="J170" s="956"/>
      <c r="K170" s="956"/>
      <c r="L170" s="956"/>
      <c r="M170" s="956"/>
      <c r="N170" s="956"/>
      <c r="O170" s="956"/>
      <c r="P170" s="956"/>
      <c r="V170" s="957"/>
    </row>
    <row r="171" spans="5:22"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V171" s="957"/>
    </row>
    <row r="172" spans="5:22">
      <c r="E172" s="956"/>
      <c r="F172" s="956"/>
      <c r="G172" s="956"/>
      <c r="H172" s="956"/>
      <c r="I172" s="956"/>
      <c r="J172" s="956"/>
      <c r="K172" s="956"/>
      <c r="L172" s="956"/>
      <c r="M172" s="956"/>
      <c r="N172" s="956"/>
      <c r="O172" s="956"/>
      <c r="P172" s="956"/>
      <c r="V172" s="957"/>
    </row>
    <row r="173" spans="5:22"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V173" s="957"/>
    </row>
    <row r="174" spans="5:22">
      <c r="E174" s="956"/>
      <c r="F174" s="956"/>
      <c r="G174" s="956"/>
      <c r="H174" s="956"/>
      <c r="I174" s="956"/>
      <c r="J174" s="956"/>
      <c r="K174" s="956"/>
      <c r="L174" s="956"/>
      <c r="M174" s="956"/>
      <c r="N174" s="956"/>
      <c r="O174" s="956"/>
      <c r="P174" s="956"/>
      <c r="V174" s="957"/>
    </row>
    <row r="175" spans="5:22">
      <c r="E175" s="956"/>
      <c r="F175" s="956"/>
      <c r="G175" s="956"/>
      <c r="H175" s="956"/>
      <c r="I175" s="956"/>
      <c r="J175" s="956"/>
      <c r="K175" s="956"/>
      <c r="L175" s="956"/>
      <c r="M175" s="956"/>
      <c r="N175" s="956"/>
      <c r="O175" s="956"/>
      <c r="P175" s="956"/>
      <c r="V175" s="957"/>
    </row>
    <row r="176" spans="5:22">
      <c r="E176" s="956"/>
      <c r="F176" s="956"/>
      <c r="G176" s="956"/>
      <c r="H176" s="956"/>
      <c r="I176" s="956"/>
      <c r="J176" s="956"/>
      <c r="K176" s="956"/>
      <c r="L176" s="956"/>
      <c r="M176" s="956"/>
      <c r="N176" s="956"/>
      <c r="O176" s="956"/>
      <c r="P176" s="956"/>
      <c r="V176" s="957"/>
    </row>
    <row r="177" spans="5:22">
      <c r="E177" s="956"/>
      <c r="F177" s="956"/>
      <c r="G177" s="956"/>
      <c r="H177" s="956"/>
      <c r="I177" s="956"/>
      <c r="J177" s="956"/>
      <c r="K177" s="956"/>
      <c r="L177" s="956"/>
      <c r="M177" s="956"/>
      <c r="N177" s="956"/>
      <c r="O177" s="956"/>
      <c r="P177" s="956"/>
      <c r="V177" s="957"/>
    </row>
    <row r="178" spans="5:22">
      <c r="E178" s="956"/>
      <c r="F178" s="956"/>
      <c r="G178" s="956"/>
      <c r="H178" s="956"/>
      <c r="I178" s="956"/>
      <c r="J178" s="956"/>
      <c r="K178" s="956"/>
      <c r="L178" s="956"/>
      <c r="M178" s="956"/>
      <c r="N178" s="956"/>
      <c r="O178" s="956"/>
      <c r="P178" s="956"/>
      <c r="V178" s="957"/>
    </row>
    <row r="179" spans="5:22">
      <c r="E179" s="956"/>
      <c r="F179" s="956"/>
      <c r="G179" s="956"/>
      <c r="H179" s="956"/>
      <c r="I179" s="956"/>
      <c r="J179" s="956"/>
      <c r="K179" s="956"/>
      <c r="L179" s="956"/>
      <c r="M179" s="956"/>
      <c r="N179" s="956"/>
      <c r="O179" s="956"/>
      <c r="P179" s="956"/>
      <c r="V179" s="957"/>
    </row>
    <row r="180" spans="5:22">
      <c r="E180" s="956"/>
      <c r="F180" s="956"/>
      <c r="G180" s="956"/>
      <c r="H180" s="956"/>
      <c r="I180" s="956"/>
      <c r="J180" s="956"/>
      <c r="K180" s="956"/>
      <c r="L180" s="956"/>
      <c r="M180" s="956"/>
      <c r="N180" s="956"/>
      <c r="O180" s="956"/>
      <c r="P180" s="956"/>
      <c r="V180" s="957"/>
    </row>
    <row r="181" spans="5:22"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V181" s="957"/>
    </row>
    <row r="182" spans="5:22">
      <c r="E182" s="956"/>
      <c r="F182" s="956"/>
      <c r="G182" s="956"/>
      <c r="H182" s="956"/>
      <c r="I182" s="956"/>
      <c r="J182" s="956"/>
      <c r="K182" s="956"/>
      <c r="L182" s="956"/>
      <c r="M182" s="956"/>
      <c r="N182" s="956"/>
      <c r="O182" s="956"/>
      <c r="P182" s="956"/>
      <c r="V182" s="957"/>
    </row>
    <row r="183" spans="5:22">
      <c r="E183" s="956"/>
      <c r="F183" s="956"/>
      <c r="G183" s="956"/>
      <c r="H183" s="956"/>
      <c r="I183" s="956"/>
      <c r="J183" s="956"/>
      <c r="K183" s="956"/>
      <c r="L183" s="956"/>
      <c r="M183" s="956"/>
      <c r="N183" s="956"/>
      <c r="O183" s="956"/>
      <c r="P183" s="956"/>
      <c r="V183" s="957"/>
    </row>
    <row r="184" spans="5:22">
      <c r="E184" s="956"/>
      <c r="F184" s="956"/>
      <c r="G184" s="956"/>
      <c r="H184" s="956"/>
      <c r="I184" s="956"/>
      <c r="J184" s="956"/>
      <c r="K184" s="956"/>
      <c r="L184" s="956"/>
      <c r="M184" s="956"/>
      <c r="N184" s="956"/>
      <c r="O184" s="956"/>
      <c r="P184" s="956"/>
      <c r="V184" s="957"/>
    </row>
    <row r="185" spans="5:22">
      <c r="E185" s="956"/>
      <c r="F185" s="956"/>
      <c r="G185" s="956"/>
      <c r="H185" s="956"/>
      <c r="I185" s="956"/>
      <c r="J185" s="956"/>
      <c r="K185" s="956"/>
      <c r="L185" s="956"/>
      <c r="M185" s="956"/>
      <c r="N185" s="956"/>
      <c r="O185" s="956"/>
      <c r="P185" s="956"/>
      <c r="V185" s="957"/>
    </row>
    <row r="186" spans="5:22">
      <c r="E186" s="956"/>
      <c r="F186" s="956"/>
      <c r="G186" s="956"/>
      <c r="H186" s="956"/>
      <c r="I186" s="956"/>
      <c r="J186" s="956"/>
      <c r="K186" s="956"/>
      <c r="L186" s="956"/>
      <c r="M186" s="956"/>
      <c r="N186" s="956"/>
      <c r="O186" s="956"/>
      <c r="P186" s="956"/>
      <c r="V186" s="957"/>
    </row>
    <row r="187" spans="5:22">
      <c r="E187" s="956"/>
      <c r="F187" s="956"/>
      <c r="G187" s="956"/>
      <c r="H187" s="956"/>
      <c r="I187" s="956"/>
      <c r="J187" s="956"/>
      <c r="K187" s="956"/>
      <c r="L187" s="956"/>
      <c r="M187" s="956"/>
      <c r="N187" s="956"/>
      <c r="O187" s="956"/>
      <c r="P187" s="956"/>
      <c r="V187" s="957"/>
    </row>
    <row r="188" spans="5:22">
      <c r="E188" s="956"/>
      <c r="F188" s="956"/>
      <c r="G188" s="956"/>
      <c r="H188" s="956"/>
      <c r="I188" s="956"/>
      <c r="J188" s="956"/>
      <c r="K188" s="956"/>
      <c r="L188" s="956"/>
      <c r="M188" s="956"/>
      <c r="N188" s="956"/>
      <c r="O188" s="956"/>
      <c r="P188" s="956"/>
      <c r="V188" s="957"/>
    </row>
    <row r="189" spans="5:22">
      <c r="E189" s="956"/>
      <c r="F189" s="956"/>
      <c r="G189" s="956"/>
      <c r="H189" s="956"/>
      <c r="I189" s="956"/>
      <c r="J189" s="956"/>
      <c r="K189" s="956"/>
      <c r="L189" s="956"/>
      <c r="M189" s="956"/>
      <c r="N189" s="956"/>
      <c r="O189" s="956"/>
      <c r="P189" s="956"/>
      <c r="V189" s="957"/>
    </row>
    <row r="190" spans="5:22">
      <c r="E190" s="956"/>
      <c r="F190" s="956"/>
      <c r="G190" s="956"/>
      <c r="H190" s="956"/>
      <c r="I190" s="956"/>
      <c r="J190" s="956"/>
      <c r="K190" s="956"/>
      <c r="L190" s="956"/>
      <c r="M190" s="956"/>
      <c r="N190" s="956"/>
      <c r="O190" s="956"/>
      <c r="P190" s="956"/>
      <c r="V190" s="957"/>
    </row>
    <row r="191" spans="5:22">
      <c r="E191" s="956"/>
      <c r="F191" s="956"/>
      <c r="G191" s="956"/>
      <c r="H191" s="956"/>
      <c r="I191" s="956"/>
      <c r="J191" s="956"/>
      <c r="K191" s="956"/>
      <c r="L191" s="956"/>
      <c r="M191" s="956"/>
      <c r="N191" s="956"/>
      <c r="O191" s="956"/>
      <c r="P191" s="956"/>
      <c r="V191" s="957"/>
    </row>
    <row r="192" spans="5:22">
      <c r="E192" s="956"/>
      <c r="F192" s="956"/>
      <c r="G192" s="956"/>
      <c r="H192" s="956"/>
      <c r="I192" s="956"/>
      <c r="J192" s="956"/>
      <c r="K192" s="956"/>
      <c r="L192" s="956"/>
      <c r="M192" s="956"/>
      <c r="N192" s="956"/>
      <c r="O192" s="956"/>
      <c r="P192" s="956"/>
      <c r="V192" s="957"/>
    </row>
    <row r="193" spans="5:22">
      <c r="E193" s="956"/>
      <c r="F193" s="956"/>
      <c r="G193" s="956"/>
      <c r="H193" s="956"/>
      <c r="I193" s="956"/>
      <c r="J193" s="956"/>
      <c r="K193" s="956"/>
      <c r="L193" s="956"/>
      <c r="M193" s="956"/>
      <c r="N193" s="956"/>
      <c r="O193" s="956"/>
      <c r="P193" s="956"/>
      <c r="V193" s="957"/>
    </row>
    <row r="194" spans="5:22">
      <c r="E194" s="956"/>
      <c r="F194" s="956"/>
      <c r="G194" s="956"/>
      <c r="H194" s="956"/>
      <c r="I194" s="956"/>
      <c r="J194" s="956"/>
      <c r="K194" s="956"/>
      <c r="L194" s="956"/>
      <c r="M194" s="956"/>
      <c r="N194" s="956"/>
      <c r="O194" s="956"/>
      <c r="P194" s="956"/>
      <c r="V194" s="957"/>
    </row>
    <row r="195" spans="5:22">
      <c r="E195" s="956"/>
      <c r="F195" s="956"/>
      <c r="G195" s="956"/>
      <c r="H195" s="956"/>
      <c r="I195" s="956"/>
      <c r="J195" s="956"/>
      <c r="K195" s="956"/>
      <c r="L195" s="956"/>
      <c r="M195" s="956"/>
      <c r="N195" s="956"/>
      <c r="O195" s="956"/>
      <c r="P195" s="956"/>
      <c r="V195" s="957"/>
    </row>
    <row r="196" spans="5:22">
      <c r="E196" s="956"/>
      <c r="F196" s="956"/>
      <c r="G196" s="956"/>
      <c r="H196" s="956"/>
      <c r="I196" s="956"/>
      <c r="J196" s="956"/>
      <c r="K196" s="956"/>
      <c r="L196" s="956"/>
      <c r="M196" s="956"/>
      <c r="N196" s="956"/>
      <c r="O196" s="956"/>
      <c r="P196" s="956"/>
      <c r="V196" s="957"/>
    </row>
    <row r="197" spans="5:22">
      <c r="E197" s="956"/>
      <c r="F197" s="956"/>
      <c r="G197" s="956"/>
      <c r="H197" s="956"/>
      <c r="I197" s="956"/>
      <c r="J197" s="956"/>
      <c r="K197" s="956"/>
      <c r="L197" s="956"/>
      <c r="M197" s="956"/>
      <c r="N197" s="956"/>
      <c r="O197" s="956"/>
      <c r="P197" s="956"/>
      <c r="V197" s="957"/>
    </row>
    <row r="198" spans="5:22">
      <c r="E198" s="956"/>
      <c r="F198" s="956"/>
      <c r="G198" s="956"/>
      <c r="H198" s="956"/>
      <c r="I198" s="956"/>
      <c r="J198" s="956"/>
      <c r="K198" s="956"/>
      <c r="L198" s="956"/>
      <c r="M198" s="956"/>
      <c r="N198" s="956"/>
      <c r="O198" s="956"/>
      <c r="P198" s="956"/>
      <c r="V198" s="957"/>
    </row>
    <row r="199" spans="5:22">
      <c r="E199" s="956"/>
      <c r="F199" s="956"/>
      <c r="G199" s="956"/>
      <c r="H199" s="956"/>
      <c r="I199" s="956"/>
      <c r="J199" s="956"/>
      <c r="K199" s="956"/>
      <c r="L199" s="956"/>
      <c r="M199" s="956"/>
      <c r="N199" s="956"/>
      <c r="O199" s="956"/>
      <c r="P199" s="956"/>
      <c r="V199" s="957"/>
    </row>
    <row r="200" spans="5:22">
      <c r="E200" s="956"/>
      <c r="F200" s="956"/>
      <c r="G200" s="956"/>
      <c r="H200" s="956"/>
      <c r="I200" s="956"/>
      <c r="J200" s="956"/>
      <c r="K200" s="956"/>
      <c r="L200" s="956"/>
      <c r="M200" s="956"/>
      <c r="N200" s="956"/>
      <c r="O200" s="956"/>
      <c r="P200" s="956"/>
      <c r="V200" s="957"/>
    </row>
    <row r="201" spans="5:22">
      <c r="E201" s="956"/>
      <c r="F201" s="956"/>
      <c r="G201" s="956"/>
      <c r="H201" s="956"/>
      <c r="I201" s="956"/>
      <c r="J201" s="956"/>
      <c r="K201" s="956"/>
      <c r="L201" s="956"/>
      <c r="M201" s="956"/>
      <c r="N201" s="956"/>
      <c r="O201" s="956"/>
      <c r="P201" s="956"/>
      <c r="V201" s="957"/>
    </row>
    <row r="202" spans="5:22">
      <c r="E202" s="956"/>
      <c r="F202" s="956"/>
      <c r="G202" s="956"/>
      <c r="H202" s="956"/>
      <c r="I202" s="956"/>
      <c r="J202" s="956"/>
      <c r="K202" s="956"/>
      <c r="L202" s="956"/>
      <c r="M202" s="956"/>
      <c r="N202" s="956"/>
      <c r="O202" s="956"/>
      <c r="P202" s="956"/>
      <c r="V202" s="957"/>
    </row>
    <row r="203" spans="5:22">
      <c r="E203" s="956"/>
      <c r="F203" s="956"/>
      <c r="G203" s="956"/>
      <c r="H203" s="956"/>
      <c r="I203" s="956"/>
      <c r="J203" s="956"/>
      <c r="K203" s="956"/>
      <c r="L203" s="956"/>
      <c r="M203" s="956"/>
      <c r="N203" s="956"/>
      <c r="O203" s="956"/>
      <c r="P203" s="956"/>
      <c r="V203" s="957"/>
    </row>
    <row r="204" spans="5:22">
      <c r="E204" s="956"/>
      <c r="F204" s="956"/>
      <c r="G204" s="956"/>
      <c r="H204" s="956"/>
      <c r="I204" s="956"/>
      <c r="J204" s="956"/>
      <c r="K204" s="956"/>
      <c r="L204" s="956"/>
      <c r="M204" s="956"/>
      <c r="N204" s="956"/>
      <c r="O204" s="956"/>
      <c r="P204" s="956"/>
      <c r="V204" s="957"/>
    </row>
    <row r="205" spans="5:22">
      <c r="E205" s="956"/>
      <c r="F205" s="956"/>
      <c r="G205" s="956"/>
      <c r="H205" s="956"/>
      <c r="I205" s="956"/>
      <c r="J205" s="956"/>
      <c r="K205" s="956"/>
      <c r="L205" s="956"/>
      <c r="M205" s="956"/>
      <c r="N205" s="956"/>
      <c r="O205" s="956"/>
      <c r="P205" s="956"/>
      <c r="V205" s="957"/>
    </row>
    <row r="206" spans="5:22">
      <c r="E206" s="956"/>
      <c r="F206" s="956"/>
      <c r="G206" s="956"/>
      <c r="H206" s="956"/>
      <c r="I206" s="956"/>
      <c r="J206" s="956"/>
      <c r="K206" s="956"/>
      <c r="L206" s="956"/>
      <c r="M206" s="956"/>
      <c r="N206" s="956"/>
      <c r="O206" s="956"/>
      <c r="P206" s="956"/>
      <c r="V206" s="957"/>
    </row>
    <row r="207" spans="5:22">
      <c r="E207" s="956"/>
      <c r="F207" s="956"/>
      <c r="G207" s="956"/>
      <c r="H207" s="956"/>
      <c r="I207" s="956"/>
      <c r="J207" s="956"/>
      <c r="K207" s="956"/>
      <c r="L207" s="956"/>
      <c r="M207" s="956"/>
      <c r="N207" s="956"/>
      <c r="O207" s="956"/>
      <c r="P207" s="956"/>
      <c r="V207" s="957"/>
    </row>
    <row r="208" spans="5:22">
      <c r="E208" s="956"/>
      <c r="F208" s="956"/>
      <c r="G208" s="956"/>
      <c r="H208" s="956"/>
      <c r="I208" s="956"/>
      <c r="J208" s="956"/>
      <c r="K208" s="956"/>
      <c r="L208" s="956"/>
      <c r="M208" s="956"/>
      <c r="N208" s="956"/>
      <c r="O208" s="956"/>
      <c r="P208" s="956"/>
      <c r="V208" s="957"/>
    </row>
    <row r="209" spans="5:22">
      <c r="E209" s="956"/>
      <c r="F209" s="956"/>
      <c r="G209" s="956"/>
      <c r="H209" s="956"/>
      <c r="I209" s="956"/>
      <c r="J209" s="956"/>
      <c r="K209" s="956"/>
      <c r="L209" s="956"/>
      <c r="M209" s="956"/>
      <c r="N209" s="956"/>
      <c r="O209" s="956"/>
      <c r="P209" s="956"/>
      <c r="V209" s="957"/>
    </row>
    <row r="210" spans="5:22">
      <c r="E210" s="956"/>
      <c r="F210" s="956"/>
      <c r="G210" s="956"/>
      <c r="H210" s="956"/>
      <c r="I210" s="956"/>
      <c r="J210" s="956"/>
      <c r="K210" s="956"/>
      <c r="L210" s="956"/>
      <c r="M210" s="956"/>
      <c r="N210" s="956"/>
      <c r="O210" s="956"/>
      <c r="P210" s="956"/>
      <c r="V210" s="957"/>
    </row>
    <row r="211" spans="5:22">
      <c r="E211" s="956"/>
      <c r="F211" s="956"/>
      <c r="G211" s="956"/>
      <c r="H211" s="956"/>
      <c r="I211" s="956"/>
      <c r="J211" s="956"/>
      <c r="K211" s="956"/>
      <c r="L211" s="956"/>
      <c r="M211" s="956"/>
      <c r="N211" s="956"/>
      <c r="O211" s="956"/>
      <c r="P211" s="956"/>
      <c r="V211" s="957"/>
    </row>
    <row r="212" spans="5:22">
      <c r="E212" s="956"/>
      <c r="F212" s="956"/>
      <c r="G212" s="956"/>
      <c r="H212" s="956"/>
      <c r="I212" s="956"/>
      <c r="J212" s="956"/>
      <c r="K212" s="956"/>
      <c r="L212" s="956"/>
      <c r="M212" s="956"/>
      <c r="N212" s="956"/>
      <c r="O212" s="956"/>
      <c r="P212" s="956"/>
      <c r="V212" s="957"/>
    </row>
    <row r="213" spans="5:22">
      <c r="E213" s="956"/>
      <c r="F213" s="956"/>
      <c r="G213" s="956"/>
      <c r="H213" s="956"/>
      <c r="I213" s="956"/>
      <c r="J213" s="956"/>
      <c r="K213" s="956"/>
      <c r="L213" s="956"/>
      <c r="M213" s="956"/>
      <c r="N213" s="956"/>
      <c r="O213" s="956"/>
      <c r="P213" s="956"/>
      <c r="V213" s="957"/>
    </row>
    <row r="214" spans="5:22">
      <c r="E214" s="956"/>
      <c r="F214" s="956"/>
      <c r="G214" s="956"/>
      <c r="H214" s="956"/>
      <c r="I214" s="956"/>
      <c r="J214" s="956"/>
      <c r="K214" s="956"/>
      <c r="L214" s="956"/>
      <c r="M214" s="956"/>
      <c r="N214" s="956"/>
      <c r="O214" s="956"/>
      <c r="P214" s="956"/>
      <c r="V214" s="957"/>
    </row>
    <row r="215" spans="5:22">
      <c r="E215" s="956"/>
      <c r="F215" s="956"/>
      <c r="G215" s="956"/>
      <c r="H215" s="956"/>
      <c r="I215" s="956"/>
      <c r="J215" s="956"/>
      <c r="K215" s="956"/>
      <c r="L215" s="956"/>
      <c r="M215" s="956"/>
      <c r="N215" s="956"/>
      <c r="O215" s="956"/>
      <c r="P215" s="956"/>
      <c r="V215" s="957"/>
    </row>
    <row r="216" spans="5:22">
      <c r="E216" s="956"/>
      <c r="F216" s="956"/>
      <c r="G216" s="956"/>
      <c r="H216" s="956"/>
      <c r="I216" s="956"/>
      <c r="J216" s="956"/>
      <c r="K216" s="956"/>
      <c r="L216" s="956"/>
      <c r="M216" s="956"/>
      <c r="N216" s="956"/>
      <c r="O216" s="956"/>
      <c r="P216" s="956"/>
      <c r="V216" s="957"/>
    </row>
    <row r="217" spans="5:22">
      <c r="E217" s="956"/>
      <c r="F217" s="956"/>
      <c r="G217" s="956"/>
      <c r="H217" s="956"/>
      <c r="I217" s="956"/>
      <c r="J217" s="956"/>
      <c r="K217" s="956"/>
      <c r="L217" s="956"/>
      <c r="M217" s="956"/>
      <c r="N217" s="956"/>
      <c r="O217" s="956"/>
      <c r="P217" s="956"/>
      <c r="V217" s="957"/>
    </row>
    <row r="218" spans="5:22">
      <c r="E218" s="956"/>
      <c r="F218" s="956"/>
      <c r="G218" s="956"/>
      <c r="H218" s="956"/>
      <c r="I218" s="956"/>
      <c r="J218" s="956"/>
      <c r="K218" s="956"/>
      <c r="L218" s="956"/>
      <c r="M218" s="956"/>
      <c r="N218" s="956"/>
      <c r="O218" s="956"/>
      <c r="P218" s="956"/>
      <c r="V218" s="957"/>
    </row>
    <row r="219" spans="5:22">
      <c r="E219" s="956"/>
      <c r="F219" s="956"/>
      <c r="G219" s="956"/>
      <c r="H219" s="956"/>
      <c r="I219" s="956"/>
      <c r="J219" s="956"/>
      <c r="K219" s="956"/>
      <c r="L219" s="956"/>
      <c r="M219" s="956"/>
      <c r="N219" s="956"/>
      <c r="O219" s="956"/>
      <c r="P219" s="956"/>
      <c r="V219" s="957"/>
    </row>
    <row r="220" spans="5:22">
      <c r="E220" s="956"/>
      <c r="F220" s="956"/>
      <c r="G220" s="956"/>
      <c r="H220" s="956"/>
      <c r="I220" s="956"/>
      <c r="J220" s="956"/>
      <c r="K220" s="956"/>
      <c r="L220" s="956"/>
      <c r="M220" s="956"/>
      <c r="N220" s="956"/>
      <c r="O220" s="956"/>
      <c r="P220" s="956"/>
      <c r="V220" s="957"/>
    </row>
    <row r="221" spans="5:22">
      <c r="E221" s="956"/>
      <c r="F221" s="956"/>
      <c r="G221" s="956"/>
      <c r="H221" s="956"/>
      <c r="I221" s="956"/>
      <c r="J221" s="956"/>
      <c r="K221" s="956"/>
      <c r="L221" s="956"/>
      <c r="M221" s="956"/>
      <c r="N221" s="956"/>
      <c r="O221" s="956"/>
      <c r="P221" s="956"/>
      <c r="V221" s="957"/>
    </row>
    <row r="222" spans="5:22">
      <c r="E222" s="956"/>
      <c r="F222" s="956"/>
      <c r="G222" s="956"/>
      <c r="H222" s="956"/>
      <c r="I222" s="956"/>
      <c r="J222" s="956"/>
      <c r="K222" s="956"/>
      <c r="L222" s="956"/>
      <c r="M222" s="956"/>
      <c r="N222" s="956"/>
      <c r="O222" s="956"/>
      <c r="P222" s="956"/>
      <c r="V222" s="957"/>
    </row>
    <row r="223" spans="5:22">
      <c r="E223" s="956"/>
      <c r="F223" s="956"/>
      <c r="G223" s="956"/>
      <c r="H223" s="956"/>
      <c r="I223" s="956"/>
      <c r="J223" s="956"/>
      <c r="K223" s="956"/>
      <c r="L223" s="956"/>
      <c r="M223" s="956"/>
      <c r="N223" s="956"/>
      <c r="O223" s="956"/>
      <c r="P223" s="956"/>
      <c r="V223" s="957"/>
    </row>
    <row r="224" spans="5:22">
      <c r="E224" s="956"/>
      <c r="F224" s="956"/>
      <c r="G224" s="956"/>
      <c r="H224" s="956"/>
      <c r="I224" s="956"/>
      <c r="J224" s="956"/>
      <c r="K224" s="956"/>
      <c r="L224" s="956"/>
      <c r="M224" s="956"/>
      <c r="N224" s="956"/>
      <c r="O224" s="956"/>
      <c r="P224" s="956"/>
      <c r="V224" s="957"/>
    </row>
    <row r="225" spans="5:22">
      <c r="E225" s="956"/>
      <c r="F225" s="956"/>
      <c r="G225" s="956"/>
      <c r="H225" s="956"/>
      <c r="I225" s="956"/>
      <c r="J225" s="956"/>
      <c r="K225" s="956"/>
      <c r="L225" s="956"/>
      <c r="M225" s="956"/>
      <c r="N225" s="956"/>
      <c r="O225" s="956"/>
      <c r="P225" s="956"/>
      <c r="V225" s="957"/>
    </row>
    <row r="226" spans="5:22">
      <c r="E226" s="956"/>
      <c r="F226" s="956"/>
      <c r="G226" s="956"/>
      <c r="H226" s="956"/>
      <c r="I226" s="956"/>
      <c r="J226" s="956"/>
      <c r="K226" s="956"/>
      <c r="L226" s="956"/>
      <c r="M226" s="956"/>
      <c r="N226" s="956"/>
      <c r="O226" s="956"/>
      <c r="P226" s="956"/>
      <c r="V226" s="957"/>
    </row>
    <row r="227" spans="5:22">
      <c r="E227" s="956"/>
      <c r="F227" s="956"/>
      <c r="G227" s="956"/>
      <c r="H227" s="956"/>
      <c r="I227" s="956"/>
      <c r="J227" s="956"/>
      <c r="K227" s="956"/>
      <c r="L227" s="956"/>
      <c r="M227" s="956"/>
      <c r="N227" s="956"/>
      <c r="O227" s="956"/>
      <c r="P227" s="956"/>
      <c r="V227" s="957"/>
    </row>
    <row r="228" spans="5:22">
      <c r="E228" s="956"/>
      <c r="F228" s="956"/>
      <c r="G228" s="956"/>
      <c r="H228" s="956"/>
      <c r="I228" s="956"/>
      <c r="J228" s="956"/>
      <c r="K228" s="956"/>
      <c r="L228" s="956"/>
      <c r="M228" s="956"/>
      <c r="N228" s="956"/>
      <c r="O228" s="956"/>
      <c r="P228" s="956"/>
      <c r="V228" s="957"/>
    </row>
    <row r="229" spans="5:22">
      <c r="E229" s="956"/>
      <c r="F229" s="956"/>
      <c r="G229" s="956"/>
      <c r="H229" s="956"/>
      <c r="I229" s="956"/>
      <c r="J229" s="956"/>
      <c r="K229" s="956"/>
      <c r="L229" s="956"/>
      <c r="M229" s="956"/>
      <c r="N229" s="956"/>
      <c r="O229" s="956"/>
      <c r="P229" s="956"/>
      <c r="V229" s="957"/>
    </row>
    <row r="230" spans="5:22">
      <c r="E230" s="956"/>
      <c r="F230" s="956"/>
      <c r="G230" s="956"/>
      <c r="H230" s="956"/>
      <c r="I230" s="956"/>
      <c r="J230" s="956"/>
      <c r="K230" s="956"/>
      <c r="L230" s="956"/>
      <c r="M230" s="956"/>
      <c r="N230" s="956"/>
      <c r="O230" s="956"/>
      <c r="P230" s="956"/>
      <c r="V230" s="957"/>
    </row>
    <row r="231" spans="5:22">
      <c r="E231" s="956"/>
      <c r="F231" s="956"/>
      <c r="G231" s="956"/>
      <c r="H231" s="956"/>
      <c r="I231" s="956"/>
      <c r="J231" s="956"/>
      <c r="K231" s="956"/>
      <c r="L231" s="956"/>
      <c r="M231" s="956"/>
      <c r="N231" s="956"/>
      <c r="O231" s="956"/>
      <c r="P231" s="956"/>
      <c r="V231" s="957"/>
    </row>
    <row r="232" spans="5:22">
      <c r="E232" s="956"/>
      <c r="F232" s="956"/>
      <c r="G232" s="956"/>
      <c r="H232" s="956"/>
      <c r="I232" s="956"/>
      <c r="J232" s="956"/>
      <c r="K232" s="956"/>
      <c r="L232" s="956"/>
      <c r="M232" s="956"/>
      <c r="N232" s="956"/>
      <c r="O232" s="956"/>
      <c r="P232" s="956"/>
      <c r="V232" s="957"/>
    </row>
    <row r="233" spans="5:22">
      <c r="E233" s="956"/>
      <c r="F233" s="956"/>
      <c r="G233" s="956"/>
      <c r="H233" s="956"/>
      <c r="I233" s="956"/>
      <c r="J233" s="956"/>
      <c r="K233" s="956"/>
      <c r="L233" s="956"/>
      <c r="M233" s="956"/>
      <c r="N233" s="956"/>
      <c r="O233" s="956"/>
      <c r="P233" s="956"/>
      <c r="V233" s="957"/>
    </row>
    <row r="234" spans="5:22">
      <c r="E234" s="956"/>
      <c r="F234" s="956"/>
      <c r="G234" s="956"/>
      <c r="H234" s="956"/>
      <c r="I234" s="956"/>
      <c r="J234" s="956"/>
      <c r="K234" s="956"/>
      <c r="L234" s="956"/>
      <c r="M234" s="956"/>
      <c r="N234" s="956"/>
      <c r="O234" s="956"/>
      <c r="P234" s="956"/>
      <c r="V234" s="957"/>
    </row>
    <row r="235" spans="5:22">
      <c r="E235" s="956"/>
      <c r="F235" s="956"/>
      <c r="G235" s="956"/>
      <c r="H235" s="956"/>
      <c r="I235" s="956"/>
      <c r="J235" s="956"/>
      <c r="K235" s="956"/>
      <c r="L235" s="956"/>
      <c r="M235" s="956"/>
      <c r="N235" s="956"/>
      <c r="O235" s="956"/>
      <c r="P235" s="956"/>
      <c r="V235" s="957"/>
    </row>
    <row r="236" spans="5:22">
      <c r="E236" s="956"/>
      <c r="F236" s="956"/>
      <c r="G236" s="956"/>
      <c r="H236" s="956"/>
      <c r="I236" s="956"/>
      <c r="J236" s="956"/>
      <c r="K236" s="956"/>
      <c r="L236" s="956"/>
      <c r="M236" s="956"/>
      <c r="N236" s="956"/>
      <c r="O236" s="956"/>
      <c r="P236" s="956"/>
      <c r="V236" s="957"/>
    </row>
    <row r="237" spans="5:22">
      <c r="E237" s="956"/>
      <c r="F237" s="956"/>
      <c r="G237" s="956"/>
      <c r="H237" s="956"/>
      <c r="I237" s="956"/>
      <c r="J237" s="956"/>
      <c r="K237" s="956"/>
      <c r="L237" s="956"/>
      <c r="M237" s="956"/>
      <c r="N237" s="956"/>
      <c r="O237" s="956"/>
      <c r="P237" s="956"/>
      <c r="V237" s="957"/>
    </row>
    <row r="238" spans="5:22">
      <c r="E238" s="956"/>
      <c r="F238" s="956"/>
      <c r="G238" s="956"/>
      <c r="H238" s="956"/>
      <c r="I238" s="956"/>
      <c r="J238" s="956"/>
      <c r="K238" s="956"/>
      <c r="L238" s="956"/>
      <c r="M238" s="956"/>
      <c r="N238" s="956"/>
      <c r="O238" s="956"/>
      <c r="P238" s="956"/>
      <c r="V238" s="957"/>
    </row>
    <row r="239" spans="5:22">
      <c r="E239" s="956"/>
      <c r="F239" s="956"/>
      <c r="G239" s="956"/>
      <c r="H239" s="956"/>
      <c r="I239" s="956"/>
      <c r="J239" s="956"/>
      <c r="K239" s="956"/>
      <c r="L239" s="956"/>
      <c r="M239" s="956"/>
      <c r="N239" s="956"/>
      <c r="O239" s="956"/>
      <c r="P239" s="956"/>
      <c r="V239" s="957"/>
    </row>
    <row r="240" spans="5:22">
      <c r="E240" s="956"/>
      <c r="F240" s="956"/>
      <c r="G240" s="956"/>
      <c r="H240" s="956"/>
      <c r="I240" s="956"/>
      <c r="J240" s="956"/>
      <c r="K240" s="956"/>
      <c r="L240" s="956"/>
      <c r="M240" s="956"/>
      <c r="N240" s="956"/>
      <c r="O240" s="956"/>
      <c r="P240" s="956"/>
      <c r="V240" s="957"/>
    </row>
    <row r="241" spans="5:22">
      <c r="E241" s="956"/>
      <c r="F241" s="956"/>
      <c r="G241" s="956"/>
      <c r="H241" s="956"/>
      <c r="I241" s="956"/>
      <c r="J241" s="956"/>
      <c r="K241" s="956"/>
      <c r="L241" s="956"/>
      <c r="M241" s="956"/>
      <c r="N241" s="956"/>
      <c r="O241" s="956"/>
      <c r="P241" s="956"/>
      <c r="V241" s="957"/>
    </row>
    <row r="242" spans="5:22">
      <c r="E242" s="956"/>
      <c r="F242" s="956"/>
      <c r="G242" s="956"/>
      <c r="H242" s="956"/>
      <c r="I242" s="956"/>
      <c r="J242" s="956"/>
      <c r="K242" s="956"/>
      <c r="L242" s="956"/>
      <c r="M242" s="956"/>
      <c r="N242" s="956"/>
      <c r="O242" s="956"/>
      <c r="P242" s="956"/>
      <c r="V242" s="957"/>
    </row>
    <row r="243" spans="5:22">
      <c r="E243" s="956"/>
      <c r="F243" s="956"/>
      <c r="G243" s="956"/>
      <c r="H243" s="956"/>
      <c r="I243" s="956"/>
      <c r="J243" s="956"/>
      <c r="K243" s="956"/>
      <c r="L243" s="956"/>
      <c r="M243" s="956"/>
      <c r="N243" s="956"/>
      <c r="O243" s="956"/>
      <c r="P243" s="956"/>
      <c r="V243" s="957"/>
    </row>
    <row r="244" spans="5:22">
      <c r="E244" s="956"/>
      <c r="F244" s="956"/>
      <c r="G244" s="956"/>
      <c r="H244" s="956"/>
      <c r="I244" s="956"/>
      <c r="J244" s="956"/>
      <c r="K244" s="956"/>
      <c r="L244" s="956"/>
      <c r="M244" s="956"/>
      <c r="N244" s="956"/>
      <c r="O244" s="956"/>
      <c r="P244" s="956"/>
      <c r="V244" s="957"/>
    </row>
    <row r="245" spans="5:22">
      <c r="E245" s="956"/>
      <c r="F245" s="956"/>
      <c r="G245" s="956"/>
      <c r="H245" s="956"/>
      <c r="I245" s="956"/>
      <c r="J245" s="956"/>
      <c r="K245" s="956"/>
      <c r="L245" s="956"/>
      <c r="M245" s="956"/>
      <c r="N245" s="956"/>
      <c r="O245" s="956"/>
      <c r="P245" s="956"/>
      <c r="V245" s="957"/>
    </row>
    <row r="246" spans="5:22">
      <c r="E246" s="956"/>
      <c r="F246" s="956"/>
      <c r="G246" s="956"/>
      <c r="H246" s="956"/>
      <c r="I246" s="956"/>
      <c r="J246" s="956"/>
      <c r="K246" s="956"/>
      <c r="L246" s="956"/>
      <c r="M246" s="956"/>
      <c r="N246" s="956"/>
      <c r="O246" s="956"/>
      <c r="P246" s="956"/>
      <c r="V246" s="957"/>
    </row>
    <row r="247" spans="5:22">
      <c r="E247" s="956"/>
      <c r="F247" s="956"/>
      <c r="G247" s="956"/>
      <c r="H247" s="956"/>
      <c r="I247" s="956"/>
      <c r="J247" s="956"/>
      <c r="K247" s="956"/>
      <c r="L247" s="956"/>
      <c r="M247" s="956"/>
      <c r="N247" s="956"/>
      <c r="O247" s="956"/>
      <c r="P247" s="956"/>
      <c r="V247" s="957"/>
    </row>
    <row r="248" spans="5:22">
      <c r="E248" s="956"/>
      <c r="F248" s="956"/>
      <c r="G248" s="956"/>
      <c r="H248" s="956"/>
      <c r="I248" s="956"/>
      <c r="J248" s="956"/>
      <c r="K248" s="956"/>
      <c r="L248" s="956"/>
      <c r="M248" s="956"/>
      <c r="N248" s="956"/>
      <c r="O248" s="956"/>
      <c r="P248" s="956"/>
      <c r="V248" s="957"/>
    </row>
    <row r="249" spans="5:22">
      <c r="E249" s="956"/>
      <c r="F249" s="956"/>
      <c r="G249" s="956"/>
      <c r="H249" s="956"/>
      <c r="I249" s="956"/>
      <c r="J249" s="956"/>
      <c r="K249" s="956"/>
      <c r="L249" s="956"/>
      <c r="M249" s="956"/>
      <c r="N249" s="956"/>
      <c r="O249" s="956"/>
      <c r="P249" s="956"/>
      <c r="V249" s="957"/>
    </row>
    <row r="250" spans="5:22">
      <c r="E250" s="956"/>
      <c r="F250" s="956"/>
      <c r="G250" s="956"/>
      <c r="H250" s="956"/>
      <c r="I250" s="956"/>
      <c r="J250" s="956"/>
      <c r="K250" s="956"/>
      <c r="L250" s="956"/>
      <c r="M250" s="956"/>
      <c r="N250" s="956"/>
      <c r="O250" s="956"/>
      <c r="P250" s="956"/>
      <c r="V250" s="957"/>
    </row>
    <row r="251" spans="5:22">
      <c r="E251" s="956"/>
      <c r="F251" s="956"/>
      <c r="G251" s="956"/>
      <c r="H251" s="956"/>
      <c r="I251" s="956"/>
      <c r="J251" s="956"/>
      <c r="K251" s="956"/>
      <c r="L251" s="956"/>
      <c r="M251" s="956"/>
      <c r="N251" s="956"/>
      <c r="O251" s="956"/>
      <c r="P251" s="956"/>
      <c r="V251" s="957"/>
    </row>
    <row r="252" spans="5:22">
      <c r="E252" s="956"/>
      <c r="F252" s="956"/>
      <c r="G252" s="956"/>
      <c r="H252" s="956"/>
      <c r="I252" s="956"/>
      <c r="J252" s="956"/>
      <c r="K252" s="956"/>
      <c r="L252" s="956"/>
      <c r="M252" s="956"/>
      <c r="N252" s="956"/>
      <c r="O252" s="956"/>
      <c r="P252" s="956"/>
      <c r="V252" s="957"/>
    </row>
    <row r="253" spans="5:22">
      <c r="E253" s="956"/>
      <c r="F253" s="956"/>
      <c r="G253" s="956"/>
      <c r="H253" s="956"/>
      <c r="I253" s="956"/>
      <c r="J253" s="956"/>
      <c r="K253" s="956"/>
      <c r="L253" s="956"/>
      <c r="M253" s="956"/>
      <c r="N253" s="956"/>
      <c r="O253" s="956"/>
      <c r="P253" s="956"/>
      <c r="V253" s="957"/>
    </row>
    <row r="254" spans="5:22">
      <c r="E254" s="956"/>
      <c r="F254" s="956"/>
      <c r="G254" s="956"/>
      <c r="H254" s="956"/>
      <c r="I254" s="956"/>
      <c r="J254" s="956"/>
      <c r="K254" s="956"/>
      <c r="L254" s="956"/>
      <c r="M254" s="956"/>
      <c r="N254" s="956"/>
      <c r="O254" s="956"/>
      <c r="P254" s="956"/>
      <c r="V254" s="957"/>
    </row>
    <row r="255" spans="5:22">
      <c r="E255" s="956"/>
      <c r="F255" s="956"/>
      <c r="G255" s="956"/>
      <c r="H255" s="956"/>
      <c r="I255" s="956"/>
      <c r="J255" s="956"/>
      <c r="K255" s="956"/>
      <c r="L255" s="956"/>
      <c r="M255" s="956"/>
      <c r="N255" s="956"/>
      <c r="O255" s="956"/>
      <c r="P255" s="956"/>
      <c r="V255" s="957"/>
    </row>
    <row r="256" spans="5:22">
      <c r="E256" s="956"/>
      <c r="F256" s="956"/>
      <c r="G256" s="956"/>
      <c r="H256" s="956"/>
      <c r="I256" s="956"/>
      <c r="J256" s="956"/>
      <c r="K256" s="956"/>
      <c r="L256" s="956"/>
      <c r="M256" s="956"/>
      <c r="N256" s="956"/>
      <c r="O256" s="956"/>
      <c r="P256" s="956"/>
      <c r="V256" s="957"/>
    </row>
    <row r="257" spans="5:22">
      <c r="E257" s="956"/>
      <c r="F257" s="956"/>
      <c r="G257" s="956"/>
      <c r="H257" s="956"/>
      <c r="I257" s="956"/>
      <c r="J257" s="956"/>
      <c r="K257" s="956"/>
      <c r="L257" s="956"/>
      <c r="M257" s="956"/>
      <c r="N257" s="956"/>
      <c r="O257" s="956"/>
      <c r="P257" s="956"/>
      <c r="V257" s="957"/>
    </row>
    <row r="258" spans="5:22">
      <c r="E258" s="956"/>
      <c r="F258" s="956"/>
      <c r="G258" s="956"/>
      <c r="H258" s="956"/>
      <c r="I258" s="956"/>
      <c r="J258" s="956"/>
      <c r="K258" s="956"/>
      <c r="L258" s="956"/>
      <c r="M258" s="956"/>
      <c r="N258" s="956"/>
      <c r="O258" s="956"/>
      <c r="P258" s="956"/>
      <c r="V258" s="957"/>
    </row>
    <row r="259" spans="5:22">
      <c r="E259" s="956"/>
      <c r="F259" s="956"/>
      <c r="G259" s="956"/>
      <c r="H259" s="956"/>
      <c r="I259" s="956"/>
      <c r="J259" s="956"/>
      <c r="K259" s="956"/>
      <c r="L259" s="956"/>
      <c r="M259" s="956"/>
      <c r="N259" s="956"/>
      <c r="O259" s="956"/>
      <c r="P259" s="956"/>
      <c r="V259" s="957"/>
    </row>
    <row r="260" spans="5:22">
      <c r="E260" s="956"/>
      <c r="F260" s="956"/>
      <c r="G260" s="956"/>
      <c r="H260" s="956"/>
      <c r="I260" s="956"/>
      <c r="J260" s="956"/>
      <c r="K260" s="956"/>
      <c r="L260" s="956"/>
      <c r="M260" s="956"/>
      <c r="N260" s="956"/>
      <c r="O260" s="956"/>
      <c r="P260" s="956"/>
      <c r="V260" s="957"/>
    </row>
    <row r="261" spans="5:22">
      <c r="E261" s="956"/>
      <c r="F261" s="956"/>
      <c r="G261" s="956"/>
      <c r="H261" s="956"/>
      <c r="I261" s="956"/>
      <c r="J261" s="956"/>
      <c r="K261" s="956"/>
      <c r="L261" s="956"/>
      <c r="M261" s="956"/>
      <c r="N261" s="956"/>
      <c r="O261" s="956"/>
      <c r="P261" s="956"/>
      <c r="V261" s="957"/>
    </row>
    <row r="262" spans="5:22">
      <c r="E262" s="956"/>
      <c r="F262" s="956"/>
      <c r="G262" s="956"/>
      <c r="H262" s="956"/>
      <c r="I262" s="956"/>
      <c r="J262" s="956"/>
      <c r="K262" s="956"/>
      <c r="L262" s="956"/>
      <c r="M262" s="956"/>
      <c r="N262" s="956"/>
      <c r="O262" s="956"/>
      <c r="P262" s="956"/>
      <c r="V262" s="957"/>
    </row>
    <row r="263" spans="5:22">
      <c r="E263" s="956"/>
      <c r="F263" s="956"/>
      <c r="G263" s="956"/>
      <c r="H263" s="956"/>
      <c r="I263" s="956"/>
      <c r="J263" s="956"/>
      <c r="K263" s="956"/>
      <c r="L263" s="956"/>
      <c r="M263" s="956"/>
      <c r="N263" s="956"/>
      <c r="O263" s="956"/>
      <c r="P263" s="956"/>
      <c r="V263" s="957"/>
    </row>
    <row r="264" spans="5:22">
      <c r="E264" s="956"/>
      <c r="F264" s="956"/>
      <c r="G264" s="956"/>
      <c r="H264" s="956"/>
      <c r="I264" s="956"/>
      <c r="J264" s="956"/>
      <c r="K264" s="956"/>
      <c r="L264" s="956"/>
      <c r="M264" s="956"/>
      <c r="N264" s="956"/>
      <c r="O264" s="956"/>
      <c r="P264" s="956"/>
      <c r="V264" s="957"/>
    </row>
    <row r="265" spans="5:22">
      <c r="E265" s="956"/>
      <c r="F265" s="956"/>
      <c r="G265" s="956"/>
      <c r="H265" s="956"/>
      <c r="I265" s="956"/>
      <c r="J265" s="956"/>
      <c r="K265" s="956"/>
      <c r="L265" s="956"/>
      <c r="M265" s="956"/>
      <c r="N265" s="956"/>
      <c r="O265" s="956"/>
      <c r="P265" s="956"/>
      <c r="V265" s="957"/>
    </row>
    <row r="266" spans="5:22">
      <c r="E266" s="956"/>
      <c r="F266" s="956"/>
      <c r="G266" s="956"/>
      <c r="H266" s="956"/>
      <c r="I266" s="956"/>
      <c r="J266" s="956"/>
      <c r="K266" s="956"/>
      <c r="L266" s="956"/>
      <c r="M266" s="956"/>
      <c r="N266" s="956"/>
      <c r="O266" s="956"/>
      <c r="P266" s="956"/>
      <c r="V266" s="957"/>
    </row>
    <row r="267" spans="5:22">
      <c r="E267" s="956"/>
      <c r="F267" s="956"/>
      <c r="G267" s="956"/>
      <c r="H267" s="956"/>
      <c r="I267" s="956"/>
      <c r="J267" s="956"/>
      <c r="K267" s="956"/>
      <c r="L267" s="956"/>
      <c r="M267" s="956"/>
      <c r="N267" s="956"/>
      <c r="O267" s="956"/>
      <c r="P267" s="956"/>
      <c r="V267" s="957"/>
    </row>
    <row r="268" spans="5:22">
      <c r="E268" s="956"/>
      <c r="F268" s="956"/>
      <c r="G268" s="956"/>
      <c r="H268" s="956"/>
      <c r="I268" s="956"/>
      <c r="J268" s="956"/>
      <c r="K268" s="956"/>
      <c r="L268" s="956"/>
      <c r="M268" s="956"/>
      <c r="N268" s="956"/>
      <c r="O268" s="956"/>
      <c r="P268" s="956"/>
      <c r="V268" s="957"/>
    </row>
    <row r="269" spans="5:22">
      <c r="E269" s="956"/>
      <c r="F269" s="956"/>
      <c r="G269" s="956"/>
      <c r="H269" s="956"/>
      <c r="I269" s="956"/>
      <c r="J269" s="956"/>
      <c r="K269" s="956"/>
      <c r="L269" s="956"/>
      <c r="M269" s="956"/>
      <c r="N269" s="956"/>
      <c r="O269" s="956"/>
      <c r="P269" s="956"/>
      <c r="V269" s="957"/>
    </row>
    <row r="270" spans="5:22">
      <c r="E270" s="956"/>
      <c r="F270" s="956"/>
      <c r="G270" s="956"/>
      <c r="H270" s="956"/>
      <c r="I270" s="956"/>
      <c r="J270" s="956"/>
      <c r="K270" s="956"/>
      <c r="L270" s="956"/>
      <c r="M270" s="956"/>
      <c r="N270" s="956"/>
      <c r="O270" s="956"/>
      <c r="P270" s="956"/>
      <c r="V270" s="957"/>
    </row>
    <row r="271" spans="5:22">
      <c r="E271" s="956"/>
      <c r="F271" s="956"/>
      <c r="G271" s="956"/>
      <c r="H271" s="956"/>
      <c r="I271" s="956"/>
      <c r="J271" s="956"/>
      <c r="K271" s="956"/>
      <c r="L271" s="956"/>
      <c r="M271" s="956"/>
      <c r="N271" s="956"/>
      <c r="O271" s="956"/>
      <c r="P271" s="956"/>
      <c r="V271" s="957"/>
    </row>
    <row r="272" spans="5:22">
      <c r="E272" s="956"/>
      <c r="F272" s="956"/>
      <c r="G272" s="956"/>
      <c r="H272" s="956"/>
      <c r="I272" s="956"/>
      <c r="J272" s="956"/>
      <c r="K272" s="956"/>
      <c r="L272" s="956"/>
      <c r="M272" s="956"/>
      <c r="N272" s="956"/>
      <c r="O272" s="956"/>
      <c r="P272" s="956"/>
      <c r="V272" s="957"/>
    </row>
    <row r="273" spans="5:22">
      <c r="E273" s="956"/>
      <c r="F273" s="956"/>
      <c r="G273" s="956"/>
      <c r="H273" s="956"/>
      <c r="I273" s="956"/>
      <c r="J273" s="956"/>
      <c r="K273" s="956"/>
      <c r="L273" s="956"/>
      <c r="M273" s="956"/>
      <c r="N273" s="956"/>
      <c r="O273" s="956"/>
      <c r="P273" s="956"/>
      <c r="V273" s="957"/>
    </row>
    <row r="274" spans="5:22">
      <c r="E274" s="956"/>
      <c r="F274" s="956"/>
      <c r="G274" s="956"/>
      <c r="H274" s="956"/>
      <c r="I274" s="956"/>
      <c r="J274" s="956"/>
      <c r="K274" s="956"/>
      <c r="L274" s="956"/>
      <c r="M274" s="956"/>
      <c r="N274" s="956"/>
      <c r="O274" s="956"/>
      <c r="P274" s="956"/>
      <c r="V274" s="957"/>
    </row>
    <row r="275" spans="5:22">
      <c r="E275" s="956"/>
      <c r="F275" s="956"/>
      <c r="G275" s="956"/>
      <c r="H275" s="956"/>
      <c r="I275" s="956"/>
      <c r="J275" s="956"/>
      <c r="K275" s="956"/>
      <c r="L275" s="956"/>
      <c r="M275" s="956"/>
      <c r="N275" s="956"/>
      <c r="O275" s="956"/>
      <c r="P275" s="956"/>
      <c r="V275" s="957"/>
    </row>
    <row r="276" spans="5:22">
      <c r="E276" s="956"/>
      <c r="F276" s="956"/>
      <c r="G276" s="956"/>
      <c r="H276" s="956"/>
      <c r="I276" s="956"/>
      <c r="J276" s="956"/>
      <c r="K276" s="956"/>
      <c r="L276" s="956"/>
      <c r="M276" s="956"/>
      <c r="N276" s="956"/>
      <c r="O276" s="956"/>
      <c r="P276" s="956"/>
      <c r="V276" s="957"/>
    </row>
    <row r="277" spans="5:22">
      <c r="E277" s="956"/>
      <c r="F277" s="956"/>
      <c r="G277" s="956"/>
      <c r="H277" s="956"/>
      <c r="I277" s="956"/>
      <c r="J277" s="956"/>
      <c r="K277" s="956"/>
      <c r="L277" s="956"/>
      <c r="M277" s="956"/>
      <c r="N277" s="956"/>
      <c r="O277" s="956"/>
      <c r="P277" s="956"/>
      <c r="V277" s="957"/>
    </row>
    <row r="278" spans="5:22">
      <c r="E278" s="956"/>
      <c r="F278" s="956"/>
      <c r="G278" s="956"/>
      <c r="H278" s="956"/>
      <c r="I278" s="956"/>
      <c r="J278" s="956"/>
      <c r="K278" s="956"/>
      <c r="L278" s="956"/>
      <c r="M278" s="956"/>
      <c r="N278" s="956"/>
      <c r="O278" s="956"/>
      <c r="P278" s="956"/>
      <c r="V278" s="957"/>
    </row>
    <row r="279" spans="5:22">
      <c r="E279" s="956"/>
      <c r="F279" s="956"/>
      <c r="G279" s="956"/>
      <c r="H279" s="956"/>
      <c r="I279" s="956"/>
      <c r="J279" s="956"/>
      <c r="K279" s="956"/>
      <c r="L279" s="956"/>
      <c r="M279" s="956"/>
      <c r="N279" s="956"/>
      <c r="O279" s="956"/>
      <c r="P279" s="956"/>
      <c r="V279" s="957"/>
    </row>
    <row r="280" spans="5:22">
      <c r="E280" s="956"/>
      <c r="F280" s="956"/>
      <c r="G280" s="956"/>
      <c r="H280" s="956"/>
      <c r="I280" s="956"/>
      <c r="J280" s="956"/>
      <c r="K280" s="956"/>
      <c r="L280" s="956"/>
      <c r="M280" s="956"/>
      <c r="N280" s="956"/>
      <c r="O280" s="956"/>
      <c r="P280" s="956"/>
      <c r="V280" s="957"/>
    </row>
    <row r="281" spans="5:22">
      <c r="E281" s="956"/>
      <c r="F281" s="956"/>
      <c r="G281" s="956"/>
      <c r="H281" s="956"/>
      <c r="I281" s="956"/>
      <c r="J281" s="956"/>
      <c r="K281" s="956"/>
      <c r="L281" s="956"/>
      <c r="M281" s="956"/>
      <c r="N281" s="956"/>
      <c r="O281" s="956"/>
      <c r="P281" s="956"/>
      <c r="V281" s="957"/>
    </row>
    <row r="282" spans="5:22">
      <c r="E282" s="956"/>
      <c r="F282" s="956"/>
      <c r="G282" s="956"/>
      <c r="H282" s="956"/>
      <c r="I282" s="956"/>
      <c r="J282" s="956"/>
      <c r="K282" s="956"/>
      <c r="L282" s="956"/>
      <c r="M282" s="956"/>
      <c r="N282" s="956"/>
      <c r="O282" s="956"/>
      <c r="P282" s="956"/>
      <c r="V282" s="957"/>
    </row>
    <row r="283" spans="5:22">
      <c r="E283" s="956"/>
      <c r="F283" s="956"/>
      <c r="G283" s="956"/>
      <c r="H283" s="956"/>
      <c r="I283" s="956"/>
      <c r="J283" s="956"/>
      <c r="K283" s="956"/>
      <c r="L283" s="956"/>
      <c r="M283" s="956"/>
      <c r="N283" s="956"/>
      <c r="O283" s="956"/>
      <c r="P283" s="956"/>
      <c r="V283" s="957"/>
    </row>
    <row r="284" spans="5:22">
      <c r="E284" s="956"/>
      <c r="F284" s="956"/>
      <c r="G284" s="956"/>
      <c r="H284" s="956"/>
      <c r="I284" s="956"/>
      <c r="J284" s="956"/>
      <c r="K284" s="956"/>
      <c r="L284" s="956"/>
      <c r="M284" s="956"/>
      <c r="N284" s="956"/>
      <c r="O284" s="956"/>
      <c r="P284" s="956"/>
      <c r="V284" s="957"/>
    </row>
    <row r="285" spans="5:22">
      <c r="E285" s="956"/>
      <c r="F285" s="956"/>
      <c r="G285" s="956"/>
      <c r="H285" s="956"/>
      <c r="I285" s="956"/>
      <c r="J285" s="956"/>
      <c r="K285" s="956"/>
      <c r="L285" s="956"/>
      <c r="M285" s="956"/>
      <c r="N285" s="956"/>
      <c r="O285" s="956"/>
      <c r="P285" s="956"/>
      <c r="V285" s="957"/>
    </row>
    <row r="286" spans="5:22">
      <c r="E286" s="956"/>
      <c r="F286" s="956"/>
      <c r="G286" s="956"/>
      <c r="H286" s="956"/>
      <c r="I286" s="956"/>
      <c r="J286" s="956"/>
      <c r="K286" s="956"/>
      <c r="L286" s="956"/>
      <c r="M286" s="956"/>
      <c r="N286" s="956"/>
      <c r="O286" s="956"/>
      <c r="P286" s="956"/>
      <c r="V286" s="957"/>
    </row>
    <row r="287" spans="5:22">
      <c r="E287" s="956"/>
      <c r="F287" s="956"/>
      <c r="G287" s="956"/>
      <c r="H287" s="956"/>
      <c r="I287" s="956"/>
      <c r="J287" s="956"/>
      <c r="K287" s="956"/>
      <c r="L287" s="956"/>
      <c r="M287" s="956"/>
      <c r="N287" s="956"/>
      <c r="O287" s="956"/>
      <c r="P287" s="956"/>
      <c r="V287" s="957"/>
    </row>
    <row r="288" spans="5:22">
      <c r="E288" s="956"/>
      <c r="F288" s="956"/>
      <c r="G288" s="956"/>
      <c r="H288" s="956"/>
      <c r="I288" s="956"/>
      <c r="J288" s="956"/>
      <c r="K288" s="956"/>
      <c r="L288" s="956"/>
      <c r="M288" s="956"/>
      <c r="N288" s="956"/>
      <c r="O288" s="956"/>
      <c r="P288" s="956"/>
      <c r="V288" s="957"/>
    </row>
    <row r="289" spans="5:22">
      <c r="E289" s="956"/>
      <c r="F289" s="956"/>
      <c r="G289" s="956"/>
      <c r="H289" s="956"/>
      <c r="I289" s="956"/>
      <c r="J289" s="956"/>
      <c r="K289" s="956"/>
      <c r="L289" s="956"/>
      <c r="M289" s="956"/>
      <c r="N289" s="956"/>
      <c r="O289" s="956"/>
      <c r="P289" s="956"/>
      <c r="V289" s="957"/>
    </row>
    <row r="290" spans="5:22">
      <c r="E290" s="956"/>
      <c r="F290" s="956"/>
      <c r="G290" s="956"/>
      <c r="H290" s="956"/>
      <c r="I290" s="956"/>
      <c r="J290" s="956"/>
      <c r="K290" s="956"/>
      <c r="L290" s="956"/>
      <c r="M290" s="956"/>
      <c r="N290" s="956"/>
      <c r="O290" s="956"/>
      <c r="P290" s="956"/>
      <c r="V290" s="957"/>
    </row>
    <row r="291" spans="5:22">
      <c r="E291" s="956"/>
      <c r="F291" s="956"/>
      <c r="G291" s="956"/>
      <c r="H291" s="956"/>
      <c r="I291" s="956"/>
      <c r="J291" s="956"/>
      <c r="K291" s="956"/>
      <c r="L291" s="956"/>
      <c r="M291" s="956"/>
      <c r="N291" s="956"/>
      <c r="O291" s="956"/>
      <c r="P291" s="956"/>
      <c r="V291" s="957"/>
    </row>
    <row r="292" spans="5:22">
      <c r="E292" s="956"/>
      <c r="F292" s="956"/>
      <c r="G292" s="956"/>
      <c r="H292" s="956"/>
      <c r="I292" s="956"/>
      <c r="J292" s="956"/>
      <c r="K292" s="956"/>
      <c r="L292" s="956"/>
      <c r="M292" s="956"/>
      <c r="N292" s="956"/>
      <c r="O292" s="956"/>
      <c r="P292" s="956"/>
      <c r="V292" s="957"/>
    </row>
    <row r="293" spans="5:22">
      <c r="E293" s="956"/>
      <c r="F293" s="956"/>
      <c r="G293" s="956"/>
      <c r="H293" s="956"/>
      <c r="I293" s="956"/>
      <c r="J293" s="956"/>
      <c r="K293" s="956"/>
      <c r="L293" s="956"/>
      <c r="M293" s="956"/>
      <c r="N293" s="956"/>
      <c r="O293" s="956"/>
      <c r="P293" s="956"/>
      <c r="V293" s="957"/>
    </row>
    <row r="294" spans="5:22">
      <c r="E294" s="956"/>
      <c r="F294" s="956"/>
      <c r="G294" s="956"/>
      <c r="H294" s="956"/>
      <c r="I294" s="956"/>
      <c r="J294" s="956"/>
      <c r="K294" s="956"/>
      <c r="L294" s="956"/>
      <c r="M294" s="956"/>
      <c r="N294" s="956"/>
      <c r="O294" s="956"/>
      <c r="P294" s="956"/>
      <c r="V294" s="957"/>
    </row>
    <row r="295" spans="5:22">
      <c r="E295" s="956"/>
      <c r="F295" s="956"/>
      <c r="G295" s="956"/>
      <c r="H295" s="956"/>
      <c r="I295" s="956"/>
      <c r="J295" s="956"/>
      <c r="K295" s="956"/>
      <c r="L295" s="956"/>
      <c r="M295" s="956"/>
      <c r="N295" s="956"/>
      <c r="O295" s="956"/>
      <c r="P295" s="956"/>
      <c r="V295" s="957"/>
    </row>
    <row r="296" spans="5:22">
      <c r="E296" s="956"/>
      <c r="F296" s="956"/>
      <c r="G296" s="956"/>
      <c r="H296" s="956"/>
      <c r="I296" s="956"/>
      <c r="J296" s="956"/>
      <c r="K296" s="956"/>
      <c r="L296" s="956"/>
      <c r="M296" s="956"/>
      <c r="N296" s="956"/>
      <c r="O296" s="956"/>
      <c r="P296" s="956"/>
      <c r="V296" s="957"/>
    </row>
    <row r="297" spans="5:22">
      <c r="E297" s="956"/>
      <c r="F297" s="956"/>
      <c r="G297" s="956"/>
      <c r="H297" s="956"/>
      <c r="I297" s="956"/>
      <c r="J297" s="956"/>
      <c r="K297" s="956"/>
      <c r="L297" s="956"/>
      <c r="M297" s="956"/>
      <c r="N297" s="956"/>
      <c r="O297" s="956"/>
      <c r="P297" s="956"/>
      <c r="V297" s="957"/>
    </row>
    <row r="298" spans="5:22">
      <c r="E298" s="956"/>
      <c r="F298" s="956"/>
      <c r="G298" s="956"/>
      <c r="H298" s="956"/>
      <c r="I298" s="956"/>
      <c r="J298" s="956"/>
      <c r="K298" s="956"/>
      <c r="L298" s="956"/>
      <c r="M298" s="956"/>
      <c r="N298" s="956"/>
      <c r="O298" s="956"/>
      <c r="P298" s="956"/>
      <c r="V298" s="957"/>
    </row>
    <row r="299" spans="5:22">
      <c r="E299" s="956"/>
      <c r="F299" s="956"/>
      <c r="G299" s="956"/>
      <c r="H299" s="956"/>
      <c r="I299" s="956"/>
      <c r="J299" s="956"/>
      <c r="K299" s="956"/>
      <c r="L299" s="956"/>
      <c r="M299" s="956"/>
      <c r="N299" s="956"/>
      <c r="O299" s="956"/>
      <c r="P299" s="956"/>
      <c r="V299" s="957"/>
    </row>
    <row r="300" spans="5:22">
      <c r="E300" s="956"/>
      <c r="F300" s="956"/>
      <c r="G300" s="956"/>
      <c r="H300" s="956"/>
      <c r="I300" s="956"/>
      <c r="J300" s="956"/>
      <c r="K300" s="956"/>
      <c r="L300" s="956"/>
      <c r="M300" s="956"/>
      <c r="N300" s="956"/>
      <c r="O300" s="956"/>
      <c r="P300" s="956"/>
      <c r="V300" s="957"/>
    </row>
    <row r="301" spans="5:22">
      <c r="E301" s="956"/>
      <c r="F301" s="956"/>
      <c r="G301" s="956"/>
      <c r="H301" s="956"/>
      <c r="I301" s="956"/>
      <c r="J301" s="956"/>
      <c r="K301" s="956"/>
      <c r="L301" s="956"/>
      <c r="M301" s="956"/>
      <c r="N301" s="956"/>
      <c r="O301" s="956"/>
      <c r="P301" s="956"/>
      <c r="V301" s="957"/>
    </row>
    <row r="302" spans="5:22">
      <c r="E302" s="956"/>
      <c r="F302" s="956"/>
      <c r="G302" s="956"/>
      <c r="H302" s="956"/>
      <c r="I302" s="956"/>
      <c r="J302" s="956"/>
      <c r="K302" s="956"/>
      <c r="L302" s="956"/>
      <c r="M302" s="956"/>
      <c r="N302" s="956"/>
      <c r="O302" s="956"/>
      <c r="P302" s="956"/>
      <c r="V302" s="957"/>
    </row>
    <row r="303" spans="5:22">
      <c r="E303" s="956"/>
      <c r="F303" s="956"/>
      <c r="G303" s="956"/>
      <c r="H303" s="956"/>
      <c r="I303" s="956"/>
      <c r="J303" s="956"/>
      <c r="K303" s="956"/>
      <c r="L303" s="956"/>
      <c r="M303" s="956"/>
      <c r="N303" s="956"/>
      <c r="O303" s="956"/>
      <c r="P303" s="956"/>
      <c r="V303" s="957"/>
    </row>
    <row r="304" spans="5:22">
      <c r="E304" s="956"/>
      <c r="F304" s="956"/>
      <c r="G304" s="956"/>
      <c r="H304" s="956"/>
      <c r="I304" s="956"/>
      <c r="J304" s="956"/>
      <c r="K304" s="956"/>
      <c r="L304" s="956"/>
      <c r="M304" s="956"/>
      <c r="N304" s="956"/>
      <c r="O304" s="956"/>
      <c r="P304" s="956"/>
      <c r="V304" s="957"/>
    </row>
    <row r="305" spans="5:22">
      <c r="E305" s="956"/>
      <c r="F305" s="956"/>
      <c r="G305" s="956"/>
      <c r="H305" s="956"/>
      <c r="I305" s="956"/>
      <c r="J305" s="956"/>
      <c r="K305" s="956"/>
      <c r="L305" s="956"/>
      <c r="M305" s="956"/>
      <c r="N305" s="956"/>
      <c r="O305" s="956"/>
      <c r="P305" s="956"/>
      <c r="V305" s="957"/>
    </row>
    <row r="306" spans="5:22">
      <c r="E306" s="956"/>
      <c r="F306" s="956"/>
      <c r="G306" s="956"/>
      <c r="H306" s="956"/>
      <c r="I306" s="956"/>
      <c r="J306" s="956"/>
      <c r="K306" s="956"/>
      <c r="L306" s="956"/>
      <c r="M306" s="956"/>
      <c r="N306" s="956"/>
      <c r="O306" s="956"/>
      <c r="P306" s="956"/>
      <c r="V306" s="957"/>
    </row>
    <row r="307" spans="5:22">
      <c r="E307" s="956"/>
      <c r="F307" s="956"/>
      <c r="G307" s="956"/>
      <c r="H307" s="956"/>
      <c r="I307" s="956"/>
      <c r="J307" s="956"/>
      <c r="K307" s="956"/>
      <c r="L307" s="956"/>
      <c r="M307" s="956"/>
      <c r="N307" s="956"/>
      <c r="O307" s="956"/>
      <c r="P307" s="956"/>
      <c r="V307" s="957"/>
    </row>
    <row r="308" spans="5:22">
      <c r="E308" s="956"/>
      <c r="F308" s="956"/>
      <c r="G308" s="956"/>
      <c r="H308" s="956"/>
      <c r="I308" s="956"/>
      <c r="J308" s="956"/>
      <c r="K308" s="956"/>
      <c r="L308" s="956"/>
      <c r="M308" s="956"/>
      <c r="N308" s="956"/>
      <c r="O308" s="956"/>
      <c r="P308" s="956"/>
      <c r="V308" s="957"/>
    </row>
    <row r="309" spans="5:22">
      <c r="E309" s="956"/>
      <c r="F309" s="956"/>
      <c r="G309" s="956"/>
      <c r="H309" s="956"/>
      <c r="I309" s="956"/>
      <c r="J309" s="956"/>
      <c r="K309" s="956"/>
      <c r="L309" s="956"/>
      <c r="M309" s="956"/>
      <c r="N309" s="956"/>
      <c r="O309" s="956"/>
      <c r="P309" s="956"/>
      <c r="V309" s="957"/>
    </row>
    <row r="310" spans="5:22">
      <c r="E310" s="956"/>
      <c r="F310" s="956"/>
      <c r="G310" s="956"/>
      <c r="H310" s="956"/>
      <c r="I310" s="956"/>
      <c r="J310" s="956"/>
      <c r="K310" s="956"/>
      <c r="L310" s="956"/>
      <c r="M310" s="956"/>
      <c r="N310" s="956"/>
      <c r="O310" s="956"/>
      <c r="P310" s="956"/>
      <c r="V310" s="957"/>
    </row>
    <row r="311" spans="5:22">
      <c r="E311" s="956"/>
      <c r="F311" s="956"/>
      <c r="G311" s="956"/>
      <c r="H311" s="956"/>
      <c r="I311" s="956"/>
      <c r="J311" s="956"/>
      <c r="K311" s="956"/>
      <c r="L311" s="956"/>
      <c r="M311" s="956"/>
      <c r="N311" s="956"/>
      <c r="O311" s="956"/>
      <c r="P311" s="956"/>
      <c r="V311" s="957"/>
    </row>
    <row r="312" spans="5:22">
      <c r="E312" s="956"/>
      <c r="F312" s="956"/>
      <c r="G312" s="956"/>
      <c r="H312" s="956"/>
      <c r="I312" s="956"/>
      <c r="J312" s="956"/>
      <c r="K312" s="956"/>
      <c r="L312" s="956"/>
      <c r="M312" s="956"/>
      <c r="N312" s="956"/>
      <c r="O312" s="956"/>
      <c r="P312" s="956"/>
      <c r="V312" s="957"/>
    </row>
    <row r="313" spans="5:22">
      <c r="E313" s="956"/>
      <c r="F313" s="956"/>
      <c r="G313" s="956"/>
      <c r="H313" s="956"/>
      <c r="I313" s="956"/>
      <c r="J313" s="956"/>
      <c r="K313" s="956"/>
      <c r="L313" s="956"/>
      <c r="M313" s="956"/>
      <c r="N313" s="956"/>
      <c r="O313" s="956"/>
      <c r="P313" s="956"/>
      <c r="V313" s="957"/>
    </row>
    <row r="314" spans="5:22">
      <c r="E314" s="956"/>
      <c r="F314" s="956"/>
      <c r="G314" s="956"/>
      <c r="H314" s="956"/>
      <c r="I314" s="956"/>
      <c r="J314" s="956"/>
      <c r="K314" s="956"/>
      <c r="L314" s="956"/>
      <c r="M314" s="956"/>
      <c r="N314" s="956"/>
      <c r="O314" s="956"/>
      <c r="P314" s="956"/>
      <c r="V314" s="957"/>
    </row>
    <row r="315" spans="5:22">
      <c r="E315" s="956"/>
      <c r="F315" s="956"/>
      <c r="G315" s="956"/>
      <c r="H315" s="956"/>
      <c r="I315" s="956"/>
      <c r="J315" s="956"/>
      <c r="K315" s="956"/>
      <c r="L315" s="956"/>
      <c r="M315" s="956"/>
      <c r="N315" s="956"/>
      <c r="O315" s="956"/>
      <c r="P315" s="956"/>
      <c r="V315" s="957"/>
    </row>
    <row r="316" spans="5:22">
      <c r="E316" s="956"/>
      <c r="F316" s="956"/>
      <c r="G316" s="956"/>
      <c r="H316" s="956"/>
      <c r="I316" s="956"/>
      <c r="J316" s="956"/>
      <c r="K316" s="956"/>
      <c r="L316" s="956"/>
      <c r="M316" s="956"/>
      <c r="N316" s="956"/>
      <c r="O316" s="956"/>
      <c r="P316" s="956"/>
      <c r="V316" s="957"/>
    </row>
    <row r="317" spans="5:22">
      <c r="E317" s="956"/>
      <c r="F317" s="956"/>
      <c r="G317" s="956"/>
      <c r="H317" s="956"/>
      <c r="I317" s="956"/>
      <c r="J317" s="956"/>
      <c r="K317" s="956"/>
      <c r="L317" s="956"/>
      <c r="M317" s="956"/>
      <c r="N317" s="956"/>
      <c r="O317" s="956"/>
      <c r="P317" s="956"/>
      <c r="V317" s="957"/>
    </row>
    <row r="318" spans="5:22">
      <c r="E318" s="956"/>
      <c r="F318" s="956"/>
      <c r="G318" s="956"/>
      <c r="H318" s="956"/>
      <c r="I318" s="956"/>
      <c r="J318" s="956"/>
      <c r="K318" s="956"/>
      <c r="L318" s="956"/>
      <c r="M318" s="956"/>
      <c r="N318" s="956"/>
      <c r="O318" s="956"/>
      <c r="P318" s="956"/>
      <c r="V318" s="957"/>
    </row>
    <row r="319" spans="5:22">
      <c r="E319" s="956"/>
      <c r="F319" s="956"/>
      <c r="G319" s="956"/>
      <c r="H319" s="956"/>
      <c r="I319" s="956"/>
      <c r="J319" s="956"/>
      <c r="K319" s="956"/>
      <c r="L319" s="956"/>
      <c r="M319" s="956"/>
      <c r="N319" s="956"/>
      <c r="O319" s="956"/>
      <c r="P319" s="956"/>
      <c r="V319" s="957"/>
    </row>
    <row r="320" spans="5:22">
      <c r="E320" s="956"/>
      <c r="F320" s="956"/>
      <c r="G320" s="956"/>
      <c r="H320" s="956"/>
      <c r="I320" s="956"/>
      <c r="J320" s="956"/>
      <c r="K320" s="956"/>
      <c r="L320" s="956"/>
      <c r="M320" s="956"/>
      <c r="N320" s="956"/>
      <c r="O320" s="956"/>
      <c r="P320" s="956"/>
      <c r="V320" s="957"/>
    </row>
    <row r="321" spans="5:22">
      <c r="E321" s="956"/>
      <c r="F321" s="956"/>
      <c r="G321" s="956"/>
      <c r="H321" s="956"/>
      <c r="I321" s="956"/>
      <c r="J321" s="956"/>
      <c r="K321" s="956"/>
      <c r="L321" s="956"/>
      <c r="M321" s="956"/>
      <c r="N321" s="956"/>
      <c r="O321" s="956"/>
      <c r="P321" s="956"/>
      <c r="V321" s="957"/>
    </row>
    <row r="322" spans="5:22">
      <c r="E322" s="956"/>
      <c r="F322" s="956"/>
      <c r="G322" s="956"/>
      <c r="H322" s="956"/>
      <c r="I322" s="956"/>
      <c r="J322" s="956"/>
      <c r="K322" s="956"/>
      <c r="L322" s="956"/>
      <c r="M322" s="956"/>
      <c r="N322" s="956"/>
      <c r="O322" s="956"/>
      <c r="P322" s="956"/>
      <c r="V322" s="957"/>
    </row>
    <row r="323" spans="5:22">
      <c r="E323" s="956"/>
      <c r="F323" s="956"/>
      <c r="G323" s="956"/>
      <c r="H323" s="956"/>
      <c r="I323" s="956"/>
      <c r="J323" s="956"/>
      <c r="K323" s="956"/>
      <c r="L323" s="956"/>
      <c r="M323" s="956"/>
      <c r="N323" s="956"/>
      <c r="O323" s="956"/>
      <c r="P323" s="956"/>
      <c r="V323" s="957"/>
    </row>
    <row r="324" spans="5:22">
      <c r="E324" s="956"/>
      <c r="F324" s="956"/>
      <c r="G324" s="956"/>
      <c r="H324" s="956"/>
      <c r="I324" s="956"/>
      <c r="J324" s="956"/>
      <c r="K324" s="956"/>
      <c r="L324" s="956"/>
      <c r="M324" s="956"/>
      <c r="N324" s="956"/>
      <c r="O324" s="956"/>
      <c r="P324" s="956"/>
      <c r="V324" s="957"/>
    </row>
    <row r="325" spans="5:22">
      <c r="E325" s="956"/>
      <c r="F325" s="956"/>
      <c r="G325" s="956"/>
      <c r="H325" s="956"/>
      <c r="I325" s="956"/>
      <c r="J325" s="956"/>
      <c r="K325" s="956"/>
      <c r="L325" s="956"/>
      <c r="M325" s="956"/>
      <c r="N325" s="956"/>
      <c r="O325" s="956"/>
      <c r="P325" s="956"/>
      <c r="V325" s="957"/>
    </row>
    <row r="326" spans="5:22">
      <c r="E326" s="956"/>
      <c r="F326" s="956"/>
      <c r="G326" s="956"/>
      <c r="H326" s="956"/>
      <c r="I326" s="956"/>
      <c r="J326" s="956"/>
      <c r="K326" s="956"/>
      <c r="L326" s="956"/>
      <c r="M326" s="956"/>
      <c r="N326" s="956"/>
      <c r="O326" s="956"/>
      <c r="P326" s="956"/>
      <c r="V326" s="957"/>
    </row>
    <row r="327" spans="5:22">
      <c r="E327" s="956"/>
      <c r="F327" s="956"/>
      <c r="G327" s="956"/>
      <c r="H327" s="956"/>
      <c r="I327" s="956"/>
      <c r="J327" s="956"/>
      <c r="K327" s="956"/>
      <c r="L327" s="956"/>
      <c r="M327" s="956"/>
      <c r="N327" s="956"/>
      <c r="O327" s="956"/>
      <c r="P327" s="956"/>
      <c r="V327" s="957"/>
    </row>
    <row r="328" spans="5:22">
      <c r="E328" s="956"/>
      <c r="F328" s="956"/>
      <c r="G328" s="956"/>
      <c r="H328" s="956"/>
      <c r="I328" s="956"/>
      <c r="J328" s="956"/>
      <c r="K328" s="956"/>
      <c r="L328" s="956"/>
      <c r="M328" s="956"/>
      <c r="N328" s="956"/>
      <c r="O328" s="956"/>
      <c r="P328" s="956"/>
      <c r="V328" s="957"/>
    </row>
    <row r="329" spans="5:22">
      <c r="E329" s="956"/>
      <c r="F329" s="956"/>
      <c r="G329" s="956"/>
      <c r="H329" s="956"/>
      <c r="I329" s="956"/>
      <c r="J329" s="956"/>
      <c r="K329" s="956"/>
      <c r="L329" s="956"/>
      <c r="M329" s="956"/>
      <c r="N329" s="956"/>
      <c r="O329" s="956"/>
      <c r="P329" s="956"/>
      <c r="V329" s="957"/>
    </row>
    <row r="330" spans="5:22">
      <c r="E330" s="956"/>
      <c r="F330" s="956"/>
      <c r="G330" s="956"/>
      <c r="H330" s="956"/>
      <c r="I330" s="956"/>
      <c r="J330" s="956"/>
      <c r="K330" s="956"/>
      <c r="L330" s="956"/>
      <c r="M330" s="956"/>
      <c r="N330" s="956"/>
      <c r="O330" s="956"/>
      <c r="P330" s="956"/>
      <c r="V330" s="957"/>
    </row>
    <row r="331" spans="5:22">
      <c r="E331" s="956"/>
      <c r="F331" s="956"/>
      <c r="G331" s="956"/>
      <c r="H331" s="956"/>
      <c r="I331" s="956"/>
      <c r="J331" s="956"/>
      <c r="K331" s="956"/>
      <c r="L331" s="956"/>
      <c r="M331" s="956"/>
      <c r="N331" s="956"/>
      <c r="O331" s="956"/>
      <c r="P331" s="956"/>
      <c r="V331" s="957"/>
    </row>
    <row r="332" spans="5:22">
      <c r="E332" s="956"/>
      <c r="F332" s="956"/>
      <c r="G332" s="956"/>
      <c r="H332" s="956"/>
      <c r="I332" s="956"/>
      <c r="J332" s="956"/>
      <c r="K332" s="956"/>
      <c r="L332" s="956"/>
      <c r="M332" s="956"/>
      <c r="N332" s="956"/>
      <c r="O332" s="956"/>
      <c r="P332" s="956"/>
      <c r="V332" s="957"/>
    </row>
    <row r="333" spans="5:22">
      <c r="E333" s="956"/>
      <c r="F333" s="956"/>
      <c r="G333" s="956"/>
      <c r="H333" s="956"/>
      <c r="I333" s="956"/>
      <c r="J333" s="956"/>
      <c r="K333" s="956"/>
      <c r="L333" s="956"/>
      <c r="M333" s="956"/>
      <c r="N333" s="956"/>
      <c r="O333" s="956"/>
      <c r="P333" s="956"/>
      <c r="V333" s="957"/>
    </row>
    <row r="334" spans="5:22">
      <c r="E334" s="956"/>
      <c r="F334" s="956"/>
      <c r="G334" s="956"/>
      <c r="H334" s="956"/>
      <c r="I334" s="956"/>
      <c r="J334" s="956"/>
      <c r="K334" s="956"/>
      <c r="L334" s="956"/>
      <c r="M334" s="956"/>
      <c r="N334" s="956"/>
      <c r="O334" s="956"/>
      <c r="P334" s="956"/>
      <c r="V334" s="957"/>
    </row>
    <row r="335" spans="5:22">
      <c r="E335" s="956"/>
      <c r="F335" s="956"/>
      <c r="G335" s="956"/>
      <c r="H335" s="956"/>
      <c r="I335" s="956"/>
      <c r="J335" s="956"/>
      <c r="K335" s="956"/>
      <c r="L335" s="956"/>
      <c r="M335" s="956"/>
      <c r="N335" s="956"/>
      <c r="O335" s="956"/>
      <c r="P335" s="956"/>
      <c r="V335" s="957"/>
    </row>
    <row r="336" spans="5:22">
      <c r="E336" s="956"/>
      <c r="F336" s="956"/>
      <c r="G336" s="956"/>
      <c r="H336" s="956"/>
      <c r="I336" s="956"/>
      <c r="J336" s="956"/>
      <c r="K336" s="956"/>
      <c r="L336" s="956"/>
      <c r="M336" s="956"/>
      <c r="N336" s="956"/>
      <c r="O336" s="956"/>
      <c r="P336" s="956"/>
      <c r="V336" s="957"/>
    </row>
    <row r="337" spans="5:22">
      <c r="E337" s="956"/>
      <c r="F337" s="956"/>
      <c r="G337" s="956"/>
      <c r="H337" s="956"/>
      <c r="I337" s="956"/>
      <c r="J337" s="956"/>
      <c r="K337" s="956"/>
      <c r="L337" s="956"/>
      <c r="M337" s="956"/>
      <c r="N337" s="956"/>
      <c r="O337" s="956"/>
      <c r="P337" s="956"/>
      <c r="V337" s="957"/>
    </row>
    <row r="338" spans="5:22">
      <c r="E338" s="956"/>
      <c r="F338" s="956"/>
      <c r="G338" s="956"/>
      <c r="H338" s="956"/>
      <c r="I338" s="956"/>
      <c r="J338" s="956"/>
      <c r="K338" s="956"/>
      <c r="L338" s="956"/>
      <c r="M338" s="956"/>
      <c r="N338" s="956"/>
      <c r="O338" s="956"/>
      <c r="P338" s="956"/>
      <c r="V338" s="957"/>
    </row>
    <row r="339" spans="5:22">
      <c r="E339" s="956"/>
      <c r="F339" s="956"/>
      <c r="G339" s="956"/>
      <c r="H339" s="956"/>
      <c r="I339" s="956"/>
      <c r="J339" s="956"/>
      <c r="K339" s="956"/>
      <c r="L339" s="956"/>
      <c r="M339" s="956"/>
      <c r="N339" s="956"/>
      <c r="O339" s="956"/>
      <c r="P339" s="956"/>
      <c r="V339" s="957"/>
    </row>
    <row r="340" spans="5:22">
      <c r="E340" s="956"/>
      <c r="F340" s="956"/>
      <c r="G340" s="956"/>
      <c r="H340" s="956"/>
      <c r="I340" s="956"/>
      <c r="J340" s="956"/>
      <c r="K340" s="956"/>
      <c r="L340" s="956"/>
      <c r="M340" s="956"/>
      <c r="N340" s="956"/>
      <c r="O340" s="956"/>
      <c r="P340" s="956"/>
      <c r="V340" s="957"/>
    </row>
    <row r="341" spans="5:22">
      <c r="E341" s="956"/>
      <c r="F341" s="956"/>
      <c r="G341" s="956"/>
      <c r="H341" s="956"/>
      <c r="I341" s="956"/>
      <c r="J341" s="956"/>
      <c r="K341" s="956"/>
      <c r="L341" s="956"/>
      <c r="M341" s="956"/>
      <c r="N341" s="956"/>
      <c r="O341" s="956"/>
      <c r="P341" s="956"/>
      <c r="V341" s="957"/>
    </row>
    <row r="342" spans="5:22">
      <c r="E342" s="956"/>
      <c r="F342" s="956"/>
      <c r="G342" s="956"/>
      <c r="H342" s="956"/>
      <c r="I342" s="956"/>
      <c r="J342" s="956"/>
      <c r="K342" s="956"/>
      <c r="L342" s="956"/>
      <c r="M342" s="956"/>
      <c r="N342" s="956"/>
      <c r="O342" s="956"/>
      <c r="P342" s="956"/>
      <c r="V342" s="957"/>
    </row>
    <row r="343" spans="5:22">
      <c r="E343" s="956"/>
      <c r="F343" s="956"/>
      <c r="G343" s="956"/>
      <c r="H343" s="956"/>
      <c r="I343" s="956"/>
      <c r="J343" s="956"/>
      <c r="K343" s="956"/>
      <c r="L343" s="956"/>
      <c r="M343" s="956"/>
      <c r="N343" s="956"/>
      <c r="O343" s="956"/>
      <c r="P343" s="956"/>
      <c r="V343" s="957"/>
    </row>
    <row r="344" spans="5:22">
      <c r="E344" s="956"/>
      <c r="F344" s="956"/>
      <c r="G344" s="956"/>
      <c r="H344" s="956"/>
      <c r="I344" s="956"/>
      <c r="J344" s="956"/>
      <c r="K344" s="956"/>
      <c r="L344" s="956"/>
      <c r="M344" s="956"/>
      <c r="N344" s="956"/>
      <c r="O344" s="956"/>
      <c r="P344" s="956"/>
      <c r="V344" s="957"/>
    </row>
    <row r="345" spans="5:22">
      <c r="E345" s="956"/>
      <c r="F345" s="956"/>
      <c r="G345" s="956"/>
      <c r="H345" s="956"/>
      <c r="I345" s="956"/>
      <c r="J345" s="956"/>
      <c r="K345" s="956"/>
      <c r="L345" s="956"/>
      <c r="M345" s="956"/>
      <c r="N345" s="956"/>
      <c r="O345" s="956"/>
      <c r="P345" s="956"/>
      <c r="V345" s="957"/>
    </row>
    <row r="346" spans="5:22">
      <c r="E346" s="956"/>
      <c r="F346" s="956"/>
      <c r="G346" s="956"/>
      <c r="H346" s="956"/>
      <c r="I346" s="956"/>
      <c r="J346" s="956"/>
      <c r="K346" s="956"/>
      <c r="L346" s="956"/>
      <c r="M346" s="956"/>
      <c r="N346" s="956"/>
      <c r="O346" s="956"/>
      <c r="P346" s="956"/>
      <c r="V346" s="957"/>
    </row>
    <row r="347" spans="5:22">
      <c r="E347" s="956"/>
      <c r="F347" s="956"/>
      <c r="G347" s="956"/>
      <c r="H347" s="956"/>
      <c r="I347" s="956"/>
      <c r="J347" s="956"/>
      <c r="K347" s="956"/>
      <c r="L347" s="956"/>
      <c r="M347" s="956"/>
      <c r="N347" s="956"/>
      <c r="O347" s="956"/>
      <c r="P347" s="956"/>
      <c r="V347" s="957"/>
    </row>
    <row r="348" spans="5:22">
      <c r="E348" s="956"/>
      <c r="F348" s="956"/>
      <c r="G348" s="956"/>
      <c r="H348" s="956"/>
      <c r="I348" s="956"/>
      <c r="J348" s="956"/>
      <c r="K348" s="956"/>
      <c r="L348" s="956"/>
      <c r="M348" s="956"/>
      <c r="N348" s="956"/>
      <c r="O348" s="956"/>
      <c r="P348" s="956"/>
      <c r="V348" s="957"/>
    </row>
    <row r="349" spans="5:22">
      <c r="E349" s="956"/>
      <c r="F349" s="956"/>
      <c r="G349" s="956"/>
      <c r="H349" s="956"/>
      <c r="I349" s="956"/>
      <c r="J349" s="956"/>
      <c r="K349" s="956"/>
      <c r="L349" s="956"/>
      <c r="M349" s="956"/>
      <c r="N349" s="956"/>
      <c r="O349" s="956"/>
      <c r="P349" s="956"/>
      <c r="V349" s="957"/>
    </row>
    <row r="350" spans="5:22">
      <c r="E350" s="956"/>
      <c r="F350" s="956"/>
      <c r="G350" s="956"/>
      <c r="H350" s="956"/>
      <c r="I350" s="956"/>
      <c r="J350" s="956"/>
      <c r="K350" s="956"/>
      <c r="L350" s="956"/>
      <c r="M350" s="956"/>
      <c r="N350" s="956"/>
      <c r="O350" s="956"/>
      <c r="P350" s="956"/>
      <c r="V350" s="957"/>
    </row>
    <row r="351" spans="5:22">
      <c r="E351" s="956"/>
      <c r="F351" s="956"/>
      <c r="G351" s="956"/>
      <c r="H351" s="956"/>
      <c r="I351" s="956"/>
      <c r="J351" s="956"/>
      <c r="K351" s="956"/>
      <c r="L351" s="956"/>
      <c r="M351" s="956"/>
      <c r="N351" s="956"/>
      <c r="O351" s="956"/>
      <c r="P351" s="956"/>
      <c r="V351" s="957"/>
    </row>
    <row r="352" spans="5:22">
      <c r="E352" s="956"/>
      <c r="F352" s="956"/>
      <c r="G352" s="956"/>
      <c r="H352" s="956"/>
      <c r="I352" s="956"/>
      <c r="J352" s="956"/>
      <c r="K352" s="956"/>
      <c r="L352" s="956"/>
      <c r="M352" s="956"/>
      <c r="N352" s="956"/>
      <c r="O352" s="956"/>
      <c r="P352" s="956"/>
      <c r="V352" s="957"/>
    </row>
    <row r="353" spans="5:22">
      <c r="E353" s="956"/>
      <c r="F353" s="956"/>
      <c r="G353" s="956"/>
      <c r="H353" s="956"/>
      <c r="I353" s="956"/>
      <c r="J353" s="956"/>
      <c r="K353" s="956"/>
      <c r="L353" s="956"/>
      <c r="M353" s="956"/>
      <c r="N353" s="956"/>
      <c r="O353" s="956"/>
      <c r="P353" s="956"/>
      <c r="V353" s="957"/>
    </row>
    <row r="354" spans="5:22">
      <c r="E354" s="956"/>
      <c r="F354" s="956"/>
      <c r="G354" s="956"/>
      <c r="H354" s="956"/>
      <c r="I354" s="956"/>
      <c r="J354" s="956"/>
      <c r="K354" s="956"/>
      <c r="L354" s="956"/>
      <c r="M354" s="956"/>
      <c r="N354" s="956"/>
      <c r="O354" s="956"/>
      <c r="P354" s="956"/>
      <c r="V354" s="957"/>
    </row>
    <row r="355" spans="5:22">
      <c r="E355" s="956"/>
      <c r="F355" s="956"/>
      <c r="G355" s="956"/>
      <c r="H355" s="956"/>
      <c r="I355" s="956"/>
      <c r="J355" s="956"/>
      <c r="K355" s="956"/>
      <c r="L355" s="956"/>
      <c r="M355" s="956"/>
      <c r="N355" s="956"/>
      <c r="O355" s="956"/>
      <c r="P355" s="956"/>
      <c r="V355" s="957"/>
    </row>
    <row r="356" spans="5:22">
      <c r="E356" s="956"/>
      <c r="F356" s="956"/>
      <c r="G356" s="956"/>
      <c r="H356" s="956"/>
      <c r="I356" s="956"/>
      <c r="J356" s="956"/>
      <c r="K356" s="956"/>
      <c r="L356" s="956"/>
      <c r="M356" s="956"/>
      <c r="N356" s="956"/>
      <c r="O356" s="956"/>
      <c r="P356" s="956"/>
      <c r="V356" s="957"/>
    </row>
    <row r="357" spans="5:22">
      <c r="E357" s="956"/>
      <c r="F357" s="956"/>
      <c r="G357" s="956"/>
      <c r="H357" s="956"/>
      <c r="I357" s="956"/>
      <c r="J357" s="956"/>
      <c r="K357" s="956"/>
      <c r="L357" s="956"/>
      <c r="M357" s="956"/>
      <c r="N357" s="956"/>
      <c r="O357" s="956"/>
      <c r="P357" s="956"/>
      <c r="V357" s="957"/>
    </row>
    <row r="358" spans="5:22">
      <c r="E358" s="956"/>
      <c r="F358" s="956"/>
      <c r="G358" s="956"/>
      <c r="H358" s="956"/>
      <c r="I358" s="956"/>
      <c r="J358" s="956"/>
      <c r="K358" s="956"/>
      <c r="L358" s="956"/>
      <c r="M358" s="956"/>
      <c r="N358" s="956"/>
      <c r="O358" s="956"/>
      <c r="P358" s="956"/>
      <c r="V358" s="957"/>
    </row>
    <row r="359" spans="5:22">
      <c r="E359" s="956"/>
      <c r="F359" s="956"/>
      <c r="G359" s="956"/>
      <c r="H359" s="956"/>
      <c r="I359" s="956"/>
      <c r="J359" s="956"/>
      <c r="K359" s="956"/>
      <c r="L359" s="956"/>
      <c r="M359" s="956"/>
      <c r="N359" s="956"/>
      <c r="O359" s="956"/>
      <c r="P359" s="956"/>
      <c r="V359" s="957"/>
    </row>
    <row r="360" spans="5:22">
      <c r="E360" s="956"/>
      <c r="F360" s="956"/>
      <c r="G360" s="956"/>
      <c r="H360" s="956"/>
      <c r="I360" s="956"/>
      <c r="J360" s="956"/>
      <c r="K360" s="956"/>
      <c r="L360" s="956"/>
      <c r="M360" s="956"/>
      <c r="N360" s="956"/>
      <c r="O360" s="956"/>
      <c r="P360" s="956"/>
      <c r="V360" s="957"/>
    </row>
    <row r="361" spans="5:22">
      <c r="E361" s="956"/>
      <c r="F361" s="956"/>
      <c r="G361" s="956"/>
      <c r="H361" s="956"/>
      <c r="I361" s="956"/>
      <c r="J361" s="956"/>
      <c r="K361" s="956"/>
      <c r="L361" s="956"/>
      <c r="M361" s="956"/>
      <c r="N361" s="956"/>
      <c r="O361" s="956"/>
      <c r="P361" s="956"/>
      <c r="V361" s="957"/>
    </row>
    <row r="362" spans="5:22">
      <c r="E362" s="956"/>
      <c r="F362" s="956"/>
      <c r="G362" s="956"/>
      <c r="H362" s="956"/>
      <c r="I362" s="956"/>
      <c r="J362" s="956"/>
      <c r="K362" s="956"/>
      <c r="L362" s="956"/>
      <c r="M362" s="956"/>
      <c r="N362" s="956"/>
      <c r="O362" s="956"/>
      <c r="P362" s="956"/>
      <c r="V362" s="957"/>
    </row>
    <row r="363" spans="5:22">
      <c r="E363" s="956"/>
      <c r="F363" s="956"/>
      <c r="G363" s="956"/>
      <c r="H363" s="956"/>
      <c r="I363" s="956"/>
      <c r="J363" s="956"/>
      <c r="K363" s="956"/>
      <c r="L363" s="956"/>
      <c r="M363" s="956"/>
      <c r="N363" s="956"/>
      <c r="O363" s="956"/>
      <c r="P363" s="956"/>
      <c r="V363" s="957"/>
    </row>
    <row r="364" spans="5:22">
      <c r="E364" s="956"/>
      <c r="F364" s="956"/>
      <c r="G364" s="956"/>
      <c r="H364" s="956"/>
      <c r="I364" s="956"/>
      <c r="J364" s="956"/>
      <c r="K364" s="956"/>
      <c r="L364" s="956"/>
      <c r="M364" s="956"/>
      <c r="N364" s="956"/>
      <c r="O364" s="956"/>
      <c r="P364" s="956"/>
      <c r="V364" s="957"/>
    </row>
    <row r="365" spans="5:22">
      <c r="E365" s="956"/>
      <c r="F365" s="956"/>
      <c r="G365" s="956"/>
      <c r="H365" s="956"/>
      <c r="I365" s="956"/>
      <c r="J365" s="956"/>
      <c r="K365" s="956"/>
      <c r="L365" s="956"/>
      <c r="M365" s="956"/>
      <c r="N365" s="956"/>
      <c r="O365" s="956"/>
      <c r="P365" s="956"/>
      <c r="V365" s="957"/>
    </row>
    <row r="366" spans="5:22">
      <c r="E366" s="956"/>
      <c r="F366" s="956"/>
      <c r="G366" s="956"/>
      <c r="H366" s="956"/>
      <c r="I366" s="956"/>
      <c r="J366" s="956"/>
      <c r="K366" s="956"/>
      <c r="L366" s="956"/>
      <c r="M366" s="956"/>
      <c r="N366" s="956"/>
      <c r="O366" s="956"/>
      <c r="P366" s="956"/>
      <c r="V366" s="957"/>
    </row>
    <row r="367" spans="5:22">
      <c r="E367" s="956"/>
      <c r="F367" s="956"/>
      <c r="G367" s="956"/>
      <c r="H367" s="956"/>
      <c r="I367" s="956"/>
      <c r="J367" s="956"/>
      <c r="K367" s="956"/>
      <c r="L367" s="956"/>
      <c r="M367" s="956"/>
      <c r="N367" s="956"/>
      <c r="O367" s="956"/>
      <c r="P367" s="956"/>
      <c r="V367" s="957"/>
    </row>
    <row r="368" spans="5:22">
      <c r="E368" s="956"/>
      <c r="F368" s="956"/>
      <c r="G368" s="956"/>
      <c r="H368" s="956"/>
      <c r="I368" s="956"/>
      <c r="J368" s="956"/>
      <c r="K368" s="956"/>
      <c r="L368" s="956"/>
      <c r="M368" s="956"/>
      <c r="N368" s="956"/>
      <c r="O368" s="956"/>
      <c r="P368" s="956"/>
      <c r="V368" s="957"/>
    </row>
    <row r="369" spans="5:22">
      <c r="E369" s="956"/>
      <c r="F369" s="956"/>
      <c r="G369" s="956"/>
      <c r="H369" s="956"/>
      <c r="I369" s="956"/>
      <c r="J369" s="956"/>
      <c r="K369" s="956"/>
      <c r="L369" s="956"/>
      <c r="M369" s="956"/>
      <c r="N369" s="956"/>
      <c r="O369" s="956"/>
      <c r="P369" s="956"/>
      <c r="V369" s="957"/>
    </row>
    <row r="370" spans="5:22">
      <c r="E370" s="956"/>
      <c r="F370" s="956"/>
      <c r="G370" s="956"/>
      <c r="H370" s="956"/>
      <c r="I370" s="956"/>
      <c r="J370" s="956"/>
      <c r="K370" s="956"/>
      <c r="L370" s="956"/>
      <c r="M370" s="956"/>
      <c r="N370" s="956"/>
      <c r="O370" s="956"/>
      <c r="P370" s="956"/>
      <c r="V370" s="957"/>
    </row>
    <row r="371" spans="5:22">
      <c r="E371" s="956"/>
      <c r="F371" s="956"/>
      <c r="G371" s="956"/>
      <c r="H371" s="956"/>
      <c r="I371" s="956"/>
      <c r="J371" s="956"/>
      <c r="K371" s="956"/>
      <c r="L371" s="956"/>
      <c r="M371" s="956"/>
      <c r="N371" s="956"/>
      <c r="O371" s="956"/>
      <c r="P371" s="956"/>
      <c r="V371" s="957"/>
    </row>
    <row r="372" spans="5:22">
      <c r="E372" s="956"/>
      <c r="F372" s="956"/>
      <c r="G372" s="956"/>
      <c r="H372" s="956"/>
      <c r="I372" s="956"/>
      <c r="J372" s="956"/>
      <c r="K372" s="956"/>
      <c r="L372" s="956"/>
      <c r="M372" s="956"/>
      <c r="N372" s="956"/>
      <c r="O372" s="956"/>
      <c r="P372" s="956"/>
      <c r="V372" s="957"/>
    </row>
    <row r="373" spans="5:22">
      <c r="E373" s="956"/>
      <c r="F373" s="956"/>
      <c r="G373" s="956"/>
      <c r="H373" s="956"/>
      <c r="I373" s="956"/>
      <c r="J373" s="956"/>
      <c r="K373" s="956"/>
      <c r="L373" s="956"/>
      <c r="M373" s="956"/>
      <c r="N373" s="956"/>
      <c r="O373" s="956"/>
      <c r="P373" s="956"/>
      <c r="V373" s="957"/>
    </row>
    <row r="374" spans="5:22">
      <c r="E374" s="956"/>
      <c r="F374" s="956"/>
      <c r="G374" s="956"/>
      <c r="H374" s="956"/>
      <c r="I374" s="956"/>
      <c r="J374" s="956"/>
      <c r="K374" s="956"/>
      <c r="L374" s="956"/>
      <c r="M374" s="956"/>
      <c r="N374" s="956"/>
      <c r="O374" s="956"/>
      <c r="P374" s="956"/>
      <c r="V374" s="957"/>
    </row>
    <row r="375" spans="5:22">
      <c r="E375" s="956"/>
      <c r="F375" s="956"/>
      <c r="G375" s="956"/>
      <c r="H375" s="956"/>
      <c r="I375" s="956"/>
      <c r="J375" s="956"/>
      <c r="K375" s="956"/>
      <c r="L375" s="956"/>
      <c r="M375" s="956"/>
      <c r="N375" s="956"/>
      <c r="O375" s="956"/>
      <c r="P375" s="956"/>
      <c r="V375" s="957"/>
    </row>
    <row r="376" spans="5:22">
      <c r="E376" s="956"/>
      <c r="F376" s="956"/>
      <c r="G376" s="956"/>
      <c r="H376" s="956"/>
      <c r="I376" s="956"/>
      <c r="J376" s="956"/>
      <c r="K376" s="956"/>
      <c r="L376" s="956"/>
      <c r="M376" s="956"/>
      <c r="N376" s="956"/>
      <c r="O376" s="956"/>
      <c r="P376" s="956"/>
      <c r="V376" s="957"/>
    </row>
    <row r="377" spans="5:22">
      <c r="E377" s="956"/>
      <c r="F377" s="956"/>
      <c r="G377" s="956"/>
      <c r="H377" s="956"/>
      <c r="I377" s="956"/>
      <c r="J377" s="956"/>
      <c r="K377" s="956"/>
      <c r="L377" s="956"/>
      <c r="M377" s="956"/>
      <c r="N377" s="956"/>
      <c r="O377" s="956"/>
      <c r="P377" s="956"/>
      <c r="V377" s="957"/>
    </row>
    <row r="378" spans="5:22">
      <c r="E378" s="956"/>
      <c r="F378" s="956"/>
      <c r="G378" s="956"/>
      <c r="H378" s="956"/>
      <c r="I378" s="956"/>
      <c r="J378" s="956"/>
      <c r="K378" s="956"/>
      <c r="L378" s="956"/>
      <c r="M378" s="956"/>
      <c r="N378" s="956"/>
      <c r="O378" s="956"/>
      <c r="P378" s="956"/>
      <c r="V378" s="957"/>
    </row>
    <row r="379" spans="5:22">
      <c r="E379" s="956"/>
      <c r="F379" s="956"/>
      <c r="G379" s="956"/>
      <c r="H379" s="956"/>
      <c r="I379" s="956"/>
      <c r="J379" s="956"/>
      <c r="K379" s="956"/>
      <c r="L379" s="956"/>
      <c r="M379" s="956"/>
      <c r="N379" s="956"/>
      <c r="O379" s="956"/>
      <c r="P379" s="956"/>
      <c r="V379" s="957"/>
    </row>
    <row r="380" spans="5:22">
      <c r="E380" s="956"/>
      <c r="F380" s="956"/>
      <c r="G380" s="956"/>
      <c r="H380" s="956"/>
      <c r="I380" s="956"/>
      <c r="J380" s="956"/>
      <c r="K380" s="956"/>
      <c r="L380" s="956"/>
      <c r="M380" s="956"/>
      <c r="N380" s="956"/>
      <c r="O380" s="956"/>
      <c r="P380" s="956"/>
      <c r="V380" s="957"/>
    </row>
    <row r="381" spans="5:22">
      <c r="E381" s="956"/>
      <c r="F381" s="956"/>
      <c r="G381" s="956"/>
      <c r="H381" s="956"/>
      <c r="I381" s="956"/>
      <c r="J381" s="956"/>
      <c r="K381" s="956"/>
      <c r="L381" s="956"/>
      <c r="M381" s="956"/>
      <c r="N381" s="956"/>
      <c r="O381" s="956"/>
      <c r="P381" s="956"/>
      <c r="V381" s="957"/>
    </row>
    <row r="382" spans="5:22">
      <c r="E382" s="956"/>
      <c r="F382" s="956"/>
      <c r="G382" s="956"/>
      <c r="H382" s="956"/>
      <c r="I382" s="956"/>
      <c r="J382" s="956"/>
      <c r="K382" s="956"/>
      <c r="L382" s="956"/>
      <c r="M382" s="956"/>
      <c r="N382" s="956"/>
      <c r="O382" s="956"/>
      <c r="P382" s="956"/>
      <c r="V382" s="957"/>
    </row>
    <row r="383" spans="5:22">
      <c r="E383" s="956"/>
      <c r="F383" s="956"/>
      <c r="G383" s="956"/>
      <c r="H383" s="956"/>
      <c r="I383" s="956"/>
      <c r="J383" s="956"/>
      <c r="K383" s="956"/>
      <c r="L383" s="956"/>
      <c r="M383" s="956"/>
      <c r="N383" s="956"/>
      <c r="O383" s="956"/>
      <c r="P383" s="956"/>
      <c r="V383" s="957"/>
    </row>
    <row r="384" spans="5:22">
      <c r="E384" s="956"/>
      <c r="F384" s="956"/>
      <c r="G384" s="956"/>
      <c r="H384" s="956"/>
      <c r="I384" s="956"/>
      <c r="J384" s="956"/>
      <c r="K384" s="956"/>
      <c r="L384" s="956"/>
      <c r="M384" s="956"/>
      <c r="N384" s="956"/>
      <c r="O384" s="956"/>
      <c r="P384" s="956"/>
      <c r="V384" s="957"/>
    </row>
    <row r="385" spans="5:22">
      <c r="E385" s="956"/>
      <c r="F385" s="956"/>
      <c r="G385" s="956"/>
      <c r="H385" s="956"/>
      <c r="I385" s="956"/>
      <c r="J385" s="956"/>
      <c r="K385" s="956"/>
      <c r="L385" s="956"/>
      <c r="M385" s="956"/>
      <c r="N385" s="956"/>
      <c r="O385" s="956"/>
      <c r="P385" s="956"/>
      <c r="V385" s="957"/>
    </row>
    <row r="386" spans="5:22">
      <c r="E386" s="956"/>
      <c r="F386" s="956"/>
      <c r="G386" s="956"/>
      <c r="H386" s="956"/>
      <c r="I386" s="956"/>
      <c r="J386" s="956"/>
      <c r="K386" s="956"/>
      <c r="L386" s="956"/>
      <c r="M386" s="956"/>
      <c r="N386" s="956"/>
      <c r="O386" s="956"/>
      <c r="P386" s="956"/>
      <c r="V386" s="957"/>
    </row>
    <row r="387" spans="5:22">
      <c r="E387" s="956"/>
      <c r="F387" s="956"/>
      <c r="G387" s="956"/>
      <c r="H387" s="956"/>
      <c r="I387" s="956"/>
      <c r="J387" s="956"/>
      <c r="K387" s="956"/>
      <c r="L387" s="956"/>
      <c r="M387" s="956"/>
      <c r="N387" s="956"/>
      <c r="O387" s="956"/>
      <c r="P387" s="956"/>
      <c r="V387" s="957"/>
    </row>
    <row r="388" spans="5:22">
      <c r="E388" s="956"/>
      <c r="F388" s="956"/>
      <c r="G388" s="956"/>
      <c r="H388" s="956"/>
      <c r="I388" s="956"/>
      <c r="J388" s="956"/>
      <c r="K388" s="956"/>
      <c r="L388" s="956"/>
      <c r="M388" s="956"/>
      <c r="N388" s="956"/>
      <c r="O388" s="956"/>
      <c r="P388" s="956"/>
      <c r="V388" s="957"/>
    </row>
    <row r="389" spans="5:22">
      <c r="E389" s="956"/>
      <c r="F389" s="956"/>
      <c r="G389" s="956"/>
      <c r="H389" s="956"/>
      <c r="I389" s="956"/>
      <c r="J389" s="956"/>
      <c r="K389" s="956"/>
      <c r="L389" s="956"/>
      <c r="M389" s="956"/>
      <c r="N389" s="956"/>
      <c r="O389" s="956"/>
      <c r="P389" s="956"/>
      <c r="V389" s="957"/>
    </row>
    <row r="390" spans="5:22">
      <c r="E390" s="956"/>
      <c r="F390" s="956"/>
      <c r="G390" s="956"/>
      <c r="H390" s="956"/>
      <c r="I390" s="956"/>
      <c r="J390" s="956"/>
      <c r="K390" s="956"/>
      <c r="L390" s="956"/>
      <c r="M390" s="956"/>
      <c r="N390" s="956"/>
      <c r="O390" s="956"/>
      <c r="P390" s="956"/>
      <c r="V390" s="957"/>
    </row>
    <row r="391" spans="5:22">
      <c r="E391" s="956"/>
      <c r="F391" s="956"/>
      <c r="G391" s="956"/>
      <c r="H391" s="956"/>
      <c r="I391" s="956"/>
      <c r="J391" s="956"/>
      <c r="K391" s="956"/>
      <c r="L391" s="956"/>
      <c r="M391" s="956"/>
      <c r="N391" s="956"/>
      <c r="O391" s="956"/>
      <c r="P391" s="956"/>
      <c r="V391" s="957"/>
    </row>
    <row r="392" spans="5:22">
      <c r="E392" s="956"/>
      <c r="F392" s="956"/>
      <c r="G392" s="956"/>
      <c r="H392" s="956"/>
      <c r="I392" s="956"/>
      <c r="J392" s="956"/>
      <c r="K392" s="956"/>
      <c r="L392" s="956"/>
      <c r="M392" s="956"/>
      <c r="N392" s="956"/>
      <c r="O392" s="956"/>
      <c r="P392" s="956"/>
      <c r="V392" s="957"/>
    </row>
    <row r="393" spans="5:22">
      <c r="E393" s="956"/>
      <c r="F393" s="956"/>
      <c r="G393" s="956"/>
      <c r="H393" s="956"/>
      <c r="I393" s="956"/>
      <c r="J393" s="956"/>
      <c r="K393" s="956"/>
      <c r="L393" s="956"/>
      <c r="M393" s="956"/>
      <c r="N393" s="956"/>
      <c r="O393" s="956"/>
      <c r="P393" s="956"/>
      <c r="V393" s="957"/>
    </row>
    <row r="394" spans="5:22">
      <c r="E394" s="956"/>
      <c r="F394" s="956"/>
      <c r="G394" s="956"/>
      <c r="H394" s="956"/>
      <c r="I394" s="956"/>
      <c r="J394" s="956"/>
      <c r="K394" s="956"/>
      <c r="L394" s="956"/>
      <c r="M394" s="956"/>
      <c r="N394" s="956"/>
      <c r="O394" s="956"/>
      <c r="P394" s="956"/>
      <c r="V394" s="957"/>
    </row>
    <row r="395" spans="5:22">
      <c r="E395" s="956"/>
      <c r="F395" s="956"/>
      <c r="G395" s="956"/>
      <c r="H395" s="956"/>
      <c r="I395" s="956"/>
      <c r="J395" s="956"/>
      <c r="K395" s="956"/>
      <c r="L395" s="956"/>
      <c r="M395" s="956"/>
      <c r="N395" s="956"/>
      <c r="O395" s="956"/>
      <c r="P395" s="956"/>
      <c r="V395" s="957"/>
    </row>
    <row r="396" spans="5:22">
      <c r="E396" s="956"/>
      <c r="F396" s="956"/>
      <c r="G396" s="956"/>
      <c r="H396" s="956"/>
      <c r="I396" s="956"/>
      <c r="J396" s="956"/>
      <c r="K396" s="956"/>
      <c r="L396" s="956"/>
      <c r="M396" s="956"/>
      <c r="N396" s="956"/>
      <c r="O396" s="956"/>
      <c r="P396" s="956"/>
      <c r="V396" s="957"/>
    </row>
    <row r="397" spans="5:22">
      <c r="E397" s="956"/>
      <c r="F397" s="956"/>
      <c r="G397" s="956"/>
      <c r="H397" s="956"/>
      <c r="I397" s="956"/>
      <c r="J397" s="956"/>
      <c r="K397" s="956"/>
      <c r="L397" s="956"/>
      <c r="M397" s="956"/>
      <c r="N397" s="956"/>
      <c r="O397" s="956"/>
      <c r="P397" s="956"/>
      <c r="V397" s="957"/>
    </row>
    <row r="398" spans="5:22">
      <c r="E398" s="956"/>
      <c r="F398" s="956"/>
      <c r="G398" s="956"/>
      <c r="H398" s="956"/>
      <c r="I398" s="956"/>
      <c r="J398" s="956"/>
      <c r="K398" s="956"/>
      <c r="L398" s="956"/>
      <c r="M398" s="956"/>
      <c r="N398" s="956"/>
      <c r="O398" s="956"/>
      <c r="P398" s="956"/>
      <c r="V398" s="957"/>
    </row>
    <row r="399" spans="5:22">
      <c r="E399" s="956"/>
      <c r="F399" s="956"/>
      <c r="G399" s="956"/>
      <c r="H399" s="956"/>
      <c r="I399" s="956"/>
      <c r="J399" s="956"/>
      <c r="K399" s="956"/>
      <c r="L399" s="956"/>
      <c r="M399" s="956"/>
      <c r="N399" s="956"/>
      <c r="O399" s="956"/>
      <c r="P399" s="956"/>
      <c r="V399" s="957"/>
    </row>
    <row r="400" spans="5:22">
      <c r="E400" s="956"/>
      <c r="F400" s="956"/>
      <c r="G400" s="956"/>
      <c r="H400" s="956"/>
      <c r="I400" s="956"/>
      <c r="J400" s="956"/>
      <c r="K400" s="956"/>
      <c r="L400" s="956"/>
      <c r="M400" s="956"/>
      <c r="N400" s="956"/>
      <c r="O400" s="956"/>
      <c r="P400" s="956"/>
      <c r="V400" s="957"/>
    </row>
    <row r="401" spans="5:22">
      <c r="E401" s="956"/>
      <c r="F401" s="956"/>
      <c r="G401" s="956"/>
      <c r="H401" s="956"/>
      <c r="I401" s="956"/>
      <c r="J401" s="956"/>
      <c r="K401" s="956"/>
      <c r="L401" s="956"/>
      <c r="M401" s="956"/>
      <c r="N401" s="956"/>
      <c r="O401" s="956"/>
      <c r="P401" s="956"/>
      <c r="V401" s="957"/>
    </row>
    <row r="402" spans="5:22">
      <c r="E402" s="956"/>
      <c r="F402" s="956"/>
      <c r="G402" s="956"/>
      <c r="H402" s="956"/>
      <c r="I402" s="956"/>
      <c r="J402" s="956"/>
      <c r="K402" s="956"/>
      <c r="L402" s="956"/>
      <c r="M402" s="956"/>
      <c r="N402" s="956"/>
      <c r="O402" s="956"/>
      <c r="P402" s="956"/>
      <c r="V402" s="957"/>
    </row>
    <row r="403" spans="5:22">
      <c r="E403" s="956"/>
      <c r="F403" s="956"/>
      <c r="G403" s="956"/>
      <c r="H403" s="956"/>
      <c r="I403" s="956"/>
      <c r="J403" s="956"/>
      <c r="K403" s="956"/>
      <c r="L403" s="956"/>
      <c r="M403" s="956"/>
      <c r="N403" s="956"/>
      <c r="O403" s="956"/>
      <c r="P403" s="956"/>
      <c r="V403" s="957"/>
    </row>
    <row r="404" spans="5:22">
      <c r="E404" s="956"/>
      <c r="F404" s="956"/>
      <c r="G404" s="956"/>
      <c r="H404" s="956"/>
      <c r="I404" s="956"/>
      <c r="J404" s="956"/>
      <c r="K404" s="956"/>
      <c r="L404" s="956"/>
      <c r="M404" s="956"/>
      <c r="N404" s="956"/>
      <c r="O404" s="956"/>
      <c r="P404" s="956"/>
      <c r="V404" s="957"/>
    </row>
    <row r="405" spans="5:22">
      <c r="E405" s="956"/>
      <c r="F405" s="956"/>
      <c r="G405" s="956"/>
      <c r="H405" s="956"/>
      <c r="I405" s="956"/>
      <c r="J405" s="956"/>
      <c r="K405" s="956"/>
      <c r="L405" s="956"/>
      <c r="M405" s="956"/>
      <c r="N405" s="956"/>
      <c r="O405" s="956"/>
      <c r="P405" s="956"/>
      <c r="V405" s="957"/>
    </row>
    <row r="406" spans="5:22">
      <c r="E406" s="956"/>
      <c r="F406" s="956"/>
      <c r="G406" s="956"/>
      <c r="H406" s="956"/>
      <c r="I406" s="956"/>
      <c r="J406" s="956"/>
      <c r="K406" s="956"/>
      <c r="L406" s="956"/>
      <c r="M406" s="956"/>
      <c r="N406" s="956"/>
      <c r="O406" s="956"/>
      <c r="P406" s="956"/>
      <c r="V406" s="957"/>
    </row>
    <row r="407" spans="5:22">
      <c r="E407" s="956"/>
      <c r="F407" s="956"/>
      <c r="G407" s="956"/>
      <c r="H407" s="956"/>
      <c r="I407" s="956"/>
      <c r="J407" s="956"/>
      <c r="K407" s="956"/>
      <c r="L407" s="956"/>
      <c r="M407" s="956"/>
      <c r="N407" s="956"/>
      <c r="O407" s="956"/>
      <c r="P407" s="956"/>
      <c r="V407" s="957"/>
    </row>
    <row r="408" spans="5:22">
      <c r="E408" s="956"/>
      <c r="F408" s="956"/>
      <c r="G408" s="956"/>
      <c r="H408" s="956"/>
      <c r="I408" s="956"/>
      <c r="J408" s="956"/>
      <c r="K408" s="956"/>
      <c r="L408" s="956"/>
      <c r="M408" s="956"/>
      <c r="N408" s="956"/>
      <c r="O408" s="956"/>
      <c r="P408" s="956"/>
      <c r="V408" s="957"/>
    </row>
    <row r="409" spans="5:22">
      <c r="E409" s="956"/>
      <c r="F409" s="956"/>
      <c r="G409" s="956"/>
      <c r="H409" s="956"/>
      <c r="I409" s="956"/>
      <c r="J409" s="956"/>
      <c r="K409" s="956"/>
      <c r="L409" s="956"/>
      <c r="M409" s="956"/>
      <c r="N409" s="956"/>
      <c r="O409" s="956"/>
      <c r="P409" s="956"/>
      <c r="V409" s="957"/>
    </row>
    <row r="410" spans="5:22">
      <c r="E410" s="956"/>
      <c r="F410" s="956"/>
      <c r="G410" s="956"/>
      <c r="H410" s="956"/>
      <c r="I410" s="956"/>
      <c r="J410" s="956"/>
      <c r="K410" s="956"/>
      <c r="L410" s="956"/>
      <c r="M410" s="956"/>
      <c r="N410" s="956"/>
      <c r="O410" s="956"/>
      <c r="P410" s="956"/>
      <c r="V410" s="957"/>
    </row>
    <row r="411" spans="5:22">
      <c r="E411" s="956"/>
      <c r="F411" s="956"/>
      <c r="G411" s="956"/>
      <c r="H411" s="956"/>
      <c r="I411" s="956"/>
      <c r="J411" s="956"/>
      <c r="K411" s="956"/>
      <c r="L411" s="956"/>
      <c r="M411" s="956"/>
      <c r="N411" s="956"/>
      <c r="O411" s="956"/>
      <c r="P411" s="956"/>
      <c r="V411" s="957"/>
    </row>
    <row r="412" spans="5:22">
      <c r="E412" s="956"/>
      <c r="F412" s="956"/>
      <c r="G412" s="956"/>
      <c r="H412" s="956"/>
      <c r="I412" s="956"/>
      <c r="J412" s="956"/>
      <c r="K412" s="956"/>
      <c r="L412" s="956"/>
      <c r="M412" s="956"/>
      <c r="N412" s="956"/>
      <c r="O412" s="956"/>
      <c r="P412" s="956"/>
      <c r="V412" s="957"/>
    </row>
    <row r="413" spans="5:22">
      <c r="E413" s="956"/>
      <c r="F413" s="956"/>
      <c r="G413" s="956"/>
      <c r="H413" s="956"/>
      <c r="I413" s="956"/>
      <c r="J413" s="956"/>
      <c r="K413" s="956"/>
      <c r="L413" s="956"/>
      <c r="M413" s="956"/>
      <c r="N413" s="956"/>
      <c r="O413" s="956"/>
      <c r="P413" s="956"/>
      <c r="V413" s="957"/>
    </row>
    <row r="414" spans="5:22">
      <c r="E414" s="956"/>
      <c r="F414" s="956"/>
      <c r="G414" s="956"/>
      <c r="H414" s="956"/>
      <c r="I414" s="956"/>
      <c r="J414" s="956"/>
      <c r="K414" s="956"/>
      <c r="L414" s="956"/>
      <c r="M414" s="956"/>
      <c r="N414" s="956"/>
      <c r="O414" s="956"/>
      <c r="P414" s="956"/>
      <c r="V414" s="957"/>
    </row>
    <row r="415" spans="5:22">
      <c r="E415" s="956"/>
      <c r="F415" s="956"/>
      <c r="G415" s="956"/>
      <c r="H415" s="956"/>
      <c r="I415" s="956"/>
      <c r="J415" s="956"/>
      <c r="K415" s="956"/>
      <c r="L415" s="956"/>
      <c r="M415" s="956"/>
      <c r="N415" s="956"/>
      <c r="O415" s="956"/>
      <c r="P415" s="956"/>
      <c r="V415" s="957"/>
    </row>
    <row r="416" spans="5:22">
      <c r="E416" s="956"/>
      <c r="F416" s="956"/>
      <c r="G416" s="956"/>
      <c r="H416" s="956"/>
      <c r="I416" s="956"/>
      <c r="J416" s="956"/>
      <c r="K416" s="956"/>
      <c r="L416" s="956"/>
      <c r="M416" s="956"/>
      <c r="N416" s="956"/>
      <c r="O416" s="956"/>
      <c r="P416" s="956"/>
      <c r="V416" s="957"/>
    </row>
    <row r="417" spans="5:22">
      <c r="E417" s="956"/>
      <c r="F417" s="956"/>
      <c r="G417" s="956"/>
      <c r="H417" s="956"/>
      <c r="I417" s="956"/>
      <c r="J417" s="956"/>
      <c r="K417" s="956"/>
      <c r="L417" s="956"/>
      <c r="M417" s="956"/>
      <c r="N417" s="956"/>
      <c r="O417" s="956"/>
      <c r="P417" s="956"/>
      <c r="V417" s="957"/>
    </row>
    <row r="418" spans="5:22">
      <c r="E418" s="956"/>
      <c r="F418" s="956"/>
      <c r="G418" s="956"/>
      <c r="H418" s="956"/>
      <c r="I418" s="956"/>
      <c r="J418" s="956"/>
      <c r="K418" s="956"/>
      <c r="L418" s="956"/>
      <c r="M418" s="956"/>
      <c r="N418" s="956"/>
      <c r="O418" s="956"/>
      <c r="P418" s="956"/>
      <c r="V418" s="957"/>
    </row>
    <row r="419" spans="5:22">
      <c r="E419" s="956"/>
      <c r="F419" s="956"/>
      <c r="G419" s="956"/>
      <c r="H419" s="956"/>
      <c r="I419" s="956"/>
      <c r="J419" s="956"/>
      <c r="K419" s="956"/>
      <c r="L419" s="956"/>
      <c r="M419" s="956"/>
      <c r="N419" s="956"/>
      <c r="O419" s="956"/>
      <c r="P419" s="956"/>
      <c r="V419" s="957"/>
    </row>
    <row r="420" spans="5:22">
      <c r="E420" s="956"/>
      <c r="F420" s="956"/>
      <c r="G420" s="956"/>
      <c r="H420" s="956"/>
      <c r="I420" s="956"/>
      <c r="J420" s="956"/>
      <c r="K420" s="956"/>
      <c r="L420" s="956"/>
      <c r="M420" s="956"/>
      <c r="N420" s="956"/>
      <c r="O420" s="956"/>
      <c r="P420" s="956"/>
      <c r="V420" s="957"/>
    </row>
    <row r="421" spans="5:22">
      <c r="E421" s="956"/>
      <c r="F421" s="956"/>
      <c r="G421" s="956"/>
      <c r="H421" s="956"/>
      <c r="I421" s="956"/>
      <c r="J421" s="956"/>
      <c r="K421" s="956"/>
      <c r="L421" s="956"/>
      <c r="M421" s="956"/>
      <c r="N421" s="956"/>
      <c r="O421" s="956"/>
      <c r="P421" s="956"/>
      <c r="V421" s="957"/>
    </row>
    <row r="422" spans="5:22">
      <c r="E422" s="956"/>
      <c r="F422" s="956"/>
      <c r="G422" s="956"/>
      <c r="H422" s="956"/>
      <c r="I422" s="956"/>
      <c r="J422" s="956"/>
      <c r="K422" s="956"/>
      <c r="L422" s="956"/>
      <c r="M422" s="956"/>
      <c r="N422" s="956"/>
      <c r="O422" s="956"/>
      <c r="P422" s="956"/>
      <c r="V422" s="957"/>
    </row>
    <row r="423" spans="5:22">
      <c r="E423" s="956"/>
      <c r="F423" s="956"/>
      <c r="G423" s="956"/>
      <c r="H423" s="956"/>
      <c r="I423" s="956"/>
      <c r="J423" s="956"/>
      <c r="K423" s="956"/>
      <c r="L423" s="956"/>
      <c r="M423" s="956"/>
      <c r="N423" s="956"/>
      <c r="O423" s="956"/>
      <c r="P423" s="956"/>
      <c r="V423" s="957"/>
    </row>
    <row r="424" spans="5:22">
      <c r="E424" s="956"/>
      <c r="F424" s="956"/>
      <c r="G424" s="956"/>
      <c r="H424" s="956"/>
      <c r="I424" s="956"/>
      <c r="J424" s="956"/>
      <c r="K424" s="956"/>
      <c r="L424" s="956"/>
      <c r="M424" s="956"/>
      <c r="N424" s="956"/>
      <c r="O424" s="956"/>
      <c r="P424" s="956"/>
      <c r="V424" s="957"/>
    </row>
    <row r="425" spans="5:22">
      <c r="E425" s="956"/>
      <c r="F425" s="956"/>
      <c r="G425" s="956"/>
      <c r="H425" s="956"/>
      <c r="I425" s="956"/>
      <c r="J425" s="956"/>
      <c r="K425" s="956"/>
      <c r="L425" s="956"/>
      <c r="M425" s="956"/>
      <c r="N425" s="956"/>
      <c r="O425" s="956"/>
      <c r="P425" s="956"/>
      <c r="V425" s="957"/>
    </row>
    <row r="426" spans="5:22">
      <c r="E426" s="956"/>
      <c r="F426" s="956"/>
      <c r="G426" s="956"/>
      <c r="H426" s="956"/>
      <c r="I426" s="956"/>
      <c r="J426" s="956"/>
      <c r="K426" s="956"/>
      <c r="L426" s="956"/>
      <c r="M426" s="956"/>
      <c r="N426" s="956"/>
      <c r="O426" s="956"/>
      <c r="P426" s="956"/>
      <c r="V426" s="957"/>
    </row>
    <row r="427" spans="5:22">
      <c r="E427" s="956"/>
      <c r="F427" s="956"/>
      <c r="G427" s="956"/>
      <c r="H427" s="956"/>
      <c r="I427" s="956"/>
      <c r="J427" s="956"/>
      <c r="K427" s="956"/>
      <c r="L427" s="956"/>
      <c r="M427" s="956"/>
      <c r="N427" s="956"/>
      <c r="O427" s="956"/>
      <c r="P427" s="956"/>
      <c r="V427" s="957"/>
    </row>
    <row r="428" spans="5:22">
      <c r="E428" s="956"/>
      <c r="F428" s="956"/>
      <c r="G428" s="956"/>
      <c r="H428" s="956"/>
      <c r="I428" s="956"/>
      <c r="J428" s="956"/>
      <c r="K428" s="956"/>
      <c r="L428" s="956"/>
      <c r="M428" s="956"/>
      <c r="N428" s="956"/>
      <c r="O428" s="956"/>
      <c r="P428" s="956"/>
      <c r="V428" s="957"/>
    </row>
    <row r="429" spans="5:22">
      <c r="E429" s="956"/>
      <c r="F429" s="956"/>
      <c r="G429" s="956"/>
      <c r="H429" s="956"/>
      <c r="I429" s="956"/>
      <c r="J429" s="956"/>
      <c r="K429" s="956"/>
      <c r="L429" s="956"/>
      <c r="M429" s="956"/>
      <c r="N429" s="956"/>
      <c r="O429" s="956"/>
      <c r="P429" s="956"/>
      <c r="V429" s="957"/>
    </row>
    <row r="430" spans="5:22">
      <c r="E430" s="956"/>
      <c r="F430" s="956"/>
      <c r="G430" s="956"/>
      <c r="H430" s="956"/>
      <c r="I430" s="956"/>
      <c r="J430" s="956"/>
      <c r="K430" s="956"/>
      <c r="L430" s="956"/>
      <c r="M430" s="956"/>
      <c r="N430" s="956"/>
      <c r="O430" s="956"/>
      <c r="P430" s="956"/>
      <c r="V430" s="957"/>
    </row>
    <row r="431" spans="5:22">
      <c r="E431" s="956"/>
      <c r="F431" s="956"/>
      <c r="G431" s="956"/>
      <c r="H431" s="956"/>
      <c r="I431" s="956"/>
      <c r="J431" s="956"/>
      <c r="K431" s="956"/>
      <c r="L431" s="956"/>
      <c r="M431" s="956"/>
      <c r="N431" s="956"/>
      <c r="O431" s="956"/>
      <c r="P431" s="956"/>
      <c r="V431" s="957"/>
    </row>
    <row r="432" spans="5:22">
      <c r="E432" s="956"/>
      <c r="F432" s="956"/>
      <c r="G432" s="956"/>
      <c r="H432" s="956"/>
      <c r="I432" s="956"/>
      <c r="J432" s="956"/>
      <c r="K432" s="956"/>
      <c r="L432" s="956"/>
      <c r="M432" s="956"/>
      <c r="N432" s="956"/>
      <c r="O432" s="956"/>
      <c r="P432" s="956"/>
      <c r="V432" s="957"/>
    </row>
    <row r="433" spans="5:22">
      <c r="E433" s="956"/>
      <c r="F433" s="956"/>
      <c r="G433" s="956"/>
      <c r="H433" s="956"/>
      <c r="I433" s="956"/>
      <c r="J433" s="956"/>
      <c r="K433" s="956"/>
      <c r="L433" s="956"/>
      <c r="M433" s="956"/>
      <c r="N433" s="956"/>
      <c r="O433" s="956"/>
      <c r="P433" s="956"/>
      <c r="V433" s="957"/>
    </row>
    <row r="434" spans="5:22">
      <c r="E434" s="956"/>
      <c r="F434" s="956"/>
      <c r="G434" s="956"/>
      <c r="H434" s="956"/>
      <c r="I434" s="956"/>
      <c r="J434" s="956"/>
      <c r="K434" s="956"/>
      <c r="L434" s="956"/>
      <c r="M434" s="956"/>
      <c r="N434" s="956"/>
      <c r="O434" s="956"/>
      <c r="P434" s="956"/>
      <c r="V434" s="957"/>
    </row>
    <row r="435" spans="5:22">
      <c r="E435" s="956"/>
      <c r="F435" s="956"/>
      <c r="G435" s="956"/>
      <c r="H435" s="956"/>
      <c r="I435" s="956"/>
      <c r="J435" s="956"/>
      <c r="K435" s="956"/>
      <c r="L435" s="956"/>
      <c r="M435" s="956"/>
      <c r="N435" s="956"/>
      <c r="O435" s="956"/>
      <c r="P435" s="956"/>
      <c r="V435" s="957"/>
    </row>
    <row r="436" spans="5:22">
      <c r="E436" s="956"/>
      <c r="F436" s="956"/>
      <c r="G436" s="956"/>
      <c r="H436" s="956"/>
      <c r="I436" s="956"/>
      <c r="J436" s="956"/>
      <c r="K436" s="956"/>
      <c r="L436" s="956"/>
      <c r="M436" s="956"/>
      <c r="N436" s="956"/>
      <c r="O436" s="956"/>
      <c r="P436" s="956"/>
      <c r="V436" s="957"/>
    </row>
    <row r="437" spans="5:22">
      <c r="E437" s="956"/>
      <c r="F437" s="956"/>
      <c r="G437" s="956"/>
      <c r="H437" s="956"/>
      <c r="I437" s="956"/>
      <c r="J437" s="956"/>
      <c r="K437" s="956"/>
      <c r="L437" s="956"/>
      <c r="M437" s="956"/>
      <c r="N437" s="956"/>
      <c r="O437" s="956"/>
      <c r="P437" s="956"/>
      <c r="V437" s="957"/>
    </row>
    <row r="438" spans="5:22">
      <c r="E438" s="956"/>
      <c r="F438" s="956"/>
      <c r="G438" s="956"/>
      <c r="H438" s="956"/>
      <c r="I438" s="956"/>
      <c r="J438" s="956"/>
      <c r="K438" s="956"/>
      <c r="L438" s="956"/>
      <c r="M438" s="956"/>
      <c r="N438" s="956"/>
      <c r="O438" s="956"/>
      <c r="P438" s="956"/>
      <c r="V438" s="957"/>
    </row>
    <row r="439" spans="5:22">
      <c r="E439" s="956"/>
      <c r="F439" s="956"/>
      <c r="G439" s="956"/>
      <c r="H439" s="956"/>
      <c r="I439" s="956"/>
      <c r="J439" s="956"/>
      <c r="K439" s="956"/>
      <c r="L439" s="956"/>
      <c r="M439" s="956"/>
      <c r="N439" s="956"/>
      <c r="O439" s="956"/>
      <c r="P439" s="956"/>
      <c r="V439" s="957"/>
    </row>
    <row r="440" spans="5:22">
      <c r="E440" s="956"/>
      <c r="F440" s="956"/>
      <c r="G440" s="956"/>
      <c r="H440" s="956"/>
      <c r="I440" s="956"/>
      <c r="J440" s="956"/>
      <c r="K440" s="956"/>
      <c r="L440" s="956"/>
      <c r="M440" s="956"/>
      <c r="N440" s="956"/>
      <c r="O440" s="956"/>
      <c r="P440" s="956"/>
      <c r="V440" s="957"/>
    </row>
    <row r="441" spans="5:22">
      <c r="E441" s="956"/>
      <c r="F441" s="956"/>
      <c r="G441" s="956"/>
      <c r="H441" s="956"/>
      <c r="I441" s="956"/>
      <c r="J441" s="956"/>
      <c r="K441" s="956"/>
      <c r="L441" s="956"/>
      <c r="M441" s="956"/>
      <c r="N441" s="956"/>
      <c r="O441" s="956"/>
      <c r="P441" s="956"/>
      <c r="V441" s="957"/>
    </row>
    <row r="442" spans="5:22">
      <c r="E442" s="956"/>
      <c r="F442" s="956"/>
      <c r="G442" s="956"/>
      <c r="H442" s="956"/>
      <c r="I442" s="956"/>
      <c r="J442" s="956"/>
      <c r="K442" s="956"/>
      <c r="L442" s="956"/>
      <c r="M442" s="956"/>
      <c r="N442" s="956"/>
      <c r="O442" s="956"/>
      <c r="P442" s="956"/>
      <c r="V442" s="957"/>
    </row>
    <row r="443" spans="5:22">
      <c r="E443" s="956"/>
      <c r="F443" s="956"/>
      <c r="G443" s="956"/>
      <c r="H443" s="956"/>
      <c r="I443" s="956"/>
      <c r="J443" s="956"/>
      <c r="K443" s="956"/>
      <c r="L443" s="956"/>
      <c r="M443" s="956"/>
      <c r="N443" s="956"/>
      <c r="O443" s="956"/>
      <c r="P443" s="956"/>
      <c r="V443" s="957"/>
    </row>
    <row r="444" spans="5:22">
      <c r="E444" s="956"/>
      <c r="F444" s="956"/>
      <c r="G444" s="956"/>
      <c r="H444" s="956"/>
      <c r="I444" s="956"/>
      <c r="J444" s="956"/>
      <c r="K444" s="956"/>
      <c r="L444" s="956"/>
      <c r="M444" s="956"/>
      <c r="N444" s="956"/>
      <c r="O444" s="956"/>
      <c r="P444" s="956"/>
      <c r="V444" s="957"/>
    </row>
    <row r="445" spans="5:22">
      <c r="E445" s="956"/>
      <c r="F445" s="956"/>
      <c r="G445" s="956"/>
      <c r="H445" s="956"/>
      <c r="I445" s="956"/>
      <c r="J445" s="956"/>
      <c r="K445" s="956"/>
      <c r="L445" s="956"/>
      <c r="M445" s="956"/>
      <c r="N445" s="956"/>
      <c r="O445" s="956"/>
      <c r="P445" s="956"/>
      <c r="V445" s="957"/>
    </row>
    <row r="446" spans="5:22">
      <c r="E446" s="956"/>
      <c r="F446" s="956"/>
      <c r="G446" s="956"/>
      <c r="H446" s="956"/>
      <c r="I446" s="956"/>
      <c r="J446" s="956"/>
      <c r="K446" s="956"/>
      <c r="L446" s="956"/>
      <c r="M446" s="956"/>
      <c r="N446" s="956"/>
      <c r="O446" s="956"/>
      <c r="P446" s="956"/>
      <c r="V446" s="957"/>
    </row>
    <row r="447" spans="5:22">
      <c r="E447" s="956"/>
      <c r="F447" s="956"/>
      <c r="G447" s="956"/>
      <c r="H447" s="956"/>
      <c r="I447" s="956"/>
      <c r="J447" s="956"/>
      <c r="K447" s="956"/>
      <c r="L447" s="956"/>
      <c r="M447" s="956"/>
      <c r="N447" s="956"/>
      <c r="O447" s="956"/>
      <c r="P447" s="956"/>
      <c r="V447" s="957"/>
    </row>
    <row r="448" spans="5:22">
      <c r="E448" s="956"/>
      <c r="F448" s="956"/>
      <c r="G448" s="956"/>
      <c r="H448" s="956"/>
      <c r="I448" s="956"/>
      <c r="J448" s="956"/>
      <c r="K448" s="956"/>
      <c r="L448" s="956"/>
      <c r="M448" s="956"/>
      <c r="N448" s="956"/>
      <c r="O448" s="956"/>
      <c r="P448" s="956"/>
      <c r="V448" s="957"/>
    </row>
    <row r="449" spans="5:22">
      <c r="E449" s="956"/>
      <c r="F449" s="956"/>
      <c r="G449" s="956"/>
      <c r="H449" s="956"/>
      <c r="I449" s="956"/>
      <c r="J449" s="956"/>
      <c r="K449" s="956"/>
      <c r="L449" s="956"/>
      <c r="M449" s="956"/>
      <c r="N449" s="956"/>
      <c r="O449" s="956"/>
      <c r="P449" s="956"/>
      <c r="V449" s="957"/>
    </row>
    <row r="450" spans="5:22">
      <c r="E450" s="956"/>
      <c r="F450" s="956"/>
      <c r="G450" s="956"/>
      <c r="H450" s="956"/>
      <c r="I450" s="956"/>
      <c r="J450" s="956"/>
      <c r="K450" s="956"/>
      <c r="L450" s="956"/>
      <c r="M450" s="956"/>
      <c r="N450" s="956"/>
      <c r="O450" s="956"/>
      <c r="P450" s="956"/>
      <c r="V450" s="957"/>
    </row>
    <row r="451" spans="5:22">
      <c r="E451" s="956"/>
      <c r="F451" s="956"/>
      <c r="G451" s="956"/>
      <c r="H451" s="956"/>
      <c r="I451" s="956"/>
      <c r="J451" s="956"/>
      <c r="K451" s="956"/>
      <c r="L451" s="956"/>
      <c r="M451" s="956"/>
      <c r="N451" s="956"/>
      <c r="O451" s="956"/>
      <c r="P451" s="956"/>
      <c r="V451" s="957"/>
    </row>
    <row r="452" spans="5:22">
      <c r="E452" s="956"/>
      <c r="F452" s="956"/>
      <c r="G452" s="956"/>
      <c r="H452" s="956"/>
      <c r="I452" s="956"/>
      <c r="J452" s="956"/>
      <c r="K452" s="956"/>
      <c r="L452" s="956"/>
      <c r="M452" s="956"/>
      <c r="N452" s="956"/>
      <c r="O452" s="956"/>
      <c r="P452" s="956"/>
      <c r="V452" s="957"/>
    </row>
    <row r="453" spans="5:22">
      <c r="E453" s="956"/>
      <c r="F453" s="956"/>
      <c r="G453" s="956"/>
      <c r="H453" s="956"/>
      <c r="I453" s="956"/>
      <c r="J453" s="956"/>
      <c r="K453" s="956"/>
      <c r="L453" s="956"/>
      <c r="M453" s="956"/>
      <c r="N453" s="956"/>
      <c r="O453" s="956"/>
      <c r="P453" s="956"/>
      <c r="V453" s="957"/>
    </row>
    <row r="454" spans="5:22">
      <c r="E454" s="956"/>
      <c r="F454" s="956"/>
      <c r="G454" s="956"/>
      <c r="H454" s="956"/>
      <c r="I454" s="956"/>
      <c r="J454" s="956"/>
      <c r="K454" s="956"/>
      <c r="L454" s="956"/>
      <c r="M454" s="956"/>
      <c r="N454" s="956"/>
      <c r="O454" s="956"/>
      <c r="P454" s="956"/>
      <c r="V454" s="957"/>
    </row>
    <row r="455" spans="5:22">
      <c r="E455" s="956"/>
      <c r="F455" s="956"/>
      <c r="G455" s="956"/>
      <c r="H455" s="956"/>
      <c r="I455" s="956"/>
      <c r="J455" s="956"/>
      <c r="K455" s="956"/>
      <c r="L455" s="956"/>
      <c r="M455" s="956"/>
      <c r="N455" s="956"/>
      <c r="O455" s="956"/>
      <c r="P455" s="956"/>
      <c r="V455" s="957"/>
    </row>
    <row r="456" spans="5:22">
      <c r="E456" s="956"/>
      <c r="F456" s="956"/>
      <c r="G456" s="956"/>
      <c r="H456" s="956"/>
      <c r="I456" s="956"/>
      <c r="J456" s="956"/>
      <c r="K456" s="956"/>
      <c r="L456" s="956"/>
      <c r="M456" s="956"/>
      <c r="N456" s="956"/>
      <c r="O456" s="956"/>
      <c r="P456" s="956"/>
      <c r="V456" s="957"/>
    </row>
    <row r="457" spans="5:22">
      <c r="E457" s="956"/>
      <c r="F457" s="956"/>
      <c r="G457" s="956"/>
      <c r="H457" s="956"/>
      <c r="I457" s="956"/>
      <c r="J457" s="956"/>
      <c r="K457" s="956"/>
      <c r="L457" s="956"/>
      <c r="M457" s="956"/>
      <c r="N457" s="956"/>
      <c r="O457" s="956"/>
      <c r="P457" s="956"/>
      <c r="V457" s="957"/>
    </row>
    <row r="458" spans="5:22">
      <c r="E458" s="956"/>
      <c r="F458" s="956"/>
      <c r="G458" s="956"/>
      <c r="H458" s="956"/>
      <c r="I458" s="956"/>
      <c r="J458" s="956"/>
      <c r="K458" s="956"/>
      <c r="L458" s="956"/>
      <c r="M458" s="956"/>
      <c r="N458" s="956"/>
      <c r="O458" s="956"/>
      <c r="P458" s="956"/>
      <c r="V458" s="957"/>
    </row>
    <row r="459" spans="5:22">
      <c r="E459" s="956"/>
      <c r="F459" s="956"/>
      <c r="G459" s="956"/>
      <c r="H459" s="956"/>
      <c r="I459" s="956"/>
      <c r="J459" s="956"/>
      <c r="K459" s="956"/>
      <c r="L459" s="956"/>
      <c r="M459" s="956"/>
      <c r="N459" s="956"/>
      <c r="O459" s="956"/>
      <c r="P459" s="956"/>
      <c r="V459" s="957"/>
    </row>
    <row r="460" spans="5:22">
      <c r="E460" s="956"/>
      <c r="F460" s="956"/>
      <c r="G460" s="956"/>
      <c r="H460" s="956"/>
      <c r="I460" s="956"/>
      <c r="J460" s="956"/>
      <c r="K460" s="956"/>
      <c r="L460" s="956"/>
      <c r="M460" s="956"/>
      <c r="N460" s="956"/>
      <c r="O460" s="956"/>
      <c r="P460" s="956"/>
      <c r="V460" s="957"/>
    </row>
    <row r="461" spans="5:22">
      <c r="E461" s="956"/>
      <c r="F461" s="956"/>
      <c r="G461" s="956"/>
      <c r="H461" s="956"/>
      <c r="I461" s="956"/>
      <c r="J461" s="956"/>
      <c r="K461" s="956"/>
      <c r="L461" s="956"/>
      <c r="M461" s="956"/>
      <c r="N461" s="956"/>
      <c r="O461" s="956"/>
      <c r="P461" s="956"/>
      <c r="V461" s="957"/>
    </row>
    <row r="462" spans="5:22">
      <c r="E462" s="956"/>
      <c r="F462" s="956"/>
      <c r="G462" s="956"/>
      <c r="H462" s="956"/>
      <c r="I462" s="956"/>
      <c r="J462" s="956"/>
      <c r="K462" s="956"/>
      <c r="L462" s="956"/>
      <c r="M462" s="956"/>
      <c r="N462" s="956"/>
      <c r="O462" s="956"/>
      <c r="P462" s="956"/>
      <c r="V462" s="957"/>
    </row>
    <row r="463" spans="5:22">
      <c r="E463" s="956"/>
      <c r="F463" s="956"/>
      <c r="G463" s="956"/>
      <c r="H463" s="956"/>
      <c r="I463" s="956"/>
      <c r="J463" s="956"/>
      <c r="K463" s="956"/>
      <c r="L463" s="956"/>
      <c r="M463" s="956"/>
      <c r="N463" s="956"/>
      <c r="O463" s="956"/>
      <c r="P463" s="956"/>
      <c r="V463" s="957"/>
    </row>
    <row r="464" spans="5:22">
      <c r="E464" s="956"/>
      <c r="F464" s="956"/>
      <c r="G464" s="956"/>
      <c r="H464" s="956"/>
      <c r="I464" s="956"/>
      <c r="J464" s="956"/>
      <c r="K464" s="956"/>
      <c r="L464" s="956"/>
      <c r="M464" s="956"/>
      <c r="N464" s="956"/>
      <c r="O464" s="956"/>
      <c r="P464" s="956"/>
      <c r="V464" s="957"/>
    </row>
    <row r="465" spans="5:22">
      <c r="E465" s="956"/>
      <c r="F465" s="956"/>
      <c r="G465" s="956"/>
      <c r="H465" s="956"/>
      <c r="I465" s="956"/>
      <c r="J465" s="956"/>
      <c r="K465" s="956"/>
      <c r="L465" s="956"/>
      <c r="M465" s="956"/>
      <c r="N465" s="956"/>
      <c r="O465" s="956"/>
      <c r="P465" s="956"/>
      <c r="V465" s="957"/>
    </row>
    <row r="466" spans="5:22">
      <c r="E466" s="956"/>
      <c r="F466" s="956"/>
      <c r="G466" s="956"/>
      <c r="H466" s="956"/>
      <c r="I466" s="956"/>
      <c r="J466" s="956"/>
      <c r="K466" s="956"/>
      <c r="L466" s="956"/>
      <c r="M466" s="956"/>
      <c r="N466" s="956"/>
      <c r="O466" s="956"/>
      <c r="P466" s="956"/>
      <c r="V466" s="957"/>
    </row>
    <row r="467" spans="5:22">
      <c r="E467" s="956"/>
      <c r="F467" s="956"/>
      <c r="G467" s="956"/>
      <c r="H467" s="956"/>
      <c r="I467" s="956"/>
      <c r="J467" s="956"/>
      <c r="K467" s="956"/>
      <c r="L467" s="956"/>
      <c r="M467" s="956"/>
      <c r="N467" s="956"/>
      <c r="O467" s="956"/>
      <c r="P467" s="956"/>
      <c r="V467" s="957"/>
    </row>
    <row r="468" spans="5:22">
      <c r="E468" s="956"/>
      <c r="F468" s="956"/>
      <c r="G468" s="956"/>
      <c r="H468" s="956"/>
      <c r="I468" s="956"/>
      <c r="J468" s="956"/>
      <c r="K468" s="956"/>
      <c r="L468" s="956"/>
      <c r="M468" s="956"/>
      <c r="N468" s="956"/>
      <c r="O468" s="956"/>
      <c r="P468" s="956"/>
      <c r="V468" s="957"/>
    </row>
    <row r="469" spans="5:22">
      <c r="E469" s="956"/>
      <c r="F469" s="956"/>
      <c r="G469" s="956"/>
      <c r="H469" s="956"/>
      <c r="I469" s="956"/>
      <c r="J469" s="956"/>
      <c r="K469" s="956"/>
      <c r="L469" s="956"/>
      <c r="M469" s="956"/>
      <c r="N469" s="956"/>
      <c r="O469" s="956"/>
      <c r="P469" s="956"/>
      <c r="V469" s="957"/>
    </row>
    <row r="470" spans="5:22">
      <c r="E470" s="956"/>
      <c r="F470" s="956"/>
      <c r="G470" s="956"/>
      <c r="H470" s="956"/>
      <c r="I470" s="956"/>
      <c r="J470" s="956"/>
      <c r="K470" s="956"/>
      <c r="L470" s="956"/>
      <c r="M470" s="956"/>
      <c r="N470" s="956"/>
      <c r="O470" s="956"/>
      <c r="P470" s="956"/>
      <c r="V470" s="957"/>
    </row>
    <row r="471" spans="5:22">
      <c r="E471" s="956"/>
      <c r="F471" s="956"/>
      <c r="G471" s="956"/>
      <c r="H471" s="956"/>
      <c r="I471" s="956"/>
      <c r="J471" s="956"/>
      <c r="K471" s="956"/>
      <c r="L471" s="956"/>
      <c r="M471" s="956"/>
      <c r="N471" s="956"/>
      <c r="O471" s="956"/>
      <c r="P471" s="956"/>
      <c r="V471" s="957"/>
    </row>
    <row r="472" spans="5:22">
      <c r="E472" s="956"/>
      <c r="F472" s="956"/>
      <c r="G472" s="956"/>
      <c r="H472" s="956"/>
      <c r="I472" s="956"/>
      <c r="J472" s="956"/>
      <c r="K472" s="956"/>
      <c r="L472" s="956"/>
      <c r="M472" s="956"/>
      <c r="N472" s="956"/>
      <c r="O472" s="956"/>
      <c r="P472" s="956"/>
      <c r="V472" s="957"/>
    </row>
    <row r="473" spans="5:22">
      <c r="E473" s="956"/>
      <c r="F473" s="956"/>
      <c r="G473" s="956"/>
      <c r="H473" s="956"/>
      <c r="I473" s="956"/>
      <c r="J473" s="956"/>
      <c r="K473" s="956"/>
      <c r="L473" s="956"/>
      <c r="M473" s="956"/>
      <c r="N473" s="956"/>
      <c r="O473" s="956"/>
      <c r="P473" s="956"/>
      <c r="V473" s="957"/>
    </row>
    <row r="474" spans="5:22">
      <c r="E474" s="956"/>
      <c r="F474" s="956"/>
      <c r="G474" s="956"/>
      <c r="H474" s="956"/>
      <c r="I474" s="956"/>
      <c r="J474" s="956"/>
      <c r="K474" s="956"/>
      <c r="L474" s="956"/>
      <c r="M474" s="956"/>
      <c r="N474" s="956"/>
      <c r="O474" s="956"/>
      <c r="P474" s="956"/>
      <c r="V474" s="957"/>
    </row>
    <row r="475" spans="5:22">
      <c r="E475" s="956"/>
      <c r="F475" s="956"/>
      <c r="G475" s="956"/>
      <c r="H475" s="956"/>
      <c r="I475" s="956"/>
      <c r="J475" s="956"/>
      <c r="K475" s="956"/>
      <c r="L475" s="956"/>
      <c r="M475" s="956"/>
      <c r="N475" s="956"/>
      <c r="O475" s="956"/>
      <c r="P475" s="956"/>
      <c r="V475" s="957"/>
    </row>
    <row r="476" spans="5:22">
      <c r="E476" s="956"/>
      <c r="F476" s="956"/>
      <c r="G476" s="956"/>
      <c r="H476" s="956"/>
      <c r="I476" s="956"/>
      <c r="J476" s="956"/>
      <c r="K476" s="956"/>
      <c r="L476" s="956"/>
      <c r="M476" s="956"/>
      <c r="N476" s="956"/>
      <c r="O476" s="956"/>
      <c r="P476" s="956"/>
      <c r="V476" s="957"/>
    </row>
    <row r="477" spans="5:22">
      <c r="E477" s="956"/>
      <c r="F477" s="956"/>
      <c r="G477" s="956"/>
      <c r="H477" s="956"/>
      <c r="I477" s="956"/>
      <c r="J477" s="956"/>
      <c r="K477" s="956"/>
      <c r="L477" s="956"/>
      <c r="M477" s="956"/>
      <c r="N477" s="956"/>
      <c r="O477" s="956"/>
      <c r="P477" s="956"/>
      <c r="V477" s="957"/>
    </row>
    <row r="478" spans="5:22">
      <c r="E478" s="956"/>
      <c r="F478" s="956"/>
      <c r="G478" s="956"/>
      <c r="H478" s="956"/>
      <c r="I478" s="956"/>
      <c r="J478" s="956"/>
      <c r="K478" s="956"/>
      <c r="L478" s="956"/>
      <c r="M478" s="956"/>
      <c r="N478" s="956"/>
      <c r="O478" s="956"/>
      <c r="P478" s="956"/>
      <c r="V478" s="957"/>
    </row>
    <row r="479" spans="5:22">
      <c r="E479" s="956"/>
      <c r="F479" s="956"/>
      <c r="G479" s="956"/>
      <c r="H479" s="956"/>
      <c r="I479" s="956"/>
      <c r="J479" s="956"/>
      <c r="K479" s="956"/>
      <c r="L479" s="956"/>
      <c r="M479" s="956"/>
      <c r="N479" s="956"/>
      <c r="O479" s="956"/>
      <c r="P479" s="956"/>
      <c r="V479" s="957"/>
    </row>
    <row r="480" spans="5:22">
      <c r="E480" s="956"/>
      <c r="F480" s="956"/>
      <c r="G480" s="956"/>
      <c r="H480" s="956"/>
      <c r="I480" s="956"/>
      <c r="J480" s="956"/>
      <c r="K480" s="956"/>
      <c r="L480" s="956"/>
      <c r="M480" s="956"/>
      <c r="N480" s="956"/>
      <c r="O480" s="956"/>
      <c r="P480" s="956"/>
      <c r="V480" s="957"/>
    </row>
    <row r="481" spans="5:22">
      <c r="E481" s="956"/>
      <c r="F481" s="956"/>
      <c r="G481" s="956"/>
      <c r="H481" s="956"/>
      <c r="I481" s="956"/>
      <c r="J481" s="956"/>
      <c r="K481" s="956"/>
      <c r="L481" s="956"/>
      <c r="M481" s="956"/>
      <c r="N481" s="956"/>
      <c r="O481" s="956"/>
      <c r="P481" s="956"/>
      <c r="V481" s="957"/>
    </row>
    <row r="482" spans="5:22">
      <c r="E482" s="956"/>
      <c r="F482" s="956"/>
      <c r="G482" s="956"/>
      <c r="H482" s="956"/>
      <c r="I482" s="956"/>
      <c r="J482" s="956"/>
      <c r="K482" s="956"/>
      <c r="L482" s="956"/>
      <c r="M482" s="956"/>
      <c r="N482" s="956"/>
      <c r="O482" s="956"/>
      <c r="P482" s="956"/>
      <c r="V482" s="957"/>
    </row>
    <row r="483" spans="5:22">
      <c r="E483" s="956"/>
      <c r="F483" s="956"/>
      <c r="G483" s="956"/>
      <c r="H483" s="956"/>
      <c r="I483" s="956"/>
      <c r="J483" s="956"/>
      <c r="K483" s="956"/>
      <c r="L483" s="956"/>
      <c r="M483" s="956"/>
      <c r="N483" s="956"/>
      <c r="O483" s="956"/>
      <c r="P483" s="956"/>
      <c r="V483" s="957"/>
    </row>
    <row r="484" spans="5:22">
      <c r="E484" s="956"/>
      <c r="F484" s="956"/>
      <c r="G484" s="956"/>
      <c r="H484" s="956"/>
      <c r="I484" s="956"/>
      <c r="J484" s="956"/>
      <c r="K484" s="956"/>
      <c r="L484" s="956"/>
      <c r="M484" s="956"/>
      <c r="N484" s="956"/>
      <c r="O484" s="956"/>
      <c r="P484" s="956"/>
      <c r="V484" s="957"/>
    </row>
    <row r="485" spans="5:22">
      <c r="E485" s="956"/>
      <c r="F485" s="956"/>
      <c r="G485" s="956"/>
      <c r="H485" s="956"/>
      <c r="I485" s="956"/>
      <c r="J485" s="956"/>
      <c r="K485" s="956"/>
      <c r="L485" s="956"/>
      <c r="M485" s="956"/>
      <c r="N485" s="956"/>
      <c r="O485" s="956"/>
      <c r="P485" s="956"/>
      <c r="V485" s="957"/>
    </row>
    <row r="486" spans="5:22">
      <c r="E486" s="956"/>
      <c r="F486" s="956"/>
      <c r="G486" s="956"/>
      <c r="H486" s="956"/>
      <c r="I486" s="956"/>
      <c r="J486" s="956"/>
      <c r="K486" s="956"/>
      <c r="L486" s="956"/>
      <c r="M486" s="956"/>
      <c r="N486" s="956"/>
      <c r="O486" s="956"/>
      <c r="P486" s="956"/>
      <c r="V486" s="957"/>
    </row>
    <row r="487" spans="5:22">
      <c r="E487" s="956"/>
      <c r="F487" s="956"/>
      <c r="G487" s="956"/>
      <c r="H487" s="956"/>
      <c r="I487" s="956"/>
      <c r="J487" s="956"/>
      <c r="K487" s="956"/>
      <c r="L487" s="956"/>
      <c r="M487" s="956"/>
      <c r="N487" s="956"/>
      <c r="O487" s="956"/>
      <c r="P487" s="956"/>
      <c r="V487" s="957"/>
    </row>
    <row r="488" spans="5:22">
      <c r="E488" s="956"/>
      <c r="F488" s="956"/>
      <c r="G488" s="956"/>
      <c r="H488" s="956"/>
      <c r="I488" s="956"/>
      <c r="J488" s="956"/>
      <c r="K488" s="956"/>
      <c r="L488" s="956"/>
      <c r="M488" s="956"/>
      <c r="N488" s="956"/>
      <c r="O488" s="956"/>
      <c r="P488" s="956"/>
      <c r="V488" s="957"/>
    </row>
    <row r="489" spans="5:22">
      <c r="E489" s="956"/>
      <c r="F489" s="956"/>
      <c r="G489" s="956"/>
      <c r="H489" s="956"/>
      <c r="I489" s="956"/>
      <c r="J489" s="956"/>
      <c r="K489" s="956"/>
      <c r="L489" s="956"/>
      <c r="M489" s="956"/>
      <c r="N489" s="956"/>
      <c r="O489" s="956"/>
      <c r="P489" s="956"/>
      <c r="V489" s="957"/>
    </row>
    <row r="490" spans="5:22">
      <c r="E490" s="956"/>
      <c r="F490" s="956"/>
      <c r="G490" s="956"/>
      <c r="H490" s="956"/>
      <c r="I490" s="956"/>
      <c r="J490" s="956"/>
      <c r="K490" s="956"/>
      <c r="L490" s="956"/>
      <c r="M490" s="956"/>
      <c r="N490" s="956"/>
      <c r="O490" s="956"/>
      <c r="P490" s="956"/>
      <c r="V490" s="957"/>
    </row>
    <row r="491" spans="5:22">
      <c r="E491" s="956"/>
      <c r="F491" s="956"/>
      <c r="G491" s="956"/>
      <c r="H491" s="956"/>
      <c r="I491" s="956"/>
      <c r="J491" s="956"/>
      <c r="K491" s="956"/>
      <c r="L491" s="956"/>
      <c r="M491" s="956"/>
      <c r="N491" s="956"/>
      <c r="O491" s="956"/>
      <c r="P491" s="956"/>
      <c r="V491" s="957"/>
    </row>
    <row r="492" spans="5:22">
      <c r="E492" s="956"/>
      <c r="F492" s="956"/>
      <c r="G492" s="956"/>
      <c r="H492" s="956"/>
      <c r="I492" s="956"/>
      <c r="J492" s="956"/>
      <c r="K492" s="956"/>
      <c r="L492" s="956"/>
      <c r="M492" s="956"/>
      <c r="N492" s="956"/>
      <c r="O492" s="956"/>
      <c r="P492" s="956"/>
      <c r="V492" s="957"/>
    </row>
    <row r="493" spans="5:22">
      <c r="E493" s="956"/>
      <c r="F493" s="956"/>
      <c r="G493" s="956"/>
      <c r="H493" s="956"/>
      <c r="I493" s="956"/>
      <c r="J493" s="956"/>
      <c r="K493" s="956"/>
      <c r="L493" s="956"/>
      <c r="M493" s="956"/>
      <c r="N493" s="956"/>
      <c r="O493" s="956"/>
      <c r="P493" s="956"/>
      <c r="V493" s="957"/>
    </row>
    <row r="494" spans="5:22">
      <c r="E494" s="956"/>
      <c r="F494" s="956"/>
      <c r="G494" s="956"/>
      <c r="H494" s="956"/>
      <c r="I494" s="956"/>
      <c r="J494" s="956"/>
      <c r="K494" s="956"/>
      <c r="L494" s="956"/>
      <c r="M494" s="956"/>
      <c r="N494" s="956"/>
      <c r="O494" s="956"/>
      <c r="P494" s="956"/>
      <c r="V494" s="957"/>
    </row>
    <row r="495" spans="5:22">
      <c r="E495" s="956"/>
      <c r="F495" s="956"/>
      <c r="G495" s="956"/>
      <c r="H495" s="956"/>
      <c r="I495" s="956"/>
      <c r="J495" s="956"/>
      <c r="K495" s="956"/>
      <c r="L495" s="956"/>
      <c r="M495" s="956"/>
      <c r="N495" s="956"/>
      <c r="O495" s="956"/>
      <c r="P495" s="956"/>
      <c r="V495" s="957"/>
    </row>
    <row r="496" spans="5:22">
      <c r="E496" s="956"/>
      <c r="F496" s="956"/>
      <c r="G496" s="956"/>
      <c r="H496" s="956"/>
      <c r="I496" s="956"/>
      <c r="J496" s="956"/>
      <c r="K496" s="956"/>
      <c r="L496" s="956"/>
      <c r="M496" s="956"/>
      <c r="N496" s="956"/>
      <c r="O496" s="956"/>
      <c r="P496" s="956"/>
      <c r="V496" s="957"/>
    </row>
    <row r="497" spans="5:22">
      <c r="E497" s="956"/>
      <c r="F497" s="956"/>
      <c r="G497" s="956"/>
      <c r="H497" s="956"/>
      <c r="I497" s="956"/>
      <c r="J497" s="956"/>
      <c r="K497" s="956"/>
      <c r="L497" s="956"/>
      <c r="M497" s="956"/>
      <c r="N497" s="956"/>
      <c r="O497" s="956"/>
      <c r="P497" s="956"/>
      <c r="V497" s="957"/>
    </row>
    <row r="498" spans="5:22">
      <c r="E498" s="956"/>
      <c r="F498" s="956"/>
      <c r="G498" s="956"/>
      <c r="H498" s="956"/>
      <c r="I498" s="956"/>
      <c r="J498" s="956"/>
      <c r="K498" s="956"/>
      <c r="L498" s="956"/>
      <c r="M498" s="956"/>
      <c r="N498" s="956"/>
      <c r="O498" s="956"/>
      <c r="P498" s="956"/>
      <c r="V498" s="957"/>
    </row>
    <row r="499" spans="5:22">
      <c r="E499" s="956"/>
      <c r="F499" s="956"/>
      <c r="G499" s="956"/>
      <c r="H499" s="956"/>
      <c r="I499" s="956"/>
      <c r="J499" s="956"/>
      <c r="K499" s="956"/>
      <c r="L499" s="956"/>
      <c r="M499" s="956"/>
      <c r="N499" s="956"/>
      <c r="O499" s="956"/>
      <c r="P499" s="956"/>
      <c r="V499" s="957"/>
    </row>
    <row r="500" spans="5:22">
      <c r="E500" s="956"/>
      <c r="F500" s="956"/>
      <c r="G500" s="956"/>
      <c r="H500" s="956"/>
      <c r="I500" s="956"/>
      <c r="J500" s="956"/>
      <c r="K500" s="956"/>
      <c r="L500" s="956"/>
      <c r="M500" s="956"/>
      <c r="N500" s="956"/>
      <c r="O500" s="956"/>
      <c r="P500" s="956"/>
      <c r="V500" s="957"/>
    </row>
    <row r="501" spans="5:22">
      <c r="E501" s="956"/>
      <c r="F501" s="956"/>
      <c r="G501" s="956"/>
      <c r="H501" s="956"/>
      <c r="I501" s="956"/>
      <c r="J501" s="956"/>
      <c r="K501" s="956"/>
      <c r="L501" s="956"/>
      <c r="M501" s="956"/>
      <c r="N501" s="956"/>
      <c r="O501" s="956"/>
      <c r="P501" s="956"/>
      <c r="V501" s="957"/>
    </row>
    <row r="502" spans="5:22">
      <c r="E502" s="956"/>
      <c r="F502" s="956"/>
      <c r="G502" s="956"/>
      <c r="H502" s="956"/>
      <c r="I502" s="956"/>
      <c r="J502" s="956"/>
      <c r="K502" s="956"/>
      <c r="L502" s="956"/>
      <c r="M502" s="956"/>
      <c r="N502" s="956"/>
      <c r="O502" s="956"/>
      <c r="P502" s="956"/>
      <c r="V502" s="957"/>
    </row>
    <row r="503" spans="5:22">
      <c r="E503" s="956"/>
      <c r="F503" s="956"/>
      <c r="G503" s="956"/>
      <c r="H503" s="956"/>
      <c r="I503" s="956"/>
      <c r="J503" s="956"/>
      <c r="K503" s="956"/>
      <c r="L503" s="956"/>
      <c r="M503" s="956"/>
      <c r="N503" s="956"/>
      <c r="O503" s="956"/>
      <c r="P503" s="956"/>
      <c r="V503" s="957"/>
    </row>
    <row r="504" spans="5:22">
      <c r="E504" s="956"/>
      <c r="F504" s="956"/>
      <c r="G504" s="956"/>
      <c r="H504" s="956"/>
      <c r="I504" s="956"/>
      <c r="J504" s="956"/>
      <c r="K504" s="956"/>
      <c r="L504" s="956"/>
      <c r="M504" s="956"/>
      <c r="N504" s="956"/>
      <c r="O504" s="956"/>
      <c r="P504" s="956"/>
      <c r="V504" s="957"/>
    </row>
    <row r="505" spans="5:22">
      <c r="E505" s="956"/>
      <c r="F505" s="956"/>
      <c r="G505" s="956"/>
      <c r="H505" s="956"/>
      <c r="I505" s="956"/>
      <c r="J505" s="956"/>
      <c r="K505" s="956"/>
      <c r="L505" s="956"/>
      <c r="M505" s="956"/>
      <c r="N505" s="956"/>
      <c r="O505" s="956"/>
      <c r="P505" s="956"/>
      <c r="V505" s="957"/>
    </row>
    <row r="506" spans="5:22">
      <c r="E506" s="956"/>
      <c r="F506" s="956"/>
      <c r="G506" s="956"/>
      <c r="H506" s="956"/>
      <c r="I506" s="956"/>
      <c r="J506" s="956"/>
      <c r="K506" s="956"/>
      <c r="L506" s="956"/>
      <c r="M506" s="956"/>
      <c r="N506" s="956"/>
      <c r="O506" s="956"/>
      <c r="P506" s="956"/>
      <c r="V506" s="957"/>
    </row>
    <row r="507" spans="5:22">
      <c r="E507" s="956"/>
      <c r="F507" s="956"/>
      <c r="G507" s="956"/>
      <c r="H507" s="956"/>
      <c r="I507" s="956"/>
      <c r="J507" s="956"/>
      <c r="K507" s="956"/>
      <c r="L507" s="956"/>
      <c r="M507" s="956"/>
      <c r="N507" s="956"/>
      <c r="O507" s="956"/>
      <c r="P507" s="956"/>
      <c r="V507" s="957"/>
    </row>
    <row r="508" spans="5:22">
      <c r="E508" s="956"/>
      <c r="F508" s="956"/>
      <c r="G508" s="956"/>
      <c r="H508" s="956"/>
      <c r="I508" s="956"/>
      <c r="J508" s="956"/>
      <c r="K508" s="956"/>
      <c r="L508" s="956"/>
      <c r="M508" s="956"/>
      <c r="N508" s="956"/>
      <c r="O508" s="956"/>
      <c r="P508" s="956"/>
      <c r="V508" s="957"/>
    </row>
    <row r="509" spans="5:22">
      <c r="E509" s="956"/>
      <c r="F509" s="956"/>
      <c r="G509" s="956"/>
      <c r="H509" s="956"/>
      <c r="I509" s="956"/>
      <c r="J509" s="956"/>
      <c r="K509" s="956"/>
      <c r="L509" s="956"/>
      <c r="M509" s="956"/>
      <c r="N509" s="956"/>
      <c r="O509" s="956"/>
      <c r="P509" s="956"/>
      <c r="V509" s="957"/>
    </row>
    <row r="510" spans="5:22">
      <c r="E510" s="956"/>
      <c r="F510" s="956"/>
      <c r="G510" s="956"/>
      <c r="H510" s="956"/>
      <c r="I510" s="956"/>
      <c r="J510" s="956"/>
      <c r="K510" s="956"/>
      <c r="L510" s="956"/>
      <c r="M510" s="956"/>
      <c r="N510" s="956"/>
      <c r="O510" s="956"/>
      <c r="P510" s="956"/>
      <c r="V510" s="957"/>
    </row>
    <row r="511" spans="5:22">
      <c r="E511" s="956"/>
      <c r="F511" s="956"/>
      <c r="G511" s="956"/>
      <c r="H511" s="956"/>
      <c r="I511" s="956"/>
      <c r="J511" s="956"/>
      <c r="K511" s="956"/>
      <c r="L511" s="956"/>
      <c r="M511" s="956"/>
      <c r="N511" s="956"/>
      <c r="O511" s="956"/>
      <c r="P511" s="956"/>
      <c r="V511" s="957"/>
    </row>
    <row r="512" spans="5:22">
      <c r="E512" s="956"/>
      <c r="F512" s="956"/>
      <c r="G512" s="956"/>
      <c r="H512" s="956"/>
      <c r="I512" s="956"/>
      <c r="J512" s="956"/>
      <c r="K512" s="956"/>
      <c r="L512" s="956"/>
      <c r="M512" s="956"/>
      <c r="N512" s="956"/>
      <c r="O512" s="956"/>
      <c r="P512" s="956"/>
      <c r="V512" s="957"/>
    </row>
    <row r="513" spans="5:22">
      <c r="E513" s="956"/>
      <c r="F513" s="956"/>
      <c r="G513" s="956"/>
      <c r="H513" s="956"/>
      <c r="I513" s="956"/>
      <c r="J513" s="956"/>
      <c r="K513" s="956"/>
      <c r="L513" s="956"/>
      <c r="M513" s="956"/>
      <c r="N513" s="956"/>
      <c r="O513" s="956"/>
      <c r="P513" s="956"/>
      <c r="V513" s="957"/>
    </row>
    <row r="514" spans="5:22">
      <c r="E514" s="956"/>
      <c r="F514" s="956"/>
      <c r="G514" s="956"/>
      <c r="H514" s="956"/>
      <c r="I514" s="956"/>
      <c r="J514" s="956"/>
      <c r="K514" s="956"/>
      <c r="L514" s="956"/>
      <c r="M514" s="956"/>
      <c r="N514" s="956"/>
      <c r="O514" s="956"/>
      <c r="P514" s="956"/>
      <c r="V514" s="957"/>
    </row>
    <row r="515" spans="5:22">
      <c r="E515" s="956"/>
      <c r="F515" s="956"/>
      <c r="G515" s="956"/>
      <c r="H515" s="956"/>
      <c r="I515" s="956"/>
      <c r="J515" s="956"/>
      <c r="K515" s="956"/>
      <c r="L515" s="956"/>
      <c r="M515" s="956"/>
      <c r="N515" s="956"/>
      <c r="O515" s="956"/>
      <c r="P515" s="956"/>
      <c r="V515" s="957"/>
    </row>
    <row r="516" spans="5:22">
      <c r="E516" s="956"/>
      <c r="F516" s="956"/>
      <c r="G516" s="956"/>
      <c r="H516" s="956"/>
      <c r="I516" s="956"/>
      <c r="J516" s="956"/>
      <c r="K516" s="956"/>
      <c r="L516" s="956"/>
      <c r="M516" s="956"/>
      <c r="N516" s="956"/>
      <c r="O516" s="956"/>
      <c r="P516" s="956"/>
      <c r="V516" s="957"/>
    </row>
    <row r="517" spans="5:22">
      <c r="E517" s="956"/>
      <c r="F517" s="956"/>
      <c r="G517" s="956"/>
      <c r="H517" s="956"/>
      <c r="I517" s="956"/>
      <c r="J517" s="956"/>
      <c r="K517" s="956"/>
      <c r="L517" s="956"/>
      <c r="M517" s="956"/>
      <c r="N517" s="956"/>
      <c r="O517" s="956"/>
      <c r="P517" s="956"/>
      <c r="V517" s="957"/>
    </row>
    <row r="518" spans="5:22">
      <c r="E518" s="956"/>
      <c r="F518" s="956"/>
      <c r="G518" s="956"/>
      <c r="H518" s="956"/>
      <c r="I518" s="956"/>
      <c r="J518" s="956"/>
      <c r="K518" s="956"/>
      <c r="L518" s="956"/>
      <c r="M518" s="956"/>
      <c r="N518" s="956"/>
      <c r="O518" s="956"/>
      <c r="P518" s="956"/>
      <c r="V518" s="957"/>
    </row>
    <row r="519" spans="5:22">
      <c r="E519" s="956"/>
      <c r="F519" s="956"/>
      <c r="G519" s="956"/>
      <c r="H519" s="956"/>
      <c r="I519" s="956"/>
      <c r="J519" s="956"/>
      <c r="K519" s="956"/>
      <c r="L519" s="956"/>
      <c r="M519" s="956"/>
      <c r="N519" s="956"/>
      <c r="O519" s="956"/>
      <c r="P519" s="956"/>
      <c r="V519" s="957"/>
    </row>
    <row r="520" spans="5:22">
      <c r="E520" s="956"/>
      <c r="F520" s="956"/>
      <c r="G520" s="956"/>
      <c r="H520" s="956"/>
      <c r="I520" s="956"/>
      <c r="J520" s="956"/>
      <c r="K520" s="956"/>
      <c r="L520" s="956"/>
      <c r="M520" s="956"/>
      <c r="N520" s="956"/>
      <c r="O520" s="956"/>
      <c r="P520" s="956"/>
      <c r="V520" s="957"/>
    </row>
    <row r="521" spans="5:22">
      <c r="E521" s="956"/>
      <c r="F521" s="956"/>
      <c r="G521" s="956"/>
      <c r="H521" s="956"/>
      <c r="I521" s="956"/>
      <c r="J521" s="956"/>
      <c r="K521" s="956"/>
      <c r="L521" s="956"/>
      <c r="M521" s="956"/>
      <c r="N521" s="956"/>
      <c r="O521" s="956"/>
      <c r="P521" s="956"/>
      <c r="V521" s="957"/>
    </row>
  </sheetData>
  <mergeCells count="82">
    <mergeCell ref="A108:A114"/>
    <mergeCell ref="V108:V114"/>
    <mergeCell ref="C110:C111"/>
    <mergeCell ref="U112:U114"/>
    <mergeCell ref="C113:C114"/>
    <mergeCell ref="A126:A129"/>
    <mergeCell ref="V126:V129"/>
    <mergeCell ref="C128:C129"/>
    <mergeCell ref="C120:C122"/>
    <mergeCell ref="U123:U125"/>
    <mergeCell ref="V116:V125"/>
    <mergeCell ref="A101:A107"/>
    <mergeCell ref="V101:V107"/>
    <mergeCell ref="C103:C104"/>
    <mergeCell ref="U105:U107"/>
    <mergeCell ref="C106:C107"/>
    <mergeCell ref="A92:A100"/>
    <mergeCell ref="V92:V100"/>
    <mergeCell ref="U98:U100"/>
    <mergeCell ref="C99:C100"/>
    <mergeCell ref="C94:C97"/>
    <mergeCell ref="A78:A84"/>
    <mergeCell ref="V78:V84"/>
    <mergeCell ref="C80:C81"/>
    <mergeCell ref="U82:U84"/>
    <mergeCell ref="C83:C84"/>
    <mergeCell ref="A71:A77"/>
    <mergeCell ref="V71:V77"/>
    <mergeCell ref="C73:C74"/>
    <mergeCell ref="U75:U77"/>
    <mergeCell ref="C76:C77"/>
    <mergeCell ref="A64:A70"/>
    <mergeCell ref="V64:V70"/>
    <mergeCell ref="C66:C67"/>
    <mergeCell ref="U68:U70"/>
    <mergeCell ref="C69:C70"/>
    <mergeCell ref="A55:A63"/>
    <mergeCell ref="V55:V63"/>
    <mergeCell ref="U61:U63"/>
    <mergeCell ref="C62:C63"/>
    <mergeCell ref="C57:C60"/>
    <mergeCell ref="A48:A54"/>
    <mergeCell ref="V48:V54"/>
    <mergeCell ref="C50:C51"/>
    <mergeCell ref="U52:U54"/>
    <mergeCell ref="C53:C54"/>
    <mergeCell ref="A39:A47"/>
    <mergeCell ref="V39:V47"/>
    <mergeCell ref="C41:C44"/>
    <mergeCell ref="U45:U47"/>
    <mergeCell ref="C46:C47"/>
    <mergeCell ref="A30:A38"/>
    <mergeCell ref="V30:V38"/>
    <mergeCell ref="C32:C35"/>
    <mergeCell ref="U36:U38"/>
    <mergeCell ref="C37:C38"/>
    <mergeCell ref="V14:V20"/>
    <mergeCell ref="U17:U20"/>
    <mergeCell ref="A21:A29"/>
    <mergeCell ref="V21:V29"/>
    <mergeCell ref="C23:C26"/>
    <mergeCell ref="U27:U29"/>
    <mergeCell ref="C28:C29"/>
    <mergeCell ref="A3:V3"/>
    <mergeCell ref="B4:B6"/>
    <mergeCell ref="C4:C6"/>
    <mergeCell ref="D4:D6"/>
    <mergeCell ref="E4:L5"/>
    <mergeCell ref="U4:U6"/>
    <mergeCell ref="V4:V6"/>
    <mergeCell ref="M4:N5"/>
    <mergeCell ref="O4:T5"/>
    <mergeCell ref="A130:A136"/>
    <mergeCell ref="V130:V136"/>
    <mergeCell ref="C132:C133"/>
    <mergeCell ref="U134:U136"/>
    <mergeCell ref="C135:C136"/>
    <mergeCell ref="A85:A91"/>
    <mergeCell ref="V85:V91"/>
    <mergeCell ref="C87:C88"/>
    <mergeCell ref="U89:U91"/>
    <mergeCell ref="C90:C91"/>
  </mergeCells>
  <pageMargins left="0.59055118110236227" right="0.47244094488188981" top="0.59055118110236227" bottom="0.39370078740157483" header="0.19685039370078741" footer="0.11811023622047245"/>
  <pageSetup paperSize="9" scale="70" firstPageNumber="53" orientation="landscape" useFirstPageNumber="1" r:id="rId1"/>
  <headerFooter alignWithMargins="0">
    <oddHeader>&amp;C&amp;"Arial,Kursywa"Wieloletnia prognoza finansowa Województwa Zachodniopomorskiego na lata 2015-2038&amp;"Arial,Normalny"
_______________________________________________________________________________________________________________________</oddHeader>
    <oddFooter>&amp;C&amp;9&amp;P</oddFooter>
  </headerFooter>
  <rowBreaks count="2" manualBreakCount="2">
    <brk id="38" max="21" man="1"/>
    <brk id="7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17</vt:i4>
      </vt:variant>
    </vt:vector>
  </HeadingPairs>
  <TitlesOfParts>
    <vt:vector size="27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2015-09-25T07:32:22Z</cp:lastPrinted>
  <dcterms:created xsi:type="dcterms:W3CDTF">2015-01-20T07:24:04Z</dcterms:created>
  <dcterms:modified xsi:type="dcterms:W3CDTF">2015-10-06T09:46:55Z</dcterms:modified>
</cp:coreProperties>
</file>